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drawings/drawing4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emailarizona-my.sharepoint.com/personal/marcusnobrega_arizona_edu/Documents/Review_LotscaleReservoir/"/>
    </mc:Choice>
  </mc:AlternateContent>
  <xr:revisionPtr revIDLastSave="1329" documentId="6_{81A096D9-85B2-49CE-985A-44D94B7F6021}" xr6:coauthVersionLast="47" xr6:coauthVersionMax="47" xr10:uidLastSave="{5D3C76C3-C4C6-422D-BB4B-A3DF8BE993B3}"/>
  <bookViews>
    <workbookView xWindow="-120" yWindow="-120" windowWidth="29040" windowHeight="15720" xr2:uid="{00000000-000D-0000-FFFF-FFFF00000000}"/>
  </bookViews>
  <sheets>
    <sheet name="Dados_de_entrada" sheetId="3" r:id="rId1"/>
    <sheet name="VBA" sheetId="8" r:id="rId2"/>
    <sheet name="Gráficos" sheetId="9" r:id="rId3"/>
    <sheet name="Hidrograma afluente" sheetId="5" r:id="rId4"/>
    <sheet name="Simulação" sheetId="6" r:id="rId5"/>
    <sheet name="Base de dados" sheetId="7" r:id="rId6"/>
    <sheet name="Regressão" sheetId="4" r:id="rId7"/>
  </sheets>
  <externalReferences>
    <externalReference r:id="rId8"/>
  </externalReferences>
  <definedNames>
    <definedName name="a">Dados_de_entrada!$F$8</definedName>
    <definedName name="Ad_i">Dados_de_entrada!$B$16</definedName>
    <definedName name="alfa_1_quad">Regressão!$AF$15</definedName>
    <definedName name="alfa_2_quad">Regressão!$AF$16</definedName>
    <definedName name="alot_i">Dados_de_entrada!$B$18</definedName>
    <definedName name="Altura">OFFSET(Simulação!$I$5,0,0,COUNT(Simulação!$A$5:$A$1048576),1)</definedName>
    <definedName name="Area">Dados_de_entrada!$B$6</definedName>
    <definedName name="Area_quad">OFFSET(Regressão!$J$5,0,0,COUNT(Regressão!$B$5:$B$1048576),1)</definedName>
    <definedName name="b">Dados_de_entrada!$F$10</definedName>
    <definedName name="b_0">Dados_de_entrada!$B$28</definedName>
    <definedName name="c_">Dados_de_entrada!$F$12</definedName>
    <definedName name="c_0">Dados_de_entrada!$B$30</definedName>
    <definedName name="Cargas">'Base de dados'!$A$5:$A$14</definedName>
    <definedName name="Cd_sr">Dados_de_entrada!$B$38</definedName>
    <definedName name="chuva_bacia">Dados_de_entrada!$B$99</definedName>
    <definedName name="CN_pos">Dados_de_entrada!$B$22</definedName>
    <definedName name="coef_IA">Dados_de_entrada!$B$24</definedName>
    <definedName name="Coluna_fih">IF(fi_h&lt;20,1,IF(fi_h&gt;60,5,MATCH(fi_h,Diametros_Cd,1)))</definedName>
    <definedName name="Coluna_fis">IF(fi_s&lt;20,20,IF(fi_s&gt;60,5,MATCH(fi_s,Diametros_Cd,1)))</definedName>
    <definedName name="cota_s">Dados_de_entrada!$B$34</definedName>
    <definedName name="declividade_afluente">'Hidrograma afluente'!$E$6</definedName>
    <definedName name="Diametros_Cd">'Base de dados'!$B$4:$F$4</definedName>
    <definedName name="Fator_armazenamento">OFFSET(Simulação!$M$5,0,0,COUNT(Simulação!$M$5:$M$1048576),1)</definedName>
    <definedName name="fi_h">Dados_de_entrada!$B$36</definedName>
    <definedName name="fi_s">Dados_de_entrada!$B$42</definedName>
    <definedName name="h_0">Dados_de_entrada!$B$44</definedName>
    <definedName name="h_max_puls">Dados_de_entrada!$F$20</definedName>
    <definedName name="h_obs_quad">OFFSET(Regressão!$A$5,0,0,COUNT(Regressão!$B$5:$B$1048576),1)</definedName>
    <definedName name="hmax">Simulação!$AP$6</definedName>
    <definedName name="hmax_max">Dados_de_entrada!$B$32</definedName>
    <definedName name="I_a">Dados_de_entrada!$B$130</definedName>
    <definedName name="k">Dados_de_entrada!$F$6</definedName>
    <definedName name="k_2">Regressão!$AT$6</definedName>
    <definedName name="Lef_sr">Dados_de_entrada!$B$40</definedName>
    <definedName name="matriz_cd">'Base de dados'!$A$4:$F$14</definedName>
    <definedName name="N_obs">COUNT(Regressão!$A$5:$A$1048576)</definedName>
    <definedName name="Orificio">OFFSET(Simulação!$E$5,0,0,COUNT(Simulação!$A$5:$A$1048576),1)</definedName>
    <definedName name="Outflow">OFFSET(Simulação!$G$5,0,0,COUNT(Simulação!$A$5:$A$1048576),1)</definedName>
    <definedName name="Passo">Dados_de_entrada!$F$18</definedName>
    <definedName name="passo_altura">Dados_de_entrada!$F$22</definedName>
    <definedName name="Pef">Dados_de_entrada!$B$134</definedName>
    <definedName name="_xlnm.Print_Area" localSheetId="0">Dados_de_entrada!$A$1:$H$295</definedName>
    <definedName name="Ptotal">Dados_de_entrada!$B$132</definedName>
    <definedName name="Q_max_i">Dados_de_entrada!$B$110</definedName>
    <definedName name="q_sis_q_ref">OFFSET('Hidrograma afluente'!$I$12,0,0,COUNT('Hidrograma afluente'!$H$12:$H$1048576),1)</definedName>
    <definedName name="Qmax">Dados_de_entrada!$B$105</definedName>
    <definedName name="qmax_i">Dados_de_entrada!$B$115</definedName>
    <definedName name="Qmax_lot_i">Dados_de_entrada!$B$142</definedName>
    <definedName name="Qref_i">Dados_de_entrada!$B$122</definedName>
    <definedName name="Qsis_efl">OFFSET(Simulação!$AF$5,0,0,COUNT(Simulação!$AF$5:$AF$1048576),1)</definedName>
    <definedName name="qsis_exut">OFFSET('Hidrograma afluente'!$F$12,0,0,COUNT('Hidrograma afluente'!$F$12:$F$1048576),1)</definedName>
    <definedName name="qsis_i">OFFSET('Hidrograma afluente'!$G$12,0,0,COUNT('Hidrograma afluente'!$G$12:$G$1048576),1)</definedName>
    <definedName name="Runoff">Dados_de_entrada!$B$14</definedName>
    <definedName name="Runoff_pos">Dados_de_entrada!$B$136</definedName>
    <definedName name="S_i">Dados_de_entrada!$B$128</definedName>
    <definedName name="solver_adj" localSheetId="0" hidden="1">Dados_de_entrada!$B$36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Dados_de_entrada!$AE$3</definedName>
    <definedName name="solver_lhs10" localSheetId="0" hidden="1">Dados_de_entrada!$B$36</definedName>
    <definedName name="solver_lhs11" localSheetId="0" hidden="1">Dados_de_entrada!$B$36</definedName>
    <definedName name="solver_lhs12" localSheetId="0" hidden="1">Dados_de_entrada!$B$36</definedName>
    <definedName name="solver_lhs13" localSheetId="0" hidden="1">Dados_de_entrada!$B$36</definedName>
    <definedName name="solver_lhs2" localSheetId="0" hidden="1">Dados_de_entrada!$AE$5</definedName>
    <definedName name="solver_lhs3" localSheetId="0" hidden="1">Dados_de_entrada!$AE$6</definedName>
    <definedName name="solver_lhs4" localSheetId="0" hidden="1">Dados_de_entrada!$B$34</definedName>
    <definedName name="solver_lhs5" localSheetId="0" hidden="1">Dados_de_entrada!$B$34</definedName>
    <definedName name="solver_lhs6" localSheetId="0" hidden="1">Dados_de_entrada!$B$36</definedName>
    <definedName name="solver_lhs7" localSheetId="0" hidden="1">Dados_de_entrada!$B$36</definedName>
    <definedName name="solver_lhs8" localSheetId="0" hidden="1">Dados_de_entrada!$B$36</definedName>
    <definedName name="solver_lhs9" localSheetId="0" hidden="1">Dados_de_entrada!$B$36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Dados_de_entrada!$F$30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el5" localSheetId="0" hidden="1">1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Dados_de_entrada!$AI$4</definedName>
    <definedName name="solver_rhs10" localSheetId="0" hidden="1">Dados_de_entrada!$E$40</definedName>
    <definedName name="solver_rhs11" localSheetId="0" hidden="1">Dados_de_entrada!#REF!</definedName>
    <definedName name="solver_rhs12" localSheetId="0" hidden="1">Dados_de_entrada!#REF!</definedName>
    <definedName name="solver_rhs13" localSheetId="0" hidden="1">Dados_de_entrada!#REF!</definedName>
    <definedName name="solver_rhs2" localSheetId="0" hidden="1">Dados_de_entrada!$AI$5</definedName>
    <definedName name="solver_rhs3" localSheetId="0" hidden="1">Dados_de_entrada!$AI$6</definedName>
    <definedName name="solver_rhs4" localSheetId="0" hidden="1">Dados_de_entrada!$B$32</definedName>
    <definedName name="solver_rhs5" localSheetId="0" hidden="1">Dados_de_entrada!$B$32</definedName>
    <definedName name="solver_rhs6" localSheetId="0" hidden="1">Dados_de_entrada!$E$40</definedName>
    <definedName name="solver_rhs7" localSheetId="0" hidden="1">Dados_de_entrada!$E$40</definedName>
    <definedName name="solver_rhs8" localSheetId="0" hidden="1">Dados_de_entrada!$E$40</definedName>
    <definedName name="solver_rhs9" localSheetId="0" hidden="1">Dados_de_entrada!$E$40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_base">Dados_de_entrada!#REF!</definedName>
    <definedName name="t_c">Dados_de_entrada!$B$78</definedName>
    <definedName name="tabela_auxiliar">OFFSET(Simulação!$M$5,0,0,COUNT(Simulação!$O$5:$O$1048576),7)</definedName>
    <definedName name="tc">Dados_de_entrada!$B$78</definedName>
    <definedName name="tc_1">Dados_de_entrada!$B$93</definedName>
    <definedName name="tc_lot_i">Dados_de_entrada!$F$26</definedName>
    <definedName name="tc_min">Dados_de_entrada!$F$16</definedName>
    <definedName name="Tempo_afluente">OFFSET('Hidrograma afluente'!$A$12,0,0,COUNT('Hidrograma afluente'!$B$12:$B$1048576),1)</definedName>
    <definedName name="Tempo_exutório">OFFSET('Hidrograma afluente'!$A$12,0,0,COUNT('Hidrograma afluente'!$A$12:$A$1048576),1)</definedName>
    <definedName name="tempo_PULS">OFFSET(Simulação!$A$5,0,0,COUNT(Simulação!$A$5:$A$1048576),1)</definedName>
    <definedName name="tempo_simul">Dados_de_entrada!$F$24</definedName>
    <definedName name="Tempo_sistema_i">OFFSET('Hidrograma afluente'!$A$12,0,0,COUNT('Hidrograma afluente'!$E$12:$E$1048576),1)</definedName>
    <definedName name="Tipo_Vertedor">Dados_de_entrada!$B$46</definedName>
    <definedName name="TR">Dados_de_entrada!$F$14</definedName>
    <definedName name="Vazao_afluente">OFFSET('Hidrograma afluente'!$B$12,0,0,COUNT('Hidrograma afluente'!$A$12:$B$1048576),1)</definedName>
    <definedName name="Vazão_de_saida">OFFSET(Simulação!$R$5,0,0,COUNT(Simulação!$M$5:$M$1048576),1)</definedName>
    <definedName name="Vazao_exutorio">OFFSET('Hidrograma afluente'!$D$12,0,0,COUNT('Hidrograma afluente'!$A$12:$A$1048576),1)</definedName>
    <definedName name="Vazao_ref_i">OFFSET('Hidrograma afluente'!$H$12,0,0,COUNT('Hidrograma afluente'!$H$12:$H$1048576),1)</definedName>
    <definedName name="Vazao_secao_i">OFFSET('Hidrograma afluente'!$E$12,0,0,COUNT('Hidrograma afluente'!$E$12:$E$1048576),1)</definedName>
    <definedName name="Vcalc_quad">OFFSET(Regressão!$H$5,0,0,COUNT(Regressão!$B$5:$B$1048576),1)</definedName>
    <definedName name="Vertedor">OFFSET(Simulação!$F$5,0,0,COUNT(Simulação!$A$5:$A$1048576),1)</definedName>
    <definedName name="Vol_obs_quad">OFFSET(Regressão!$B$5,0,0,COUNT(Regressão!$B$5:$B$1048576),1)</definedName>
    <definedName name="Vol_p">'Hidrograma afluente'!$H$3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7" l="1"/>
  <c r="P31" i="7"/>
  <c r="P32" i="7"/>
  <c r="P33" i="7"/>
  <c r="P34" i="7"/>
  <c r="P35" i="7"/>
  <c r="P36" i="7"/>
  <c r="P37" i="7"/>
  <c r="P38" i="7"/>
  <c r="P39" i="7"/>
  <c r="P40" i="7"/>
  <c r="P28" i="7"/>
  <c r="P29" i="7"/>
  <c r="B48" i="3"/>
  <c r="AG25" i="3"/>
  <c r="AH31" i="3"/>
  <c r="AG31" i="3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L376" i="5" l="1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AS28" i="7" l="1"/>
  <c r="AS29" i="7"/>
  <c r="AS30" i="7"/>
  <c r="AS31" i="7" l="1"/>
  <c r="D31" i="8" l="1"/>
  <c r="AS32" i="7" l="1"/>
  <c r="AS33" i="7"/>
  <c r="AS34" i="7"/>
  <c r="AS35" i="7"/>
  <c r="AS36" i="7"/>
  <c r="AS37" i="7"/>
  <c r="AS38" i="7"/>
  <c r="AS39" i="7"/>
  <c r="AS40" i="7"/>
  <c r="E2" i="8" l="1"/>
  <c r="S29" i="7" l="1"/>
  <c r="S30" i="7"/>
  <c r="S31" i="7"/>
  <c r="S32" i="7"/>
  <c r="S33" i="7"/>
  <c r="S34" i="7"/>
  <c r="S35" i="7"/>
  <c r="S36" i="7"/>
  <c r="S37" i="7"/>
  <c r="S38" i="7"/>
  <c r="S39" i="7"/>
  <c r="S40" i="7"/>
  <c r="S28" i="7"/>
  <c r="AE28" i="7" l="1"/>
  <c r="B46" i="3"/>
  <c r="M63" i="3" s="1"/>
  <c r="N66" i="3" l="1"/>
  <c r="A60" i="3"/>
  <c r="I9" i="4"/>
  <c r="I10" i="4"/>
  <c r="I11" i="4"/>
  <c r="I12" i="4"/>
  <c r="I13" i="4"/>
  <c r="I14" i="4"/>
  <c r="I15" i="4"/>
  <c r="I16" i="4"/>
  <c r="C9" i="4"/>
  <c r="C10" i="4"/>
  <c r="C11" i="4"/>
  <c r="C12" i="4"/>
  <c r="C13" i="4"/>
  <c r="C14" i="4"/>
  <c r="C15" i="4"/>
  <c r="C16" i="4"/>
  <c r="E20" i="7" l="1"/>
  <c r="E21" i="7"/>
  <c r="E22" i="7"/>
  <c r="B42" i="3" s="1"/>
  <c r="F5" i="6" s="1"/>
  <c r="E23" i="7"/>
  <c r="E24" i="7"/>
  <c r="E25" i="7"/>
  <c r="E26" i="7"/>
  <c r="E27" i="7"/>
  <c r="E28" i="7"/>
  <c r="E29" i="7"/>
  <c r="E30" i="7"/>
  <c r="E31" i="7"/>
  <c r="B36" i="3" s="1"/>
  <c r="E19" i="7"/>
  <c r="P5" i="6" l="1"/>
  <c r="Q5" i="6"/>
  <c r="E6" i="4"/>
  <c r="E7" i="4"/>
  <c r="E8" i="4"/>
  <c r="E9" i="4"/>
  <c r="E10" i="4"/>
  <c r="E11" i="4"/>
  <c r="E12" i="4"/>
  <c r="E13" i="4"/>
  <c r="E14" i="4"/>
  <c r="E15" i="4"/>
  <c r="E16" i="4"/>
  <c r="E17" i="4"/>
  <c r="E5" i="4"/>
  <c r="D6" i="4"/>
  <c r="D7" i="4"/>
  <c r="D8" i="4"/>
  <c r="D9" i="4"/>
  <c r="D10" i="4"/>
  <c r="D11" i="4"/>
  <c r="D12" i="4"/>
  <c r="G12" i="4" s="1"/>
  <c r="D13" i="4"/>
  <c r="G13" i="4" s="1"/>
  <c r="D14" i="4"/>
  <c r="G14" i="4" s="1"/>
  <c r="D15" i="4"/>
  <c r="D16" i="4"/>
  <c r="D17" i="4"/>
  <c r="G17" i="4" s="1"/>
  <c r="D5" i="4"/>
  <c r="F5" i="4" s="1"/>
  <c r="V3" i="4" l="1"/>
  <c r="C7" i="4" s="1"/>
  <c r="G6" i="4"/>
  <c r="F17" i="4"/>
  <c r="G11" i="4"/>
  <c r="G16" i="4"/>
  <c r="G8" i="4"/>
  <c r="G10" i="4"/>
  <c r="G15" i="4"/>
  <c r="G7" i="4"/>
  <c r="F16" i="4"/>
  <c r="F15" i="4"/>
  <c r="F13" i="4"/>
  <c r="F12" i="4"/>
  <c r="F14" i="4"/>
  <c r="F11" i="4"/>
  <c r="F10" i="4"/>
  <c r="G9" i="4"/>
  <c r="F9" i="4"/>
  <c r="F7" i="4"/>
  <c r="F6" i="4"/>
  <c r="F8" i="4"/>
  <c r="G5" i="4"/>
  <c r="C6" i="4" l="1"/>
  <c r="C5" i="4"/>
  <c r="C8" i="4"/>
  <c r="AF13" i="4" l="1"/>
  <c r="AF11" i="4"/>
  <c r="AF12" i="4"/>
  <c r="AF14" i="4" l="1"/>
  <c r="AI9" i="4" s="1"/>
  <c r="AI6" i="4" l="1"/>
  <c r="AF15" i="4" s="1"/>
  <c r="AF16" i="4"/>
  <c r="B29" i="8" s="1"/>
  <c r="B30" i="3" s="1"/>
  <c r="B27" i="8" l="1"/>
  <c r="B28" i="3" s="1"/>
  <c r="AE19" i="4"/>
  <c r="AE3" i="4"/>
  <c r="J6" i="4"/>
  <c r="J14" i="4"/>
  <c r="H12" i="4"/>
  <c r="J16" i="4"/>
  <c r="H14" i="4"/>
  <c r="J5" i="4"/>
  <c r="H16" i="4"/>
  <c r="H17" i="4"/>
  <c r="I17" i="4" s="1"/>
  <c r="J7" i="4"/>
  <c r="J15" i="4"/>
  <c r="H13" i="4"/>
  <c r="J8" i="4"/>
  <c r="H6" i="4"/>
  <c r="I6" i="4" s="1"/>
  <c r="J9" i="4"/>
  <c r="J17" i="4"/>
  <c r="H7" i="4"/>
  <c r="I7" i="4" s="1"/>
  <c r="H15" i="4"/>
  <c r="J10" i="4"/>
  <c r="H8" i="4"/>
  <c r="I8" i="4" s="1"/>
  <c r="J11" i="4"/>
  <c r="H9" i="4"/>
  <c r="J12" i="4"/>
  <c r="H10" i="4"/>
  <c r="H5" i="4"/>
  <c r="I5" i="4" s="1"/>
  <c r="J13" i="4"/>
  <c r="H11" i="4"/>
  <c r="AF17" i="4" l="1"/>
  <c r="L4" i="4" s="1"/>
  <c r="E5" i="6"/>
  <c r="AG5" i="3" l="1"/>
  <c r="C485" i="6" l="1"/>
  <c r="AE6" i="3" l="1"/>
  <c r="A6" i="6" l="1"/>
  <c r="I5" i="6"/>
  <c r="N5" i="6"/>
  <c r="O6" i="6"/>
  <c r="P6" i="6" s="1"/>
  <c r="D5" i="6"/>
  <c r="Q6" i="6" l="1"/>
  <c r="A7" i="6"/>
  <c r="N6" i="6"/>
  <c r="O7" i="6"/>
  <c r="P7" i="6" s="1"/>
  <c r="Q7" i="6" l="1"/>
  <c r="A8" i="6"/>
  <c r="R6" i="6"/>
  <c r="M6" i="6" s="1"/>
  <c r="S6" i="6" s="1"/>
  <c r="N7" i="6"/>
  <c r="O8" i="6"/>
  <c r="P8" i="6" s="1"/>
  <c r="Q8" i="6" l="1"/>
  <c r="A9" i="6"/>
  <c r="R7" i="6"/>
  <c r="M7" i="6" s="1"/>
  <c r="S7" i="6" s="1"/>
  <c r="N8" i="6"/>
  <c r="O9" i="6"/>
  <c r="P9" i="6" s="1"/>
  <c r="Q9" i="6" l="1"/>
  <c r="A10" i="6"/>
  <c r="R8" i="6"/>
  <c r="M8" i="6" s="1"/>
  <c r="S8" i="6" s="1"/>
  <c r="N9" i="6"/>
  <c r="O10" i="6"/>
  <c r="P10" i="6" s="1"/>
  <c r="Q10" i="6" l="1"/>
  <c r="A11" i="6"/>
  <c r="R9" i="6"/>
  <c r="M9" i="6" s="1"/>
  <c r="S9" i="6" s="1"/>
  <c r="N10" i="6"/>
  <c r="O11" i="6"/>
  <c r="P11" i="6" s="1"/>
  <c r="Q11" i="6" l="1"/>
  <c r="A12" i="6"/>
  <c r="R10" i="6"/>
  <c r="M10" i="6" s="1"/>
  <c r="S10" i="6" s="1"/>
  <c r="N11" i="6"/>
  <c r="O12" i="6"/>
  <c r="P12" i="6" s="1"/>
  <c r="Q12" i="6" l="1"/>
  <c r="A13" i="6"/>
  <c r="R11" i="6"/>
  <c r="M11" i="6" s="1"/>
  <c r="S11" i="6" s="1"/>
  <c r="N12" i="6"/>
  <c r="O13" i="6"/>
  <c r="P13" i="6" s="1"/>
  <c r="Q13" i="6" l="1"/>
  <c r="A14" i="6"/>
  <c r="R12" i="6"/>
  <c r="M12" i="6" s="1"/>
  <c r="S12" i="6" s="1"/>
  <c r="N13" i="6"/>
  <c r="O14" i="6"/>
  <c r="P14" i="6" s="1"/>
  <c r="Q14" i="6" l="1"/>
  <c r="A15" i="6"/>
  <c r="R13" i="6"/>
  <c r="M13" i="6" s="1"/>
  <c r="S13" i="6" s="1"/>
  <c r="N14" i="6"/>
  <c r="O15" i="6"/>
  <c r="P15" i="6" s="1"/>
  <c r="Q15" i="6" l="1"/>
  <c r="A16" i="6"/>
  <c r="R14" i="6"/>
  <c r="M14" i="6" s="1"/>
  <c r="S14" i="6" s="1"/>
  <c r="N15" i="6"/>
  <c r="O16" i="6"/>
  <c r="P16" i="6" s="1"/>
  <c r="Q16" i="6" l="1"/>
  <c r="A17" i="6"/>
  <c r="R15" i="6"/>
  <c r="M15" i="6" s="1"/>
  <c r="S15" i="6" s="1"/>
  <c r="N16" i="6"/>
  <c r="O17" i="6"/>
  <c r="P17" i="6" s="1"/>
  <c r="Q17" i="6" l="1"/>
  <c r="R16" i="6"/>
  <c r="M16" i="6" s="1"/>
  <c r="S16" i="6" s="1"/>
  <c r="A18" i="6"/>
  <c r="N17" i="6"/>
  <c r="O18" i="6"/>
  <c r="P18" i="6" s="1"/>
  <c r="Q18" i="6" l="1"/>
  <c r="A19" i="6"/>
  <c r="R17" i="6"/>
  <c r="M17" i="6" s="1"/>
  <c r="S17" i="6" s="1"/>
  <c r="N18" i="6"/>
  <c r="O19" i="6"/>
  <c r="P19" i="6" s="1"/>
  <c r="Q19" i="6" l="1"/>
  <c r="A20" i="6"/>
  <c r="R18" i="6"/>
  <c r="M18" i="6" s="1"/>
  <c r="S18" i="6" s="1"/>
  <c r="N19" i="6"/>
  <c r="O20" i="6"/>
  <c r="P20" i="6" s="1"/>
  <c r="Q20" i="6" l="1"/>
  <c r="A21" i="6"/>
  <c r="R19" i="6"/>
  <c r="M19" i="6" s="1"/>
  <c r="S19" i="6" s="1"/>
  <c r="N20" i="6"/>
  <c r="O21" i="6"/>
  <c r="P21" i="6" s="1"/>
  <c r="Q21" i="6" l="1"/>
  <c r="A22" i="6"/>
  <c r="R20" i="6"/>
  <c r="M20" i="6" s="1"/>
  <c r="S20" i="6" s="1"/>
  <c r="N21" i="6"/>
  <c r="O22" i="6"/>
  <c r="P22" i="6" s="1"/>
  <c r="Q22" i="6" l="1"/>
  <c r="A23" i="6"/>
  <c r="R21" i="6"/>
  <c r="M21" i="6" s="1"/>
  <c r="S21" i="6" s="1"/>
  <c r="N22" i="6"/>
  <c r="O23" i="6"/>
  <c r="P23" i="6" s="1"/>
  <c r="Q23" i="6" l="1"/>
  <c r="A24" i="6"/>
  <c r="R22" i="6"/>
  <c r="M22" i="6" s="1"/>
  <c r="S22" i="6" s="1"/>
  <c r="N23" i="6"/>
  <c r="O24" i="6"/>
  <c r="P24" i="6" s="1"/>
  <c r="Q24" i="6" l="1"/>
  <c r="A25" i="6"/>
  <c r="R23" i="6"/>
  <c r="M23" i="6" s="1"/>
  <c r="S23" i="6" s="1"/>
  <c r="N24" i="6"/>
  <c r="O25" i="6"/>
  <c r="P25" i="6" s="1"/>
  <c r="Q25" i="6" l="1"/>
  <c r="A26" i="6"/>
  <c r="R24" i="6"/>
  <c r="M24" i="6" s="1"/>
  <c r="S24" i="6" s="1"/>
  <c r="N25" i="6"/>
  <c r="O26" i="6"/>
  <c r="P26" i="6" s="1"/>
  <c r="Q26" i="6" l="1"/>
  <c r="A27" i="6"/>
  <c r="R25" i="6"/>
  <c r="M25" i="6" s="1"/>
  <c r="S25" i="6" s="1"/>
  <c r="N26" i="6"/>
  <c r="O27" i="6"/>
  <c r="P27" i="6" s="1"/>
  <c r="Q27" i="6" l="1"/>
  <c r="A28" i="6"/>
  <c r="R26" i="6"/>
  <c r="M26" i="6" s="1"/>
  <c r="S26" i="6" s="1"/>
  <c r="N27" i="6"/>
  <c r="O28" i="6"/>
  <c r="P28" i="6" s="1"/>
  <c r="Q28" i="6" l="1"/>
  <c r="A29" i="6"/>
  <c r="R27" i="6"/>
  <c r="M27" i="6" s="1"/>
  <c r="S27" i="6" s="1"/>
  <c r="N28" i="6"/>
  <c r="O29" i="6"/>
  <c r="P29" i="6" s="1"/>
  <c r="Q29" i="6" l="1"/>
  <c r="A30" i="6"/>
  <c r="R28" i="6"/>
  <c r="M28" i="6" s="1"/>
  <c r="S28" i="6" s="1"/>
  <c r="N29" i="6"/>
  <c r="O30" i="6"/>
  <c r="P30" i="6" s="1"/>
  <c r="Q30" i="6" l="1"/>
  <c r="R29" i="6"/>
  <c r="M29" i="6" s="1"/>
  <c r="S29" i="6" s="1"/>
  <c r="A31" i="6"/>
  <c r="N30" i="6"/>
  <c r="O31" i="6"/>
  <c r="P31" i="6" s="1"/>
  <c r="Q31" i="6" l="1"/>
  <c r="A32" i="6"/>
  <c r="R30" i="6"/>
  <c r="M30" i="6" s="1"/>
  <c r="S30" i="6" s="1"/>
  <c r="N31" i="6"/>
  <c r="O32" i="6"/>
  <c r="P32" i="6" s="1"/>
  <c r="Q32" i="6" l="1"/>
  <c r="A33" i="6"/>
  <c r="R31" i="6"/>
  <c r="M31" i="6" s="1"/>
  <c r="S31" i="6" s="1"/>
  <c r="N32" i="6"/>
  <c r="O33" i="6"/>
  <c r="P33" i="6" s="1"/>
  <c r="Q33" i="6" l="1"/>
  <c r="A34" i="6"/>
  <c r="R32" i="6"/>
  <c r="M32" i="6" s="1"/>
  <c r="S32" i="6" s="1"/>
  <c r="N33" i="6"/>
  <c r="O34" i="6"/>
  <c r="P34" i="6" s="1"/>
  <c r="Q34" i="6" l="1"/>
  <c r="A35" i="6"/>
  <c r="R33" i="6"/>
  <c r="M33" i="6" s="1"/>
  <c r="S33" i="6" s="1"/>
  <c r="N34" i="6"/>
  <c r="O35" i="6"/>
  <c r="P35" i="6" s="1"/>
  <c r="Q35" i="6" l="1"/>
  <c r="A36" i="6"/>
  <c r="R34" i="6"/>
  <c r="M34" i="6" s="1"/>
  <c r="S34" i="6" s="1"/>
  <c r="N35" i="6"/>
  <c r="O36" i="6"/>
  <c r="P36" i="6" s="1"/>
  <c r="Q36" i="6" l="1"/>
  <c r="A37" i="6"/>
  <c r="R35" i="6"/>
  <c r="M35" i="6" s="1"/>
  <c r="S35" i="6" s="1"/>
  <c r="N36" i="6"/>
  <c r="O37" i="6"/>
  <c r="P37" i="6" s="1"/>
  <c r="Q37" i="6" l="1"/>
  <c r="A38" i="6"/>
  <c r="R36" i="6"/>
  <c r="M36" i="6" s="1"/>
  <c r="S36" i="6" s="1"/>
  <c r="N37" i="6"/>
  <c r="O38" i="6"/>
  <c r="P38" i="6" s="1"/>
  <c r="Q38" i="6" l="1"/>
  <c r="A39" i="6"/>
  <c r="R37" i="6"/>
  <c r="M37" i="6" s="1"/>
  <c r="S37" i="6" s="1"/>
  <c r="N38" i="6"/>
  <c r="O39" i="6"/>
  <c r="P39" i="6" s="1"/>
  <c r="Q39" i="6" l="1"/>
  <c r="A40" i="6"/>
  <c r="R38" i="6"/>
  <c r="M38" i="6" s="1"/>
  <c r="S38" i="6" s="1"/>
  <c r="N39" i="6"/>
  <c r="O40" i="6"/>
  <c r="P40" i="6" s="1"/>
  <c r="Q40" i="6" l="1"/>
  <c r="A41" i="6"/>
  <c r="R39" i="6"/>
  <c r="M39" i="6" s="1"/>
  <c r="S39" i="6" s="1"/>
  <c r="N40" i="6"/>
  <c r="O41" i="6"/>
  <c r="P41" i="6" s="1"/>
  <c r="Q41" i="6" l="1"/>
  <c r="A42" i="6"/>
  <c r="R40" i="6"/>
  <c r="M40" i="6" s="1"/>
  <c r="S40" i="6" s="1"/>
  <c r="N41" i="6"/>
  <c r="O42" i="6"/>
  <c r="P42" i="6" s="1"/>
  <c r="Q42" i="6" l="1"/>
  <c r="A43" i="6"/>
  <c r="R41" i="6"/>
  <c r="M41" i="6" s="1"/>
  <c r="S41" i="6" s="1"/>
  <c r="N42" i="6"/>
  <c r="O43" i="6"/>
  <c r="P43" i="6" s="1"/>
  <c r="Q43" i="6" l="1"/>
  <c r="A44" i="6"/>
  <c r="R42" i="6"/>
  <c r="M42" i="6" s="1"/>
  <c r="S42" i="6" s="1"/>
  <c r="N43" i="6"/>
  <c r="O44" i="6"/>
  <c r="P44" i="6" s="1"/>
  <c r="Q44" i="6" l="1"/>
  <c r="A45" i="6"/>
  <c r="R43" i="6"/>
  <c r="M43" i="6" s="1"/>
  <c r="S43" i="6" s="1"/>
  <c r="N44" i="6"/>
  <c r="O45" i="6"/>
  <c r="P45" i="6" s="1"/>
  <c r="Q45" i="6" l="1"/>
  <c r="A46" i="6"/>
  <c r="R44" i="6"/>
  <c r="M44" i="6" s="1"/>
  <c r="S44" i="6" s="1"/>
  <c r="N45" i="6"/>
  <c r="O46" i="6"/>
  <c r="P46" i="6" s="1"/>
  <c r="Q46" i="6" l="1"/>
  <c r="A47" i="6"/>
  <c r="R45" i="6"/>
  <c r="M45" i="6" s="1"/>
  <c r="S45" i="6" s="1"/>
  <c r="N46" i="6"/>
  <c r="O47" i="6"/>
  <c r="P47" i="6" s="1"/>
  <c r="Q47" i="6" l="1"/>
  <c r="A48" i="6"/>
  <c r="R46" i="6"/>
  <c r="M46" i="6" s="1"/>
  <c r="S46" i="6" s="1"/>
  <c r="N47" i="6"/>
  <c r="O48" i="6"/>
  <c r="P48" i="6" s="1"/>
  <c r="Q48" i="6" l="1"/>
  <c r="A49" i="6"/>
  <c r="R47" i="6"/>
  <c r="M47" i="6" s="1"/>
  <c r="S47" i="6" s="1"/>
  <c r="N48" i="6"/>
  <c r="O49" i="6"/>
  <c r="P49" i="6" s="1"/>
  <c r="Q49" i="6" l="1"/>
  <c r="A50" i="6"/>
  <c r="R48" i="6"/>
  <c r="M48" i="6" s="1"/>
  <c r="S48" i="6" s="1"/>
  <c r="N49" i="6"/>
  <c r="O50" i="6"/>
  <c r="P50" i="6" s="1"/>
  <c r="Q50" i="6" l="1"/>
  <c r="A51" i="6"/>
  <c r="R49" i="6"/>
  <c r="M49" i="6" s="1"/>
  <c r="S49" i="6" s="1"/>
  <c r="N50" i="6"/>
  <c r="O51" i="6"/>
  <c r="P51" i="6" s="1"/>
  <c r="Q51" i="6" l="1"/>
  <c r="A52" i="6"/>
  <c r="R50" i="6"/>
  <c r="M50" i="6" s="1"/>
  <c r="S50" i="6" s="1"/>
  <c r="N51" i="6"/>
  <c r="O52" i="6"/>
  <c r="P52" i="6" s="1"/>
  <c r="Q52" i="6" l="1"/>
  <c r="A53" i="6"/>
  <c r="R51" i="6"/>
  <c r="M51" i="6" s="1"/>
  <c r="S51" i="6" s="1"/>
  <c r="N52" i="6"/>
  <c r="O53" i="6"/>
  <c r="P53" i="6" s="1"/>
  <c r="Q53" i="6" l="1"/>
  <c r="A54" i="6"/>
  <c r="R52" i="6"/>
  <c r="M52" i="6" s="1"/>
  <c r="S52" i="6" s="1"/>
  <c r="N53" i="6"/>
  <c r="O54" i="6"/>
  <c r="P54" i="6" s="1"/>
  <c r="Q54" i="6" l="1"/>
  <c r="A55" i="6"/>
  <c r="R53" i="6"/>
  <c r="M53" i="6" s="1"/>
  <c r="S53" i="6" s="1"/>
  <c r="N54" i="6"/>
  <c r="O55" i="6"/>
  <c r="P55" i="6" s="1"/>
  <c r="Q55" i="6" l="1"/>
  <c r="A56" i="6"/>
  <c r="R54" i="6"/>
  <c r="M54" i="6" s="1"/>
  <c r="S54" i="6" s="1"/>
  <c r="N55" i="6"/>
  <c r="O56" i="6"/>
  <c r="P56" i="6" s="1"/>
  <c r="Q56" i="6" l="1"/>
  <c r="A57" i="6"/>
  <c r="R55" i="6"/>
  <c r="M55" i="6" s="1"/>
  <c r="S55" i="6" s="1"/>
  <c r="N56" i="6"/>
  <c r="O57" i="6"/>
  <c r="P57" i="6" s="1"/>
  <c r="Q57" i="6" l="1"/>
  <c r="A58" i="6"/>
  <c r="R56" i="6"/>
  <c r="M56" i="6" s="1"/>
  <c r="S56" i="6" s="1"/>
  <c r="N57" i="6"/>
  <c r="O58" i="6"/>
  <c r="P58" i="6" s="1"/>
  <c r="Q58" i="6" l="1"/>
  <c r="A59" i="6"/>
  <c r="R57" i="6"/>
  <c r="M57" i="6" s="1"/>
  <c r="S57" i="6" s="1"/>
  <c r="N58" i="6"/>
  <c r="O59" i="6"/>
  <c r="P59" i="6" s="1"/>
  <c r="Q59" i="6" l="1"/>
  <c r="A60" i="6"/>
  <c r="R58" i="6"/>
  <c r="M58" i="6" s="1"/>
  <c r="S58" i="6" s="1"/>
  <c r="N59" i="6"/>
  <c r="O60" i="6"/>
  <c r="P60" i="6" s="1"/>
  <c r="Q60" i="6" l="1"/>
  <c r="A61" i="6"/>
  <c r="R59" i="6"/>
  <c r="M59" i="6" s="1"/>
  <c r="S59" i="6" s="1"/>
  <c r="N60" i="6"/>
  <c r="O61" i="6"/>
  <c r="P61" i="6" s="1"/>
  <c r="Q61" i="6" l="1"/>
  <c r="A62" i="6"/>
  <c r="R60" i="6"/>
  <c r="M60" i="6" s="1"/>
  <c r="S60" i="6" s="1"/>
  <c r="N61" i="6"/>
  <c r="O62" i="6"/>
  <c r="P62" i="6" s="1"/>
  <c r="Q62" i="6" l="1"/>
  <c r="A63" i="6"/>
  <c r="R61" i="6"/>
  <c r="M61" i="6" s="1"/>
  <c r="S61" i="6" s="1"/>
  <c r="N62" i="6"/>
  <c r="O63" i="6"/>
  <c r="P63" i="6" s="1"/>
  <c r="Q63" i="6" l="1"/>
  <c r="A64" i="6"/>
  <c r="R62" i="6"/>
  <c r="M62" i="6" s="1"/>
  <c r="S62" i="6" s="1"/>
  <c r="N63" i="6"/>
  <c r="O64" i="6"/>
  <c r="P64" i="6" s="1"/>
  <c r="Q64" i="6" l="1"/>
  <c r="A65" i="6"/>
  <c r="R63" i="6"/>
  <c r="M63" i="6" s="1"/>
  <c r="S63" i="6" s="1"/>
  <c r="N64" i="6"/>
  <c r="O65" i="6"/>
  <c r="P65" i="6" s="1"/>
  <c r="Q65" i="6" l="1"/>
  <c r="R64" i="6"/>
  <c r="M64" i="6" s="1"/>
  <c r="S64" i="6" s="1"/>
  <c r="A66" i="6"/>
  <c r="N65" i="6"/>
  <c r="O66" i="6"/>
  <c r="P66" i="6" s="1"/>
  <c r="Q66" i="6" l="1"/>
  <c r="A67" i="6"/>
  <c r="R65" i="6"/>
  <c r="M65" i="6" s="1"/>
  <c r="S65" i="6" s="1"/>
  <c r="N66" i="6"/>
  <c r="O67" i="6"/>
  <c r="P67" i="6" s="1"/>
  <c r="Q67" i="6" l="1"/>
  <c r="A68" i="6"/>
  <c r="R66" i="6"/>
  <c r="M66" i="6" s="1"/>
  <c r="S66" i="6" s="1"/>
  <c r="N67" i="6"/>
  <c r="O68" i="6"/>
  <c r="P68" i="6" s="1"/>
  <c r="Q68" i="6" l="1"/>
  <c r="A69" i="6"/>
  <c r="R67" i="6"/>
  <c r="M67" i="6" s="1"/>
  <c r="S67" i="6" s="1"/>
  <c r="N68" i="6"/>
  <c r="O69" i="6"/>
  <c r="P69" i="6" s="1"/>
  <c r="Q69" i="6" l="1"/>
  <c r="A70" i="6"/>
  <c r="R68" i="6"/>
  <c r="M68" i="6" s="1"/>
  <c r="S68" i="6" s="1"/>
  <c r="N69" i="6"/>
  <c r="O70" i="6"/>
  <c r="P70" i="6" s="1"/>
  <c r="Q70" i="6" l="1"/>
  <c r="A71" i="6"/>
  <c r="R69" i="6"/>
  <c r="M69" i="6" s="1"/>
  <c r="S69" i="6" s="1"/>
  <c r="N70" i="6"/>
  <c r="O71" i="6"/>
  <c r="P71" i="6" s="1"/>
  <c r="Q71" i="6" l="1"/>
  <c r="A72" i="6"/>
  <c r="R70" i="6"/>
  <c r="M70" i="6" s="1"/>
  <c r="S70" i="6" s="1"/>
  <c r="N71" i="6"/>
  <c r="O72" i="6"/>
  <c r="P72" i="6" s="1"/>
  <c r="Q72" i="6" l="1"/>
  <c r="A73" i="6"/>
  <c r="R71" i="6"/>
  <c r="M71" i="6" s="1"/>
  <c r="S71" i="6" s="1"/>
  <c r="N72" i="6"/>
  <c r="O73" i="6"/>
  <c r="P73" i="6" s="1"/>
  <c r="Q73" i="6" l="1"/>
  <c r="A74" i="6"/>
  <c r="R72" i="6"/>
  <c r="M72" i="6" s="1"/>
  <c r="S72" i="6" s="1"/>
  <c r="N73" i="6"/>
  <c r="O74" i="6"/>
  <c r="P74" i="6" s="1"/>
  <c r="Q74" i="6" l="1"/>
  <c r="A75" i="6"/>
  <c r="R73" i="6"/>
  <c r="M73" i="6" s="1"/>
  <c r="S73" i="6" s="1"/>
  <c r="N74" i="6"/>
  <c r="O75" i="6"/>
  <c r="P75" i="6" s="1"/>
  <c r="Q75" i="6" l="1"/>
  <c r="A76" i="6"/>
  <c r="R74" i="6"/>
  <c r="M74" i="6" s="1"/>
  <c r="S74" i="6" s="1"/>
  <c r="N75" i="6"/>
  <c r="O76" i="6"/>
  <c r="P76" i="6" s="1"/>
  <c r="Q76" i="6" l="1"/>
  <c r="A77" i="6"/>
  <c r="R75" i="6"/>
  <c r="M75" i="6" s="1"/>
  <c r="S75" i="6" s="1"/>
  <c r="N76" i="6"/>
  <c r="O77" i="6"/>
  <c r="P77" i="6" s="1"/>
  <c r="Q77" i="6" l="1"/>
  <c r="A78" i="6"/>
  <c r="R76" i="6"/>
  <c r="M76" i="6" s="1"/>
  <c r="S76" i="6" s="1"/>
  <c r="N77" i="6"/>
  <c r="O78" i="6"/>
  <c r="P78" i="6" s="1"/>
  <c r="Q78" i="6" l="1"/>
  <c r="A79" i="6"/>
  <c r="R77" i="6"/>
  <c r="M77" i="6" s="1"/>
  <c r="S77" i="6" s="1"/>
  <c r="N78" i="6"/>
  <c r="O79" i="6"/>
  <c r="P79" i="6" s="1"/>
  <c r="Q79" i="6" l="1"/>
  <c r="A80" i="6"/>
  <c r="R78" i="6"/>
  <c r="M78" i="6" s="1"/>
  <c r="S78" i="6" s="1"/>
  <c r="N79" i="6"/>
  <c r="O80" i="6"/>
  <c r="P80" i="6" s="1"/>
  <c r="Q80" i="6" l="1"/>
  <c r="A81" i="6"/>
  <c r="R79" i="6"/>
  <c r="M79" i="6" s="1"/>
  <c r="S79" i="6" s="1"/>
  <c r="N80" i="6"/>
  <c r="O81" i="6"/>
  <c r="P81" i="6" s="1"/>
  <c r="Q81" i="6" l="1"/>
  <c r="A82" i="6"/>
  <c r="R80" i="6"/>
  <c r="M80" i="6" s="1"/>
  <c r="S80" i="6" s="1"/>
  <c r="N81" i="6"/>
  <c r="O82" i="6"/>
  <c r="P82" i="6" s="1"/>
  <c r="Q82" i="6" l="1"/>
  <c r="A83" i="6"/>
  <c r="N82" i="6"/>
  <c r="O83" i="6"/>
  <c r="P83" i="6" s="1"/>
  <c r="Q83" i="6" l="1"/>
  <c r="A84" i="6"/>
  <c r="N83" i="6"/>
  <c r="O84" i="6"/>
  <c r="P84" i="6" s="1"/>
  <c r="Q84" i="6" l="1"/>
  <c r="A85" i="6"/>
  <c r="N84" i="6"/>
  <c r="O85" i="6"/>
  <c r="P85" i="6" s="1"/>
  <c r="Q85" i="6" l="1"/>
  <c r="A86" i="6"/>
  <c r="N85" i="6"/>
  <c r="O86" i="6"/>
  <c r="P86" i="6" s="1"/>
  <c r="Q86" i="6" l="1"/>
  <c r="A87" i="6"/>
  <c r="N86" i="6"/>
  <c r="O87" i="6"/>
  <c r="P87" i="6" s="1"/>
  <c r="Q87" i="6" l="1"/>
  <c r="A88" i="6"/>
  <c r="N87" i="6"/>
  <c r="O88" i="6"/>
  <c r="P88" i="6" s="1"/>
  <c r="Q88" i="6" l="1"/>
  <c r="A89" i="6"/>
  <c r="N88" i="6"/>
  <c r="O89" i="6"/>
  <c r="P89" i="6" s="1"/>
  <c r="Q89" i="6" l="1"/>
  <c r="A90" i="6"/>
  <c r="N89" i="6"/>
  <c r="O90" i="6"/>
  <c r="P90" i="6" s="1"/>
  <c r="Q90" i="6" l="1"/>
  <c r="A91" i="6"/>
  <c r="N90" i="6"/>
  <c r="O91" i="6"/>
  <c r="P91" i="6" s="1"/>
  <c r="Q91" i="6" l="1"/>
  <c r="A92" i="6"/>
  <c r="N91" i="6"/>
  <c r="O92" i="6"/>
  <c r="P92" i="6" s="1"/>
  <c r="Q92" i="6" l="1"/>
  <c r="A93" i="6"/>
  <c r="N92" i="6"/>
  <c r="O93" i="6"/>
  <c r="P93" i="6" s="1"/>
  <c r="Q93" i="6" l="1"/>
  <c r="A94" i="6"/>
  <c r="N93" i="6"/>
  <c r="O94" i="6"/>
  <c r="P94" i="6" s="1"/>
  <c r="Q94" i="6" l="1"/>
  <c r="A95" i="6"/>
  <c r="N94" i="6"/>
  <c r="O95" i="6"/>
  <c r="P95" i="6" s="1"/>
  <c r="Q95" i="6" l="1"/>
  <c r="A96" i="6"/>
  <c r="N95" i="6"/>
  <c r="O96" i="6"/>
  <c r="P96" i="6" s="1"/>
  <c r="Q96" i="6" l="1"/>
  <c r="A97" i="6"/>
  <c r="N96" i="6"/>
  <c r="O97" i="6"/>
  <c r="P97" i="6" s="1"/>
  <c r="Q97" i="6" l="1"/>
  <c r="A98" i="6"/>
  <c r="N97" i="6"/>
  <c r="O98" i="6"/>
  <c r="P98" i="6" s="1"/>
  <c r="Q98" i="6" l="1"/>
  <c r="A99" i="6"/>
  <c r="N98" i="6"/>
  <c r="O99" i="6"/>
  <c r="P99" i="6" s="1"/>
  <c r="Q99" i="6" l="1"/>
  <c r="A100" i="6"/>
  <c r="N99" i="6"/>
  <c r="O100" i="6"/>
  <c r="P100" i="6" s="1"/>
  <c r="Q100" i="6" l="1"/>
  <c r="A101" i="6"/>
  <c r="N100" i="6"/>
  <c r="O101" i="6"/>
  <c r="P101" i="6" s="1"/>
  <c r="Q101" i="6" l="1"/>
  <c r="A102" i="6"/>
  <c r="N101" i="6"/>
  <c r="O102" i="6"/>
  <c r="P102" i="6" s="1"/>
  <c r="Q102" i="6" l="1"/>
  <c r="A103" i="6"/>
  <c r="N102" i="6"/>
  <c r="O103" i="6"/>
  <c r="P103" i="6" s="1"/>
  <c r="Q103" i="6" l="1"/>
  <c r="A104" i="6"/>
  <c r="N103" i="6"/>
  <c r="O104" i="6"/>
  <c r="P104" i="6" s="1"/>
  <c r="Q104" i="6" l="1"/>
  <c r="A105" i="6"/>
  <c r="N104" i="6"/>
  <c r="O105" i="6"/>
  <c r="P105" i="6" s="1"/>
  <c r="Q105" i="6" l="1"/>
  <c r="A106" i="6"/>
  <c r="N105" i="6"/>
  <c r="O106" i="6"/>
  <c r="P106" i="6" s="1"/>
  <c r="Q106" i="6" l="1"/>
  <c r="A107" i="6"/>
  <c r="N106" i="6"/>
  <c r="O107" i="6"/>
  <c r="P107" i="6" s="1"/>
  <c r="Q107" i="6" l="1"/>
  <c r="A108" i="6"/>
  <c r="N107" i="6"/>
  <c r="O108" i="6"/>
  <c r="P108" i="6" s="1"/>
  <c r="Q108" i="6" l="1"/>
  <c r="A109" i="6"/>
  <c r="N108" i="6"/>
  <c r="O109" i="6"/>
  <c r="P109" i="6" s="1"/>
  <c r="Q109" i="6" l="1"/>
  <c r="A110" i="6"/>
  <c r="N109" i="6"/>
  <c r="O110" i="6"/>
  <c r="P110" i="6" s="1"/>
  <c r="Q110" i="6" l="1"/>
  <c r="A111" i="6"/>
  <c r="N110" i="6"/>
  <c r="O111" i="6"/>
  <c r="P111" i="6" s="1"/>
  <c r="Q111" i="6" l="1"/>
  <c r="A112" i="6"/>
  <c r="N111" i="6"/>
  <c r="O112" i="6"/>
  <c r="P112" i="6" s="1"/>
  <c r="Q112" i="6" l="1"/>
  <c r="A113" i="6"/>
  <c r="N112" i="6"/>
  <c r="O113" i="6"/>
  <c r="P113" i="6" s="1"/>
  <c r="Q113" i="6" l="1"/>
  <c r="A114" i="6"/>
  <c r="N113" i="6"/>
  <c r="O114" i="6"/>
  <c r="P114" i="6" s="1"/>
  <c r="Q114" i="6" l="1"/>
  <c r="A115" i="6"/>
  <c r="N114" i="6"/>
  <c r="O115" i="6"/>
  <c r="P115" i="6" s="1"/>
  <c r="Q115" i="6" l="1"/>
  <c r="A116" i="6"/>
  <c r="N115" i="6"/>
  <c r="O116" i="6"/>
  <c r="P116" i="6" s="1"/>
  <c r="Q116" i="6" l="1"/>
  <c r="A117" i="6"/>
  <c r="N116" i="6"/>
  <c r="O117" i="6"/>
  <c r="P117" i="6" s="1"/>
  <c r="Q117" i="6" l="1"/>
  <c r="A118" i="6"/>
  <c r="N117" i="6"/>
  <c r="O118" i="6"/>
  <c r="P118" i="6" s="1"/>
  <c r="Q118" i="6" l="1"/>
  <c r="A119" i="6"/>
  <c r="N118" i="6"/>
  <c r="O119" i="6"/>
  <c r="P119" i="6" s="1"/>
  <c r="Q119" i="6" l="1"/>
  <c r="A120" i="6"/>
  <c r="N119" i="6"/>
  <c r="O120" i="6"/>
  <c r="P120" i="6" s="1"/>
  <c r="Q120" i="6" l="1"/>
  <c r="A121" i="6"/>
  <c r="N120" i="6"/>
  <c r="O121" i="6"/>
  <c r="P121" i="6" s="1"/>
  <c r="Q121" i="6" l="1"/>
  <c r="A122" i="6"/>
  <c r="N121" i="6"/>
  <c r="O122" i="6"/>
  <c r="P122" i="6" s="1"/>
  <c r="Q122" i="6" l="1"/>
  <c r="A123" i="6"/>
  <c r="N122" i="6"/>
  <c r="O123" i="6"/>
  <c r="P123" i="6" s="1"/>
  <c r="Q123" i="6" l="1"/>
  <c r="A124" i="6"/>
  <c r="N123" i="6"/>
  <c r="O124" i="6"/>
  <c r="P124" i="6" s="1"/>
  <c r="Q124" i="6" l="1"/>
  <c r="A125" i="6"/>
  <c r="N124" i="6"/>
  <c r="O125" i="6"/>
  <c r="P125" i="6" s="1"/>
  <c r="Q125" i="6" l="1"/>
  <c r="A126" i="6"/>
  <c r="N125" i="6"/>
  <c r="O126" i="6"/>
  <c r="P126" i="6" s="1"/>
  <c r="Q126" i="6" l="1"/>
  <c r="A127" i="6"/>
  <c r="N126" i="6"/>
  <c r="O127" i="6"/>
  <c r="P127" i="6" s="1"/>
  <c r="Q127" i="6" l="1"/>
  <c r="A128" i="6"/>
  <c r="N127" i="6"/>
  <c r="O128" i="6"/>
  <c r="P128" i="6" s="1"/>
  <c r="Q128" i="6" l="1"/>
  <c r="A129" i="6"/>
  <c r="N128" i="6"/>
  <c r="O129" i="6"/>
  <c r="P129" i="6" s="1"/>
  <c r="Q129" i="6" l="1"/>
  <c r="A130" i="6"/>
  <c r="N129" i="6"/>
  <c r="O130" i="6"/>
  <c r="P130" i="6" s="1"/>
  <c r="Q130" i="6" l="1"/>
  <c r="A131" i="6"/>
  <c r="N130" i="6"/>
  <c r="O131" i="6"/>
  <c r="P131" i="6" s="1"/>
  <c r="Q131" i="6" l="1"/>
  <c r="A132" i="6"/>
  <c r="N131" i="6"/>
  <c r="O132" i="6"/>
  <c r="P132" i="6" s="1"/>
  <c r="Q132" i="6" l="1"/>
  <c r="A133" i="6"/>
  <c r="N132" i="6"/>
  <c r="O133" i="6"/>
  <c r="P133" i="6" s="1"/>
  <c r="Q133" i="6" l="1"/>
  <c r="A134" i="6"/>
  <c r="N133" i="6"/>
  <c r="O134" i="6"/>
  <c r="P134" i="6" s="1"/>
  <c r="Q134" i="6" l="1"/>
  <c r="A135" i="6"/>
  <c r="N134" i="6"/>
  <c r="O135" i="6"/>
  <c r="P135" i="6" s="1"/>
  <c r="Q135" i="6" l="1"/>
  <c r="A136" i="6"/>
  <c r="N135" i="6"/>
  <c r="O136" i="6"/>
  <c r="P136" i="6" s="1"/>
  <c r="Q136" i="6" l="1"/>
  <c r="A137" i="6"/>
  <c r="N136" i="6"/>
  <c r="O137" i="6"/>
  <c r="P137" i="6" s="1"/>
  <c r="Q137" i="6" l="1"/>
  <c r="A138" i="6"/>
  <c r="N137" i="6"/>
  <c r="O138" i="6"/>
  <c r="P138" i="6" s="1"/>
  <c r="Q138" i="6" l="1"/>
  <c r="A139" i="6"/>
  <c r="N138" i="6"/>
  <c r="O139" i="6"/>
  <c r="P139" i="6" s="1"/>
  <c r="Q139" i="6" l="1"/>
  <c r="A140" i="6"/>
  <c r="N139" i="6"/>
  <c r="O140" i="6"/>
  <c r="P140" i="6" s="1"/>
  <c r="Q140" i="6" l="1"/>
  <c r="A141" i="6"/>
  <c r="N140" i="6"/>
  <c r="O141" i="6"/>
  <c r="P141" i="6" s="1"/>
  <c r="Q141" i="6" l="1"/>
  <c r="A142" i="6"/>
  <c r="N141" i="6"/>
  <c r="O142" i="6"/>
  <c r="P142" i="6" s="1"/>
  <c r="Q142" i="6" l="1"/>
  <c r="A143" i="6"/>
  <c r="N142" i="6"/>
  <c r="O143" i="6"/>
  <c r="P143" i="6" s="1"/>
  <c r="Q143" i="6" l="1"/>
  <c r="A144" i="6"/>
  <c r="N143" i="6"/>
  <c r="O144" i="6"/>
  <c r="P144" i="6" s="1"/>
  <c r="Q144" i="6" l="1"/>
  <c r="A145" i="6"/>
  <c r="N144" i="6"/>
  <c r="O145" i="6"/>
  <c r="P145" i="6" s="1"/>
  <c r="Q145" i="6" l="1"/>
  <c r="A146" i="6"/>
  <c r="N145" i="6"/>
  <c r="O146" i="6"/>
  <c r="P146" i="6" s="1"/>
  <c r="Q146" i="6" l="1"/>
  <c r="A147" i="6"/>
  <c r="N146" i="6"/>
  <c r="O147" i="6"/>
  <c r="P147" i="6" s="1"/>
  <c r="Q147" i="6" l="1"/>
  <c r="A148" i="6"/>
  <c r="N147" i="6"/>
  <c r="O148" i="6"/>
  <c r="P148" i="6" s="1"/>
  <c r="Q148" i="6" l="1"/>
  <c r="A149" i="6"/>
  <c r="N148" i="6"/>
  <c r="O149" i="6"/>
  <c r="P149" i="6" s="1"/>
  <c r="Q149" i="6" l="1"/>
  <c r="A150" i="6"/>
  <c r="N149" i="6"/>
  <c r="O150" i="6"/>
  <c r="P150" i="6" s="1"/>
  <c r="Q150" i="6" l="1"/>
  <c r="A151" i="6"/>
  <c r="N150" i="6"/>
  <c r="O151" i="6"/>
  <c r="P151" i="6" s="1"/>
  <c r="Q151" i="6" l="1"/>
  <c r="A152" i="6"/>
  <c r="N151" i="6"/>
  <c r="O152" i="6"/>
  <c r="P152" i="6" s="1"/>
  <c r="Q152" i="6" l="1"/>
  <c r="A153" i="6"/>
  <c r="N152" i="6"/>
  <c r="O153" i="6"/>
  <c r="P153" i="6" s="1"/>
  <c r="Q153" i="6" l="1"/>
  <c r="A154" i="6"/>
  <c r="N153" i="6"/>
  <c r="O154" i="6"/>
  <c r="P154" i="6" s="1"/>
  <c r="Q154" i="6" l="1"/>
  <c r="A155" i="6"/>
  <c r="N154" i="6"/>
  <c r="O155" i="6"/>
  <c r="P155" i="6" s="1"/>
  <c r="Q155" i="6" l="1"/>
  <c r="A156" i="6"/>
  <c r="N155" i="6"/>
  <c r="O156" i="6"/>
  <c r="P156" i="6" s="1"/>
  <c r="Q156" i="6" l="1"/>
  <c r="A157" i="6"/>
  <c r="N156" i="6"/>
  <c r="O157" i="6"/>
  <c r="P157" i="6" s="1"/>
  <c r="Q157" i="6" l="1"/>
  <c r="A158" i="6"/>
  <c r="N157" i="6"/>
  <c r="O158" i="6"/>
  <c r="P158" i="6" s="1"/>
  <c r="Q158" i="6" l="1"/>
  <c r="A159" i="6"/>
  <c r="N158" i="6"/>
  <c r="O159" i="6"/>
  <c r="P159" i="6" s="1"/>
  <c r="Q159" i="6" l="1"/>
  <c r="A160" i="6"/>
  <c r="N159" i="6"/>
  <c r="O160" i="6"/>
  <c r="P160" i="6" s="1"/>
  <c r="Q160" i="6" l="1"/>
  <c r="A161" i="6"/>
  <c r="N160" i="6"/>
  <c r="O161" i="6"/>
  <c r="P161" i="6" s="1"/>
  <c r="Q161" i="6" l="1"/>
  <c r="A162" i="6"/>
  <c r="N161" i="6"/>
  <c r="O162" i="6"/>
  <c r="P162" i="6" s="1"/>
  <c r="Q162" i="6" l="1"/>
  <c r="A163" i="6"/>
  <c r="N162" i="6"/>
  <c r="O163" i="6"/>
  <c r="P163" i="6" s="1"/>
  <c r="Q163" i="6" l="1"/>
  <c r="A164" i="6"/>
  <c r="N163" i="6"/>
  <c r="O164" i="6"/>
  <c r="P164" i="6" s="1"/>
  <c r="Q164" i="6" l="1"/>
  <c r="A165" i="6"/>
  <c r="N164" i="6"/>
  <c r="O165" i="6"/>
  <c r="P165" i="6" s="1"/>
  <c r="Q165" i="6" l="1"/>
  <c r="A166" i="6"/>
  <c r="N165" i="6"/>
  <c r="O166" i="6"/>
  <c r="P166" i="6" s="1"/>
  <c r="Q166" i="6" l="1"/>
  <c r="A167" i="6"/>
  <c r="N166" i="6"/>
  <c r="O167" i="6"/>
  <c r="P167" i="6" s="1"/>
  <c r="Q167" i="6" l="1"/>
  <c r="A168" i="6"/>
  <c r="N167" i="6"/>
  <c r="O168" i="6"/>
  <c r="P168" i="6" s="1"/>
  <c r="Q168" i="6" l="1"/>
  <c r="V168" i="6"/>
  <c r="A169" i="6"/>
  <c r="N168" i="6"/>
  <c r="O169" i="6"/>
  <c r="P169" i="6" s="1"/>
  <c r="Q169" i="6" l="1"/>
  <c r="A170" i="6"/>
  <c r="N169" i="6"/>
  <c r="O170" i="6"/>
  <c r="P170" i="6" s="1"/>
  <c r="Q170" i="6" l="1"/>
  <c r="A171" i="6"/>
  <c r="N170" i="6"/>
  <c r="O171" i="6"/>
  <c r="P171" i="6" s="1"/>
  <c r="Q171" i="6" l="1"/>
  <c r="A172" i="6"/>
  <c r="N171" i="6"/>
  <c r="O172" i="6"/>
  <c r="P172" i="6" s="1"/>
  <c r="Q172" i="6" l="1"/>
  <c r="A173" i="6"/>
  <c r="N172" i="6"/>
  <c r="O173" i="6"/>
  <c r="P173" i="6" s="1"/>
  <c r="Q173" i="6" l="1"/>
  <c r="A174" i="6"/>
  <c r="N173" i="6"/>
  <c r="O174" i="6"/>
  <c r="P174" i="6" s="1"/>
  <c r="Q174" i="6" l="1"/>
  <c r="A175" i="6"/>
  <c r="N174" i="6"/>
  <c r="O175" i="6"/>
  <c r="P175" i="6" s="1"/>
  <c r="Q175" i="6" l="1"/>
  <c r="A176" i="6"/>
  <c r="N175" i="6"/>
  <c r="O176" i="6"/>
  <c r="P176" i="6" s="1"/>
  <c r="Q176" i="6" l="1"/>
  <c r="A177" i="6"/>
  <c r="N176" i="6"/>
  <c r="O177" i="6"/>
  <c r="P177" i="6" s="1"/>
  <c r="Q177" i="6" l="1"/>
  <c r="A178" i="6"/>
  <c r="N177" i="6"/>
  <c r="O178" i="6"/>
  <c r="P178" i="6" s="1"/>
  <c r="Q178" i="6" l="1"/>
  <c r="A179" i="6"/>
  <c r="N178" i="6"/>
  <c r="O179" i="6"/>
  <c r="P179" i="6" s="1"/>
  <c r="Q179" i="6" l="1"/>
  <c r="A180" i="6"/>
  <c r="N179" i="6"/>
  <c r="O180" i="6"/>
  <c r="P180" i="6" s="1"/>
  <c r="Q180" i="6" l="1"/>
  <c r="A181" i="6"/>
  <c r="N180" i="6"/>
  <c r="O181" i="6"/>
  <c r="P181" i="6" s="1"/>
  <c r="Q181" i="6" l="1"/>
  <c r="A182" i="6"/>
  <c r="N181" i="6"/>
  <c r="O182" i="6"/>
  <c r="P182" i="6" s="1"/>
  <c r="Q182" i="6" l="1"/>
  <c r="A183" i="6"/>
  <c r="N182" i="6"/>
  <c r="O183" i="6"/>
  <c r="P183" i="6" s="1"/>
  <c r="Q183" i="6" l="1"/>
  <c r="A184" i="6"/>
  <c r="N183" i="6"/>
  <c r="O184" i="6"/>
  <c r="P184" i="6" s="1"/>
  <c r="Q184" i="6" l="1"/>
  <c r="A185" i="6"/>
  <c r="N184" i="6"/>
  <c r="O185" i="6"/>
  <c r="P185" i="6" s="1"/>
  <c r="Q185" i="6" l="1"/>
  <c r="A186" i="6"/>
  <c r="AK186" i="6" s="1"/>
  <c r="N185" i="6"/>
  <c r="O186" i="6"/>
  <c r="P186" i="6" s="1"/>
  <c r="Q186" i="6" l="1"/>
  <c r="A187" i="6"/>
  <c r="AK187" i="6" s="1"/>
  <c r="N186" i="6"/>
  <c r="O187" i="6"/>
  <c r="P187" i="6" s="1"/>
  <c r="Q187" i="6" l="1"/>
  <c r="A188" i="6"/>
  <c r="AK188" i="6" s="1"/>
  <c r="N187" i="6"/>
  <c r="O188" i="6"/>
  <c r="P188" i="6" s="1"/>
  <c r="Q188" i="6" l="1"/>
  <c r="A189" i="6"/>
  <c r="AK189" i="6" s="1"/>
  <c r="N188" i="6"/>
  <c r="O189" i="6"/>
  <c r="P189" i="6" s="1"/>
  <c r="Q189" i="6" l="1"/>
  <c r="A190" i="6"/>
  <c r="AK190" i="6" s="1"/>
  <c r="N189" i="6"/>
  <c r="O190" i="6"/>
  <c r="P190" i="6" s="1"/>
  <c r="Q190" i="6" l="1"/>
  <c r="A191" i="6"/>
  <c r="AK191" i="6" s="1"/>
  <c r="N190" i="6"/>
  <c r="O191" i="6"/>
  <c r="P191" i="6" s="1"/>
  <c r="Q191" i="6" l="1"/>
  <c r="A192" i="6"/>
  <c r="AK192" i="6" s="1"/>
  <c r="N191" i="6"/>
  <c r="O192" i="6"/>
  <c r="P192" i="6" s="1"/>
  <c r="Q192" i="6" l="1"/>
  <c r="A193" i="6"/>
  <c r="AK193" i="6" s="1"/>
  <c r="N192" i="6"/>
  <c r="O193" i="6"/>
  <c r="P193" i="6" s="1"/>
  <c r="Q193" i="6" l="1"/>
  <c r="A194" i="6"/>
  <c r="AK194" i="6" s="1"/>
  <c r="N193" i="6"/>
  <c r="O194" i="6"/>
  <c r="P194" i="6" s="1"/>
  <c r="Q194" i="6" l="1"/>
  <c r="A195" i="6"/>
  <c r="AK195" i="6" s="1"/>
  <c r="N194" i="6"/>
  <c r="O195" i="6"/>
  <c r="P195" i="6" s="1"/>
  <c r="Q195" i="6" l="1"/>
  <c r="A196" i="6"/>
  <c r="AK196" i="6" s="1"/>
  <c r="N195" i="6"/>
  <c r="O196" i="6"/>
  <c r="P196" i="6" s="1"/>
  <c r="Q196" i="6" l="1"/>
  <c r="A197" i="6"/>
  <c r="AK197" i="6" s="1"/>
  <c r="N196" i="6"/>
  <c r="O197" i="6"/>
  <c r="P197" i="6" s="1"/>
  <c r="Q197" i="6" l="1"/>
  <c r="A198" i="6"/>
  <c r="AK198" i="6" s="1"/>
  <c r="N197" i="6"/>
  <c r="O198" i="6"/>
  <c r="P198" i="6" s="1"/>
  <c r="Q198" i="6" l="1"/>
  <c r="A199" i="6"/>
  <c r="AK199" i="6" s="1"/>
  <c r="N198" i="6"/>
  <c r="O199" i="6"/>
  <c r="P199" i="6" s="1"/>
  <c r="Q199" i="6" l="1"/>
  <c r="A200" i="6"/>
  <c r="AK200" i="6" s="1"/>
  <c r="N199" i="6"/>
  <c r="O200" i="6"/>
  <c r="P200" i="6" s="1"/>
  <c r="Q200" i="6" l="1"/>
  <c r="A201" i="6"/>
  <c r="AK201" i="6" s="1"/>
  <c r="N200" i="6"/>
  <c r="O201" i="6"/>
  <c r="P201" i="6" s="1"/>
  <c r="Q201" i="6" l="1"/>
  <c r="A202" i="6"/>
  <c r="AK202" i="6" s="1"/>
  <c r="N201" i="6"/>
  <c r="O202" i="6"/>
  <c r="P202" i="6" s="1"/>
  <c r="Q202" i="6" l="1"/>
  <c r="A203" i="6"/>
  <c r="AK203" i="6" s="1"/>
  <c r="N202" i="6"/>
  <c r="O203" i="6"/>
  <c r="P203" i="6" s="1"/>
  <c r="Q203" i="6" l="1"/>
  <c r="A204" i="6"/>
  <c r="AK204" i="6" s="1"/>
  <c r="N203" i="6"/>
  <c r="O204" i="6"/>
  <c r="P204" i="6" s="1"/>
  <c r="Q204" i="6" l="1"/>
  <c r="A205" i="6"/>
  <c r="AK205" i="6" s="1"/>
  <c r="N204" i="6"/>
  <c r="O205" i="6"/>
  <c r="P205" i="6" s="1"/>
  <c r="Q205" i="6" l="1"/>
  <c r="A206" i="6"/>
  <c r="AK206" i="6" s="1"/>
  <c r="N205" i="6"/>
  <c r="O206" i="6"/>
  <c r="P206" i="6" s="1"/>
  <c r="Q206" i="6" l="1"/>
  <c r="A207" i="6"/>
  <c r="AK207" i="6" s="1"/>
  <c r="N206" i="6"/>
  <c r="O207" i="6"/>
  <c r="P207" i="6" s="1"/>
  <c r="Q207" i="6" l="1"/>
  <c r="A208" i="6"/>
  <c r="AK208" i="6" s="1"/>
  <c r="N207" i="6"/>
  <c r="O208" i="6"/>
  <c r="P208" i="6" s="1"/>
  <c r="Q208" i="6" l="1"/>
  <c r="A209" i="6"/>
  <c r="AK209" i="6" s="1"/>
  <c r="N208" i="6"/>
  <c r="O209" i="6"/>
  <c r="P209" i="6" s="1"/>
  <c r="Q209" i="6" l="1"/>
  <c r="A210" i="6"/>
  <c r="AK210" i="6" s="1"/>
  <c r="N209" i="6"/>
  <c r="O210" i="6"/>
  <c r="P210" i="6" s="1"/>
  <c r="Q210" i="6" l="1"/>
  <c r="A211" i="6"/>
  <c r="AK211" i="6" s="1"/>
  <c r="N210" i="6"/>
  <c r="O211" i="6"/>
  <c r="P211" i="6" s="1"/>
  <c r="Q211" i="6" l="1"/>
  <c r="A212" i="6"/>
  <c r="AK212" i="6" s="1"/>
  <c r="N211" i="6"/>
  <c r="O212" i="6"/>
  <c r="P212" i="6" s="1"/>
  <c r="Q212" i="6" l="1"/>
  <c r="A213" i="6"/>
  <c r="AK213" i="6" s="1"/>
  <c r="N212" i="6"/>
  <c r="O213" i="6"/>
  <c r="P213" i="6" s="1"/>
  <c r="Q213" i="6" l="1"/>
  <c r="A214" i="6"/>
  <c r="AK214" i="6" s="1"/>
  <c r="N213" i="6"/>
  <c r="O214" i="6"/>
  <c r="P214" i="6" s="1"/>
  <c r="Q214" i="6" l="1"/>
  <c r="A215" i="6"/>
  <c r="AK215" i="6" s="1"/>
  <c r="N214" i="6"/>
  <c r="O215" i="6"/>
  <c r="P215" i="6" s="1"/>
  <c r="Q215" i="6" l="1"/>
  <c r="A216" i="6"/>
  <c r="AK216" i="6" s="1"/>
  <c r="N215" i="6"/>
  <c r="O216" i="6"/>
  <c r="P216" i="6" s="1"/>
  <c r="Q216" i="6" l="1"/>
  <c r="A217" i="6"/>
  <c r="AK217" i="6" s="1"/>
  <c r="N216" i="6"/>
  <c r="O217" i="6"/>
  <c r="P217" i="6" s="1"/>
  <c r="Q217" i="6" l="1"/>
  <c r="A218" i="6"/>
  <c r="AK218" i="6" s="1"/>
  <c r="N217" i="6"/>
  <c r="O218" i="6"/>
  <c r="P218" i="6" s="1"/>
  <c r="Q218" i="6" l="1"/>
  <c r="A219" i="6"/>
  <c r="AK219" i="6" s="1"/>
  <c r="N218" i="6"/>
  <c r="O219" i="6"/>
  <c r="P219" i="6" s="1"/>
  <c r="Q219" i="6" l="1"/>
  <c r="A220" i="6"/>
  <c r="AK220" i="6" s="1"/>
  <c r="N219" i="6"/>
  <c r="O220" i="6"/>
  <c r="P220" i="6" s="1"/>
  <c r="Q220" i="6" l="1"/>
  <c r="A221" i="6"/>
  <c r="AK221" i="6" s="1"/>
  <c r="N220" i="6"/>
  <c r="O221" i="6"/>
  <c r="P221" i="6" s="1"/>
  <c r="Q221" i="6" l="1"/>
  <c r="A222" i="6"/>
  <c r="AK222" i="6" s="1"/>
  <c r="N221" i="6"/>
  <c r="O222" i="6"/>
  <c r="P222" i="6" s="1"/>
  <c r="Q222" i="6" l="1"/>
  <c r="A223" i="6"/>
  <c r="AK223" i="6" s="1"/>
  <c r="N222" i="6"/>
  <c r="O223" i="6"/>
  <c r="P223" i="6" s="1"/>
  <c r="Q223" i="6" l="1"/>
  <c r="A224" i="6"/>
  <c r="AK224" i="6" s="1"/>
  <c r="N223" i="6"/>
  <c r="O224" i="6"/>
  <c r="P224" i="6" s="1"/>
  <c r="Q224" i="6" l="1"/>
  <c r="A225" i="6"/>
  <c r="AK225" i="6" s="1"/>
  <c r="N224" i="6"/>
  <c r="O225" i="6"/>
  <c r="P225" i="6" s="1"/>
  <c r="Q225" i="6" l="1"/>
  <c r="A226" i="6"/>
  <c r="AK226" i="6" s="1"/>
  <c r="N225" i="6"/>
  <c r="O226" i="6"/>
  <c r="P226" i="6" s="1"/>
  <c r="Q226" i="6" l="1"/>
  <c r="A227" i="6"/>
  <c r="AK227" i="6" s="1"/>
  <c r="N226" i="6"/>
  <c r="O227" i="6"/>
  <c r="P227" i="6" s="1"/>
  <c r="Q227" i="6" l="1"/>
  <c r="A228" i="6"/>
  <c r="AK228" i="6" s="1"/>
  <c r="N227" i="6"/>
  <c r="O228" i="6"/>
  <c r="P228" i="6" s="1"/>
  <c r="Q228" i="6" l="1"/>
  <c r="A229" i="6"/>
  <c r="AK229" i="6" s="1"/>
  <c r="N228" i="6"/>
  <c r="O229" i="6"/>
  <c r="P229" i="6" s="1"/>
  <c r="Q229" i="6" l="1"/>
  <c r="A230" i="6"/>
  <c r="AK230" i="6" s="1"/>
  <c r="N229" i="6"/>
  <c r="O230" i="6"/>
  <c r="P230" i="6" s="1"/>
  <c r="Q230" i="6" l="1"/>
  <c r="A231" i="6"/>
  <c r="AK231" i="6" s="1"/>
  <c r="N230" i="6"/>
  <c r="O231" i="6"/>
  <c r="P231" i="6" s="1"/>
  <c r="Q231" i="6" l="1"/>
  <c r="A232" i="6"/>
  <c r="AK232" i="6" s="1"/>
  <c r="N231" i="6"/>
  <c r="O232" i="6"/>
  <c r="P232" i="6" s="1"/>
  <c r="Q232" i="6" l="1"/>
  <c r="A233" i="6"/>
  <c r="AK233" i="6" s="1"/>
  <c r="N232" i="6"/>
  <c r="O233" i="6"/>
  <c r="P233" i="6" s="1"/>
  <c r="Q233" i="6" l="1"/>
  <c r="A234" i="6"/>
  <c r="AK234" i="6" s="1"/>
  <c r="N233" i="6"/>
  <c r="O234" i="6"/>
  <c r="P234" i="6" s="1"/>
  <c r="Q234" i="6" l="1"/>
  <c r="A235" i="6"/>
  <c r="AK235" i="6" s="1"/>
  <c r="R233" i="6"/>
  <c r="M233" i="6" s="1"/>
  <c r="S233" i="6" s="1"/>
  <c r="N234" i="6"/>
  <c r="O235" i="6"/>
  <c r="P235" i="6" s="1"/>
  <c r="Q235" i="6" l="1"/>
  <c r="A236" i="6"/>
  <c r="AK236" i="6" s="1"/>
  <c r="R234" i="6"/>
  <c r="M234" i="6" s="1"/>
  <c r="S234" i="6" s="1"/>
  <c r="N235" i="6"/>
  <c r="O236" i="6"/>
  <c r="P236" i="6" s="1"/>
  <c r="Q236" i="6" l="1"/>
  <c r="A237" i="6"/>
  <c r="AK237" i="6" s="1"/>
  <c r="R235" i="6"/>
  <c r="M235" i="6" s="1"/>
  <c r="S235" i="6" s="1"/>
  <c r="N236" i="6"/>
  <c r="O237" i="6"/>
  <c r="P237" i="6" s="1"/>
  <c r="Q237" i="6" l="1"/>
  <c r="A238" i="6"/>
  <c r="AK238" i="6" s="1"/>
  <c r="R236" i="6"/>
  <c r="M236" i="6" s="1"/>
  <c r="S236" i="6" s="1"/>
  <c r="N237" i="6"/>
  <c r="O238" i="6"/>
  <c r="P238" i="6" s="1"/>
  <c r="Q238" i="6" l="1"/>
  <c r="A239" i="6"/>
  <c r="AK239" i="6" s="1"/>
  <c r="R237" i="6"/>
  <c r="M237" i="6" s="1"/>
  <c r="S237" i="6" s="1"/>
  <c r="N238" i="6"/>
  <c r="O239" i="6"/>
  <c r="P239" i="6" s="1"/>
  <c r="Q239" i="6" l="1"/>
  <c r="A240" i="6"/>
  <c r="AK240" i="6" s="1"/>
  <c r="R238" i="6"/>
  <c r="M238" i="6" s="1"/>
  <c r="S238" i="6" s="1"/>
  <c r="N239" i="6"/>
  <c r="O240" i="6"/>
  <c r="P240" i="6" s="1"/>
  <c r="Q240" i="6" l="1"/>
  <c r="A241" i="6"/>
  <c r="AK241" i="6" s="1"/>
  <c r="R239" i="6"/>
  <c r="M239" i="6" s="1"/>
  <c r="S239" i="6" s="1"/>
  <c r="N240" i="6"/>
  <c r="O241" i="6"/>
  <c r="P241" i="6" s="1"/>
  <c r="Q241" i="6" l="1"/>
  <c r="A242" i="6"/>
  <c r="AK242" i="6" s="1"/>
  <c r="R240" i="6"/>
  <c r="M240" i="6" s="1"/>
  <c r="S240" i="6" s="1"/>
  <c r="N241" i="6"/>
  <c r="O242" i="6"/>
  <c r="P242" i="6" s="1"/>
  <c r="Q242" i="6" l="1"/>
  <c r="A243" i="6"/>
  <c r="AK243" i="6" s="1"/>
  <c r="R241" i="6"/>
  <c r="M241" i="6" s="1"/>
  <c r="S241" i="6" s="1"/>
  <c r="N242" i="6"/>
  <c r="O243" i="6"/>
  <c r="P243" i="6" s="1"/>
  <c r="Q243" i="6" l="1"/>
  <c r="A244" i="6"/>
  <c r="AK244" i="6" s="1"/>
  <c r="R242" i="6"/>
  <c r="M242" i="6" s="1"/>
  <c r="S242" i="6" s="1"/>
  <c r="N243" i="6"/>
  <c r="O244" i="6"/>
  <c r="P244" i="6" s="1"/>
  <c r="Q244" i="6" l="1"/>
  <c r="A245" i="6"/>
  <c r="AK245" i="6" s="1"/>
  <c r="R243" i="6"/>
  <c r="M243" i="6" s="1"/>
  <c r="S243" i="6" s="1"/>
  <c r="N244" i="6"/>
  <c r="O245" i="6"/>
  <c r="P245" i="6" s="1"/>
  <c r="Q245" i="6" l="1"/>
  <c r="A246" i="6"/>
  <c r="AK246" i="6" s="1"/>
  <c r="R244" i="6"/>
  <c r="M244" i="6" s="1"/>
  <c r="S244" i="6" s="1"/>
  <c r="N245" i="6"/>
  <c r="O246" i="6"/>
  <c r="P246" i="6" s="1"/>
  <c r="Q246" i="6" l="1"/>
  <c r="A247" i="6"/>
  <c r="AK247" i="6" s="1"/>
  <c r="R245" i="6"/>
  <c r="M245" i="6" s="1"/>
  <c r="S245" i="6" s="1"/>
  <c r="N246" i="6"/>
  <c r="O247" i="6"/>
  <c r="P247" i="6" s="1"/>
  <c r="Q247" i="6" l="1"/>
  <c r="A248" i="6"/>
  <c r="AK248" i="6" s="1"/>
  <c r="R246" i="6"/>
  <c r="M246" i="6" s="1"/>
  <c r="S246" i="6" s="1"/>
  <c r="N247" i="6"/>
  <c r="O248" i="6"/>
  <c r="P248" i="6" s="1"/>
  <c r="Q248" i="6" l="1"/>
  <c r="A249" i="6"/>
  <c r="AK249" i="6" s="1"/>
  <c r="R247" i="6"/>
  <c r="M247" i="6" s="1"/>
  <c r="S247" i="6" s="1"/>
  <c r="N248" i="6"/>
  <c r="O249" i="6"/>
  <c r="P249" i="6" s="1"/>
  <c r="Q249" i="6" l="1"/>
  <c r="A250" i="6"/>
  <c r="AK250" i="6" s="1"/>
  <c r="R248" i="6"/>
  <c r="M248" i="6" s="1"/>
  <c r="S248" i="6" s="1"/>
  <c r="N249" i="6"/>
  <c r="O250" i="6"/>
  <c r="P250" i="6" s="1"/>
  <c r="Q250" i="6" l="1"/>
  <c r="A251" i="6"/>
  <c r="AK251" i="6" s="1"/>
  <c r="R249" i="6"/>
  <c r="M249" i="6" s="1"/>
  <c r="S249" i="6" s="1"/>
  <c r="N250" i="6"/>
  <c r="O251" i="6"/>
  <c r="P251" i="6" s="1"/>
  <c r="Q251" i="6" l="1"/>
  <c r="A252" i="6"/>
  <c r="AK252" i="6" s="1"/>
  <c r="R250" i="6"/>
  <c r="M250" i="6" s="1"/>
  <c r="S250" i="6" s="1"/>
  <c r="N251" i="6"/>
  <c r="O252" i="6"/>
  <c r="P252" i="6" s="1"/>
  <c r="Q252" i="6" l="1"/>
  <c r="A253" i="6"/>
  <c r="AK253" i="6" s="1"/>
  <c r="R251" i="6"/>
  <c r="M251" i="6" s="1"/>
  <c r="S251" i="6" s="1"/>
  <c r="N252" i="6"/>
  <c r="O253" i="6"/>
  <c r="P253" i="6" s="1"/>
  <c r="Q253" i="6" l="1"/>
  <c r="A254" i="6"/>
  <c r="AK254" i="6" s="1"/>
  <c r="R252" i="6"/>
  <c r="M252" i="6" s="1"/>
  <c r="S252" i="6" s="1"/>
  <c r="N253" i="6"/>
  <c r="O254" i="6"/>
  <c r="P254" i="6" s="1"/>
  <c r="Q254" i="6" l="1"/>
  <c r="A255" i="6"/>
  <c r="AK255" i="6" s="1"/>
  <c r="R253" i="6"/>
  <c r="M253" i="6" s="1"/>
  <c r="S253" i="6" s="1"/>
  <c r="N254" i="6"/>
  <c r="O255" i="6"/>
  <c r="P255" i="6" s="1"/>
  <c r="Q255" i="6" l="1"/>
  <c r="A256" i="6"/>
  <c r="AK256" i="6" s="1"/>
  <c r="R254" i="6"/>
  <c r="M254" i="6" s="1"/>
  <c r="S254" i="6" s="1"/>
  <c r="N255" i="6"/>
  <c r="O256" i="6"/>
  <c r="P256" i="6" s="1"/>
  <c r="Q256" i="6" l="1"/>
  <c r="A257" i="6"/>
  <c r="AK257" i="6" s="1"/>
  <c r="R255" i="6"/>
  <c r="M255" i="6" s="1"/>
  <c r="S255" i="6" s="1"/>
  <c r="N256" i="6"/>
  <c r="O257" i="6"/>
  <c r="P257" i="6" s="1"/>
  <c r="Q257" i="6" l="1"/>
  <c r="A258" i="6"/>
  <c r="AK258" i="6" s="1"/>
  <c r="R256" i="6"/>
  <c r="M256" i="6" s="1"/>
  <c r="S256" i="6" s="1"/>
  <c r="N257" i="6"/>
  <c r="O258" i="6"/>
  <c r="P258" i="6" s="1"/>
  <c r="Q258" i="6" l="1"/>
  <c r="A259" i="6"/>
  <c r="AK259" i="6" s="1"/>
  <c r="R257" i="6"/>
  <c r="M257" i="6" s="1"/>
  <c r="S257" i="6" s="1"/>
  <c r="N258" i="6"/>
  <c r="O259" i="6"/>
  <c r="P259" i="6" s="1"/>
  <c r="Q259" i="6" l="1"/>
  <c r="A260" i="6"/>
  <c r="AK260" i="6" s="1"/>
  <c r="R258" i="6"/>
  <c r="M258" i="6" s="1"/>
  <c r="S258" i="6" s="1"/>
  <c r="N259" i="6"/>
  <c r="O260" i="6"/>
  <c r="P260" i="6" s="1"/>
  <c r="Q260" i="6" l="1"/>
  <c r="A261" i="6"/>
  <c r="AK261" i="6" s="1"/>
  <c r="R259" i="6"/>
  <c r="M259" i="6" s="1"/>
  <c r="S259" i="6" s="1"/>
  <c r="N260" i="6"/>
  <c r="O261" i="6"/>
  <c r="P261" i="6" s="1"/>
  <c r="Q261" i="6" l="1"/>
  <c r="A262" i="6"/>
  <c r="AK262" i="6" s="1"/>
  <c r="R260" i="6"/>
  <c r="M260" i="6" s="1"/>
  <c r="S260" i="6" s="1"/>
  <c r="N261" i="6"/>
  <c r="O262" i="6"/>
  <c r="P262" i="6" s="1"/>
  <c r="Q262" i="6" l="1"/>
  <c r="A263" i="6"/>
  <c r="AK263" i="6" s="1"/>
  <c r="R261" i="6"/>
  <c r="M261" i="6" s="1"/>
  <c r="S261" i="6" s="1"/>
  <c r="N262" i="6"/>
  <c r="O263" i="6"/>
  <c r="P263" i="6" s="1"/>
  <c r="Q263" i="6" l="1"/>
  <c r="A264" i="6"/>
  <c r="AK264" i="6" s="1"/>
  <c r="R262" i="6"/>
  <c r="M262" i="6" s="1"/>
  <c r="S262" i="6" s="1"/>
  <c r="N263" i="6"/>
  <c r="O264" i="6"/>
  <c r="P264" i="6" s="1"/>
  <c r="Q264" i="6" l="1"/>
  <c r="A265" i="6"/>
  <c r="AK265" i="6" s="1"/>
  <c r="R263" i="6"/>
  <c r="M263" i="6" s="1"/>
  <c r="S263" i="6" s="1"/>
  <c r="N264" i="6"/>
  <c r="O265" i="6"/>
  <c r="P265" i="6" s="1"/>
  <c r="Q265" i="6" l="1"/>
  <c r="A266" i="6"/>
  <c r="AK266" i="6" s="1"/>
  <c r="R264" i="6"/>
  <c r="M264" i="6" s="1"/>
  <c r="S264" i="6" s="1"/>
  <c r="N265" i="6"/>
  <c r="O266" i="6"/>
  <c r="P266" i="6" s="1"/>
  <c r="Q266" i="6" l="1"/>
  <c r="A267" i="6"/>
  <c r="AK267" i="6" s="1"/>
  <c r="R265" i="6"/>
  <c r="M265" i="6" s="1"/>
  <c r="S265" i="6" s="1"/>
  <c r="N266" i="6"/>
  <c r="O267" i="6"/>
  <c r="P267" i="6" s="1"/>
  <c r="Q267" i="6" l="1"/>
  <c r="A268" i="6"/>
  <c r="AK268" i="6" s="1"/>
  <c r="R266" i="6"/>
  <c r="M266" i="6" s="1"/>
  <c r="S266" i="6" s="1"/>
  <c r="N267" i="6"/>
  <c r="O268" i="6"/>
  <c r="P268" i="6" s="1"/>
  <c r="Q268" i="6" l="1"/>
  <c r="A269" i="6"/>
  <c r="AK269" i="6" s="1"/>
  <c r="R267" i="6"/>
  <c r="M267" i="6" s="1"/>
  <c r="S267" i="6" s="1"/>
  <c r="N268" i="6"/>
  <c r="O269" i="6"/>
  <c r="P269" i="6" s="1"/>
  <c r="Q269" i="6" l="1"/>
  <c r="A270" i="6"/>
  <c r="AK270" i="6" s="1"/>
  <c r="R268" i="6"/>
  <c r="M268" i="6" s="1"/>
  <c r="S268" i="6" s="1"/>
  <c r="N269" i="6"/>
  <c r="O270" i="6"/>
  <c r="P270" i="6" s="1"/>
  <c r="Q270" i="6" l="1"/>
  <c r="A271" i="6"/>
  <c r="AK271" i="6" s="1"/>
  <c r="R269" i="6"/>
  <c r="M269" i="6" s="1"/>
  <c r="S269" i="6" s="1"/>
  <c r="N270" i="6"/>
  <c r="O271" i="6"/>
  <c r="P271" i="6" s="1"/>
  <c r="Q271" i="6" l="1"/>
  <c r="A272" i="6"/>
  <c r="AK272" i="6" s="1"/>
  <c r="R270" i="6"/>
  <c r="M270" i="6" s="1"/>
  <c r="S270" i="6" s="1"/>
  <c r="N271" i="6"/>
  <c r="O272" i="6"/>
  <c r="P272" i="6" s="1"/>
  <c r="Q272" i="6" l="1"/>
  <c r="A273" i="6"/>
  <c r="AK273" i="6" s="1"/>
  <c r="R271" i="6"/>
  <c r="M271" i="6" s="1"/>
  <c r="S271" i="6" s="1"/>
  <c r="N272" i="6"/>
  <c r="O273" i="6"/>
  <c r="P273" i="6" s="1"/>
  <c r="Q273" i="6" l="1"/>
  <c r="A274" i="6"/>
  <c r="AK274" i="6" s="1"/>
  <c r="R272" i="6"/>
  <c r="M272" i="6" s="1"/>
  <c r="S272" i="6" s="1"/>
  <c r="N273" i="6"/>
  <c r="O274" i="6"/>
  <c r="P274" i="6" s="1"/>
  <c r="Q274" i="6" l="1"/>
  <c r="A275" i="6"/>
  <c r="AK275" i="6" s="1"/>
  <c r="R273" i="6"/>
  <c r="M273" i="6" s="1"/>
  <c r="S273" i="6" s="1"/>
  <c r="N274" i="6"/>
  <c r="O275" i="6"/>
  <c r="P275" i="6" s="1"/>
  <c r="Q275" i="6" l="1"/>
  <c r="A276" i="6"/>
  <c r="AK276" i="6" s="1"/>
  <c r="R274" i="6"/>
  <c r="M274" i="6" s="1"/>
  <c r="S274" i="6" s="1"/>
  <c r="N275" i="6"/>
  <c r="O276" i="6"/>
  <c r="P276" i="6" s="1"/>
  <c r="Q276" i="6" l="1"/>
  <c r="A277" i="6"/>
  <c r="AK277" i="6" s="1"/>
  <c r="R275" i="6"/>
  <c r="M275" i="6" s="1"/>
  <c r="S275" i="6" s="1"/>
  <c r="N276" i="6"/>
  <c r="O277" i="6"/>
  <c r="P277" i="6" s="1"/>
  <c r="Q277" i="6" l="1"/>
  <c r="A278" i="6"/>
  <c r="AK278" i="6" s="1"/>
  <c r="R276" i="6"/>
  <c r="M276" i="6" s="1"/>
  <c r="S276" i="6" s="1"/>
  <c r="N277" i="6"/>
  <c r="O278" i="6"/>
  <c r="P278" i="6" s="1"/>
  <c r="Q278" i="6" l="1"/>
  <c r="A279" i="6"/>
  <c r="AK279" i="6" s="1"/>
  <c r="R277" i="6"/>
  <c r="M277" i="6" s="1"/>
  <c r="S277" i="6" s="1"/>
  <c r="N278" i="6"/>
  <c r="O279" i="6"/>
  <c r="P279" i="6" s="1"/>
  <c r="Q279" i="6" l="1"/>
  <c r="A280" i="6"/>
  <c r="AK280" i="6" s="1"/>
  <c r="R278" i="6"/>
  <c r="M278" i="6" s="1"/>
  <c r="S278" i="6" s="1"/>
  <c r="N279" i="6"/>
  <c r="O280" i="6"/>
  <c r="P280" i="6" s="1"/>
  <c r="Q280" i="6" l="1"/>
  <c r="A281" i="6"/>
  <c r="AK281" i="6" s="1"/>
  <c r="R279" i="6"/>
  <c r="M279" i="6" s="1"/>
  <c r="S279" i="6" s="1"/>
  <c r="N280" i="6"/>
  <c r="O281" i="6"/>
  <c r="P281" i="6" s="1"/>
  <c r="Q281" i="6" l="1"/>
  <c r="A282" i="6"/>
  <c r="AK282" i="6" s="1"/>
  <c r="R280" i="6"/>
  <c r="M280" i="6" s="1"/>
  <c r="S280" i="6" s="1"/>
  <c r="N281" i="6"/>
  <c r="O282" i="6"/>
  <c r="P282" i="6" s="1"/>
  <c r="Q282" i="6" l="1"/>
  <c r="A283" i="6"/>
  <c r="AK283" i="6" s="1"/>
  <c r="R281" i="6"/>
  <c r="M281" i="6" s="1"/>
  <c r="S281" i="6" s="1"/>
  <c r="N282" i="6"/>
  <c r="O283" i="6"/>
  <c r="P283" i="6" s="1"/>
  <c r="Q283" i="6" l="1"/>
  <c r="A284" i="6"/>
  <c r="AK284" i="6" s="1"/>
  <c r="R282" i="6"/>
  <c r="M282" i="6" s="1"/>
  <c r="S282" i="6" s="1"/>
  <c r="N283" i="6"/>
  <c r="O284" i="6"/>
  <c r="P284" i="6" s="1"/>
  <c r="Q284" i="6" l="1"/>
  <c r="A285" i="6"/>
  <c r="AK285" i="6" s="1"/>
  <c r="R283" i="6"/>
  <c r="M283" i="6" s="1"/>
  <c r="S283" i="6" s="1"/>
  <c r="N284" i="6"/>
  <c r="O285" i="6"/>
  <c r="P285" i="6" s="1"/>
  <c r="Q285" i="6" l="1"/>
  <c r="A286" i="6"/>
  <c r="AK286" i="6" s="1"/>
  <c r="R284" i="6"/>
  <c r="M284" i="6" s="1"/>
  <c r="S284" i="6" s="1"/>
  <c r="N285" i="6"/>
  <c r="O286" i="6"/>
  <c r="P286" i="6" s="1"/>
  <c r="Q286" i="6" l="1"/>
  <c r="A287" i="6"/>
  <c r="AK287" i="6" s="1"/>
  <c r="R285" i="6"/>
  <c r="M285" i="6" s="1"/>
  <c r="S285" i="6" s="1"/>
  <c r="N286" i="6"/>
  <c r="O287" i="6"/>
  <c r="P287" i="6" s="1"/>
  <c r="Q287" i="6" l="1"/>
  <c r="A288" i="6"/>
  <c r="AK288" i="6" s="1"/>
  <c r="R286" i="6"/>
  <c r="M286" i="6" s="1"/>
  <c r="S286" i="6" s="1"/>
  <c r="N287" i="6"/>
  <c r="O288" i="6"/>
  <c r="P288" i="6" s="1"/>
  <c r="Q288" i="6" l="1"/>
  <c r="A289" i="6"/>
  <c r="AK289" i="6" s="1"/>
  <c r="R287" i="6"/>
  <c r="M287" i="6" s="1"/>
  <c r="S287" i="6" s="1"/>
  <c r="N288" i="6"/>
  <c r="O289" i="6"/>
  <c r="P289" i="6" s="1"/>
  <c r="Q289" i="6" l="1"/>
  <c r="A290" i="6"/>
  <c r="AK290" i="6" s="1"/>
  <c r="R288" i="6"/>
  <c r="M288" i="6" s="1"/>
  <c r="S288" i="6" s="1"/>
  <c r="N289" i="6"/>
  <c r="O290" i="6"/>
  <c r="P290" i="6" s="1"/>
  <c r="Q290" i="6" l="1"/>
  <c r="A291" i="6"/>
  <c r="AK291" i="6" s="1"/>
  <c r="R289" i="6"/>
  <c r="M289" i="6" s="1"/>
  <c r="S289" i="6" s="1"/>
  <c r="N290" i="6"/>
  <c r="O291" i="6"/>
  <c r="P291" i="6" s="1"/>
  <c r="Q291" i="6" l="1"/>
  <c r="A292" i="6"/>
  <c r="AK292" i="6" s="1"/>
  <c r="R290" i="6"/>
  <c r="M290" i="6" s="1"/>
  <c r="S290" i="6" s="1"/>
  <c r="N291" i="6"/>
  <c r="O292" i="6"/>
  <c r="P292" i="6" s="1"/>
  <c r="Q292" i="6" l="1"/>
  <c r="A293" i="6"/>
  <c r="AK293" i="6" s="1"/>
  <c r="R291" i="6"/>
  <c r="M291" i="6" s="1"/>
  <c r="S291" i="6" s="1"/>
  <c r="N292" i="6"/>
  <c r="O293" i="6"/>
  <c r="P293" i="6" s="1"/>
  <c r="Q293" i="6" l="1"/>
  <c r="A294" i="6"/>
  <c r="AK294" i="6" s="1"/>
  <c r="R292" i="6"/>
  <c r="M292" i="6" s="1"/>
  <c r="S292" i="6" s="1"/>
  <c r="N293" i="6"/>
  <c r="O294" i="6"/>
  <c r="P294" i="6" s="1"/>
  <c r="Q294" i="6" l="1"/>
  <c r="A295" i="6"/>
  <c r="AK295" i="6" s="1"/>
  <c r="R293" i="6"/>
  <c r="M293" i="6" s="1"/>
  <c r="S293" i="6" s="1"/>
  <c r="N294" i="6"/>
  <c r="O295" i="6"/>
  <c r="P295" i="6" s="1"/>
  <c r="Q295" i="6" l="1"/>
  <c r="A296" i="6"/>
  <c r="AK296" i="6" s="1"/>
  <c r="R294" i="6"/>
  <c r="M294" i="6" s="1"/>
  <c r="S294" i="6" s="1"/>
  <c r="N295" i="6"/>
  <c r="O296" i="6"/>
  <c r="P296" i="6" s="1"/>
  <c r="Q296" i="6" l="1"/>
  <c r="A297" i="6"/>
  <c r="AK297" i="6" s="1"/>
  <c r="R295" i="6"/>
  <c r="M295" i="6" s="1"/>
  <c r="S295" i="6" s="1"/>
  <c r="N296" i="6"/>
  <c r="O297" i="6"/>
  <c r="P297" i="6" s="1"/>
  <c r="Q297" i="6" l="1"/>
  <c r="A298" i="6"/>
  <c r="AK298" i="6" s="1"/>
  <c r="R296" i="6"/>
  <c r="M296" i="6" s="1"/>
  <c r="S296" i="6" s="1"/>
  <c r="N297" i="6"/>
  <c r="O298" i="6"/>
  <c r="P298" i="6" s="1"/>
  <c r="Q298" i="6" l="1"/>
  <c r="A299" i="6"/>
  <c r="AK299" i="6" s="1"/>
  <c r="R297" i="6"/>
  <c r="M297" i="6" s="1"/>
  <c r="S297" i="6" s="1"/>
  <c r="N298" i="6"/>
  <c r="O299" i="6"/>
  <c r="P299" i="6" s="1"/>
  <c r="Q299" i="6" l="1"/>
  <c r="A300" i="6"/>
  <c r="AK300" i="6" s="1"/>
  <c r="R298" i="6"/>
  <c r="M298" i="6" s="1"/>
  <c r="S298" i="6" s="1"/>
  <c r="N299" i="6"/>
  <c r="O300" i="6"/>
  <c r="P300" i="6" s="1"/>
  <c r="Q300" i="6" l="1"/>
  <c r="A301" i="6"/>
  <c r="AK301" i="6" s="1"/>
  <c r="R299" i="6"/>
  <c r="M299" i="6" s="1"/>
  <c r="S299" i="6" s="1"/>
  <c r="N300" i="6"/>
  <c r="O301" i="6"/>
  <c r="P301" i="6" s="1"/>
  <c r="Q301" i="6" l="1"/>
  <c r="A302" i="6"/>
  <c r="AK302" i="6" s="1"/>
  <c r="R300" i="6"/>
  <c r="M300" i="6" s="1"/>
  <c r="S300" i="6" s="1"/>
  <c r="N301" i="6"/>
  <c r="O302" i="6"/>
  <c r="P302" i="6" s="1"/>
  <c r="Q302" i="6" l="1"/>
  <c r="A303" i="6"/>
  <c r="AK303" i="6" s="1"/>
  <c r="R301" i="6"/>
  <c r="M301" i="6" s="1"/>
  <c r="S301" i="6" s="1"/>
  <c r="N302" i="6"/>
  <c r="O303" i="6"/>
  <c r="P303" i="6" s="1"/>
  <c r="Q303" i="6" l="1"/>
  <c r="A304" i="6"/>
  <c r="AK304" i="6" s="1"/>
  <c r="R302" i="6"/>
  <c r="M302" i="6" s="1"/>
  <c r="S302" i="6" s="1"/>
  <c r="N303" i="6"/>
  <c r="O304" i="6"/>
  <c r="P304" i="6" s="1"/>
  <c r="Q304" i="6" l="1"/>
  <c r="A305" i="6"/>
  <c r="AK305" i="6" s="1"/>
  <c r="R303" i="6"/>
  <c r="M303" i="6" s="1"/>
  <c r="S303" i="6" s="1"/>
  <c r="N304" i="6"/>
  <c r="O305" i="6"/>
  <c r="P305" i="6" s="1"/>
  <c r="Q305" i="6" l="1"/>
  <c r="A306" i="6"/>
  <c r="AK306" i="6" s="1"/>
  <c r="R304" i="6"/>
  <c r="M304" i="6" s="1"/>
  <c r="S304" i="6" s="1"/>
  <c r="N305" i="6"/>
  <c r="O306" i="6"/>
  <c r="P306" i="6" s="1"/>
  <c r="Q306" i="6" l="1"/>
  <c r="A307" i="6"/>
  <c r="AK307" i="6" s="1"/>
  <c r="R305" i="6"/>
  <c r="M305" i="6" s="1"/>
  <c r="S305" i="6" s="1"/>
  <c r="N306" i="6"/>
  <c r="O307" i="6"/>
  <c r="P307" i="6" s="1"/>
  <c r="Q307" i="6" l="1"/>
  <c r="A308" i="6"/>
  <c r="AK308" i="6" s="1"/>
  <c r="R306" i="6"/>
  <c r="M306" i="6" s="1"/>
  <c r="S306" i="6" s="1"/>
  <c r="N307" i="6"/>
  <c r="O308" i="6"/>
  <c r="P308" i="6" s="1"/>
  <c r="Q308" i="6" l="1"/>
  <c r="A309" i="6"/>
  <c r="AK309" i="6" s="1"/>
  <c r="R307" i="6"/>
  <c r="M307" i="6" s="1"/>
  <c r="S307" i="6" s="1"/>
  <c r="N308" i="6"/>
  <c r="O309" i="6"/>
  <c r="P309" i="6" s="1"/>
  <c r="Q309" i="6" l="1"/>
  <c r="A310" i="6"/>
  <c r="AK310" i="6" s="1"/>
  <c r="R308" i="6"/>
  <c r="M308" i="6" s="1"/>
  <c r="S308" i="6" s="1"/>
  <c r="N309" i="6"/>
  <c r="O310" i="6"/>
  <c r="P310" i="6" s="1"/>
  <c r="Q310" i="6" l="1"/>
  <c r="A311" i="6"/>
  <c r="AK311" i="6" s="1"/>
  <c r="R309" i="6"/>
  <c r="M309" i="6" s="1"/>
  <c r="S309" i="6" s="1"/>
  <c r="N310" i="6"/>
  <c r="O311" i="6"/>
  <c r="P311" i="6" s="1"/>
  <c r="Q311" i="6" l="1"/>
  <c r="A312" i="6"/>
  <c r="AK312" i="6" s="1"/>
  <c r="R310" i="6"/>
  <c r="M310" i="6" s="1"/>
  <c r="S310" i="6" s="1"/>
  <c r="N311" i="6"/>
  <c r="O312" i="6"/>
  <c r="P312" i="6" s="1"/>
  <c r="Q312" i="6" l="1"/>
  <c r="A313" i="6"/>
  <c r="AK313" i="6" s="1"/>
  <c r="R311" i="6"/>
  <c r="M311" i="6" s="1"/>
  <c r="S311" i="6" s="1"/>
  <c r="N312" i="6"/>
  <c r="O313" i="6"/>
  <c r="P313" i="6" s="1"/>
  <c r="Q313" i="6" l="1"/>
  <c r="A314" i="6"/>
  <c r="AK314" i="6" s="1"/>
  <c r="R312" i="6"/>
  <c r="M312" i="6" s="1"/>
  <c r="S312" i="6" s="1"/>
  <c r="N313" i="6"/>
  <c r="O314" i="6"/>
  <c r="P314" i="6" s="1"/>
  <c r="Q314" i="6" l="1"/>
  <c r="A315" i="6"/>
  <c r="AK315" i="6" s="1"/>
  <c r="R313" i="6"/>
  <c r="M313" i="6" s="1"/>
  <c r="S313" i="6" s="1"/>
  <c r="N314" i="6"/>
  <c r="O315" i="6"/>
  <c r="P315" i="6" s="1"/>
  <c r="Q315" i="6" l="1"/>
  <c r="A316" i="6"/>
  <c r="AK316" i="6" s="1"/>
  <c r="R314" i="6"/>
  <c r="M314" i="6" s="1"/>
  <c r="S314" i="6" s="1"/>
  <c r="N315" i="6"/>
  <c r="O316" i="6"/>
  <c r="P316" i="6" s="1"/>
  <c r="Q316" i="6" l="1"/>
  <c r="A317" i="6"/>
  <c r="AK317" i="6" s="1"/>
  <c r="R315" i="6"/>
  <c r="M315" i="6" s="1"/>
  <c r="S315" i="6" s="1"/>
  <c r="N316" i="6"/>
  <c r="O317" i="6"/>
  <c r="P317" i="6" s="1"/>
  <c r="Q317" i="6" l="1"/>
  <c r="A318" i="6"/>
  <c r="AK318" i="6" s="1"/>
  <c r="R316" i="6"/>
  <c r="M316" i="6" s="1"/>
  <c r="S316" i="6" s="1"/>
  <c r="N317" i="6"/>
  <c r="O318" i="6"/>
  <c r="P318" i="6" s="1"/>
  <c r="Q318" i="6" l="1"/>
  <c r="A319" i="6"/>
  <c r="AK319" i="6" s="1"/>
  <c r="R317" i="6"/>
  <c r="M317" i="6" s="1"/>
  <c r="S317" i="6" s="1"/>
  <c r="N318" i="6"/>
  <c r="O319" i="6"/>
  <c r="P319" i="6" s="1"/>
  <c r="Q319" i="6" l="1"/>
  <c r="A320" i="6"/>
  <c r="AK320" i="6" s="1"/>
  <c r="R318" i="6"/>
  <c r="M318" i="6" s="1"/>
  <c r="S318" i="6" s="1"/>
  <c r="N319" i="6"/>
  <c r="O320" i="6"/>
  <c r="P320" i="6" s="1"/>
  <c r="Q320" i="6" l="1"/>
  <c r="A321" i="6"/>
  <c r="AK321" i="6" s="1"/>
  <c r="R319" i="6"/>
  <c r="M319" i="6" s="1"/>
  <c r="S319" i="6" s="1"/>
  <c r="N320" i="6"/>
  <c r="O321" i="6"/>
  <c r="P321" i="6" s="1"/>
  <c r="Q321" i="6" l="1"/>
  <c r="A322" i="6"/>
  <c r="AK322" i="6" s="1"/>
  <c r="R320" i="6"/>
  <c r="M320" i="6" s="1"/>
  <c r="S320" i="6" s="1"/>
  <c r="N321" i="6"/>
  <c r="O322" i="6"/>
  <c r="P322" i="6" s="1"/>
  <c r="Q322" i="6" l="1"/>
  <c r="A323" i="6"/>
  <c r="AK323" i="6" s="1"/>
  <c r="R321" i="6"/>
  <c r="M321" i="6" s="1"/>
  <c r="S321" i="6" s="1"/>
  <c r="N322" i="6"/>
  <c r="O323" i="6"/>
  <c r="P323" i="6" s="1"/>
  <c r="Q323" i="6" l="1"/>
  <c r="A324" i="6"/>
  <c r="AK324" i="6" s="1"/>
  <c r="R322" i="6"/>
  <c r="M322" i="6" s="1"/>
  <c r="S322" i="6" s="1"/>
  <c r="N323" i="6"/>
  <c r="O324" i="6"/>
  <c r="P324" i="6" s="1"/>
  <c r="Q324" i="6" l="1"/>
  <c r="A325" i="6"/>
  <c r="AK325" i="6" s="1"/>
  <c r="R323" i="6"/>
  <c r="M323" i="6" s="1"/>
  <c r="S323" i="6" s="1"/>
  <c r="N324" i="6"/>
  <c r="O325" i="6"/>
  <c r="P325" i="6" s="1"/>
  <c r="Q325" i="6" l="1"/>
  <c r="A326" i="6"/>
  <c r="AK326" i="6" s="1"/>
  <c r="R324" i="6"/>
  <c r="M324" i="6" s="1"/>
  <c r="S324" i="6" s="1"/>
  <c r="N325" i="6"/>
  <c r="O326" i="6"/>
  <c r="P326" i="6" s="1"/>
  <c r="Q326" i="6" l="1"/>
  <c r="A327" i="6"/>
  <c r="AK327" i="6" s="1"/>
  <c r="R325" i="6"/>
  <c r="M325" i="6" s="1"/>
  <c r="S325" i="6" s="1"/>
  <c r="N326" i="6"/>
  <c r="O327" i="6"/>
  <c r="P327" i="6" s="1"/>
  <c r="Q327" i="6" l="1"/>
  <c r="A328" i="6"/>
  <c r="AK328" i="6" s="1"/>
  <c r="R326" i="6"/>
  <c r="M326" i="6" s="1"/>
  <c r="S326" i="6" s="1"/>
  <c r="N327" i="6"/>
  <c r="O328" i="6"/>
  <c r="P328" i="6" s="1"/>
  <c r="Q328" i="6" l="1"/>
  <c r="A329" i="6"/>
  <c r="AK329" i="6" s="1"/>
  <c r="R327" i="6"/>
  <c r="M327" i="6" s="1"/>
  <c r="S327" i="6" s="1"/>
  <c r="N328" i="6"/>
  <c r="O329" i="6"/>
  <c r="P329" i="6" s="1"/>
  <c r="Q329" i="6" l="1"/>
  <c r="A330" i="6"/>
  <c r="AK330" i="6" s="1"/>
  <c r="R328" i="6"/>
  <c r="M328" i="6" s="1"/>
  <c r="S328" i="6" s="1"/>
  <c r="N329" i="6"/>
  <c r="O330" i="6"/>
  <c r="P330" i="6" s="1"/>
  <c r="Q330" i="6" l="1"/>
  <c r="A331" i="6"/>
  <c r="AK331" i="6" s="1"/>
  <c r="R329" i="6"/>
  <c r="M329" i="6" s="1"/>
  <c r="S329" i="6" s="1"/>
  <c r="N330" i="6"/>
  <c r="O331" i="6"/>
  <c r="P331" i="6" s="1"/>
  <c r="Q331" i="6" l="1"/>
  <c r="A332" i="6"/>
  <c r="AK332" i="6" s="1"/>
  <c r="R330" i="6"/>
  <c r="M330" i="6" s="1"/>
  <c r="S330" i="6" s="1"/>
  <c r="N331" i="6"/>
  <c r="O332" i="6"/>
  <c r="P332" i="6" s="1"/>
  <c r="Q332" i="6" l="1"/>
  <c r="A333" i="6"/>
  <c r="AK333" i="6" s="1"/>
  <c r="R331" i="6"/>
  <c r="M331" i="6" s="1"/>
  <c r="S331" i="6" s="1"/>
  <c r="N332" i="6"/>
  <c r="O333" i="6"/>
  <c r="P333" i="6" s="1"/>
  <c r="Q333" i="6" l="1"/>
  <c r="A334" i="6"/>
  <c r="AK334" i="6" s="1"/>
  <c r="R332" i="6"/>
  <c r="M332" i="6" s="1"/>
  <c r="S332" i="6" s="1"/>
  <c r="N333" i="6"/>
  <c r="O334" i="6"/>
  <c r="P334" i="6" s="1"/>
  <c r="Q334" i="6" l="1"/>
  <c r="A335" i="6"/>
  <c r="AK335" i="6" s="1"/>
  <c r="R333" i="6"/>
  <c r="M333" i="6" s="1"/>
  <c r="S333" i="6" s="1"/>
  <c r="N334" i="6"/>
  <c r="O335" i="6"/>
  <c r="P335" i="6" s="1"/>
  <c r="Q335" i="6" l="1"/>
  <c r="A336" i="6"/>
  <c r="AK336" i="6" s="1"/>
  <c r="R334" i="6"/>
  <c r="M334" i="6" s="1"/>
  <c r="S334" i="6" s="1"/>
  <c r="N335" i="6"/>
  <c r="O336" i="6"/>
  <c r="P336" i="6" s="1"/>
  <c r="Q336" i="6" l="1"/>
  <c r="A337" i="6"/>
  <c r="AK337" i="6" s="1"/>
  <c r="R335" i="6"/>
  <c r="M335" i="6" s="1"/>
  <c r="S335" i="6" s="1"/>
  <c r="N336" i="6"/>
  <c r="O337" i="6"/>
  <c r="P337" i="6" s="1"/>
  <c r="Q337" i="6" l="1"/>
  <c r="A338" i="6"/>
  <c r="AK338" i="6" s="1"/>
  <c r="R336" i="6"/>
  <c r="M336" i="6" s="1"/>
  <c r="S336" i="6" s="1"/>
  <c r="N337" i="6"/>
  <c r="O338" i="6"/>
  <c r="P338" i="6" s="1"/>
  <c r="Q338" i="6" l="1"/>
  <c r="A339" i="6"/>
  <c r="AK339" i="6" s="1"/>
  <c r="R337" i="6"/>
  <c r="M337" i="6" s="1"/>
  <c r="S337" i="6" s="1"/>
  <c r="N338" i="6"/>
  <c r="O339" i="6"/>
  <c r="P339" i="6" s="1"/>
  <c r="Q339" i="6" l="1"/>
  <c r="A340" i="6"/>
  <c r="AK340" i="6" s="1"/>
  <c r="R338" i="6"/>
  <c r="M338" i="6" s="1"/>
  <c r="S338" i="6" s="1"/>
  <c r="N339" i="6"/>
  <c r="O340" i="6"/>
  <c r="P340" i="6" s="1"/>
  <c r="Q340" i="6" l="1"/>
  <c r="A341" i="6"/>
  <c r="AK341" i="6" s="1"/>
  <c r="R339" i="6"/>
  <c r="M339" i="6" s="1"/>
  <c r="S339" i="6" s="1"/>
  <c r="N340" i="6"/>
  <c r="O341" i="6"/>
  <c r="P341" i="6" s="1"/>
  <c r="Q341" i="6" l="1"/>
  <c r="A342" i="6"/>
  <c r="AK342" i="6" s="1"/>
  <c r="R340" i="6"/>
  <c r="M340" i="6" s="1"/>
  <c r="S340" i="6" s="1"/>
  <c r="N341" i="6"/>
  <c r="O342" i="6"/>
  <c r="P342" i="6" s="1"/>
  <c r="Q342" i="6" l="1"/>
  <c r="A343" i="6"/>
  <c r="AK343" i="6" s="1"/>
  <c r="R341" i="6"/>
  <c r="M341" i="6" s="1"/>
  <c r="S341" i="6" s="1"/>
  <c r="N342" i="6"/>
  <c r="O343" i="6"/>
  <c r="P343" i="6" s="1"/>
  <c r="Q343" i="6" l="1"/>
  <c r="A344" i="6"/>
  <c r="AK344" i="6" s="1"/>
  <c r="R342" i="6"/>
  <c r="M342" i="6" s="1"/>
  <c r="S342" i="6" s="1"/>
  <c r="N343" i="6"/>
  <c r="O344" i="6"/>
  <c r="P344" i="6" s="1"/>
  <c r="Q344" i="6" l="1"/>
  <c r="A345" i="6"/>
  <c r="AK345" i="6" s="1"/>
  <c r="R343" i="6"/>
  <c r="M343" i="6" s="1"/>
  <c r="S343" i="6" s="1"/>
  <c r="N344" i="6"/>
  <c r="O345" i="6"/>
  <c r="P345" i="6" s="1"/>
  <c r="Q345" i="6" l="1"/>
  <c r="A346" i="6"/>
  <c r="AK346" i="6" s="1"/>
  <c r="R344" i="6"/>
  <c r="M344" i="6" s="1"/>
  <c r="S344" i="6" s="1"/>
  <c r="N345" i="6"/>
  <c r="O346" i="6"/>
  <c r="P346" i="6" s="1"/>
  <c r="Q346" i="6" l="1"/>
  <c r="A347" i="6"/>
  <c r="AK347" i="6" s="1"/>
  <c r="R345" i="6"/>
  <c r="M345" i="6" s="1"/>
  <c r="S345" i="6" s="1"/>
  <c r="N346" i="6"/>
  <c r="O347" i="6"/>
  <c r="P347" i="6" s="1"/>
  <c r="Q347" i="6" l="1"/>
  <c r="A348" i="6"/>
  <c r="AK348" i="6" s="1"/>
  <c r="R346" i="6"/>
  <c r="M346" i="6" s="1"/>
  <c r="S346" i="6" s="1"/>
  <c r="N347" i="6"/>
  <c r="O348" i="6"/>
  <c r="P348" i="6" s="1"/>
  <c r="Q348" i="6" l="1"/>
  <c r="A349" i="6"/>
  <c r="AK349" i="6" s="1"/>
  <c r="R347" i="6"/>
  <c r="M347" i="6" s="1"/>
  <c r="S347" i="6" s="1"/>
  <c r="N348" i="6"/>
  <c r="O349" i="6"/>
  <c r="P349" i="6" s="1"/>
  <c r="Q349" i="6" l="1"/>
  <c r="A350" i="6"/>
  <c r="AK350" i="6" s="1"/>
  <c r="R348" i="6"/>
  <c r="M348" i="6" s="1"/>
  <c r="S348" i="6" s="1"/>
  <c r="N349" i="6"/>
  <c r="O350" i="6"/>
  <c r="P350" i="6" s="1"/>
  <c r="Q350" i="6" l="1"/>
  <c r="A351" i="6"/>
  <c r="AK351" i="6" s="1"/>
  <c r="R349" i="6"/>
  <c r="M349" i="6" s="1"/>
  <c r="S349" i="6" s="1"/>
  <c r="N350" i="6"/>
  <c r="O351" i="6"/>
  <c r="P351" i="6" s="1"/>
  <c r="Q351" i="6" l="1"/>
  <c r="A352" i="6"/>
  <c r="AK352" i="6" s="1"/>
  <c r="R350" i="6"/>
  <c r="M350" i="6" s="1"/>
  <c r="S350" i="6" s="1"/>
  <c r="N351" i="6"/>
  <c r="O352" i="6"/>
  <c r="P352" i="6" s="1"/>
  <c r="Q352" i="6" l="1"/>
  <c r="A353" i="6"/>
  <c r="AK353" i="6" s="1"/>
  <c r="R351" i="6"/>
  <c r="M351" i="6" s="1"/>
  <c r="S351" i="6" s="1"/>
  <c r="N352" i="6"/>
  <c r="O353" i="6"/>
  <c r="P353" i="6" s="1"/>
  <c r="Q353" i="6" l="1"/>
  <c r="A354" i="6"/>
  <c r="AK354" i="6" s="1"/>
  <c r="R352" i="6"/>
  <c r="M352" i="6" s="1"/>
  <c r="S352" i="6" s="1"/>
  <c r="N353" i="6"/>
  <c r="O354" i="6"/>
  <c r="P354" i="6" s="1"/>
  <c r="Q354" i="6" l="1"/>
  <c r="A355" i="6"/>
  <c r="AK355" i="6" s="1"/>
  <c r="R353" i="6"/>
  <c r="M353" i="6" s="1"/>
  <c r="S353" i="6" s="1"/>
  <c r="N354" i="6"/>
  <c r="O355" i="6"/>
  <c r="P355" i="6" s="1"/>
  <c r="Q355" i="6" l="1"/>
  <c r="A356" i="6"/>
  <c r="AK356" i="6" s="1"/>
  <c r="R354" i="6"/>
  <c r="M354" i="6" s="1"/>
  <c r="S354" i="6" s="1"/>
  <c r="N355" i="6"/>
  <c r="O356" i="6"/>
  <c r="P356" i="6" s="1"/>
  <c r="Q356" i="6" l="1"/>
  <c r="A357" i="6"/>
  <c r="AK357" i="6" s="1"/>
  <c r="R355" i="6"/>
  <c r="M355" i="6" s="1"/>
  <c r="S355" i="6" s="1"/>
  <c r="N356" i="6"/>
  <c r="O357" i="6"/>
  <c r="P357" i="6" s="1"/>
  <c r="Q357" i="6" l="1"/>
  <c r="A358" i="6"/>
  <c r="AK358" i="6" s="1"/>
  <c r="R356" i="6"/>
  <c r="M356" i="6" s="1"/>
  <c r="S356" i="6" s="1"/>
  <c r="N357" i="6"/>
  <c r="O358" i="6"/>
  <c r="P358" i="6" s="1"/>
  <c r="Q358" i="6" l="1"/>
  <c r="A359" i="6"/>
  <c r="AK359" i="6" s="1"/>
  <c r="R357" i="6"/>
  <c r="M357" i="6" s="1"/>
  <c r="S357" i="6" s="1"/>
  <c r="N358" i="6"/>
  <c r="O359" i="6"/>
  <c r="P359" i="6" s="1"/>
  <c r="Q359" i="6" l="1"/>
  <c r="A360" i="6"/>
  <c r="AK360" i="6" s="1"/>
  <c r="R358" i="6"/>
  <c r="M358" i="6" s="1"/>
  <c r="S358" i="6" s="1"/>
  <c r="N359" i="6"/>
  <c r="O360" i="6"/>
  <c r="P360" i="6" s="1"/>
  <c r="Q360" i="6" l="1"/>
  <c r="A361" i="6"/>
  <c r="AK361" i="6" s="1"/>
  <c r="R359" i="6"/>
  <c r="M359" i="6" s="1"/>
  <c r="S359" i="6" s="1"/>
  <c r="N360" i="6"/>
  <c r="O361" i="6"/>
  <c r="P361" i="6" s="1"/>
  <c r="Q361" i="6" l="1"/>
  <c r="A362" i="6"/>
  <c r="AK362" i="6" s="1"/>
  <c r="R360" i="6"/>
  <c r="M360" i="6" s="1"/>
  <c r="S360" i="6" s="1"/>
  <c r="N361" i="6"/>
  <c r="O362" i="6"/>
  <c r="P362" i="6" s="1"/>
  <c r="Q362" i="6" l="1"/>
  <c r="A363" i="6"/>
  <c r="AK363" i="6" s="1"/>
  <c r="R361" i="6"/>
  <c r="M361" i="6" s="1"/>
  <c r="S361" i="6" s="1"/>
  <c r="N362" i="6"/>
  <c r="O363" i="6"/>
  <c r="P363" i="6" s="1"/>
  <c r="Q363" i="6" l="1"/>
  <c r="A364" i="6"/>
  <c r="AK364" i="6" s="1"/>
  <c r="R362" i="6"/>
  <c r="M362" i="6" s="1"/>
  <c r="S362" i="6" s="1"/>
  <c r="N363" i="6"/>
  <c r="O364" i="6"/>
  <c r="P364" i="6" s="1"/>
  <c r="Q364" i="6" l="1"/>
  <c r="A365" i="6"/>
  <c r="R363" i="6"/>
  <c r="M363" i="6" s="1"/>
  <c r="S363" i="6" s="1"/>
  <c r="N364" i="6"/>
  <c r="O365" i="6"/>
  <c r="P365" i="6" s="1"/>
  <c r="AD365" i="6" l="1"/>
  <c r="AK365" i="6"/>
  <c r="Q365" i="6"/>
  <c r="A366" i="6"/>
  <c r="R364" i="6"/>
  <c r="M364" i="6" s="1"/>
  <c r="S364" i="6" s="1"/>
  <c r="N365" i="6"/>
  <c r="O366" i="6"/>
  <c r="P366" i="6" s="1"/>
  <c r="AD366" i="6" l="1"/>
  <c r="AK366" i="6"/>
  <c r="Q366" i="6"/>
  <c r="A367" i="6"/>
  <c r="R365" i="6"/>
  <c r="M365" i="6" s="1"/>
  <c r="S365" i="6" s="1"/>
  <c r="N366" i="6"/>
  <c r="O367" i="6"/>
  <c r="P367" i="6" s="1"/>
  <c r="AD367" i="6" l="1"/>
  <c r="AK367" i="6"/>
  <c r="Q367" i="6"/>
  <c r="A368" i="6"/>
  <c r="R366" i="6"/>
  <c r="M366" i="6" s="1"/>
  <c r="S366" i="6" s="1"/>
  <c r="N367" i="6"/>
  <c r="O368" i="6"/>
  <c r="P368" i="6" s="1"/>
  <c r="AD368" i="6" l="1"/>
  <c r="AK368" i="6"/>
  <c r="Q368" i="6"/>
  <c r="A369" i="6"/>
  <c r="R367" i="6"/>
  <c r="M367" i="6" s="1"/>
  <c r="S367" i="6" s="1"/>
  <c r="N368" i="6"/>
  <c r="O369" i="6"/>
  <c r="P369" i="6" s="1"/>
  <c r="AD369" i="6" l="1"/>
  <c r="AK369" i="6"/>
  <c r="Q369" i="6"/>
  <c r="A370" i="6"/>
  <c r="R368" i="6"/>
  <c r="M368" i="6" s="1"/>
  <c r="S368" i="6" s="1"/>
  <c r="N369" i="6"/>
  <c r="O370" i="6"/>
  <c r="P370" i="6" s="1"/>
  <c r="AD370" i="6" l="1"/>
  <c r="AK370" i="6"/>
  <c r="Q370" i="6"/>
  <c r="A371" i="6"/>
  <c r="R369" i="6"/>
  <c r="M369" i="6" s="1"/>
  <c r="S369" i="6" s="1"/>
  <c r="N370" i="6"/>
  <c r="O371" i="6"/>
  <c r="P371" i="6" s="1"/>
  <c r="AD371" i="6" l="1"/>
  <c r="AK371" i="6"/>
  <c r="Q371" i="6"/>
  <c r="A372" i="6"/>
  <c r="R370" i="6"/>
  <c r="M370" i="6" s="1"/>
  <c r="S370" i="6" s="1"/>
  <c r="N371" i="6"/>
  <c r="O372" i="6"/>
  <c r="P372" i="6" s="1"/>
  <c r="AD372" i="6" l="1"/>
  <c r="AK372" i="6"/>
  <c r="Q372" i="6"/>
  <c r="A373" i="6"/>
  <c r="R371" i="6"/>
  <c r="M371" i="6" s="1"/>
  <c r="S371" i="6" s="1"/>
  <c r="N372" i="6"/>
  <c r="O373" i="6"/>
  <c r="P373" i="6" s="1"/>
  <c r="AD373" i="6" l="1"/>
  <c r="AK373" i="6"/>
  <c r="Q373" i="6"/>
  <c r="A374" i="6"/>
  <c r="R372" i="6"/>
  <c r="M372" i="6" s="1"/>
  <c r="S372" i="6" s="1"/>
  <c r="N373" i="6"/>
  <c r="O374" i="6"/>
  <c r="P374" i="6" s="1"/>
  <c r="AD374" i="6" l="1"/>
  <c r="AK374" i="6"/>
  <c r="Q374" i="6"/>
  <c r="A375" i="6"/>
  <c r="R373" i="6"/>
  <c r="M373" i="6" s="1"/>
  <c r="S373" i="6" s="1"/>
  <c r="N374" i="6"/>
  <c r="O375" i="6"/>
  <c r="P375" i="6" s="1"/>
  <c r="AD375" i="6" l="1"/>
  <c r="AK375" i="6"/>
  <c r="Q375" i="6"/>
  <c r="A376" i="6"/>
  <c r="R374" i="6"/>
  <c r="M374" i="6" s="1"/>
  <c r="S374" i="6" s="1"/>
  <c r="N375" i="6"/>
  <c r="O376" i="6"/>
  <c r="P376" i="6" s="1"/>
  <c r="AD376" i="6" l="1"/>
  <c r="AK376" i="6"/>
  <c r="Q376" i="6"/>
  <c r="A377" i="6"/>
  <c r="R375" i="6"/>
  <c r="M375" i="6" s="1"/>
  <c r="S375" i="6" s="1"/>
  <c r="N376" i="6"/>
  <c r="O377" i="6"/>
  <c r="P377" i="6" s="1"/>
  <c r="AD377" i="6" l="1"/>
  <c r="AK377" i="6"/>
  <c r="Q377" i="6"/>
  <c r="A378" i="6"/>
  <c r="R376" i="6"/>
  <c r="M376" i="6" s="1"/>
  <c r="S376" i="6" s="1"/>
  <c r="N377" i="6"/>
  <c r="O378" i="6"/>
  <c r="P378" i="6" s="1"/>
  <c r="AD378" i="6" l="1"/>
  <c r="AK378" i="6"/>
  <c r="Q378" i="6"/>
  <c r="A379" i="6"/>
  <c r="R377" i="6"/>
  <c r="M377" i="6" s="1"/>
  <c r="S377" i="6" s="1"/>
  <c r="N378" i="6"/>
  <c r="O379" i="6"/>
  <c r="P379" i="6" s="1"/>
  <c r="AD379" i="6" l="1"/>
  <c r="AK379" i="6"/>
  <c r="Q379" i="6"/>
  <c r="A380" i="6"/>
  <c r="R378" i="6"/>
  <c r="M378" i="6" s="1"/>
  <c r="S378" i="6" s="1"/>
  <c r="N379" i="6"/>
  <c r="O380" i="6"/>
  <c r="P380" i="6" s="1"/>
  <c r="AD380" i="6" l="1"/>
  <c r="AK380" i="6"/>
  <c r="Q380" i="6"/>
  <c r="A381" i="6"/>
  <c r="R379" i="6"/>
  <c r="M379" i="6" s="1"/>
  <c r="S379" i="6" s="1"/>
  <c r="N380" i="6"/>
  <c r="O381" i="6"/>
  <c r="P381" i="6" s="1"/>
  <c r="AD381" i="6" l="1"/>
  <c r="AK381" i="6"/>
  <c r="Q381" i="6"/>
  <c r="A382" i="6"/>
  <c r="R380" i="6"/>
  <c r="M380" i="6" s="1"/>
  <c r="S380" i="6" s="1"/>
  <c r="N381" i="6"/>
  <c r="O382" i="6"/>
  <c r="P382" i="6" s="1"/>
  <c r="AD382" i="6" l="1"/>
  <c r="AK382" i="6"/>
  <c r="Q382" i="6"/>
  <c r="A383" i="6"/>
  <c r="R381" i="6"/>
  <c r="M381" i="6" s="1"/>
  <c r="S381" i="6" s="1"/>
  <c r="N382" i="6"/>
  <c r="O383" i="6"/>
  <c r="P383" i="6" s="1"/>
  <c r="AD383" i="6" l="1"/>
  <c r="AK383" i="6"/>
  <c r="Q383" i="6"/>
  <c r="A384" i="6"/>
  <c r="R382" i="6"/>
  <c r="M382" i="6" s="1"/>
  <c r="S382" i="6" s="1"/>
  <c r="N383" i="6"/>
  <c r="O384" i="6"/>
  <c r="P384" i="6" s="1"/>
  <c r="AD384" i="6" l="1"/>
  <c r="AK384" i="6"/>
  <c r="Q384" i="6"/>
  <c r="A385" i="6"/>
  <c r="R383" i="6"/>
  <c r="M383" i="6" s="1"/>
  <c r="S383" i="6" s="1"/>
  <c r="N384" i="6"/>
  <c r="O385" i="6"/>
  <c r="P385" i="6" s="1"/>
  <c r="AD385" i="6" l="1"/>
  <c r="AK385" i="6"/>
  <c r="Q385" i="6"/>
  <c r="A386" i="6"/>
  <c r="R384" i="6"/>
  <c r="M384" i="6" s="1"/>
  <c r="S384" i="6" s="1"/>
  <c r="N385" i="6"/>
  <c r="O386" i="6"/>
  <c r="P386" i="6" s="1"/>
  <c r="AD386" i="6" l="1"/>
  <c r="AK386" i="6"/>
  <c r="Q386" i="6"/>
  <c r="A387" i="6"/>
  <c r="R385" i="6"/>
  <c r="M385" i="6" s="1"/>
  <c r="S385" i="6" s="1"/>
  <c r="N386" i="6"/>
  <c r="O387" i="6"/>
  <c r="P387" i="6" s="1"/>
  <c r="AD387" i="6" l="1"/>
  <c r="AK387" i="6"/>
  <c r="Q387" i="6"/>
  <c r="A388" i="6"/>
  <c r="R386" i="6"/>
  <c r="M386" i="6" s="1"/>
  <c r="S386" i="6" s="1"/>
  <c r="N387" i="6"/>
  <c r="O388" i="6"/>
  <c r="P388" i="6" s="1"/>
  <c r="AD388" i="6" l="1"/>
  <c r="AK388" i="6"/>
  <c r="Q388" i="6"/>
  <c r="A389" i="6"/>
  <c r="R387" i="6"/>
  <c r="M387" i="6" s="1"/>
  <c r="S387" i="6" s="1"/>
  <c r="N388" i="6"/>
  <c r="O389" i="6"/>
  <c r="P389" i="6" s="1"/>
  <c r="AD389" i="6" l="1"/>
  <c r="AK389" i="6"/>
  <c r="Q389" i="6"/>
  <c r="A390" i="6"/>
  <c r="R388" i="6"/>
  <c r="M388" i="6" s="1"/>
  <c r="S388" i="6" s="1"/>
  <c r="N389" i="6"/>
  <c r="O390" i="6"/>
  <c r="P390" i="6" s="1"/>
  <c r="AD390" i="6" l="1"/>
  <c r="AK390" i="6"/>
  <c r="Q390" i="6"/>
  <c r="A391" i="6"/>
  <c r="R389" i="6"/>
  <c r="M389" i="6" s="1"/>
  <c r="S389" i="6" s="1"/>
  <c r="N390" i="6"/>
  <c r="O391" i="6"/>
  <c r="P391" i="6" s="1"/>
  <c r="AD391" i="6" l="1"/>
  <c r="AK391" i="6"/>
  <c r="Q391" i="6"/>
  <c r="A392" i="6"/>
  <c r="R390" i="6"/>
  <c r="M390" i="6" s="1"/>
  <c r="S390" i="6" s="1"/>
  <c r="N391" i="6"/>
  <c r="O392" i="6"/>
  <c r="P392" i="6" s="1"/>
  <c r="AD392" i="6" l="1"/>
  <c r="AK392" i="6"/>
  <c r="Q392" i="6"/>
  <c r="A393" i="6"/>
  <c r="R391" i="6"/>
  <c r="M391" i="6" s="1"/>
  <c r="S391" i="6" s="1"/>
  <c r="N392" i="6"/>
  <c r="O393" i="6"/>
  <c r="P393" i="6" s="1"/>
  <c r="AD393" i="6" l="1"/>
  <c r="AK393" i="6"/>
  <c r="Q393" i="6"/>
  <c r="A394" i="6"/>
  <c r="R392" i="6"/>
  <c r="M392" i="6" s="1"/>
  <c r="S392" i="6" s="1"/>
  <c r="N393" i="6"/>
  <c r="O394" i="6"/>
  <c r="P394" i="6" s="1"/>
  <c r="AD394" i="6" l="1"/>
  <c r="AK394" i="6"/>
  <c r="Q394" i="6"/>
  <c r="A395" i="6"/>
  <c r="R393" i="6"/>
  <c r="M393" i="6" s="1"/>
  <c r="S393" i="6" s="1"/>
  <c r="N394" i="6"/>
  <c r="O395" i="6"/>
  <c r="P395" i="6" s="1"/>
  <c r="AD395" i="6" l="1"/>
  <c r="AK395" i="6"/>
  <c r="Q395" i="6"/>
  <c r="A396" i="6"/>
  <c r="R394" i="6"/>
  <c r="M394" i="6" s="1"/>
  <c r="S394" i="6" s="1"/>
  <c r="N395" i="6"/>
  <c r="O396" i="6"/>
  <c r="P396" i="6" s="1"/>
  <c r="AD396" i="6" l="1"/>
  <c r="AK396" i="6"/>
  <c r="Q396" i="6"/>
  <c r="A397" i="6"/>
  <c r="R395" i="6"/>
  <c r="M395" i="6" s="1"/>
  <c r="S395" i="6" s="1"/>
  <c r="N396" i="6"/>
  <c r="O397" i="6"/>
  <c r="P397" i="6" s="1"/>
  <c r="AD397" i="6" l="1"/>
  <c r="AK397" i="6"/>
  <c r="Q397" i="6"/>
  <c r="A398" i="6"/>
  <c r="R396" i="6"/>
  <c r="M396" i="6" s="1"/>
  <c r="S396" i="6" s="1"/>
  <c r="N397" i="6"/>
  <c r="O398" i="6"/>
  <c r="P398" i="6" s="1"/>
  <c r="AD398" i="6" l="1"/>
  <c r="AK398" i="6"/>
  <c r="Q398" i="6"/>
  <c r="A399" i="6"/>
  <c r="R397" i="6"/>
  <c r="M397" i="6" s="1"/>
  <c r="S397" i="6" s="1"/>
  <c r="N398" i="6"/>
  <c r="O399" i="6"/>
  <c r="P399" i="6" s="1"/>
  <c r="AD399" i="6" l="1"/>
  <c r="AK399" i="6"/>
  <c r="Q399" i="6"/>
  <c r="A400" i="6"/>
  <c r="R398" i="6"/>
  <c r="M398" i="6" s="1"/>
  <c r="S398" i="6" s="1"/>
  <c r="N399" i="6"/>
  <c r="O400" i="6"/>
  <c r="P400" i="6" s="1"/>
  <c r="AD400" i="6" l="1"/>
  <c r="AK400" i="6"/>
  <c r="Q400" i="6"/>
  <c r="A401" i="6"/>
  <c r="R399" i="6"/>
  <c r="M399" i="6" s="1"/>
  <c r="S399" i="6" s="1"/>
  <c r="N400" i="6"/>
  <c r="O401" i="6"/>
  <c r="P401" i="6" s="1"/>
  <c r="AD401" i="6" l="1"/>
  <c r="AK401" i="6"/>
  <c r="Q401" i="6"/>
  <c r="A402" i="6"/>
  <c r="R400" i="6"/>
  <c r="M400" i="6" s="1"/>
  <c r="S400" i="6" s="1"/>
  <c r="N401" i="6"/>
  <c r="O402" i="6"/>
  <c r="P402" i="6" s="1"/>
  <c r="AD402" i="6" l="1"/>
  <c r="AK402" i="6"/>
  <c r="Q402" i="6"/>
  <c r="A403" i="6"/>
  <c r="R401" i="6"/>
  <c r="M401" i="6" s="1"/>
  <c r="S401" i="6" s="1"/>
  <c r="N402" i="6"/>
  <c r="O403" i="6"/>
  <c r="P403" i="6" s="1"/>
  <c r="AD403" i="6" l="1"/>
  <c r="AK403" i="6"/>
  <c r="Q403" i="6"/>
  <c r="A404" i="6"/>
  <c r="R402" i="6"/>
  <c r="M402" i="6" s="1"/>
  <c r="S402" i="6" s="1"/>
  <c r="N403" i="6"/>
  <c r="O404" i="6"/>
  <c r="P404" i="6" s="1"/>
  <c r="AD404" i="6" l="1"/>
  <c r="AK404" i="6"/>
  <c r="Q404" i="6"/>
  <c r="A405" i="6"/>
  <c r="R403" i="6"/>
  <c r="M403" i="6" s="1"/>
  <c r="S403" i="6" s="1"/>
  <c r="N404" i="6"/>
  <c r="O405" i="6"/>
  <c r="P405" i="6" s="1"/>
  <c r="AD405" i="6" l="1"/>
  <c r="AK405" i="6"/>
  <c r="Q405" i="6"/>
  <c r="A406" i="6"/>
  <c r="R404" i="6"/>
  <c r="M404" i="6" s="1"/>
  <c r="S404" i="6" s="1"/>
  <c r="N405" i="6"/>
  <c r="O406" i="6"/>
  <c r="P406" i="6" s="1"/>
  <c r="AD406" i="6" l="1"/>
  <c r="AK406" i="6"/>
  <c r="Q406" i="6"/>
  <c r="A407" i="6"/>
  <c r="R405" i="6"/>
  <c r="M405" i="6" s="1"/>
  <c r="S405" i="6" s="1"/>
  <c r="N406" i="6"/>
  <c r="O407" i="6"/>
  <c r="P407" i="6" s="1"/>
  <c r="AD407" i="6" l="1"/>
  <c r="AK407" i="6"/>
  <c r="Q407" i="6"/>
  <c r="A408" i="6"/>
  <c r="R406" i="6"/>
  <c r="M406" i="6" s="1"/>
  <c r="S406" i="6" s="1"/>
  <c r="N407" i="6"/>
  <c r="O408" i="6"/>
  <c r="P408" i="6" s="1"/>
  <c r="AD408" i="6" l="1"/>
  <c r="AK408" i="6"/>
  <c r="Q408" i="6"/>
  <c r="A409" i="6"/>
  <c r="R407" i="6"/>
  <c r="M407" i="6" s="1"/>
  <c r="S407" i="6" s="1"/>
  <c r="N408" i="6"/>
  <c r="O409" i="6"/>
  <c r="P409" i="6" s="1"/>
  <c r="AD409" i="6" l="1"/>
  <c r="AK409" i="6"/>
  <c r="Q409" i="6"/>
  <c r="A410" i="6"/>
  <c r="R408" i="6"/>
  <c r="M408" i="6" s="1"/>
  <c r="S408" i="6" s="1"/>
  <c r="N409" i="6"/>
  <c r="O410" i="6"/>
  <c r="P410" i="6" s="1"/>
  <c r="AD410" i="6" l="1"/>
  <c r="AK410" i="6"/>
  <c r="Q410" i="6"/>
  <c r="A411" i="6"/>
  <c r="R409" i="6"/>
  <c r="M409" i="6" s="1"/>
  <c r="S409" i="6" s="1"/>
  <c r="N410" i="6"/>
  <c r="O411" i="6"/>
  <c r="P411" i="6" s="1"/>
  <c r="AD411" i="6" l="1"/>
  <c r="AK411" i="6"/>
  <c r="Q411" i="6"/>
  <c r="A412" i="6"/>
  <c r="R410" i="6"/>
  <c r="M410" i="6" s="1"/>
  <c r="S410" i="6" s="1"/>
  <c r="N411" i="6"/>
  <c r="O412" i="6"/>
  <c r="P412" i="6" s="1"/>
  <c r="AD412" i="6" l="1"/>
  <c r="AK412" i="6"/>
  <c r="Q412" i="6"/>
  <c r="A413" i="6"/>
  <c r="R411" i="6"/>
  <c r="M411" i="6" s="1"/>
  <c r="S411" i="6" s="1"/>
  <c r="N412" i="6"/>
  <c r="O413" i="6"/>
  <c r="P413" i="6" s="1"/>
  <c r="AD413" i="6" l="1"/>
  <c r="AK413" i="6"/>
  <c r="Q413" i="6"/>
  <c r="A414" i="6"/>
  <c r="R412" i="6"/>
  <c r="M412" i="6" s="1"/>
  <c r="S412" i="6" s="1"/>
  <c r="N413" i="6"/>
  <c r="O414" i="6"/>
  <c r="P414" i="6" s="1"/>
  <c r="AD414" i="6" l="1"/>
  <c r="AK414" i="6"/>
  <c r="Q414" i="6"/>
  <c r="A415" i="6"/>
  <c r="R413" i="6"/>
  <c r="M413" i="6" s="1"/>
  <c r="S413" i="6" s="1"/>
  <c r="N414" i="6"/>
  <c r="O415" i="6"/>
  <c r="P415" i="6" s="1"/>
  <c r="AD415" i="6" l="1"/>
  <c r="AK415" i="6"/>
  <c r="Q415" i="6"/>
  <c r="A416" i="6"/>
  <c r="R414" i="6"/>
  <c r="M414" i="6" s="1"/>
  <c r="S414" i="6" s="1"/>
  <c r="N415" i="6"/>
  <c r="O416" i="6"/>
  <c r="P416" i="6" s="1"/>
  <c r="AD416" i="6" l="1"/>
  <c r="AK416" i="6"/>
  <c r="Q416" i="6"/>
  <c r="A417" i="6"/>
  <c r="R415" i="6"/>
  <c r="M415" i="6" s="1"/>
  <c r="S415" i="6" s="1"/>
  <c r="N416" i="6"/>
  <c r="O417" i="6"/>
  <c r="P417" i="6" s="1"/>
  <c r="AD417" i="6" l="1"/>
  <c r="AK417" i="6"/>
  <c r="Q417" i="6"/>
  <c r="A418" i="6"/>
  <c r="R416" i="6"/>
  <c r="M416" i="6" s="1"/>
  <c r="S416" i="6" s="1"/>
  <c r="N417" i="6"/>
  <c r="O418" i="6"/>
  <c r="P418" i="6" s="1"/>
  <c r="AD418" i="6" l="1"/>
  <c r="AK418" i="6"/>
  <c r="Q418" i="6"/>
  <c r="A419" i="6"/>
  <c r="R417" i="6"/>
  <c r="M417" i="6" s="1"/>
  <c r="S417" i="6" s="1"/>
  <c r="N418" i="6"/>
  <c r="O419" i="6"/>
  <c r="P419" i="6" s="1"/>
  <c r="AD419" i="6" l="1"/>
  <c r="AK419" i="6"/>
  <c r="Q419" i="6"/>
  <c r="A420" i="6"/>
  <c r="R418" i="6"/>
  <c r="M418" i="6" s="1"/>
  <c r="S418" i="6" s="1"/>
  <c r="N419" i="6"/>
  <c r="O420" i="6"/>
  <c r="P420" i="6" s="1"/>
  <c r="AD420" i="6" l="1"/>
  <c r="AK420" i="6"/>
  <c r="Q420" i="6"/>
  <c r="A421" i="6"/>
  <c r="R419" i="6"/>
  <c r="M419" i="6" s="1"/>
  <c r="S419" i="6" s="1"/>
  <c r="N420" i="6"/>
  <c r="O421" i="6"/>
  <c r="P421" i="6" s="1"/>
  <c r="AD421" i="6" l="1"/>
  <c r="AK421" i="6"/>
  <c r="Q421" i="6"/>
  <c r="A422" i="6"/>
  <c r="R420" i="6"/>
  <c r="M420" i="6" s="1"/>
  <c r="S420" i="6" s="1"/>
  <c r="N421" i="6"/>
  <c r="O422" i="6"/>
  <c r="P422" i="6" s="1"/>
  <c r="AD422" i="6" l="1"/>
  <c r="AK422" i="6"/>
  <c r="Q422" i="6"/>
  <c r="A423" i="6"/>
  <c r="R421" i="6"/>
  <c r="M421" i="6" s="1"/>
  <c r="S421" i="6" s="1"/>
  <c r="N422" i="6"/>
  <c r="O423" i="6"/>
  <c r="P423" i="6" s="1"/>
  <c r="A424" i="6" l="1"/>
  <c r="AK424" i="6" s="1"/>
  <c r="AK423" i="6"/>
  <c r="Q423" i="6"/>
  <c r="AD423" i="6"/>
  <c r="R422" i="6"/>
  <c r="M422" i="6" s="1"/>
  <c r="S422" i="6" s="1"/>
  <c r="N423" i="6"/>
  <c r="O424" i="6"/>
  <c r="P424" i="6" s="1"/>
  <c r="A425" i="6" l="1"/>
  <c r="AK425" i="6" s="1"/>
  <c r="AD424" i="6"/>
  <c r="B424" i="6"/>
  <c r="C423" i="6" s="1"/>
  <c r="Q424" i="6"/>
  <c r="R423" i="6"/>
  <c r="M423" i="6" s="1"/>
  <c r="S423" i="6" s="1"/>
  <c r="N424" i="6"/>
  <c r="O425" i="6"/>
  <c r="P425" i="6" s="1"/>
  <c r="AD425" i="6" l="1"/>
  <c r="A426" i="6"/>
  <c r="AK426" i="6" s="1"/>
  <c r="B425" i="6"/>
  <c r="C424" i="6" s="1"/>
  <c r="Q425" i="6"/>
  <c r="R424" i="6"/>
  <c r="M424" i="6" s="1"/>
  <c r="S424" i="6" s="1"/>
  <c r="N425" i="6"/>
  <c r="O426" i="6"/>
  <c r="P426" i="6" s="1"/>
  <c r="AD426" i="6" l="1"/>
  <c r="B426" i="6"/>
  <c r="C425" i="6" s="1"/>
  <c r="A427" i="6"/>
  <c r="AK427" i="6" s="1"/>
  <c r="Q426" i="6"/>
  <c r="R425" i="6"/>
  <c r="M425" i="6" s="1"/>
  <c r="S425" i="6" s="1"/>
  <c r="N426" i="6"/>
  <c r="O427" i="6"/>
  <c r="P427" i="6" s="1"/>
  <c r="B427" i="6" l="1"/>
  <c r="C426" i="6" s="1"/>
  <c r="A428" i="6"/>
  <c r="AK428" i="6" s="1"/>
  <c r="AD427" i="6"/>
  <c r="Q427" i="6"/>
  <c r="R426" i="6"/>
  <c r="M426" i="6" s="1"/>
  <c r="S426" i="6" s="1"/>
  <c r="N427" i="6"/>
  <c r="O428" i="6"/>
  <c r="P428" i="6" s="1"/>
  <c r="AD428" i="6" l="1"/>
  <c r="A429" i="6"/>
  <c r="AK429" i="6" s="1"/>
  <c r="B428" i="6"/>
  <c r="C427" i="6" s="1"/>
  <c r="Q428" i="6"/>
  <c r="R427" i="6"/>
  <c r="M427" i="6" s="1"/>
  <c r="S427" i="6" s="1"/>
  <c r="N428" i="6"/>
  <c r="O429" i="6"/>
  <c r="P429" i="6" s="1"/>
  <c r="B429" i="6" l="1"/>
  <c r="C428" i="6" s="1"/>
  <c r="AD429" i="6"/>
  <c r="A430" i="6"/>
  <c r="AK430" i="6" s="1"/>
  <c r="Q429" i="6"/>
  <c r="R428" i="6"/>
  <c r="M428" i="6" s="1"/>
  <c r="S428" i="6" s="1"/>
  <c r="N429" i="6"/>
  <c r="O430" i="6"/>
  <c r="P430" i="6" s="1"/>
  <c r="AD430" i="6" l="1"/>
  <c r="A431" i="6"/>
  <c r="AK431" i="6" s="1"/>
  <c r="B430" i="6"/>
  <c r="C429" i="6" s="1"/>
  <c r="Q430" i="6"/>
  <c r="R429" i="6"/>
  <c r="M429" i="6" s="1"/>
  <c r="S429" i="6" s="1"/>
  <c r="N430" i="6"/>
  <c r="O431" i="6"/>
  <c r="P431" i="6" s="1"/>
  <c r="A432" i="6" l="1"/>
  <c r="AK432" i="6" s="1"/>
  <c r="B431" i="6"/>
  <c r="C430" i="6" s="1"/>
  <c r="AD431" i="6"/>
  <c r="Q431" i="6"/>
  <c r="R430" i="6"/>
  <c r="M430" i="6" s="1"/>
  <c r="S430" i="6" s="1"/>
  <c r="N431" i="6"/>
  <c r="O432" i="6"/>
  <c r="P432" i="6" s="1"/>
  <c r="AD432" i="6" l="1"/>
  <c r="A433" i="6"/>
  <c r="AK433" i="6" s="1"/>
  <c r="B432" i="6"/>
  <c r="C431" i="6" s="1"/>
  <c r="Q432" i="6"/>
  <c r="R431" i="6"/>
  <c r="M431" i="6" s="1"/>
  <c r="S431" i="6" s="1"/>
  <c r="N432" i="6"/>
  <c r="O433" i="6"/>
  <c r="P433" i="6" s="1"/>
  <c r="AD433" i="6" l="1"/>
  <c r="B433" i="6"/>
  <c r="C432" i="6" s="1"/>
  <c r="A434" i="6"/>
  <c r="AK434" i="6" s="1"/>
  <c r="Q433" i="6"/>
  <c r="R432" i="6"/>
  <c r="M432" i="6" s="1"/>
  <c r="S432" i="6" s="1"/>
  <c r="N433" i="6"/>
  <c r="O434" i="6"/>
  <c r="P434" i="6" s="1"/>
  <c r="AD434" i="6" l="1"/>
  <c r="A435" i="6"/>
  <c r="AK435" i="6" s="1"/>
  <c r="B434" i="6"/>
  <c r="C433" i="6" s="1"/>
  <c r="Q434" i="6"/>
  <c r="R433" i="6"/>
  <c r="M433" i="6" s="1"/>
  <c r="S433" i="6" s="1"/>
  <c r="N434" i="6"/>
  <c r="O435" i="6"/>
  <c r="P435" i="6" s="1"/>
  <c r="AD435" i="6" l="1"/>
  <c r="A436" i="6"/>
  <c r="AK436" i="6" s="1"/>
  <c r="B435" i="6"/>
  <c r="C434" i="6" s="1"/>
  <c r="Q435" i="6"/>
  <c r="R434" i="6"/>
  <c r="M434" i="6" s="1"/>
  <c r="S434" i="6" s="1"/>
  <c r="N435" i="6"/>
  <c r="O436" i="6"/>
  <c r="P436" i="6" s="1"/>
  <c r="AD436" i="6" l="1"/>
  <c r="B436" i="6"/>
  <c r="C435" i="6" s="1"/>
  <c r="A437" i="6"/>
  <c r="AK437" i="6" s="1"/>
  <c r="Q436" i="6"/>
  <c r="R435" i="6"/>
  <c r="M435" i="6" s="1"/>
  <c r="S435" i="6" s="1"/>
  <c r="N436" i="6"/>
  <c r="O437" i="6"/>
  <c r="P437" i="6" s="1"/>
  <c r="AD437" i="6" l="1"/>
  <c r="B437" i="6"/>
  <c r="C436" i="6" s="1"/>
  <c r="A438" i="6"/>
  <c r="AK438" i="6" s="1"/>
  <c r="Q437" i="6"/>
  <c r="R436" i="6"/>
  <c r="M436" i="6" s="1"/>
  <c r="S436" i="6" s="1"/>
  <c r="N437" i="6"/>
  <c r="O438" i="6"/>
  <c r="P438" i="6" s="1"/>
  <c r="AD438" i="6" l="1"/>
  <c r="A439" i="6"/>
  <c r="AK439" i="6" s="1"/>
  <c r="B438" i="6"/>
  <c r="C437" i="6" s="1"/>
  <c r="Q438" i="6"/>
  <c r="R437" i="6"/>
  <c r="M437" i="6" s="1"/>
  <c r="S437" i="6" s="1"/>
  <c r="N438" i="6"/>
  <c r="O439" i="6"/>
  <c r="P439" i="6" s="1"/>
  <c r="AD439" i="6" l="1"/>
  <c r="A440" i="6"/>
  <c r="AK440" i="6" s="1"/>
  <c r="B439" i="6"/>
  <c r="C438" i="6" s="1"/>
  <c r="Q439" i="6"/>
  <c r="R438" i="6"/>
  <c r="M438" i="6" s="1"/>
  <c r="S438" i="6" s="1"/>
  <c r="N439" i="6"/>
  <c r="O440" i="6"/>
  <c r="P440" i="6" s="1"/>
  <c r="AD440" i="6" l="1"/>
  <c r="A441" i="6"/>
  <c r="AK441" i="6" s="1"/>
  <c r="B440" i="6"/>
  <c r="C439" i="6" s="1"/>
  <c r="Q440" i="6"/>
  <c r="R439" i="6"/>
  <c r="M439" i="6" s="1"/>
  <c r="S439" i="6" s="1"/>
  <c r="N440" i="6"/>
  <c r="O441" i="6"/>
  <c r="P441" i="6" s="1"/>
  <c r="AD441" i="6" l="1"/>
  <c r="B441" i="6"/>
  <c r="C440" i="6" s="1"/>
  <c r="A442" i="6"/>
  <c r="AK442" i="6" s="1"/>
  <c r="Q441" i="6"/>
  <c r="R440" i="6"/>
  <c r="M440" i="6" s="1"/>
  <c r="S440" i="6" s="1"/>
  <c r="N441" i="6"/>
  <c r="O442" i="6"/>
  <c r="P442" i="6" s="1"/>
  <c r="AD442" i="6" l="1"/>
  <c r="A443" i="6"/>
  <c r="AK443" i="6" s="1"/>
  <c r="B442" i="6"/>
  <c r="C441" i="6" s="1"/>
  <c r="Q442" i="6"/>
  <c r="R441" i="6"/>
  <c r="M441" i="6" s="1"/>
  <c r="S441" i="6" s="1"/>
  <c r="N442" i="6"/>
  <c r="O443" i="6"/>
  <c r="P443" i="6" s="1"/>
  <c r="AD443" i="6" l="1"/>
  <c r="A444" i="6"/>
  <c r="AK444" i="6" s="1"/>
  <c r="B443" i="6"/>
  <c r="C442" i="6" s="1"/>
  <c r="Q443" i="6"/>
  <c r="R442" i="6"/>
  <c r="M442" i="6" s="1"/>
  <c r="S442" i="6" s="1"/>
  <c r="N443" i="6"/>
  <c r="O444" i="6"/>
  <c r="P444" i="6" s="1"/>
  <c r="AD444" i="6" l="1"/>
  <c r="B444" i="6"/>
  <c r="C443" i="6" s="1"/>
  <c r="A445" i="6"/>
  <c r="AK445" i="6" s="1"/>
  <c r="Q444" i="6"/>
  <c r="R443" i="6"/>
  <c r="M443" i="6" s="1"/>
  <c r="S443" i="6" s="1"/>
  <c r="N444" i="6"/>
  <c r="O445" i="6"/>
  <c r="P445" i="6" s="1"/>
  <c r="AD445" i="6" l="1"/>
  <c r="A446" i="6"/>
  <c r="AK446" i="6" s="1"/>
  <c r="B445" i="6"/>
  <c r="C444" i="6" s="1"/>
  <c r="Q445" i="6"/>
  <c r="R444" i="6"/>
  <c r="M444" i="6" s="1"/>
  <c r="S444" i="6" s="1"/>
  <c r="N445" i="6"/>
  <c r="O446" i="6"/>
  <c r="P446" i="6" s="1"/>
  <c r="AD446" i="6" l="1"/>
  <c r="B446" i="6"/>
  <c r="C445" i="6" s="1"/>
  <c r="A447" i="6"/>
  <c r="AK447" i="6" s="1"/>
  <c r="Q446" i="6"/>
  <c r="R445" i="6"/>
  <c r="M445" i="6" s="1"/>
  <c r="S445" i="6" s="1"/>
  <c r="N446" i="6"/>
  <c r="O447" i="6"/>
  <c r="P447" i="6" s="1"/>
  <c r="B447" i="6" l="1"/>
  <c r="C446" i="6" s="1"/>
  <c r="AD447" i="6"/>
  <c r="A448" i="6"/>
  <c r="AK448" i="6" s="1"/>
  <c r="Q447" i="6"/>
  <c r="R446" i="6"/>
  <c r="M446" i="6" s="1"/>
  <c r="S446" i="6" s="1"/>
  <c r="N447" i="6"/>
  <c r="O448" i="6"/>
  <c r="P448" i="6" s="1"/>
  <c r="A449" i="6" l="1"/>
  <c r="AK449" i="6" s="1"/>
  <c r="AD448" i="6"/>
  <c r="B448" i="6"/>
  <c r="C447" i="6" s="1"/>
  <c r="Q448" i="6"/>
  <c r="R447" i="6"/>
  <c r="M447" i="6" s="1"/>
  <c r="S447" i="6" s="1"/>
  <c r="N448" i="6"/>
  <c r="O449" i="6"/>
  <c r="P449" i="6" s="1"/>
  <c r="AD449" i="6" l="1"/>
  <c r="A450" i="6"/>
  <c r="AK450" i="6" s="1"/>
  <c r="B449" i="6"/>
  <c r="C448" i="6" s="1"/>
  <c r="Q449" i="6"/>
  <c r="R448" i="6"/>
  <c r="M448" i="6" s="1"/>
  <c r="S448" i="6" s="1"/>
  <c r="N449" i="6"/>
  <c r="O450" i="6"/>
  <c r="P450" i="6" s="1"/>
  <c r="AD450" i="6" l="1"/>
  <c r="A451" i="6"/>
  <c r="AK451" i="6" s="1"/>
  <c r="B450" i="6"/>
  <c r="C449" i="6" s="1"/>
  <c r="Q450" i="6"/>
  <c r="R449" i="6"/>
  <c r="M449" i="6" s="1"/>
  <c r="S449" i="6" s="1"/>
  <c r="N450" i="6"/>
  <c r="O451" i="6"/>
  <c r="P451" i="6" s="1"/>
  <c r="AD451" i="6" l="1"/>
  <c r="B451" i="6"/>
  <c r="C450" i="6" s="1"/>
  <c r="A452" i="6"/>
  <c r="AK452" i="6" s="1"/>
  <c r="Q451" i="6"/>
  <c r="R450" i="6"/>
  <c r="M450" i="6" s="1"/>
  <c r="S450" i="6" s="1"/>
  <c r="N451" i="6"/>
  <c r="O452" i="6"/>
  <c r="P452" i="6" s="1"/>
  <c r="AD452" i="6" l="1"/>
  <c r="A453" i="6"/>
  <c r="AK453" i="6" s="1"/>
  <c r="B452" i="6"/>
  <c r="C451" i="6" s="1"/>
  <c r="Q452" i="6"/>
  <c r="R451" i="6"/>
  <c r="M451" i="6" s="1"/>
  <c r="S451" i="6" s="1"/>
  <c r="N452" i="6"/>
  <c r="O453" i="6"/>
  <c r="P453" i="6" s="1"/>
  <c r="AD453" i="6" l="1"/>
  <c r="A454" i="6"/>
  <c r="AK454" i="6" s="1"/>
  <c r="B453" i="6"/>
  <c r="C452" i="6" s="1"/>
  <c r="Q453" i="6"/>
  <c r="R452" i="6"/>
  <c r="M452" i="6" s="1"/>
  <c r="S452" i="6" s="1"/>
  <c r="N453" i="6"/>
  <c r="O454" i="6"/>
  <c r="P454" i="6" s="1"/>
  <c r="AD454" i="6" l="1"/>
  <c r="A455" i="6"/>
  <c r="AK455" i="6" s="1"/>
  <c r="B454" i="6"/>
  <c r="C453" i="6" s="1"/>
  <c r="Q454" i="6"/>
  <c r="R453" i="6"/>
  <c r="M453" i="6" s="1"/>
  <c r="S453" i="6" s="1"/>
  <c r="N454" i="6"/>
  <c r="O455" i="6"/>
  <c r="P455" i="6" s="1"/>
  <c r="AD455" i="6" l="1"/>
  <c r="B455" i="6"/>
  <c r="C454" i="6" s="1"/>
  <c r="A456" i="6"/>
  <c r="AK456" i="6" s="1"/>
  <c r="Q455" i="6"/>
  <c r="R454" i="6"/>
  <c r="M454" i="6" s="1"/>
  <c r="S454" i="6" s="1"/>
  <c r="N455" i="6"/>
  <c r="O456" i="6"/>
  <c r="P456" i="6" s="1"/>
  <c r="A457" i="6" l="1"/>
  <c r="AK457" i="6" s="1"/>
  <c r="B456" i="6"/>
  <c r="C455" i="6" s="1"/>
  <c r="AD456" i="6"/>
  <c r="Q456" i="6"/>
  <c r="R455" i="6"/>
  <c r="M455" i="6" s="1"/>
  <c r="S455" i="6" s="1"/>
  <c r="N456" i="6"/>
  <c r="O457" i="6"/>
  <c r="P457" i="6" s="1"/>
  <c r="AD457" i="6" l="1"/>
  <c r="B457" i="6"/>
  <c r="C456" i="6" s="1"/>
  <c r="A458" i="6"/>
  <c r="AK458" i="6" s="1"/>
  <c r="Q457" i="6"/>
  <c r="R456" i="6"/>
  <c r="M456" i="6" s="1"/>
  <c r="S456" i="6" s="1"/>
  <c r="N457" i="6"/>
  <c r="O458" i="6"/>
  <c r="P458" i="6" s="1"/>
  <c r="A459" i="6" l="1"/>
  <c r="AK459" i="6" s="1"/>
  <c r="B458" i="6"/>
  <c r="C457" i="6" s="1"/>
  <c r="Q458" i="6"/>
  <c r="R457" i="6"/>
  <c r="M457" i="6" s="1"/>
  <c r="S457" i="6" s="1"/>
  <c r="N458" i="6"/>
  <c r="O459" i="6"/>
  <c r="P459" i="6" s="1"/>
  <c r="A460" i="6" l="1"/>
  <c r="AK460" i="6" s="1"/>
  <c r="B459" i="6"/>
  <c r="C458" i="6" s="1"/>
  <c r="Q459" i="6"/>
  <c r="R458" i="6"/>
  <c r="M458" i="6" s="1"/>
  <c r="S458" i="6" s="1"/>
  <c r="N459" i="6"/>
  <c r="O460" i="6"/>
  <c r="P460" i="6" s="1"/>
  <c r="B460" i="6" l="1"/>
  <c r="C459" i="6" s="1"/>
  <c r="A461" i="6"/>
  <c r="AK461" i="6" s="1"/>
  <c r="Q460" i="6"/>
  <c r="R459" i="6"/>
  <c r="M459" i="6" s="1"/>
  <c r="S459" i="6" s="1"/>
  <c r="N460" i="6"/>
  <c r="O461" i="6"/>
  <c r="P461" i="6" s="1"/>
  <c r="A462" i="6" l="1"/>
  <c r="AK462" i="6" s="1"/>
  <c r="B461" i="6"/>
  <c r="C460" i="6" s="1"/>
  <c r="Q461" i="6"/>
  <c r="R460" i="6"/>
  <c r="M460" i="6" s="1"/>
  <c r="S460" i="6" s="1"/>
  <c r="N461" i="6"/>
  <c r="O462" i="6"/>
  <c r="P462" i="6" s="1"/>
  <c r="B462" i="6" l="1"/>
  <c r="C461" i="6" s="1"/>
  <c r="A463" i="6"/>
  <c r="AK463" i="6" s="1"/>
  <c r="Q462" i="6"/>
  <c r="R461" i="6"/>
  <c r="M461" i="6" s="1"/>
  <c r="S461" i="6" s="1"/>
  <c r="N462" i="6"/>
  <c r="O463" i="6"/>
  <c r="P463" i="6" s="1"/>
  <c r="A464" i="6" l="1"/>
  <c r="AK464" i="6" s="1"/>
  <c r="B463" i="6"/>
  <c r="C462" i="6" s="1"/>
  <c r="Q463" i="6"/>
  <c r="R462" i="6"/>
  <c r="M462" i="6" s="1"/>
  <c r="S462" i="6" s="1"/>
  <c r="N463" i="6"/>
  <c r="O464" i="6"/>
  <c r="P464" i="6" s="1"/>
  <c r="A465" i="6" l="1"/>
  <c r="AK465" i="6" s="1"/>
  <c r="B464" i="6"/>
  <c r="C463" i="6" s="1"/>
  <c r="Q464" i="6"/>
  <c r="R463" i="6"/>
  <c r="M463" i="6" s="1"/>
  <c r="S463" i="6" s="1"/>
  <c r="N464" i="6"/>
  <c r="O465" i="6"/>
  <c r="P465" i="6" s="1"/>
  <c r="B465" i="6" l="1"/>
  <c r="C464" i="6" s="1"/>
  <c r="A466" i="6"/>
  <c r="AK466" i="6" s="1"/>
  <c r="Q465" i="6"/>
  <c r="R464" i="6"/>
  <c r="M464" i="6" s="1"/>
  <c r="S464" i="6" s="1"/>
  <c r="N465" i="6"/>
  <c r="O466" i="6"/>
  <c r="P466" i="6" s="1"/>
  <c r="A467" i="6" l="1"/>
  <c r="AK467" i="6" s="1"/>
  <c r="B466" i="6"/>
  <c r="C465" i="6" s="1"/>
  <c r="Q466" i="6"/>
  <c r="R465" i="6"/>
  <c r="M465" i="6" s="1"/>
  <c r="S465" i="6" s="1"/>
  <c r="N466" i="6"/>
  <c r="O467" i="6"/>
  <c r="P467" i="6" s="1"/>
  <c r="B467" i="6" l="1"/>
  <c r="C466" i="6" s="1"/>
  <c r="A468" i="6"/>
  <c r="AK468" i="6" s="1"/>
  <c r="Q467" i="6"/>
  <c r="R466" i="6"/>
  <c r="M466" i="6" s="1"/>
  <c r="S466" i="6" s="1"/>
  <c r="N467" i="6"/>
  <c r="O468" i="6"/>
  <c r="P468" i="6" s="1"/>
  <c r="A469" i="6" l="1"/>
  <c r="AK469" i="6" s="1"/>
  <c r="B468" i="6"/>
  <c r="C467" i="6" s="1"/>
  <c r="Q468" i="6"/>
  <c r="R467" i="6"/>
  <c r="M467" i="6" s="1"/>
  <c r="S467" i="6" s="1"/>
  <c r="N468" i="6"/>
  <c r="O469" i="6"/>
  <c r="P469" i="6" s="1"/>
  <c r="A470" i="6" l="1"/>
  <c r="AK470" i="6" s="1"/>
  <c r="B469" i="6"/>
  <c r="C468" i="6" s="1"/>
  <c r="Q469" i="6"/>
  <c r="R468" i="6"/>
  <c r="M468" i="6" s="1"/>
  <c r="S468" i="6" s="1"/>
  <c r="N469" i="6"/>
  <c r="O470" i="6"/>
  <c r="P470" i="6" s="1"/>
  <c r="A471" i="6" l="1"/>
  <c r="AK471" i="6" s="1"/>
  <c r="B470" i="6"/>
  <c r="C469" i="6" s="1"/>
  <c r="Q470" i="6"/>
  <c r="R469" i="6"/>
  <c r="M469" i="6" s="1"/>
  <c r="S469" i="6" s="1"/>
  <c r="N470" i="6"/>
  <c r="O471" i="6"/>
  <c r="P471" i="6" s="1"/>
  <c r="A472" i="6" l="1"/>
  <c r="AK472" i="6" s="1"/>
  <c r="B471" i="6"/>
  <c r="C470" i="6" s="1"/>
  <c r="Q471" i="6"/>
  <c r="R470" i="6"/>
  <c r="M470" i="6" s="1"/>
  <c r="S470" i="6" s="1"/>
  <c r="N471" i="6"/>
  <c r="O472" i="6"/>
  <c r="P472" i="6" s="1"/>
  <c r="A473" i="6" l="1"/>
  <c r="AK473" i="6" s="1"/>
  <c r="B472" i="6"/>
  <c r="C471" i="6" s="1"/>
  <c r="Q472" i="6"/>
  <c r="R471" i="6"/>
  <c r="M471" i="6" s="1"/>
  <c r="S471" i="6" s="1"/>
  <c r="N472" i="6"/>
  <c r="O473" i="6"/>
  <c r="P473" i="6" s="1"/>
  <c r="A474" i="6" l="1"/>
  <c r="AK474" i="6" s="1"/>
  <c r="B473" i="6"/>
  <c r="C472" i="6" s="1"/>
  <c r="Q473" i="6"/>
  <c r="R472" i="6"/>
  <c r="M472" i="6" s="1"/>
  <c r="S472" i="6" s="1"/>
  <c r="N473" i="6"/>
  <c r="O474" i="6"/>
  <c r="P474" i="6" s="1"/>
  <c r="B474" i="6" l="1"/>
  <c r="C473" i="6" s="1"/>
  <c r="A475" i="6"/>
  <c r="AK475" i="6" s="1"/>
  <c r="Q474" i="6"/>
  <c r="R473" i="6"/>
  <c r="M473" i="6" s="1"/>
  <c r="S473" i="6" s="1"/>
  <c r="N474" i="6"/>
  <c r="O475" i="6"/>
  <c r="P475" i="6" s="1"/>
  <c r="A476" i="6" l="1"/>
  <c r="AK476" i="6" s="1"/>
  <c r="B475" i="6"/>
  <c r="C474" i="6" s="1"/>
  <c r="Q475" i="6"/>
  <c r="R474" i="6"/>
  <c r="M474" i="6" s="1"/>
  <c r="S474" i="6" s="1"/>
  <c r="N475" i="6"/>
  <c r="O476" i="6"/>
  <c r="P476" i="6" s="1"/>
  <c r="B476" i="6" l="1"/>
  <c r="C475" i="6" s="1"/>
  <c r="A477" i="6"/>
  <c r="AK477" i="6" s="1"/>
  <c r="Q476" i="6"/>
  <c r="R475" i="6"/>
  <c r="M475" i="6" s="1"/>
  <c r="S475" i="6" s="1"/>
  <c r="N476" i="6"/>
  <c r="O477" i="6"/>
  <c r="P477" i="6" s="1"/>
  <c r="A478" i="6" l="1"/>
  <c r="AK478" i="6" s="1"/>
  <c r="B477" i="6"/>
  <c r="C476" i="6" s="1"/>
  <c r="Q477" i="6"/>
  <c r="R476" i="6"/>
  <c r="M476" i="6" s="1"/>
  <c r="S476" i="6" s="1"/>
  <c r="N477" i="6"/>
  <c r="O478" i="6"/>
  <c r="P478" i="6" s="1"/>
  <c r="A479" i="6" l="1"/>
  <c r="AK479" i="6" s="1"/>
  <c r="B478" i="6"/>
  <c r="C477" i="6" s="1"/>
  <c r="Q478" i="6"/>
  <c r="R477" i="6"/>
  <c r="M477" i="6" s="1"/>
  <c r="S477" i="6" s="1"/>
  <c r="N478" i="6"/>
  <c r="O479" i="6"/>
  <c r="P479" i="6" s="1"/>
  <c r="B479" i="6" l="1"/>
  <c r="C478" i="6" s="1"/>
  <c r="A480" i="6"/>
  <c r="AK480" i="6" s="1"/>
  <c r="Q479" i="6"/>
  <c r="R478" i="6"/>
  <c r="M478" i="6" s="1"/>
  <c r="S478" i="6" s="1"/>
  <c r="N479" i="6"/>
  <c r="O480" i="6"/>
  <c r="P480" i="6" s="1"/>
  <c r="B480" i="6" l="1"/>
  <c r="C479" i="6" s="1"/>
  <c r="A481" i="6"/>
  <c r="AK481" i="6" s="1"/>
  <c r="Q480" i="6"/>
  <c r="R479" i="6"/>
  <c r="M479" i="6" s="1"/>
  <c r="S479" i="6" s="1"/>
  <c r="N480" i="6"/>
  <c r="O481" i="6"/>
  <c r="P481" i="6" s="1"/>
  <c r="B481" i="6" l="1"/>
  <c r="C480" i="6" s="1"/>
  <c r="A482" i="6"/>
  <c r="AK482" i="6" s="1"/>
  <c r="Q481" i="6"/>
  <c r="R480" i="6"/>
  <c r="M480" i="6" s="1"/>
  <c r="S480" i="6" s="1"/>
  <c r="N481" i="6"/>
  <c r="O482" i="6"/>
  <c r="P482" i="6" s="1"/>
  <c r="B482" i="6" l="1"/>
  <c r="C481" i="6" s="1"/>
  <c r="A483" i="6"/>
  <c r="AK483" i="6" s="1"/>
  <c r="Q482" i="6"/>
  <c r="R481" i="6"/>
  <c r="M481" i="6" s="1"/>
  <c r="S481" i="6" s="1"/>
  <c r="N482" i="6"/>
  <c r="O483" i="6"/>
  <c r="P483" i="6" s="1"/>
  <c r="B483" i="6" l="1"/>
  <c r="C482" i="6" s="1"/>
  <c r="A484" i="6"/>
  <c r="AK484" i="6" s="1"/>
  <c r="Q483" i="6"/>
  <c r="R482" i="6"/>
  <c r="M482" i="6" s="1"/>
  <c r="S482" i="6" s="1"/>
  <c r="N483" i="6"/>
  <c r="O484" i="6"/>
  <c r="P484" i="6" s="1"/>
  <c r="B484" i="6" l="1"/>
  <c r="C483" i="6" s="1"/>
  <c r="A485" i="6"/>
  <c r="B485" i="6" s="1"/>
  <c r="C484" i="6" s="1"/>
  <c r="Q484" i="6"/>
  <c r="R483" i="6"/>
  <c r="M483" i="6" s="1"/>
  <c r="S483" i="6" s="1"/>
  <c r="N484" i="6"/>
  <c r="O485" i="6"/>
  <c r="P485" i="6" s="1"/>
  <c r="AK485" i="6" l="1"/>
  <c r="Q485" i="6"/>
  <c r="R484" i="6"/>
  <c r="M484" i="6" s="1"/>
  <c r="S484" i="6" s="1"/>
  <c r="N485" i="6"/>
  <c r="O486" i="6"/>
  <c r="P486" i="6" s="1"/>
  <c r="Q486" i="6" l="1"/>
  <c r="R485" i="6"/>
  <c r="M485" i="6" s="1"/>
  <c r="S485" i="6" s="1"/>
  <c r="N486" i="6"/>
  <c r="O487" i="6"/>
  <c r="P487" i="6" s="1"/>
  <c r="Q487" i="6" l="1"/>
  <c r="R486" i="6"/>
  <c r="M486" i="6" s="1"/>
  <c r="S486" i="6" s="1"/>
  <c r="N487" i="6"/>
  <c r="O488" i="6"/>
  <c r="P488" i="6" s="1"/>
  <c r="Q488" i="6" l="1"/>
  <c r="R487" i="6"/>
  <c r="M487" i="6" s="1"/>
  <c r="S487" i="6" s="1"/>
  <c r="N488" i="6"/>
  <c r="O489" i="6"/>
  <c r="P489" i="6" s="1"/>
  <c r="Q489" i="6" l="1"/>
  <c r="R488" i="6"/>
  <c r="M488" i="6" s="1"/>
  <c r="S488" i="6" s="1"/>
  <c r="N489" i="6"/>
  <c r="O490" i="6"/>
  <c r="P490" i="6" s="1"/>
  <c r="Q490" i="6" l="1"/>
  <c r="R489" i="6"/>
  <c r="M489" i="6" s="1"/>
  <c r="S489" i="6" s="1"/>
  <c r="N490" i="6"/>
  <c r="O491" i="6"/>
  <c r="P491" i="6" s="1"/>
  <c r="Q491" i="6" l="1"/>
  <c r="R490" i="6"/>
  <c r="M490" i="6" s="1"/>
  <c r="S490" i="6" s="1"/>
  <c r="N491" i="6"/>
  <c r="O492" i="6"/>
  <c r="P492" i="6" s="1"/>
  <c r="Q492" i="6" l="1"/>
  <c r="R491" i="6"/>
  <c r="M491" i="6" s="1"/>
  <c r="S491" i="6" s="1"/>
  <c r="N492" i="6"/>
  <c r="O493" i="6"/>
  <c r="P493" i="6" s="1"/>
  <c r="Q493" i="6" l="1"/>
  <c r="R492" i="6"/>
  <c r="M492" i="6" s="1"/>
  <c r="S492" i="6" s="1"/>
  <c r="N493" i="6"/>
  <c r="O494" i="6"/>
  <c r="P494" i="6" s="1"/>
  <c r="Q494" i="6" l="1"/>
  <c r="R493" i="6"/>
  <c r="M493" i="6" s="1"/>
  <c r="S493" i="6" s="1"/>
  <c r="N494" i="6"/>
  <c r="O495" i="6"/>
  <c r="P495" i="6" s="1"/>
  <c r="Q495" i="6" l="1"/>
  <c r="R494" i="6"/>
  <c r="M494" i="6" s="1"/>
  <c r="S494" i="6" s="1"/>
  <c r="N495" i="6"/>
  <c r="O496" i="6"/>
  <c r="P496" i="6" s="1"/>
  <c r="Q496" i="6" l="1"/>
  <c r="R495" i="6"/>
  <c r="M495" i="6" s="1"/>
  <c r="S495" i="6" s="1"/>
  <c r="N496" i="6"/>
  <c r="O497" i="6"/>
  <c r="P497" i="6" s="1"/>
  <c r="Q497" i="6" l="1"/>
  <c r="R496" i="6"/>
  <c r="M496" i="6" s="1"/>
  <c r="S496" i="6" s="1"/>
  <c r="N497" i="6"/>
  <c r="O498" i="6"/>
  <c r="P498" i="6" s="1"/>
  <c r="Q498" i="6" l="1"/>
  <c r="R497" i="6"/>
  <c r="M497" i="6" s="1"/>
  <c r="S497" i="6" s="1"/>
  <c r="N498" i="6"/>
  <c r="O499" i="6"/>
  <c r="P499" i="6" s="1"/>
  <c r="Q499" i="6" l="1"/>
  <c r="R498" i="6"/>
  <c r="M498" i="6" s="1"/>
  <c r="S498" i="6" s="1"/>
  <c r="N499" i="6"/>
  <c r="O500" i="6"/>
  <c r="P500" i="6" s="1"/>
  <c r="Q500" i="6" l="1"/>
  <c r="R499" i="6"/>
  <c r="M499" i="6" s="1"/>
  <c r="S499" i="6" s="1"/>
  <c r="N500" i="6"/>
  <c r="O501" i="6"/>
  <c r="P501" i="6" s="1"/>
  <c r="Q501" i="6" l="1"/>
  <c r="O502" i="6"/>
  <c r="P502" i="6" s="1"/>
  <c r="R500" i="6"/>
  <c r="M500" i="6" s="1"/>
  <c r="S500" i="6" s="1"/>
  <c r="N501" i="6"/>
  <c r="Q502" i="6" l="1"/>
  <c r="N502" i="6"/>
  <c r="O503" i="6"/>
  <c r="P503" i="6" s="1"/>
  <c r="R501" i="6"/>
  <c r="M501" i="6" s="1"/>
  <c r="S501" i="6" s="1"/>
  <c r="Q503" i="6" l="1"/>
  <c r="O504" i="6"/>
  <c r="P504" i="6" s="1"/>
  <c r="N503" i="6"/>
  <c r="R502" i="6"/>
  <c r="M502" i="6" s="1"/>
  <c r="S502" i="6" s="1"/>
  <c r="Q504" i="6" l="1"/>
  <c r="R503" i="6"/>
  <c r="M503" i="6" s="1"/>
  <c r="S503" i="6" s="1"/>
  <c r="N504" i="6"/>
  <c r="O505" i="6"/>
  <c r="P505" i="6" s="1"/>
  <c r="Q505" i="6" l="1"/>
  <c r="R504" i="6"/>
  <c r="M504" i="6" s="1"/>
  <c r="S504" i="6" s="1"/>
  <c r="N505" i="6"/>
  <c r="O506" i="6"/>
  <c r="P506" i="6" s="1"/>
  <c r="Q506" i="6" l="1"/>
  <c r="R505" i="6"/>
  <c r="M505" i="6" s="1"/>
  <c r="S505" i="6" s="1"/>
  <c r="O507" i="6"/>
  <c r="P507" i="6" s="1"/>
  <c r="N506" i="6"/>
  <c r="Q507" i="6" l="1"/>
  <c r="R506" i="6"/>
  <c r="M506" i="6" s="1"/>
  <c r="S506" i="6" s="1"/>
  <c r="O508" i="6"/>
  <c r="P508" i="6" s="1"/>
  <c r="N507" i="6"/>
  <c r="Q508" i="6" l="1"/>
  <c r="R507" i="6"/>
  <c r="M507" i="6" s="1"/>
  <c r="S507" i="6" s="1"/>
  <c r="N508" i="6"/>
  <c r="O509" i="6"/>
  <c r="P509" i="6" s="1"/>
  <c r="Q509" i="6" l="1"/>
  <c r="R508" i="6"/>
  <c r="M508" i="6" s="1"/>
  <c r="S508" i="6" s="1"/>
  <c r="N509" i="6"/>
  <c r="O510" i="6"/>
  <c r="P510" i="6" s="1"/>
  <c r="Q510" i="6" l="1"/>
  <c r="R509" i="6"/>
  <c r="M509" i="6" s="1"/>
  <c r="S509" i="6" s="1"/>
  <c r="O511" i="6"/>
  <c r="P511" i="6" s="1"/>
  <c r="N510" i="6"/>
  <c r="Q511" i="6" l="1"/>
  <c r="N511" i="6"/>
  <c r="R510" i="6"/>
  <c r="M510" i="6" s="1"/>
  <c r="S510" i="6" s="1"/>
  <c r="O512" i="6"/>
  <c r="P512" i="6" s="1"/>
  <c r="Q512" i="6" l="1"/>
  <c r="N512" i="6"/>
  <c r="R511" i="6"/>
  <c r="M511" i="6" s="1"/>
  <c r="S511" i="6" s="1"/>
  <c r="O513" i="6"/>
  <c r="P513" i="6" s="1"/>
  <c r="Q513" i="6" l="1"/>
  <c r="O514" i="6"/>
  <c r="P514" i="6" s="1"/>
  <c r="R512" i="6"/>
  <c r="M512" i="6" s="1"/>
  <c r="S512" i="6" s="1"/>
  <c r="N513" i="6"/>
  <c r="Q514" i="6" l="1"/>
  <c r="N514" i="6"/>
  <c r="O515" i="6"/>
  <c r="R513" i="6"/>
  <c r="M513" i="6" s="1"/>
  <c r="S513" i="6" s="1"/>
  <c r="O516" i="6" l="1"/>
  <c r="P516" i="6" s="1"/>
  <c r="P515" i="6"/>
  <c r="N515" i="6"/>
  <c r="Q515" i="6"/>
  <c r="R514" i="6"/>
  <c r="M514" i="6" s="1"/>
  <c r="S514" i="6" s="1"/>
  <c r="N516" i="6" l="1"/>
  <c r="O517" i="6"/>
  <c r="P517" i="6" s="1"/>
  <c r="Q516" i="6"/>
  <c r="R516" i="6" s="1"/>
  <c r="R515" i="6"/>
  <c r="M515" i="6" s="1"/>
  <c r="S515" i="6" s="1"/>
  <c r="M516" i="6" l="1"/>
  <c r="S516" i="6" s="1"/>
  <c r="N517" i="6"/>
  <c r="O518" i="6"/>
  <c r="P518" i="6" s="1"/>
  <c r="Q517" i="6"/>
  <c r="R517" i="6" s="1"/>
  <c r="M517" i="6" l="1"/>
  <c r="S517" i="6" s="1"/>
  <c r="N518" i="6"/>
  <c r="Q518" i="6"/>
  <c r="R518" i="6" s="1"/>
  <c r="M518" i="6" s="1"/>
  <c r="S518" i="6" s="1"/>
  <c r="O519" i="6"/>
  <c r="P519" i="6" s="1"/>
  <c r="N519" i="6" l="1"/>
  <c r="Q519" i="6"/>
  <c r="R519" i="6" s="1"/>
  <c r="O520" i="6"/>
  <c r="P520" i="6" s="1"/>
  <c r="M519" i="6" l="1"/>
  <c r="S519" i="6" s="1"/>
  <c r="O521" i="6"/>
  <c r="P521" i="6" s="1"/>
  <c r="Q520" i="6"/>
  <c r="R520" i="6" s="1"/>
  <c r="N520" i="6"/>
  <c r="O522" i="6" l="1"/>
  <c r="P522" i="6" s="1"/>
  <c r="N521" i="6"/>
  <c r="M520" i="6"/>
  <c r="S520" i="6" s="1"/>
  <c r="Q521" i="6"/>
  <c r="R521" i="6" s="1"/>
  <c r="M521" i="6" l="1"/>
  <c r="S521" i="6" s="1"/>
  <c r="O523" i="6"/>
  <c r="P523" i="6" s="1"/>
  <c r="N522" i="6"/>
  <c r="Q522" i="6"/>
  <c r="R522" i="6" s="1"/>
  <c r="M522" i="6" l="1"/>
  <c r="S522" i="6" s="1"/>
  <c r="O524" i="6"/>
  <c r="P524" i="6" s="1"/>
  <c r="Q523" i="6"/>
  <c r="R523" i="6" s="1"/>
  <c r="N523" i="6"/>
  <c r="M523" i="6" l="1"/>
  <c r="S523" i="6" s="1"/>
  <c r="N524" i="6"/>
  <c r="O525" i="6"/>
  <c r="P525" i="6" s="1"/>
  <c r="Q524" i="6"/>
  <c r="R524" i="6" s="1"/>
  <c r="M524" i="6" l="1"/>
  <c r="S524" i="6" s="1"/>
  <c r="O526" i="6"/>
  <c r="P526" i="6" s="1"/>
  <c r="N525" i="6"/>
  <c r="Q525" i="6"/>
  <c r="R525" i="6" s="1"/>
  <c r="M525" i="6" s="1"/>
  <c r="S525" i="6" s="1"/>
  <c r="N526" i="6" l="1"/>
  <c r="O527" i="6"/>
  <c r="P527" i="6" s="1"/>
  <c r="Q526" i="6"/>
  <c r="R526" i="6" s="1"/>
  <c r="M526" i="6" l="1"/>
  <c r="S526" i="6" s="1"/>
  <c r="N527" i="6"/>
  <c r="Q527" i="6"/>
  <c r="R527" i="6" s="1"/>
  <c r="O528" i="6"/>
  <c r="P528" i="6" s="1"/>
  <c r="M527" i="6" l="1"/>
  <c r="S527" i="6" s="1"/>
  <c r="N528" i="6"/>
  <c r="Q528" i="6"/>
  <c r="R528" i="6" s="1"/>
  <c r="M528" i="6" s="1"/>
  <c r="S528" i="6" s="1"/>
  <c r="O529" i="6"/>
  <c r="P529" i="6" s="1"/>
  <c r="O530" i="6" l="1"/>
  <c r="P530" i="6" s="1"/>
  <c r="N529" i="6"/>
  <c r="Q529" i="6"/>
  <c r="R529" i="6" s="1"/>
  <c r="M529" i="6" l="1"/>
  <c r="S529" i="6" s="1"/>
  <c r="N530" i="6"/>
  <c r="O531" i="6"/>
  <c r="P531" i="6" s="1"/>
  <c r="Q530" i="6"/>
  <c r="R530" i="6" s="1"/>
  <c r="M530" i="6" l="1"/>
  <c r="S530" i="6" s="1"/>
  <c r="N531" i="6"/>
  <c r="O532" i="6"/>
  <c r="P532" i="6" s="1"/>
  <c r="Q531" i="6"/>
  <c r="R531" i="6" s="1"/>
  <c r="M531" i="6" s="1"/>
  <c r="S531" i="6" s="1"/>
  <c r="O533" i="6" l="1"/>
  <c r="P533" i="6" s="1"/>
  <c r="N532" i="6"/>
  <c r="Q532" i="6"/>
  <c r="R532" i="6" s="1"/>
  <c r="M532" i="6" l="1"/>
  <c r="S532" i="6" s="1"/>
  <c r="N533" i="6"/>
  <c r="O534" i="6"/>
  <c r="P534" i="6" s="1"/>
  <c r="Q533" i="6"/>
  <c r="R533" i="6" s="1"/>
  <c r="M533" i="6" s="1"/>
  <c r="S533" i="6" s="1"/>
  <c r="O535" i="6" l="1"/>
  <c r="P535" i="6" s="1"/>
  <c r="N534" i="6"/>
  <c r="Q534" i="6"/>
  <c r="R534" i="6" s="1"/>
  <c r="M534" i="6" l="1"/>
  <c r="S534" i="6" s="1"/>
  <c r="O536" i="6"/>
  <c r="P536" i="6" s="1"/>
  <c r="N535" i="6"/>
  <c r="Q535" i="6"/>
  <c r="R535" i="6" s="1"/>
  <c r="M535" i="6" l="1"/>
  <c r="S535" i="6" s="1"/>
  <c r="N536" i="6"/>
  <c r="O537" i="6"/>
  <c r="P537" i="6" s="1"/>
  <c r="Q536" i="6"/>
  <c r="R536" i="6" s="1"/>
  <c r="M536" i="6" s="1"/>
  <c r="S536" i="6" s="1"/>
  <c r="N537" i="6" l="1"/>
  <c r="Q537" i="6"/>
  <c r="R537" i="6" s="1"/>
  <c r="O538" i="6"/>
  <c r="P538" i="6" s="1"/>
  <c r="M537" i="6" l="1"/>
  <c r="S537" i="6" s="1"/>
  <c r="O539" i="6"/>
  <c r="P539" i="6" s="1"/>
  <c r="N538" i="6"/>
  <c r="Q538" i="6"/>
  <c r="R538" i="6" s="1"/>
  <c r="M538" i="6" l="1"/>
  <c r="S538" i="6" s="1"/>
  <c r="N539" i="6"/>
  <c r="O540" i="6"/>
  <c r="P540" i="6" s="1"/>
  <c r="Q539" i="6"/>
  <c r="R539" i="6" s="1"/>
  <c r="M539" i="6" s="1"/>
  <c r="S539" i="6" s="1"/>
  <c r="Q540" i="6" l="1"/>
  <c r="R540" i="6" s="1"/>
  <c r="N540" i="6"/>
  <c r="O541" i="6"/>
  <c r="P541" i="6" s="1"/>
  <c r="M540" i="6" l="1"/>
  <c r="S540" i="6" s="1"/>
  <c r="Q541" i="6"/>
  <c r="R541" i="6" s="1"/>
  <c r="N541" i="6"/>
  <c r="O542" i="6"/>
  <c r="P542" i="6" s="1"/>
  <c r="M541" i="6" l="1"/>
  <c r="S541" i="6" s="1"/>
  <c r="Q542" i="6"/>
  <c r="R542" i="6" s="1"/>
  <c r="N542" i="6"/>
  <c r="O543" i="6"/>
  <c r="P543" i="6" s="1"/>
  <c r="M542" i="6" l="1"/>
  <c r="S542" i="6" s="1"/>
  <c r="N543" i="6"/>
  <c r="O544" i="6"/>
  <c r="P544" i="6" s="1"/>
  <c r="Q543" i="6"/>
  <c r="R543" i="6" s="1"/>
  <c r="M543" i="6" l="1"/>
  <c r="S543" i="6" s="1"/>
  <c r="N544" i="6"/>
  <c r="Q544" i="6"/>
  <c r="R544" i="6" s="1"/>
  <c r="M544" i="6" s="1"/>
  <c r="S544" i="6" s="1"/>
  <c r="O545" i="6"/>
  <c r="P545" i="6" s="1"/>
  <c r="O546" i="6" l="1"/>
  <c r="P546" i="6" s="1"/>
  <c r="Q545" i="6"/>
  <c r="R545" i="6" s="1"/>
  <c r="N545" i="6"/>
  <c r="M545" i="6" l="1"/>
  <c r="S545" i="6" s="1"/>
  <c r="N546" i="6"/>
  <c r="O547" i="6"/>
  <c r="P547" i="6" s="1"/>
  <c r="Q546" i="6"/>
  <c r="R546" i="6" s="1"/>
  <c r="M546" i="6" s="1"/>
  <c r="S546" i="6" s="1"/>
  <c r="N547" i="6" l="1"/>
  <c r="O548" i="6"/>
  <c r="P548" i="6" s="1"/>
  <c r="Q547" i="6"/>
  <c r="R547" i="6" s="1"/>
  <c r="M547" i="6" l="1"/>
  <c r="S547" i="6" s="1"/>
  <c r="N548" i="6"/>
  <c r="Q548" i="6"/>
  <c r="R548" i="6" s="1"/>
  <c r="O549" i="6"/>
  <c r="P549" i="6" s="1"/>
  <c r="M548" i="6" l="1"/>
  <c r="S548" i="6" s="1"/>
  <c r="O550" i="6"/>
  <c r="P550" i="6" s="1"/>
  <c r="N549" i="6"/>
  <c r="Q549" i="6"/>
  <c r="R549" i="6" s="1"/>
  <c r="M549" i="6" l="1"/>
  <c r="S549" i="6" s="1"/>
  <c r="N550" i="6"/>
  <c r="O551" i="6"/>
  <c r="P551" i="6" s="1"/>
  <c r="Q550" i="6"/>
  <c r="R550" i="6" s="1"/>
  <c r="M550" i="6" l="1"/>
  <c r="S550" i="6" s="1"/>
  <c r="O552" i="6"/>
  <c r="P552" i="6" s="1"/>
  <c r="Q551" i="6"/>
  <c r="R551" i="6" s="1"/>
  <c r="N551" i="6"/>
  <c r="M551" i="6" l="1"/>
  <c r="S551" i="6" s="1"/>
  <c r="N552" i="6"/>
  <c r="O553" i="6"/>
  <c r="P553" i="6" s="1"/>
  <c r="Q552" i="6"/>
  <c r="R552" i="6" s="1"/>
  <c r="M552" i="6" l="1"/>
  <c r="S552" i="6" s="1"/>
  <c r="O554" i="6"/>
  <c r="P554" i="6" s="1"/>
  <c r="N553" i="6"/>
  <c r="Q553" i="6"/>
  <c r="R553" i="6" s="1"/>
  <c r="M553" i="6" s="1"/>
  <c r="S553" i="6" s="1"/>
  <c r="N554" i="6" l="1"/>
  <c r="O555" i="6"/>
  <c r="P555" i="6" s="1"/>
  <c r="Q554" i="6"/>
  <c r="R554" i="6" s="1"/>
  <c r="M554" i="6" s="1"/>
  <c r="S554" i="6" s="1"/>
  <c r="N555" i="6" l="1"/>
  <c r="O556" i="6"/>
  <c r="P556" i="6" s="1"/>
  <c r="Q555" i="6"/>
  <c r="R555" i="6" s="1"/>
  <c r="M555" i="6" s="1"/>
  <c r="S555" i="6" s="1"/>
  <c r="N556" i="6" l="1"/>
  <c r="Q556" i="6"/>
  <c r="R556" i="6" s="1"/>
  <c r="M556" i="6" s="1"/>
  <c r="S556" i="6" s="1"/>
  <c r="O557" i="6"/>
  <c r="P557" i="6" s="1"/>
  <c r="N557" i="6" l="1"/>
  <c r="Q557" i="6"/>
  <c r="R557" i="6" s="1"/>
  <c r="M557" i="6" s="1"/>
  <c r="S557" i="6" s="1"/>
  <c r="O558" i="6"/>
  <c r="P558" i="6" s="1"/>
  <c r="Q558" i="6" l="1"/>
  <c r="R558" i="6" s="1"/>
  <c r="N558" i="6"/>
  <c r="O559" i="6"/>
  <c r="P559" i="6" s="1"/>
  <c r="M558" i="6" l="1"/>
  <c r="S558" i="6" s="1"/>
  <c r="N559" i="6"/>
  <c r="O560" i="6"/>
  <c r="P560" i="6" s="1"/>
  <c r="Q559" i="6"/>
  <c r="R559" i="6" s="1"/>
  <c r="M559" i="6" l="1"/>
  <c r="S559" i="6" s="1"/>
  <c r="N560" i="6"/>
  <c r="O561" i="6"/>
  <c r="P561" i="6" s="1"/>
  <c r="Q560" i="6"/>
  <c r="R560" i="6" s="1"/>
  <c r="M560" i="6" l="1"/>
  <c r="S560" i="6" s="1"/>
  <c r="N561" i="6"/>
  <c r="O562" i="6"/>
  <c r="P562" i="6" s="1"/>
  <c r="Q561" i="6"/>
  <c r="R561" i="6" s="1"/>
  <c r="M561" i="6" s="1"/>
  <c r="S561" i="6" s="1"/>
  <c r="O563" i="6" l="1"/>
  <c r="P563" i="6" s="1"/>
  <c r="N562" i="6"/>
  <c r="Q562" i="6"/>
  <c r="R562" i="6" s="1"/>
  <c r="M562" i="6" l="1"/>
  <c r="S562" i="6" s="1"/>
  <c r="N563" i="6"/>
  <c r="O564" i="6"/>
  <c r="P564" i="6" s="1"/>
  <c r="Q563" i="6"/>
  <c r="R563" i="6" s="1"/>
  <c r="M563" i="6" s="1"/>
  <c r="S563" i="6" s="1"/>
  <c r="O565" i="6" l="1"/>
  <c r="P565" i="6" s="1"/>
  <c r="N564" i="6"/>
  <c r="Q564" i="6"/>
  <c r="R564" i="6" s="1"/>
  <c r="M564" i="6" l="1"/>
  <c r="S564" i="6" s="1"/>
  <c r="O566" i="6"/>
  <c r="P566" i="6" s="1"/>
  <c r="N565" i="6"/>
  <c r="Q565" i="6"/>
  <c r="R565" i="6" s="1"/>
  <c r="M565" i="6" s="1"/>
  <c r="S565" i="6" s="1"/>
  <c r="N566" i="6" l="1"/>
  <c r="O567" i="6"/>
  <c r="P567" i="6" s="1"/>
  <c r="Q566" i="6"/>
  <c r="R566" i="6" s="1"/>
  <c r="M566" i="6" l="1"/>
  <c r="S566" i="6" s="1"/>
  <c r="N567" i="6"/>
  <c r="Q567" i="6"/>
  <c r="R567" i="6" s="1"/>
  <c r="O568" i="6"/>
  <c r="P568" i="6" s="1"/>
  <c r="M567" i="6" l="1"/>
  <c r="S567" i="6" s="1"/>
  <c r="N568" i="6"/>
  <c r="Q568" i="6"/>
  <c r="R568" i="6" s="1"/>
  <c r="O569" i="6"/>
  <c r="P569" i="6" s="1"/>
  <c r="M568" i="6" l="1"/>
  <c r="S568" i="6" s="1"/>
  <c r="O570" i="6"/>
  <c r="P570" i="6" s="1"/>
  <c r="Q569" i="6"/>
  <c r="R569" i="6" s="1"/>
  <c r="N569" i="6"/>
  <c r="M569" i="6" l="1"/>
  <c r="S569" i="6" s="1"/>
  <c r="N570" i="6"/>
  <c r="O571" i="6"/>
  <c r="P571" i="6" s="1"/>
  <c r="Q570" i="6"/>
  <c r="R570" i="6" s="1"/>
  <c r="M570" i="6" s="1"/>
  <c r="S570" i="6" s="1"/>
  <c r="N571" i="6" l="1"/>
  <c r="O572" i="6"/>
  <c r="P572" i="6" s="1"/>
  <c r="Q571" i="6"/>
  <c r="R571" i="6" s="1"/>
  <c r="M571" i="6" s="1"/>
  <c r="S571" i="6" s="1"/>
  <c r="O573" i="6" l="1"/>
  <c r="P573" i="6" s="1"/>
  <c r="Q572" i="6"/>
  <c r="R572" i="6" s="1"/>
  <c r="N572" i="6"/>
  <c r="M572" i="6" l="1"/>
  <c r="S572" i="6" s="1"/>
  <c r="O574" i="6"/>
  <c r="P574" i="6" s="1"/>
  <c r="N573" i="6"/>
  <c r="Q573" i="6"/>
  <c r="R573" i="6" s="1"/>
  <c r="M573" i="6" l="1"/>
  <c r="S573" i="6" s="1"/>
  <c r="N574" i="6"/>
  <c r="O575" i="6"/>
  <c r="P575" i="6" s="1"/>
  <c r="Q574" i="6"/>
  <c r="R574" i="6" s="1"/>
  <c r="M574" i="6" l="1"/>
  <c r="S574" i="6" s="1"/>
  <c r="N575" i="6"/>
  <c r="Q575" i="6"/>
  <c r="R575" i="6" s="1"/>
  <c r="M575" i="6" s="1"/>
  <c r="S575" i="6" s="1"/>
  <c r="O576" i="6"/>
  <c r="P576" i="6" s="1"/>
  <c r="N576" i="6" l="1"/>
  <c r="Q576" i="6"/>
  <c r="R576" i="6" s="1"/>
  <c r="M576" i="6" s="1"/>
  <c r="S576" i="6" s="1"/>
  <c r="O577" i="6"/>
  <c r="P577" i="6" s="1"/>
  <c r="N577" i="6" l="1"/>
  <c r="O578" i="6"/>
  <c r="P578" i="6" s="1"/>
  <c r="Q577" i="6"/>
  <c r="R577" i="6" s="1"/>
  <c r="M577" i="6" s="1"/>
  <c r="S577" i="6" s="1"/>
  <c r="O579" i="6" l="1"/>
  <c r="P579" i="6" s="1"/>
  <c r="N578" i="6"/>
  <c r="Q578" i="6"/>
  <c r="R578" i="6" s="1"/>
  <c r="M578" i="6" l="1"/>
  <c r="S578" i="6" s="1"/>
  <c r="N579" i="6"/>
  <c r="O580" i="6"/>
  <c r="P580" i="6" s="1"/>
  <c r="Q579" i="6"/>
  <c r="R579" i="6" s="1"/>
  <c r="M579" i="6" s="1"/>
  <c r="S579" i="6" s="1"/>
  <c r="O581" i="6" l="1"/>
  <c r="P581" i="6" s="1"/>
  <c r="Q580" i="6"/>
  <c r="R580" i="6" s="1"/>
  <c r="N580" i="6"/>
  <c r="M580" i="6" l="1"/>
  <c r="S580" i="6" s="1"/>
  <c r="N581" i="6"/>
  <c r="O582" i="6"/>
  <c r="P582" i="6" s="1"/>
  <c r="Q581" i="6"/>
  <c r="R581" i="6" s="1"/>
  <c r="M581" i="6" s="1"/>
  <c r="S581" i="6" s="1"/>
  <c r="O583" i="6" l="1"/>
  <c r="P583" i="6" s="1"/>
  <c r="N582" i="6"/>
  <c r="Q582" i="6"/>
  <c r="R582" i="6" s="1"/>
  <c r="M582" i="6" l="1"/>
  <c r="S582" i="6" s="1"/>
  <c r="N583" i="6"/>
  <c r="O584" i="6"/>
  <c r="P584" i="6" s="1"/>
  <c r="Q583" i="6"/>
  <c r="R583" i="6" s="1"/>
  <c r="M583" i="6" s="1"/>
  <c r="S583" i="6" s="1"/>
  <c r="N584" i="6" l="1"/>
  <c r="Q584" i="6"/>
  <c r="R584" i="6" s="1"/>
  <c r="O585" i="6"/>
  <c r="P585" i="6" s="1"/>
  <c r="M584" i="6" l="1"/>
  <c r="S584" i="6" s="1"/>
  <c r="O586" i="6"/>
  <c r="P586" i="6" s="1"/>
  <c r="N585" i="6"/>
  <c r="Q585" i="6"/>
  <c r="R585" i="6" s="1"/>
  <c r="M585" i="6" s="1"/>
  <c r="S585" i="6" s="1"/>
  <c r="N586" i="6" l="1"/>
  <c r="O587" i="6"/>
  <c r="P587" i="6" s="1"/>
  <c r="Q586" i="6"/>
  <c r="R586" i="6" s="1"/>
  <c r="M586" i="6" l="1"/>
  <c r="S586" i="6" s="1"/>
  <c r="O588" i="6"/>
  <c r="P588" i="6" s="1"/>
  <c r="Q587" i="6"/>
  <c r="R587" i="6" s="1"/>
  <c r="N587" i="6"/>
  <c r="M587" i="6" l="1"/>
  <c r="S587" i="6" s="1"/>
  <c r="O589" i="6"/>
  <c r="P589" i="6" s="1"/>
  <c r="N588" i="6"/>
  <c r="Q588" i="6"/>
  <c r="R588" i="6" s="1"/>
  <c r="M588" i="6" l="1"/>
  <c r="S588" i="6" s="1"/>
  <c r="Q589" i="6"/>
  <c r="R589" i="6" s="1"/>
  <c r="N589" i="6"/>
  <c r="O590" i="6"/>
  <c r="P590" i="6" s="1"/>
  <c r="M589" i="6" l="1"/>
  <c r="S589" i="6" s="1"/>
  <c r="O591" i="6"/>
  <c r="P591" i="6" s="1"/>
  <c r="Q590" i="6"/>
  <c r="R590" i="6" s="1"/>
  <c r="N590" i="6"/>
  <c r="M590" i="6" l="1"/>
  <c r="S590" i="6" s="1"/>
  <c r="O592" i="6"/>
  <c r="P592" i="6" s="1"/>
  <c r="Q591" i="6"/>
  <c r="R591" i="6" s="1"/>
  <c r="N591" i="6"/>
  <c r="M591" i="6" l="1"/>
  <c r="S591" i="6" s="1"/>
  <c r="N592" i="6"/>
  <c r="O593" i="6"/>
  <c r="P593" i="6" s="1"/>
  <c r="Q592" i="6"/>
  <c r="R592" i="6" s="1"/>
  <c r="M592" i="6" l="1"/>
  <c r="S592" i="6" s="1"/>
  <c r="N593" i="6"/>
  <c r="O594" i="6"/>
  <c r="P594" i="6" s="1"/>
  <c r="Q593" i="6"/>
  <c r="R593" i="6" s="1"/>
  <c r="M593" i="6" l="1"/>
  <c r="S593" i="6" s="1"/>
  <c r="N594" i="6"/>
  <c r="O595" i="6"/>
  <c r="P595" i="6" s="1"/>
  <c r="Q594" i="6"/>
  <c r="R594" i="6" s="1"/>
  <c r="M594" i="6" s="1"/>
  <c r="S594" i="6" s="1"/>
  <c r="Q595" i="6" l="1"/>
  <c r="R595" i="6" s="1"/>
  <c r="N595" i="6"/>
  <c r="O596" i="6"/>
  <c r="P596" i="6" s="1"/>
  <c r="M595" i="6" l="1"/>
  <c r="S595" i="6" s="1"/>
  <c r="O597" i="6"/>
  <c r="P597" i="6" s="1"/>
  <c r="N596" i="6"/>
  <c r="Q596" i="6"/>
  <c r="R596" i="6" s="1"/>
  <c r="M596" i="6" s="1"/>
  <c r="S596" i="6" s="1"/>
  <c r="O598" i="6" l="1"/>
  <c r="P598" i="6" s="1"/>
  <c r="Q597" i="6"/>
  <c r="R597" i="6" s="1"/>
  <c r="N597" i="6"/>
  <c r="M597" i="6" l="1"/>
  <c r="S597" i="6" s="1"/>
  <c r="N598" i="6"/>
  <c r="O599" i="6"/>
  <c r="P599" i="6" s="1"/>
  <c r="Q598" i="6"/>
  <c r="R598" i="6" s="1"/>
  <c r="M598" i="6" s="1"/>
  <c r="S598" i="6" s="1"/>
  <c r="N599" i="6" l="1"/>
  <c r="O600" i="6"/>
  <c r="P600" i="6" s="1"/>
  <c r="Q599" i="6"/>
  <c r="R599" i="6" s="1"/>
  <c r="M599" i="6" s="1"/>
  <c r="S599" i="6" s="1"/>
  <c r="Q600" i="6" l="1"/>
  <c r="R600" i="6" s="1"/>
  <c r="N600" i="6"/>
  <c r="O601" i="6"/>
  <c r="P601" i="6" s="1"/>
  <c r="M600" i="6" l="1"/>
  <c r="S600" i="6" s="1"/>
  <c r="N601" i="6"/>
  <c r="O602" i="6"/>
  <c r="P602" i="6" s="1"/>
  <c r="Q601" i="6"/>
  <c r="R601" i="6" s="1"/>
  <c r="M601" i="6" l="1"/>
  <c r="S601" i="6" s="1"/>
  <c r="N602" i="6"/>
  <c r="O603" i="6"/>
  <c r="P603" i="6" s="1"/>
  <c r="Q602" i="6"/>
  <c r="R602" i="6" s="1"/>
  <c r="M602" i="6" s="1"/>
  <c r="S602" i="6" s="1"/>
  <c r="N603" i="6" l="1"/>
  <c r="Q603" i="6"/>
  <c r="R603" i="6" s="1"/>
  <c r="M603" i="6" s="1"/>
  <c r="S603" i="6" s="1"/>
  <c r="O604" i="6"/>
  <c r="P604" i="6" s="1"/>
  <c r="N604" i="6" l="1"/>
  <c r="Q604" i="6"/>
  <c r="R604" i="6" s="1"/>
  <c r="O605" i="6"/>
  <c r="P605" i="6" s="1"/>
  <c r="M604" i="6" l="1"/>
  <c r="S604" i="6" s="1"/>
  <c r="O606" i="6"/>
  <c r="P606" i="6" s="1"/>
  <c r="Q605" i="6"/>
  <c r="R605" i="6" s="1"/>
  <c r="N605" i="6"/>
  <c r="M605" i="6" l="1"/>
  <c r="S605" i="6" s="1"/>
  <c r="N606" i="6"/>
  <c r="O607" i="6"/>
  <c r="P607" i="6" s="1"/>
  <c r="Q606" i="6"/>
  <c r="R606" i="6" s="1"/>
  <c r="M606" i="6" s="1"/>
  <c r="S606" i="6" s="1"/>
  <c r="N607" i="6" l="1"/>
  <c r="O608" i="6"/>
  <c r="P608" i="6" s="1"/>
  <c r="Q607" i="6"/>
  <c r="R607" i="6" s="1"/>
  <c r="M607" i="6" s="1"/>
  <c r="S607" i="6" s="1"/>
  <c r="Q608" i="6" l="1"/>
  <c r="R608" i="6" s="1"/>
  <c r="N608" i="6"/>
  <c r="O609" i="6"/>
  <c r="P609" i="6" s="1"/>
  <c r="M608" i="6" l="1"/>
  <c r="S608" i="6" s="1"/>
  <c r="N609" i="6"/>
  <c r="Q609" i="6"/>
  <c r="R609" i="6" s="1"/>
  <c r="O610" i="6"/>
  <c r="P610" i="6" s="1"/>
  <c r="M609" i="6" l="1"/>
  <c r="S609" i="6" s="1"/>
  <c r="N610" i="6"/>
  <c r="O611" i="6"/>
  <c r="P611" i="6" s="1"/>
  <c r="Q610" i="6"/>
  <c r="R610" i="6" s="1"/>
  <c r="M610" i="6" s="1"/>
  <c r="S610" i="6" s="1"/>
  <c r="N611" i="6" l="1"/>
  <c r="O612" i="6"/>
  <c r="P612" i="6" s="1"/>
  <c r="Q611" i="6"/>
  <c r="R611" i="6" s="1"/>
  <c r="M611" i="6" s="1"/>
  <c r="S611" i="6" s="1"/>
  <c r="O613" i="6" l="1"/>
  <c r="P613" i="6" s="1"/>
  <c r="N612" i="6"/>
  <c r="Q612" i="6"/>
  <c r="R612" i="6" s="1"/>
  <c r="M612" i="6" l="1"/>
  <c r="S612" i="6" s="1"/>
  <c r="N613" i="6"/>
  <c r="O614" i="6"/>
  <c r="P614" i="6" s="1"/>
  <c r="Q613" i="6"/>
  <c r="R613" i="6" s="1"/>
  <c r="M613" i="6" s="1"/>
  <c r="S613" i="6" s="1"/>
  <c r="O615" i="6" l="1"/>
  <c r="P615" i="6" s="1"/>
  <c r="Q614" i="6"/>
  <c r="R614" i="6" s="1"/>
  <c r="N614" i="6"/>
  <c r="M614" i="6" l="1"/>
  <c r="S614" i="6" s="1"/>
  <c r="N615" i="6"/>
  <c r="O616" i="6"/>
  <c r="P616" i="6" s="1"/>
  <c r="Q615" i="6"/>
  <c r="R615" i="6" s="1"/>
  <c r="M615" i="6" s="1"/>
  <c r="S615" i="6" s="1"/>
  <c r="N616" i="6" l="1"/>
  <c r="Q616" i="6"/>
  <c r="R616" i="6" s="1"/>
  <c r="O617" i="6"/>
  <c r="P617" i="6" s="1"/>
  <c r="M616" i="6" l="1"/>
  <c r="S616" i="6" s="1"/>
  <c r="O618" i="6"/>
  <c r="P618" i="6" s="1"/>
  <c r="Q617" i="6"/>
  <c r="R617" i="6" s="1"/>
  <c r="N617" i="6"/>
  <c r="M617" i="6" l="1"/>
  <c r="S617" i="6" s="1"/>
  <c r="O619" i="6"/>
  <c r="P619" i="6" s="1"/>
  <c r="N618" i="6"/>
  <c r="Q618" i="6"/>
  <c r="R618" i="6" s="1"/>
  <c r="M618" i="6" l="1"/>
  <c r="S618" i="6" s="1"/>
  <c r="N619" i="6"/>
  <c r="Q619" i="6"/>
  <c r="R619" i="6" s="1"/>
  <c r="O620" i="6"/>
  <c r="P620" i="6" s="1"/>
  <c r="M619" i="6" l="1"/>
  <c r="S619" i="6" s="1"/>
  <c r="N620" i="6"/>
  <c r="O621" i="6"/>
  <c r="P621" i="6" s="1"/>
  <c r="Q620" i="6"/>
  <c r="R620" i="6" s="1"/>
  <c r="M620" i="6" s="1"/>
  <c r="S620" i="6" s="1"/>
  <c r="N621" i="6" l="1"/>
  <c r="Q621" i="6"/>
  <c r="R621" i="6" s="1"/>
  <c r="O622" i="6"/>
  <c r="P622" i="6" s="1"/>
  <c r="M621" i="6" l="1"/>
  <c r="S621" i="6" s="1"/>
  <c r="O623" i="6"/>
  <c r="P623" i="6" s="1"/>
  <c r="Q622" i="6"/>
  <c r="R622" i="6" s="1"/>
  <c r="N622" i="6"/>
  <c r="M622" i="6" l="1"/>
  <c r="S622" i="6" s="1"/>
  <c r="Q623" i="6"/>
  <c r="R623" i="6" s="1"/>
  <c r="N623" i="6"/>
  <c r="O624" i="6"/>
  <c r="P624" i="6" s="1"/>
  <c r="M623" i="6" l="1"/>
  <c r="S623" i="6" s="1"/>
  <c r="O625" i="6"/>
  <c r="P625" i="6" s="1"/>
  <c r="N624" i="6"/>
  <c r="Q624" i="6"/>
  <c r="R624" i="6" s="1"/>
  <c r="M624" i="6" s="1"/>
  <c r="S624" i="6" s="1"/>
  <c r="N625" i="6" l="1"/>
  <c r="Q625" i="6"/>
  <c r="R625" i="6" s="1"/>
  <c r="O626" i="6"/>
  <c r="P626" i="6" s="1"/>
  <c r="M625" i="6" l="1"/>
  <c r="S625" i="6" s="1"/>
  <c r="O627" i="6"/>
  <c r="P627" i="6" s="1"/>
  <c r="N626" i="6"/>
  <c r="Q626" i="6"/>
  <c r="R626" i="6" s="1"/>
  <c r="M626" i="6" s="1"/>
  <c r="S626" i="6" s="1"/>
  <c r="Q627" i="6" l="1"/>
  <c r="R627" i="6" s="1"/>
  <c r="N627" i="6"/>
  <c r="O628" i="6"/>
  <c r="P628" i="6" s="1"/>
  <c r="M627" i="6" l="1"/>
  <c r="S627" i="6" s="1"/>
  <c r="N628" i="6"/>
  <c r="O629" i="6"/>
  <c r="P629" i="6" s="1"/>
  <c r="Q628" i="6"/>
  <c r="R628" i="6" s="1"/>
  <c r="M628" i="6" s="1"/>
  <c r="S628" i="6" s="1"/>
  <c r="N629" i="6" l="1"/>
  <c r="O630" i="6"/>
  <c r="P630" i="6" s="1"/>
  <c r="Q629" i="6"/>
  <c r="R629" i="6" s="1"/>
  <c r="M629" i="6" s="1"/>
  <c r="S629" i="6" s="1"/>
  <c r="N630" i="6" l="1"/>
  <c r="Q630" i="6"/>
  <c r="R630" i="6" s="1"/>
  <c r="M630" i="6" s="1"/>
  <c r="S630" i="6" s="1"/>
  <c r="O631" i="6"/>
  <c r="P631" i="6" s="1"/>
  <c r="N631" i="6" l="1"/>
  <c r="Q631" i="6"/>
  <c r="R631" i="6" s="1"/>
  <c r="O632" i="6"/>
  <c r="P632" i="6" s="1"/>
  <c r="M631" i="6" l="1"/>
  <c r="S631" i="6" s="1"/>
  <c r="N632" i="6"/>
  <c r="O633" i="6"/>
  <c r="P633" i="6" s="1"/>
  <c r="Q632" i="6"/>
  <c r="R632" i="6" s="1"/>
  <c r="M632" i="6" s="1"/>
  <c r="S632" i="6" s="1"/>
  <c r="O634" i="6" l="1"/>
  <c r="P634" i="6" s="1"/>
  <c r="Q633" i="6"/>
  <c r="R633" i="6" s="1"/>
  <c r="N633" i="6"/>
  <c r="M633" i="6" l="1"/>
  <c r="S633" i="6" s="1"/>
  <c r="Q634" i="6"/>
  <c r="R634" i="6" s="1"/>
  <c r="O635" i="6"/>
  <c r="P635" i="6" s="1"/>
  <c r="N634" i="6"/>
  <c r="M634" i="6" l="1"/>
  <c r="S634" i="6" s="1"/>
  <c r="O636" i="6"/>
  <c r="P636" i="6" s="1"/>
  <c r="N635" i="6"/>
  <c r="Q635" i="6"/>
  <c r="R635" i="6" s="1"/>
  <c r="M635" i="6" s="1"/>
  <c r="S635" i="6" s="1"/>
  <c r="N636" i="6" l="1"/>
  <c r="O637" i="6"/>
  <c r="P637" i="6" s="1"/>
  <c r="Q636" i="6"/>
  <c r="R636" i="6" s="1"/>
  <c r="M636" i="6" s="1"/>
  <c r="S636" i="6" s="1"/>
  <c r="N637" i="6" l="1"/>
  <c r="Q637" i="6"/>
  <c r="R637" i="6" s="1"/>
  <c r="O638" i="6"/>
  <c r="P638" i="6" s="1"/>
  <c r="M637" i="6" l="1"/>
  <c r="S637" i="6" s="1"/>
  <c r="N638" i="6"/>
  <c r="Q638" i="6"/>
  <c r="R638" i="6" s="1"/>
  <c r="M638" i="6" s="1"/>
  <c r="S638" i="6" s="1"/>
  <c r="O639" i="6"/>
  <c r="P639" i="6" s="1"/>
  <c r="N639" i="6" l="1"/>
  <c r="O640" i="6"/>
  <c r="P640" i="6" s="1"/>
  <c r="Q639" i="6"/>
  <c r="R639" i="6" s="1"/>
  <c r="M639" i="6" s="1"/>
  <c r="S639" i="6" s="1"/>
  <c r="N640" i="6" l="1"/>
  <c r="O641" i="6"/>
  <c r="P641" i="6" s="1"/>
  <c r="Q640" i="6"/>
  <c r="R640" i="6" s="1"/>
  <c r="M640" i="6" s="1"/>
  <c r="S640" i="6" s="1"/>
  <c r="N641" i="6" l="1"/>
  <c r="Q641" i="6"/>
  <c r="R641" i="6" s="1"/>
  <c r="M641" i="6" s="1"/>
  <c r="S641" i="6" s="1"/>
  <c r="O642" i="6"/>
  <c r="P642" i="6" s="1"/>
  <c r="O643" i="6" l="1"/>
  <c r="P643" i="6" s="1"/>
  <c r="Q642" i="6"/>
  <c r="R642" i="6" s="1"/>
  <c r="N642" i="6"/>
  <c r="M642" i="6" l="1"/>
  <c r="S642" i="6" s="1"/>
  <c r="N643" i="6"/>
  <c r="O644" i="6"/>
  <c r="P644" i="6" s="1"/>
  <c r="Q643" i="6"/>
  <c r="R643" i="6" s="1"/>
  <c r="M643" i="6" s="1"/>
  <c r="S643" i="6" s="1"/>
  <c r="N644" i="6" l="1"/>
  <c r="O645" i="6"/>
  <c r="P645" i="6" s="1"/>
  <c r="Q644" i="6"/>
  <c r="R644" i="6" s="1"/>
  <c r="M644" i="6" s="1"/>
  <c r="S644" i="6" s="1"/>
  <c r="N645" i="6" l="1"/>
  <c r="Q645" i="6"/>
  <c r="R645" i="6" s="1"/>
  <c r="O646" i="6"/>
  <c r="P646" i="6" s="1"/>
  <c r="M645" i="6" l="1"/>
  <c r="S645" i="6" s="1"/>
  <c r="N646" i="6"/>
  <c r="Q646" i="6"/>
  <c r="R646" i="6" s="1"/>
  <c r="M646" i="6" s="1"/>
  <c r="S646" i="6" s="1"/>
  <c r="O647" i="6"/>
  <c r="P647" i="6" s="1"/>
  <c r="Q647" i="6" l="1"/>
  <c r="R647" i="6" s="1"/>
  <c r="N647" i="6"/>
  <c r="O648" i="6"/>
  <c r="P648" i="6" s="1"/>
  <c r="M647" i="6" l="1"/>
  <c r="S647" i="6" s="1"/>
  <c r="N648" i="6"/>
  <c r="Q648" i="6"/>
  <c r="R648" i="6" s="1"/>
  <c r="O649" i="6"/>
  <c r="P649" i="6" s="1"/>
  <c r="M648" i="6" l="1"/>
  <c r="S648" i="6" s="1"/>
  <c r="O650" i="6"/>
  <c r="P650" i="6" s="1"/>
  <c r="Q649" i="6"/>
  <c r="R649" i="6" s="1"/>
  <c r="N649" i="6"/>
  <c r="M649" i="6" l="1"/>
  <c r="S649" i="6" s="1"/>
  <c r="O651" i="6"/>
  <c r="P651" i="6" s="1"/>
  <c r="N650" i="6"/>
  <c r="Q650" i="6"/>
  <c r="R650" i="6" s="1"/>
  <c r="M650" i="6" l="1"/>
  <c r="S650" i="6" s="1"/>
  <c r="N651" i="6"/>
  <c r="O652" i="6"/>
  <c r="P652" i="6" s="1"/>
  <c r="Q651" i="6"/>
  <c r="R651" i="6" s="1"/>
  <c r="M651" i="6" s="1"/>
  <c r="S651" i="6" s="1"/>
  <c r="N652" i="6" l="1"/>
  <c r="Q652" i="6"/>
  <c r="R652" i="6" s="1"/>
  <c r="O653" i="6"/>
  <c r="P653" i="6" s="1"/>
  <c r="M652" i="6" l="1"/>
  <c r="S652" i="6" s="1"/>
  <c r="N653" i="6"/>
  <c r="Q653" i="6"/>
  <c r="R653" i="6" s="1"/>
  <c r="O654" i="6"/>
  <c r="P654" i="6" s="1"/>
  <c r="M653" i="6" l="1"/>
  <c r="S653" i="6" s="1"/>
  <c r="N654" i="6"/>
  <c r="O655" i="6"/>
  <c r="P655" i="6" s="1"/>
  <c r="Q654" i="6"/>
  <c r="R654" i="6" s="1"/>
  <c r="M654" i="6" s="1"/>
  <c r="S654" i="6" s="1"/>
  <c r="O656" i="6" l="1"/>
  <c r="P656" i="6" s="1"/>
  <c r="Q655" i="6"/>
  <c r="R655" i="6" s="1"/>
  <c r="N655" i="6"/>
  <c r="M655" i="6" l="1"/>
  <c r="S655" i="6" s="1"/>
  <c r="N656" i="6"/>
  <c r="O657" i="6"/>
  <c r="P657" i="6" s="1"/>
  <c r="Q656" i="6"/>
  <c r="R656" i="6" s="1"/>
  <c r="M656" i="6" s="1"/>
  <c r="S656" i="6" s="1"/>
  <c r="N657" i="6" l="1"/>
  <c r="Q657" i="6"/>
  <c r="R657" i="6" s="1"/>
  <c r="O658" i="6"/>
  <c r="P658" i="6" s="1"/>
  <c r="M657" i="6" l="1"/>
  <c r="S657" i="6" s="1"/>
  <c r="N658" i="6"/>
  <c r="O659" i="6"/>
  <c r="P659" i="6" s="1"/>
  <c r="Q658" i="6"/>
  <c r="R658" i="6" s="1"/>
  <c r="M658" i="6" s="1"/>
  <c r="S658" i="6" s="1"/>
  <c r="E3" i="5"/>
  <c r="B6" i="5"/>
  <c r="B128" i="3"/>
  <c r="B86" i="3"/>
  <c r="B87" i="3" s="1"/>
  <c r="B88" i="3" s="1"/>
  <c r="B89" i="3" s="1"/>
  <c r="B90" i="3" s="1"/>
  <c r="B91" i="3" s="1"/>
  <c r="B92" i="3" s="1"/>
  <c r="B93" i="3" s="1"/>
  <c r="B65" i="3"/>
  <c r="B66" i="3" s="1"/>
  <c r="B67" i="3" s="1"/>
  <c r="B68" i="3" s="1"/>
  <c r="B69" i="3" s="1"/>
  <c r="B70" i="3" s="1"/>
  <c r="B71" i="3" s="1"/>
  <c r="B72" i="3" s="1"/>
  <c r="B78" i="3" l="1"/>
  <c r="U49" i="7" s="1"/>
  <c r="A75" i="3"/>
  <c r="A74" i="3"/>
  <c r="F306" i="3"/>
  <c r="X49" i="7"/>
  <c r="B307" i="3"/>
  <c r="U50" i="7"/>
  <c r="Q659" i="6"/>
  <c r="R659" i="6" s="1"/>
  <c r="N659" i="6"/>
  <c r="O660" i="6"/>
  <c r="P660" i="6" s="1"/>
  <c r="E4" i="5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C185" i="6" s="1"/>
  <c r="B187" i="6"/>
  <c r="C186" i="6" s="1"/>
  <c r="B188" i="6"/>
  <c r="C187" i="6" s="1"/>
  <c r="B189" i="6"/>
  <c r="C188" i="6" s="1"/>
  <c r="B190" i="6"/>
  <c r="C189" i="6" s="1"/>
  <c r="B191" i="6"/>
  <c r="C190" i="6" s="1"/>
  <c r="B192" i="6"/>
  <c r="C191" i="6" s="1"/>
  <c r="B193" i="6"/>
  <c r="C192" i="6" s="1"/>
  <c r="B194" i="6"/>
  <c r="C193" i="6" s="1"/>
  <c r="B195" i="6"/>
  <c r="C194" i="6" s="1"/>
  <c r="B196" i="6"/>
  <c r="C195" i="6" s="1"/>
  <c r="B197" i="6"/>
  <c r="C196" i="6" s="1"/>
  <c r="B198" i="6"/>
  <c r="C197" i="6" s="1"/>
  <c r="B199" i="6"/>
  <c r="C198" i="6" s="1"/>
  <c r="B200" i="6"/>
  <c r="C199" i="6" s="1"/>
  <c r="B201" i="6"/>
  <c r="C200" i="6" s="1"/>
  <c r="B202" i="6"/>
  <c r="C201" i="6" s="1"/>
  <c r="B203" i="6"/>
  <c r="C202" i="6" s="1"/>
  <c r="B204" i="6"/>
  <c r="C203" i="6" s="1"/>
  <c r="B205" i="6"/>
  <c r="C204" i="6" s="1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C364" i="6" s="1"/>
  <c r="B366" i="6"/>
  <c r="C365" i="6" s="1"/>
  <c r="B367" i="6"/>
  <c r="C366" i="6" s="1"/>
  <c r="B368" i="6"/>
  <c r="C367" i="6" s="1"/>
  <c r="B369" i="6"/>
  <c r="C368" i="6" s="1"/>
  <c r="B370" i="6"/>
  <c r="C369" i="6" s="1"/>
  <c r="B371" i="6"/>
  <c r="C370" i="6" s="1"/>
  <c r="B372" i="6"/>
  <c r="C371" i="6" s="1"/>
  <c r="B373" i="6"/>
  <c r="C372" i="6" s="1"/>
  <c r="B374" i="6"/>
  <c r="C373" i="6" s="1"/>
  <c r="B375" i="6"/>
  <c r="C374" i="6" s="1"/>
  <c r="B376" i="6"/>
  <c r="C375" i="6" s="1"/>
  <c r="B377" i="6"/>
  <c r="C376" i="6" s="1"/>
  <c r="B378" i="6"/>
  <c r="C377" i="6" s="1"/>
  <c r="B379" i="6"/>
  <c r="C378" i="6" s="1"/>
  <c r="B380" i="6"/>
  <c r="C379" i="6" s="1"/>
  <c r="B381" i="6"/>
  <c r="C380" i="6" s="1"/>
  <c r="B382" i="6"/>
  <c r="C381" i="6" s="1"/>
  <c r="B383" i="6"/>
  <c r="C382" i="6" s="1"/>
  <c r="B384" i="6"/>
  <c r="C383" i="6" s="1"/>
  <c r="B385" i="6"/>
  <c r="C384" i="6" s="1"/>
  <c r="B386" i="6"/>
  <c r="C385" i="6" s="1"/>
  <c r="B387" i="6"/>
  <c r="C386" i="6" s="1"/>
  <c r="B388" i="6"/>
  <c r="C387" i="6" s="1"/>
  <c r="B389" i="6"/>
  <c r="C388" i="6" s="1"/>
  <c r="B390" i="6"/>
  <c r="C389" i="6" s="1"/>
  <c r="B391" i="6"/>
  <c r="C390" i="6" s="1"/>
  <c r="B392" i="6"/>
  <c r="C391" i="6" s="1"/>
  <c r="B393" i="6"/>
  <c r="C392" i="6" s="1"/>
  <c r="B395" i="6"/>
  <c r="C394" i="6" s="1"/>
  <c r="B394" i="6"/>
  <c r="C393" i="6" s="1"/>
  <c r="B396" i="6"/>
  <c r="C395" i="6" s="1"/>
  <c r="B397" i="6"/>
  <c r="C396" i="6" s="1"/>
  <c r="B398" i="6"/>
  <c r="C397" i="6" s="1"/>
  <c r="B399" i="6"/>
  <c r="C398" i="6" s="1"/>
  <c r="B400" i="6"/>
  <c r="C399" i="6" s="1"/>
  <c r="B401" i="6"/>
  <c r="C400" i="6" s="1"/>
  <c r="B402" i="6"/>
  <c r="C401" i="6" s="1"/>
  <c r="B403" i="6"/>
  <c r="C402" i="6" s="1"/>
  <c r="B404" i="6"/>
  <c r="C403" i="6" s="1"/>
  <c r="B405" i="6"/>
  <c r="C404" i="6" s="1"/>
  <c r="B406" i="6"/>
  <c r="C405" i="6" s="1"/>
  <c r="B407" i="6"/>
  <c r="C406" i="6" s="1"/>
  <c r="B408" i="6"/>
  <c r="C407" i="6" s="1"/>
  <c r="B409" i="6"/>
  <c r="C408" i="6" s="1"/>
  <c r="B410" i="6"/>
  <c r="C409" i="6" s="1"/>
  <c r="B411" i="6"/>
  <c r="C410" i="6" s="1"/>
  <c r="B412" i="6"/>
  <c r="C411" i="6" s="1"/>
  <c r="B413" i="6"/>
  <c r="C412" i="6" s="1"/>
  <c r="B414" i="6"/>
  <c r="C413" i="6" s="1"/>
  <c r="B415" i="6"/>
  <c r="C414" i="6" s="1"/>
  <c r="B416" i="6"/>
  <c r="C415" i="6" s="1"/>
  <c r="B417" i="6"/>
  <c r="C416" i="6" s="1"/>
  <c r="B418" i="6"/>
  <c r="C417" i="6" s="1"/>
  <c r="B419" i="6"/>
  <c r="C418" i="6" s="1"/>
  <c r="B420" i="6"/>
  <c r="C419" i="6" s="1"/>
  <c r="B421" i="6"/>
  <c r="C420" i="6" s="1"/>
  <c r="B422" i="6"/>
  <c r="C421" i="6" s="1"/>
  <c r="B423" i="6"/>
  <c r="C422" i="6" s="1"/>
  <c r="B130" i="3"/>
  <c r="B99" i="3"/>
  <c r="B4" i="5"/>
  <c r="A134" i="3" l="1"/>
  <c r="A132" i="3"/>
  <c r="B5" i="5"/>
  <c r="E308" i="3"/>
  <c r="A13" i="5"/>
  <c r="AP8" i="6"/>
  <c r="D16" i="3"/>
  <c r="AS8" i="6" s="1"/>
  <c r="B199" i="3" s="1"/>
  <c r="AI5" i="3"/>
  <c r="W51" i="7"/>
  <c r="B306" i="3"/>
  <c r="C149" i="6"/>
  <c r="C132" i="6"/>
  <c r="C131" i="6"/>
  <c r="C130" i="6"/>
  <c r="C177" i="6"/>
  <c r="C169" i="6"/>
  <c r="C161" i="6"/>
  <c r="C153" i="6"/>
  <c r="C145" i="6"/>
  <c r="C137" i="6"/>
  <c r="C129" i="6"/>
  <c r="C173" i="6"/>
  <c r="C141" i="6"/>
  <c r="C180" i="6"/>
  <c r="C148" i="6"/>
  <c r="C163" i="6"/>
  <c r="C147" i="6"/>
  <c r="C170" i="6"/>
  <c r="C184" i="6"/>
  <c r="C176" i="6"/>
  <c r="C168" i="6"/>
  <c r="C160" i="6"/>
  <c r="C152" i="6"/>
  <c r="C144" i="6"/>
  <c r="C136" i="6"/>
  <c r="C128" i="6"/>
  <c r="C165" i="6"/>
  <c r="C133" i="6"/>
  <c r="C172" i="6"/>
  <c r="C156" i="6"/>
  <c r="C171" i="6"/>
  <c r="C155" i="6"/>
  <c r="C178" i="6"/>
  <c r="C162" i="6"/>
  <c r="C154" i="6"/>
  <c r="C146" i="6"/>
  <c r="C183" i="6"/>
  <c r="C175" i="6"/>
  <c r="C167" i="6"/>
  <c r="C159" i="6"/>
  <c r="C151" i="6"/>
  <c r="C143" i="6"/>
  <c r="C135" i="6"/>
  <c r="C127" i="6"/>
  <c r="C181" i="6"/>
  <c r="C157" i="6"/>
  <c r="C125" i="6"/>
  <c r="C164" i="6"/>
  <c r="C140" i="6"/>
  <c r="C179" i="6"/>
  <c r="C139" i="6"/>
  <c r="C138" i="6"/>
  <c r="C182" i="6"/>
  <c r="C174" i="6"/>
  <c r="C166" i="6"/>
  <c r="C158" i="6"/>
  <c r="C150" i="6"/>
  <c r="C142" i="6"/>
  <c r="C134" i="6"/>
  <c r="C126" i="6"/>
  <c r="Q660" i="6"/>
  <c r="R660" i="6" s="1"/>
  <c r="F307" i="3"/>
  <c r="X50" i="7"/>
  <c r="N660" i="6"/>
  <c r="M659" i="6"/>
  <c r="S659" i="6" s="1"/>
  <c r="O661" i="6"/>
  <c r="P661" i="6" s="1"/>
  <c r="E5" i="5"/>
  <c r="C335" i="6"/>
  <c r="C303" i="6"/>
  <c r="C279" i="6"/>
  <c r="C247" i="6"/>
  <c r="C215" i="6"/>
  <c r="C358" i="6"/>
  <c r="C350" i="6"/>
  <c r="C342" i="6"/>
  <c r="C334" i="6"/>
  <c r="C326" i="6"/>
  <c r="C318" i="6"/>
  <c r="C310" i="6"/>
  <c r="C302" i="6"/>
  <c r="C294" i="6"/>
  <c r="C286" i="6"/>
  <c r="C278" i="6"/>
  <c r="C270" i="6"/>
  <c r="C262" i="6"/>
  <c r="C254" i="6"/>
  <c r="C246" i="6"/>
  <c r="C238" i="6"/>
  <c r="C230" i="6"/>
  <c r="C222" i="6"/>
  <c r="C214" i="6"/>
  <c r="C206" i="6"/>
  <c r="C357" i="6"/>
  <c r="C349" i="6"/>
  <c r="C341" i="6"/>
  <c r="C333" i="6"/>
  <c r="C325" i="6"/>
  <c r="C317" i="6"/>
  <c r="C309" i="6"/>
  <c r="C301" i="6"/>
  <c r="C293" i="6"/>
  <c r="C285" i="6"/>
  <c r="C277" i="6"/>
  <c r="C269" i="6"/>
  <c r="C261" i="6"/>
  <c r="C253" i="6"/>
  <c r="C245" i="6"/>
  <c r="C237" i="6"/>
  <c r="C229" i="6"/>
  <c r="C221" i="6"/>
  <c r="C213" i="6"/>
  <c r="C205" i="6"/>
  <c r="C327" i="6"/>
  <c r="C287" i="6"/>
  <c r="C239" i="6"/>
  <c r="C340" i="6"/>
  <c r="C308" i="6"/>
  <c r="C276" i="6"/>
  <c r="C244" i="6"/>
  <c r="C212" i="6"/>
  <c r="C363" i="6"/>
  <c r="C355" i="6"/>
  <c r="C347" i="6"/>
  <c r="C339" i="6"/>
  <c r="C331" i="6"/>
  <c r="C323" i="6"/>
  <c r="C315" i="6"/>
  <c r="C307" i="6"/>
  <c r="C299" i="6"/>
  <c r="C291" i="6"/>
  <c r="C283" i="6"/>
  <c r="C275" i="6"/>
  <c r="C267" i="6"/>
  <c r="C259" i="6"/>
  <c r="C251" i="6"/>
  <c r="C243" i="6"/>
  <c r="C235" i="6"/>
  <c r="C227" i="6"/>
  <c r="C219" i="6"/>
  <c r="C211" i="6"/>
  <c r="C351" i="6"/>
  <c r="C311" i="6"/>
  <c r="C263" i="6"/>
  <c r="C223" i="6"/>
  <c r="C356" i="6"/>
  <c r="C332" i="6"/>
  <c r="C300" i="6"/>
  <c r="C260" i="6"/>
  <c r="C228" i="6"/>
  <c r="C362" i="6"/>
  <c r="C354" i="6"/>
  <c r="C346" i="6"/>
  <c r="C338" i="6"/>
  <c r="C330" i="6"/>
  <c r="C322" i="6"/>
  <c r="C314" i="6"/>
  <c r="C306" i="6"/>
  <c r="C298" i="6"/>
  <c r="C290" i="6"/>
  <c r="C282" i="6"/>
  <c r="C274" i="6"/>
  <c r="C266" i="6"/>
  <c r="C258" i="6"/>
  <c r="C250" i="6"/>
  <c r="C242" i="6"/>
  <c r="C234" i="6"/>
  <c r="C226" i="6"/>
  <c r="C218" i="6"/>
  <c r="C210" i="6"/>
  <c r="C359" i="6"/>
  <c r="C319" i="6"/>
  <c r="C271" i="6"/>
  <c r="C231" i="6"/>
  <c r="C324" i="6"/>
  <c r="C292" i="6"/>
  <c r="C268" i="6"/>
  <c r="C236" i="6"/>
  <c r="C361" i="6"/>
  <c r="C353" i="6"/>
  <c r="C345" i="6"/>
  <c r="C337" i="6"/>
  <c r="C329" i="6"/>
  <c r="C321" i="6"/>
  <c r="C313" i="6"/>
  <c r="C305" i="6"/>
  <c r="C297" i="6"/>
  <c r="C289" i="6"/>
  <c r="C281" i="6"/>
  <c r="C273" i="6"/>
  <c r="C265" i="6"/>
  <c r="C257" i="6"/>
  <c r="C249" i="6"/>
  <c r="C241" i="6"/>
  <c r="C233" i="6"/>
  <c r="C225" i="6"/>
  <c r="C217" i="6"/>
  <c r="C209" i="6"/>
  <c r="C343" i="6"/>
  <c r="C295" i="6"/>
  <c r="C255" i="6"/>
  <c r="C207" i="6"/>
  <c r="C348" i="6"/>
  <c r="C316" i="6"/>
  <c r="C284" i="6"/>
  <c r="C252" i="6"/>
  <c r="C220" i="6"/>
  <c r="C360" i="6"/>
  <c r="C352" i="6"/>
  <c r="C344" i="6"/>
  <c r="C336" i="6"/>
  <c r="C328" i="6"/>
  <c r="C320" i="6"/>
  <c r="C312" i="6"/>
  <c r="C304" i="6"/>
  <c r="C296" i="6"/>
  <c r="C288" i="6"/>
  <c r="C280" i="6"/>
  <c r="C272" i="6"/>
  <c r="C264" i="6"/>
  <c r="C256" i="6"/>
  <c r="C248" i="6"/>
  <c r="C240" i="6"/>
  <c r="C232" i="6"/>
  <c r="C224" i="6"/>
  <c r="C216" i="6"/>
  <c r="C208" i="6"/>
  <c r="A14" i="5"/>
  <c r="B3" i="5"/>
  <c r="B105" i="3"/>
  <c r="B132" i="3"/>
  <c r="F46" i="3" l="1"/>
  <c r="C61" i="7"/>
  <c r="X54" i="7"/>
  <c r="C199" i="3"/>
  <c r="M660" i="6"/>
  <c r="S660" i="6" s="1"/>
  <c r="Q661" i="6"/>
  <c r="R661" i="6" s="1"/>
  <c r="B308" i="3"/>
  <c r="U51" i="7"/>
  <c r="N661" i="6"/>
  <c r="O662" i="6"/>
  <c r="P662" i="6" s="1"/>
  <c r="F311" i="3"/>
  <c r="H4" i="5"/>
  <c r="D12" i="5" s="1"/>
  <c r="F12" i="5" s="1"/>
  <c r="B134" i="3"/>
  <c r="A15" i="5"/>
  <c r="B7" i="5"/>
  <c r="B110" i="3"/>
  <c r="F308" i="3" l="1"/>
  <c r="X51" i="7"/>
  <c r="B309" i="3"/>
  <c r="U52" i="7"/>
  <c r="M661" i="6"/>
  <c r="S661" i="6" s="1"/>
  <c r="Q662" i="6"/>
  <c r="R662" i="6" s="1"/>
  <c r="N662" i="6"/>
  <c r="O663" i="6"/>
  <c r="P663" i="6" s="1"/>
  <c r="D14" i="5"/>
  <c r="F14" i="5" s="1"/>
  <c r="D13" i="5"/>
  <c r="F13" i="5" s="1"/>
  <c r="B136" i="3"/>
  <c r="B115" i="3"/>
  <c r="H5" i="5"/>
  <c r="E15" i="5" s="1"/>
  <c r="G15" i="5" s="1"/>
  <c r="H15" i="5" s="1"/>
  <c r="I15" i="5" s="1"/>
  <c r="A16" i="5"/>
  <c r="D15" i="5"/>
  <c r="F15" i="5" s="1"/>
  <c r="F309" i="3" l="1"/>
  <c r="X52" i="7"/>
  <c r="B310" i="3"/>
  <c r="U53" i="7"/>
  <c r="O664" i="6"/>
  <c r="P664" i="6" s="1"/>
  <c r="M662" i="6"/>
  <c r="S662" i="6" s="1"/>
  <c r="Q663" i="6"/>
  <c r="R663" i="6" s="1"/>
  <c r="N663" i="6"/>
  <c r="B142" i="3"/>
  <c r="B122" i="3"/>
  <c r="U54" i="7" s="1"/>
  <c r="A17" i="5"/>
  <c r="D16" i="5"/>
  <c r="F16" i="5" s="1"/>
  <c r="E16" i="5"/>
  <c r="G16" i="5" s="1"/>
  <c r="H16" i="5" s="1"/>
  <c r="I16" i="5" s="1"/>
  <c r="E12" i="5"/>
  <c r="G12" i="5" s="1"/>
  <c r="H12" i="5" s="1"/>
  <c r="I12" i="5" s="1"/>
  <c r="E13" i="5"/>
  <c r="G13" i="5" s="1"/>
  <c r="H13" i="5" s="1"/>
  <c r="I13" i="5" s="1"/>
  <c r="E14" i="5"/>
  <c r="G14" i="5" s="1"/>
  <c r="H14" i="5" s="1"/>
  <c r="I14" i="5" s="1"/>
  <c r="F310" i="3" l="1"/>
  <c r="X53" i="7"/>
  <c r="O665" i="6"/>
  <c r="P665" i="6" s="1"/>
  <c r="N664" i="6"/>
  <c r="Q664" i="6"/>
  <c r="R664" i="6" s="1"/>
  <c r="M664" i="6" s="1"/>
  <c r="S664" i="6" s="1"/>
  <c r="M663" i="6"/>
  <c r="S663" i="6" s="1"/>
  <c r="AI4" i="3"/>
  <c r="G34" i="3" s="1"/>
  <c r="B311" i="3"/>
  <c r="E6" i="5"/>
  <c r="B17" i="5" s="1"/>
  <c r="B10" i="6" s="1"/>
  <c r="C9" i="6" s="1"/>
  <c r="AP5" i="6"/>
  <c r="AI3" i="3" s="1"/>
  <c r="E7" i="5"/>
  <c r="A18" i="5"/>
  <c r="D17" i="5"/>
  <c r="F17" i="5" s="1"/>
  <c r="E17" i="5"/>
  <c r="G17" i="5" s="1"/>
  <c r="H17" i="5" s="1"/>
  <c r="I17" i="5" s="1"/>
  <c r="J17" i="5" l="1"/>
  <c r="Q665" i="6"/>
  <c r="R665" i="6" s="1"/>
  <c r="O666" i="6"/>
  <c r="P666" i="6" s="1"/>
  <c r="N665" i="6"/>
  <c r="AK10" i="6"/>
  <c r="B14" i="5"/>
  <c r="B13" i="5"/>
  <c r="B12" i="5"/>
  <c r="J12" i="5" s="1"/>
  <c r="B16" i="5"/>
  <c r="B15" i="5"/>
  <c r="A19" i="5"/>
  <c r="E18" i="5"/>
  <c r="G18" i="5" s="1"/>
  <c r="H18" i="5" s="1"/>
  <c r="I18" i="5" s="1"/>
  <c r="D18" i="5"/>
  <c r="F18" i="5" s="1"/>
  <c r="B18" i="5"/>
  <c r="B11" i="6" s="1"/>
  <c r="C10" i="6" s="1"/>
  <c r="J18" i="5" l="1"/>
  <c r="B6" i="6"/>
  <c r="AK6" i="6" s="1"/>
  <c r="J13" i="5"/>
  <c r="B7" i="6"/>
  <c r="AK7" i="6" s="1"/>
  <c r="J14" i="5"/>
  <c r="B8" i="6"/>
  <c r="C7" i="6" s="1"/>
  <c r="J15" i="5"/>
  <c r="B9" i="6"/>
  <c r="AK9" i="6" s="1"/>
  <c r="J16" i="5"/>
  <c r="M665" i="6"/>
  <c r="S665" i="6" s="1"/>
  <c r="O667" i="6"/>
  <c r="P667" i="6" s="1"/>
  <c r="N666" i="6"/>
  <c r="Q666" i="6"/>
  <c r="R666" i="6" s="1"/>
  <c r="AK11" i="6"/>
  <c r="B5" i="6"/>
  <c r="C13" i="5"/>
  <c r="C14" i="5" s="1"/>
  <c r="C15" i="5" s="1"/>
  <c r="C16" i="5" s="1"/>
  <c r="C17" i="5" s="1"/>
  <c r="C18" i="5" s="1"/>
  <c r="A20" i="5"/>
  <c r="E19" i="5"/>
  <c r="G19" i="5" s="1"/>
  <c r="H19" i="5" s="1"/>
  <c r="I19" i="5" s="1"/>
  <c r="D19" i="5"/>
  <c r="F19" i="5" s="1"/>
  <c r="B19" i="5"/>
  <c r="B12" i="6" s="1"/>
  <c r="C11" i="6" s="1"/>
  <c r="C6" i="6" l="1"/>
  <c r="AK8" i="6"/>
  <c r="J19" i="5"/>
  <c r="C5" i="6"/>
  <c r="C8" i="6"/>
  <c r="M666" i="6"/>
  <c r="S666" i="6" s="1"/>
  <c r="N667" i="6"/>
  <c r="O668" i="6"/>
  <c r="P668" i="6" s="1"/>
  <c r="Q667" i="6"/>
  <c r="R667" i="6" s="1"/>
  <c r="AK12" i="6"/>
  <c r="AD6" i="6"/>
  <c r="AD7" i="6" s="1"/>
  <c r="AD8" i="6" s="1"/>
  <c r="AD9" i="6" s="1"/>
  <c r="AD10" i="6" s="1"/>
  <c r="AD11" i="6" s="1"/>
  <c r="AD12" i="6" s="1"/>
  <c r="AK5" i="6"/>
  <c r="A21" i="5"/>
  <c r="D20" i="5"/>
  <c r="F20" i="5" s="1"/>
  <c r="E20" i="5"/>
  <c r="G20" i="5" s="1"/>
  <c r="H20" i="5" s="1"/>
  <c r="I20" i="5" s="1"/>
  <c r="C19" i="5"/>
  <c r="B20" i="5"/>
  <c r="B13" i="6" s="1"/>
  <c r="C12" i="6" s="1"/>
  <c r="M667" i="6" l="1"/>
  <c r="S667" i="6" s="1"/>
  <c r="J20" i="5"/>
  <c r="Q668" i="6"/>
  <c r="R668" i="6" s="1"/>
  <c r="N668" i="6"/>
  <c r="O669" i="6"/>
  <c r="P669" i="6" s="1"/>
  <c r="AK13" i="6"/>
  <c r="AD13" i="6"/>
  <c r="C20" i="5"/>
  <c r="A22" i="5"/>
  <c r="E21" i="5"/>
  <c r="G21" i="5" s="1"/>
  <c r="H21" i="5" s="1"/>
  <c r="I21" i="5" s="1"/>
  <c r="D21" i="5"/>
  <c r="F21" i="5" s="1"/>
  <c r="B21" i="5"/>
  <c r="B14" i="6" s="1"/>
  <c r="C13" i="6" s="1"/>
  <c r="J21" i="5" l="1"/>
  <c r="M668" i="6"/>
  <c r="S668" i="6" s="1"/>
  <c r="O670" i="6"/>
  <c r="P670" i="6" s="1"/>
  <c r="N669" i="6"/>
  <c r="Q669" i="6"/>
  <c r="R669" i="6" s="1"/>
  <c r="AK14" i="6"/>
  <c r="AD14" i="6"/>
  <c r="A23" i="5"/>
  <c r="E22" i="5"/>
  <c r="G22" i="5" s="1"/>
  <c r="H22" i="5" s="1"/>
  <c r="I22" i="5" s="1"/>
  <c r="D22" i="5"/>
  <c r="F22" i="5" s="1"/>
  <c r="C21" i="5"/>
  <c r="B22" i="5"/>
  <c r="B15" i="6" s="1"/>
  <c r="C14" i="6" s="1"/>
  <c r="M669" i="6" l="1"/>
  <c r="S669" i="6" s="1"/>
  <c r="J22" i="5"/>
  <c r="O671" i="6"/>
  <c r="P671" i="6" s="1"/>
  <c r="N670" i="6"/>
  <c r="Q670" i="6"/>
  <c r="R670" i="6" s="1"/>
  <c r="AK15" i="6"/>
  <c r="AD15" i="6"/>
  <c r="C22" i="5"/>
  <c r="A24" i="5"/>
  <c r="E23" i="5"/>
  <c r="G23" i="5" s="1"/>
  <c r="H23" i="5" s="1"/>
  <c r="I23" i="5" s="1"/>
  <c r="D23" i="5"/>
  <c r="F23" i="5" s="1"/>
  <c r="B23" i="5"/>
  <c r="B16" i="6" s="1"/>
  <c r="C15" i="6" s="1"/>
  <c r="J23" i="5" l="1"/>
  <c r="M670" i="6"/>
  <c r="S670" i="6" s="1"/>
  <c r="O672" i="6"/>
  <c r="P672" i="6" s="1"/>
  <c r="N671" i="6"/>
  <c r="Q671" i="6"/>
  <c r="R671" i="6" s="1"/>
  <c r="AK16" i="6"/>
  <c r="AD16" i="6"/>
  <c r="A25" i="5"/>
  <c r="E24" i="5"/>
  <c r="G24" i="5" s="1"/>
  <c r="H24" i="5" s="1"/>
  <c r="I24" i="5" s="1"/>
  <c r="D24" i="5"/>
  <c r="F24" i="5" s="1"/>
  <c r="C23" i="5"/>
  <c r="B24" i="5"/>
  <c r="B17" i="6" s="1"/>
  <c r="C16" i="6" s="1"/>
  <c r="M671" i="6" l="1"/>
  <c r="S671" i="6" s="1"/>
  <c r="J24" i="5"/>
  <c r="O673" i="6"/>
  <c r="P673" i="6" s="1"/>
  <c r="N672" i="6"/>
  <c r="Q672" i="6"/>
  <c r="R672" i="6" s="1"/>
  <c r="AK17" i="6"/>
  <c r="AD17" i="6"/>
  <c r="C24" i="5"/>
  <c r="A26" i="5"/>
  <c r="D25" i="5"/>
  <c r="F25" i="5" s="1"/>
  <c r="E25" i="5"/>
  <c r="G25" i="5" s="1"/>
  <c r="H25" i="5" s="1"/>
  <c r="I25" i="5" s="1"/>
  <c r="B25" i="5"/>
  <c r="B18" i="6" s="1"/>
  <c r="C17" i="6" s="1"/>
  <c r="J25" i="5" l="1"/>
  <c r="M672" i="6"/>
  <c r="S672" i="6" s="1"/>
  <c r="O674" i="6"/>
  <c r="P674" i="6" s="1"/>
  <c r="Q673" i="6"/>
  <c r="R673" i="6" s="1"/>
  <c r="N673" i="6"/>
  <c r="AK18" i="6"/>
  <c r="AD18" i="6"/>
  <c r="A27" i="5"/>
  <c r="E26" i="5"/>
  <c r="G26" i="5" s="1"/>
  <c r="H26" i="5" s="1"/>
  <c r="I26" i="5" s="1"/>
  <c r="D26" i="5"/>
  <c r="F26" i="5" s="1"/>
  <c r="C25" i="5"/>
  <c r="B26" i="5"/>
  <c r="B19" i="6" s="1"/>
  <c r="C18" i="6" s="1"/>
  <c r="J26" i="5" l="1"/>
  <c r="M673" i="6"/>
  <c r="S673" i="6" s="1"/>
  <c r="N674" i="6"/>
  <c r="O675" i="6"/>
  <c r="P675" i="6" s="1"/>
  <c r="Q674" i="6"/>
  <c r="R674" i="6" s="1"/>
  <c r="AK19" i="6"/>
  <c r="AD19" i="6"/>
  <c r="C26" i="5"/>
  <c r="A28" i="5"/>
  <c r="E27" i="5"/>
  <c r="G27" i="5" s="1"/>
  <c r="H27" i="5" s="1"/>
  <c r="I27" i="5" s="1"/>
  <c r="D27" i="5"/>
  <c r="F27" i="5" s="1"/>
  <c r="B27" i="5"/>
  <c r="B20" i="6" s="1"/>
  <c r="C19" i="6" s="1"/>
  <c r="J27" i="5" l="1"/>
  <c r="M674" i="6"/>
  <c r="S674" i="6" s="1"/>
  <c r="N675" i="6"/>
  <c r="Q675" i="6"/>
  <c r="R675" i="6" s="1"/>
  <c r="M675" i="6" s="1"/>
  <c r="S675" i="6" s="1"/>
  <c r="O676" i="6"/>
  <c r="P676" i="6" s="1"/>
  <c r="AK20" i="6"/>
  <c r="AD20" i="6"/>
  <c r="A29" i="5"/>
  <c r="D28" i="5"/>
  <c r="F28" i="5" s="1"/>
  <c r="E28" i="5"/>
  <c r="G28" i="5" s="1"/>
  <c r="H28" i="5" s="1"/>
  <c r="I28" i="5" s="1"/>
  <c r="C27" i="5"/>
  <c r="B28" i="5"/>
  <c r="B21" i="6" s="1"/>
  <c r="C20" i="6" s="1"/>
  <c r="J28" i="5" l="1"/>
  <c r="O677" i="6"/>
  <c r="P677" i="6" s="1"/>
  <c r="Q676" i="6"/>
  <c r="R676" i="6" s="1"/>
  <c r="N676" i="6"/>
  <c r="AK21" i="6"/>
  <c r="AD21" i="6"/>
  <c r="C28" i="5"/>
  <c r="A30" i="5"/>
  <c r="E29" i="5"/>
  <c r="G29" i="5" s="1"/>
  <c r="H29" i="5" s="1"/>
  <c r="I29" i="5" s="1"/>
  <c r="D29" i="5"/>
  <c r="F29" i="5" s="1"/>
  <c r="B29" i="5"/>
  <c r="B22" i="6" s="1"/>
  <c r="C21" i="6" s="1"/>
  <c r="J29" i="5" l="1"/>
  <c r="M676" i="6"/>
  <c r="S676" i="6" s="1"/>
  <c r="O678" i="6"/>
  <c r="P678" i="6" s="1"/>
  <c r="N677" i="6"/>
  <c r="Q677" i="6"/>
  <c r="R677" i="6" s="1"/>
  <c r="AK22" i="6"/>
  <c r="AD22" i="6"/>
  <c r="A31" i="5"/>
  <c r="E30" i="5"/>
  <c r="G30" i="5" s="1"/>
  <c r="H30" i="5" s="1"/>
  <c r="I30" i="5" s="1"/>
  <c r="D30" i="5"/>
  <c r="F30" i="5" s="1"/>
  <c r="C29" i="5"/>
  <c r="B30" i="5"/>
  <c r="B23" i="6" s="1"/>
  <c r="C22" i="6" s="1"/>
  <c r="M677" i="6" l="1"/>
  <c r="S677" i="6" s="1"/>
  <c r="J30" i="5"/>
  <c r="O679" i="6"/>
  <c r="P679" i="6" s="1"/>
  <c r="Q678" i="6"/>
  <c r="R678" i="6" s="1"/>
  <c r="N678" i="6"/>
  <c r="AK23" i="6"/>
  <c r="AD23" i="6"/>
  <c r="C30" i="5"/>
  <c r="A32" i="5"/>
  <c r="E31" i="5"/>
  <c r="G31" i="5" s="1"/>
  <c r="H31" i="5" s="1"/>
  <c r="I31" i="5" s="1"/>
  <c r="D31" i="5"/>
  <c r="F31" i="5" s="1"/>
  <c r="B31" i="5"/>
  <c r="B24" i="6" s="1"/>
  <c r="C23" i="6" s="1"/>
  <c r="J31" i="5" l="1"/>
  <c r="M678" i="6"/>
  <c r="S678" i="6" s="1"/>
  <c r="O680" i="6"/>
  <c r="P680" i="6" s="1"/>
  <c r="Q679" i="6"/>
  <c r="R679" i="6" s="1"/>
  <c r="N679" i="6"/>
  <c r="AK24" i="6"/>
  <c r="AD24" i="6"/>
  <c r="A33" i="5"/>
  <c r="E32" i="5"/>
  <c r="G32" i="5" s="1"/>
  <c r="H32" i="5" s="1"/>
  <c r="I32" i="5" s="1"/>
  <c r="D32" i="5"/>
  <c r="F32" i="5" s="1"/>
  <c r="C31" i="5"/>
  <c r="B32" i="5"/>
  <c r="B25" i="6" s="1"/>
  <c r="C24" i="6" s="1"/>
  <c r="J32" i="5" l="1"/>
  <c r="M679" i="6"/>
  <c r="S679" i="6" s="1"/>
  <c r="N680" i="6"/>
  <c r="Q680" i="6"/>
  <c r="R680" i="6" s="1"/>
  <c r="O681" i="6"/>
  <c r="P681" i="6" s="1"/>
  <c r="AK25" i="6"/>
  <c r="AD25" i="6"/>
  <c r="C32" i="5"/>
  <c r="A34" i="5"/>
  <c r="E33" i="5"/>
  <c r="G33" i="5" s="1"/>
  <c r="H33" i="5" s="1"/>
  <c r="I33" i="5" s="1"/>
  <c r="D33" i="5"/>
  <c r="F33" i="5" s="1"/>
  <c r="B33" i="5"/>
  <c r="B26" i="6" s="1"/>
  <c r="C25" i="6" s="1"/>
  <c r="J33" i="5" l="1"/>
  <c r="M680" i="6"/>
  <c r="S680" i="6" s="1"/>
  <c r="N681" i="6"/>
  <c r="Q681" i="6"/>
  <c r="R681" i="6" s="1"/>
  <c r="M681" i="6" s="1"/>
  <c r="S681" i="6" s="1"/>
  <c r="O682" i="6"/>
  <c r="P682" i="6" s="1"/>
  <c r="AK26" i="6"/>
  <c r="AD26" i="6"/>
  <c r="A35" i="5"/>
  <c r="E34" i="5"/>
  <c r="G34" i="5" s="1"/>
  <c r="H34" i="5" s="1"/>
  <c r="I34" i="5" s="1"/>
  <c r="D34" i="5"/>
  <c r="F34" i="5" s="1"/>
  <c r="C33" i="5"/>
  <c r="B34" i="5"/>
  <c r="B27" i="6" s="1"/>
  <c r="C26" i="6" s="1"/>
  <c r="J34" i="5" l="1"/>
  <c r="O683" i="6"/>
  <c r="P683" i="6" s="1"/>
  <c r="Q682" i="6"/>
  <c r="R682" i="6" s="1"/>
  <c r="N682" i="6"/>
  <c r="AK27" i="6"/>
  <c r="AD27" i="6"/>
  <c r="C34" i="5"/>
  <c r="A36" i="5"/>
  <c r="E35" i="5"/>
  <c r="G35" i="5" s="1"/>
  <c r="H35" i="5" s="1"/>
  <c r="I35" i="5" s="1"/>
  <c r="D35" i="5"/>
  <c r="F35" i="5" s="1"/>
  <c r="B35" i="5"/>
  <c r="B28" i="6" s="1"/>
  <c r="C27" i="6" s="1"/>
  <c r="J35" i="5" l="1"/>
  <c r="M682" i="6"/>
  <c r="S682" i="6" s="1"/>
  <c r="N683" i="6"/>
  <c r="O684" i="6"/>
  <c r="P684" i="6" s="1"/>
  <c r="Q683" i="6"/>
  <c r="R683" i="6" s="1"/>
  <c r="AK28" i="6"/>
  <c r="AD28" i="6"/>
  <c r="A37" i="5"/>
  <c r="D36" i="5"/>
  <c r="F36" i="5" s="1"/>
  <c r="E36" i="5"/>
  <c r="G36" i="5" s="1"/>
  <c r="H36" i="5" s="1"/>
  <c r="I36" i="5" s="1"/>
  <c r="C35" i="5"/>
  <c r="B36" i="5"/>
  <c r="B29" i="6" s="1"/>
  <c r="C28" i="6" s="1"/>
  <c r="J36" i="5" l="1"/>
  <c r="M683" i="6"/>
  <c r="S683" i="6" s="1"/>
  <c r="O685" i="6"/>
  <c r="P685" i="6" s="1"/>
  <c r="Q684" i="6"/>
  <c r="R684" i="6" s="1"/>
  <c r="N684" i="6"/>
  <c r="AK29" i="6"/>
  <c r="AD29" i="6"/>
  <c r="C36" i="5"/>
  <c r="A38" i="5"/>
  <c r="E37" i="5"/>
  <c r="G37" i="5" s="1"/>
  <c r="H37" i="5" s="1"/>
  <c r="I37" i="5" s="1"/>
  <c r="D37" i="5"/>
  <c r="F37" i="5" s="1"/>
  <c r="B37" i="5"/>
  <c r="B30" i="6" s="1"/>
  <c r="C29" i="6" s="1"/>
  <c r="J37" i="5" l="1"/>
  <c r="M684" i="6"/>
  <c r="S684" i="6" s="1"/>
  <c r="N685" i="6"/>
  <c r="Q685" i="6"/>
  <c r="R685" i="6" s="1"/>
  <c r="M685" i="6" s="1"/>
  <c r="S685" i="6" s="1"/>
  <c r="O686" i="6"/>
  <c r="P686" i="6" s="1"/>
  <c r="AK30" i="6"/>
  <c r="AD30" i="6"/>
  <c r="A39" i="5"/>
  <c r="E38" i="5"/>
  <c r="G38" i="5" s="1"/>
  <c r="H38" i="5" s="1"/>
  <c r="I38" i="5" s="1"/>
  <c r="D38" i="5"/>
  <c r="F38" i="5" s="1"/>
  <c r="C37" i="5"/>
  <c r="B38" i="5"/>
  <c r="B31" i="6" s="1"/>
  <c r="C30" i="6" s="1"/>
  <c r="J38" i="5" l="1"/>
  <c r="O687" i="6"/>
  <c r="P687" i="6" s="1"/>
  <c r="Q686" i="6"/>
  <c r="R686" i="6" s="1"/>
  <c r="N686" i="6"/>
  <c r="AK31" i="6"/>
  <c r="AD31" i="6"/>
  <c r="C38" i="5"/>
  <c r="A40" i="5"/>
  <c r="E39" i="5"/>
  <c r="G39" i="5" s="1"/>
  <c r="H39" i="5" s="1"/>
  <c r="I39" i="5" s="1"/>
  <c r="D39" i="5"/>
  <c r="F39" i="5" s="1"/>
  <c r="B39" i="5"/>
  <c r="B32" i="6" s="1"/>
  <c r="C31" i="6" s="1"/>
  <c r="J39" i="5" l="1"/>
  <c r="M686" i="6"/>
  <c r="S686" i="6" s="1"/>
  <c r="N687" i="6"/>
  <c r="Q687" i="6"/>
  <c r="R687" i="6" s="1"/>
  <c r="M687" i="6" s="1"/>
  <c r="S687" i="6" s="1"/>
  <c r="O688" i="6"/>
  <c r="P688" i="6" s="1"/>
  <c r="AK32" i="6"/>
  <c r="AD32" i="6"/>
  <c r="A41" i="5"/>
  <c r="E40" i="5"/>
  <c r="G40" i="5" s="1"/>
  <c r="H40" i="5" s="1"/>
  <c r="I40" i="5" s="1"/>
  <c r="D40" i="5"/>
  <c r="F40" i="5" s="1"/>
  <c r="C39" i="5"/>
  <c r="B40" i="5"/>
  <c r="B33" i="6" s="1"/>
  <c r="C32" i="6" s="1"/>
  <c r="J40" i="5" l="1"/>
  <c r="O689" i="6"/>
  <c r="P689" i="6" s="1"/>
  <c r="Q688" i="6"/>
  <c r="R688" i="6" s="1"/>
  <c r="N688" i="6"/>
  <c r="AK33" i="6"/>
  <c r="AD33" i="6"/>
  <c r="C40" i="5"/>
  <c r="A42" i="5"/>
  <c r="D41" i="5"/>
  <c r="F41" i="5" s="1"/>
  <c r="E41" i="5"/>
  <c r="G41" i="5" s="1"/>
  <c r="H41" i="5" s="1"/>
  <c r="I41" i="5" s="1"/>
  <c r="B41" i="5"/>
  <c r="B34" i="6" s="1"/>
  <c r="C33" i="6" s="1"/>
  <c r="J41" i="5" l="1"/>
  <c r="M688" i="6"/>
  <c r="S688" i="6" s="1"/>
  <c r="N689" i="6"/>
  <c r="Q689" i="6"/>
  <c r="R689" i="6" s="1"/>
  <c r="M689" i="6" s="1"/>
  <c r="S689" i="6" s="1"/>
  <c r="O690" i="6"/>
  <c r="P690" i="6" s="1"/>
  <c r="AK34" i="6"/>
  <c r="AD34" i="6"/>
  <c r="A43" i="5"/>
  <c r="E42" i="5"/>
  <c r="G42" i="5" s="1"/>
  <c r="H42" i="5" s="1"/>
  <c r="I42" i="5" s="1"/>
  <c r="D42" i="5"/>
  <c r="F42" i="5" s="1"/>
  <c r="C41" i="5"/>
  <c r="B42" i="5"/>
  <c r="B35" i="6" s="1"/>
  <c r="C34" i="6" s="1"/>
  <c r="J42" i="5" l="1"/>
  <c r="O691" i="6"/>
  <c r="P691" i="6" s="1"/>
  <c r="Q690" i="6"/>
  <c r="R690" i="6" s="1"/>
  <c r="N690" i="6"/>
  <c r="AK35" i="6"/>
  <c r="AD35" i="6"/>
  <c r="C42" i="5"/>
  <c r="A44" i="5"/>
  <c r="E43" i="5"/>
  <c r="G43" i="5" s="1"/>
  <c r="H43" i="5" s="1"/>
  <c r="I43" i="5" s="1"/>
  <c r="D43" i="5"/>
  <c r="F43" i="5" s="1"/>
  <c r="B43" i="5"/>
  <c r="B36" i="6" s="1"/>
  <c r="C35" i="6" s="1"/>
  <c r="J43" i="5" l="1"/>
  <c r="M690" i="6"/>
  <c r="S690" i="6" s="1"/>
  <c r="O692" i="6"/>
  <c r="P692" i="6" s="1"/>
  <c r="Q691" i="6"/>
  <c r="R691" i="6" s="1"/>
  <c r="N691" i="6"/>
  <c r="AK36" i="6"/>
  <c r="AD36" i="6"/>
  <c r="A45" i="5"/>
  <c r="D44" i="5"/>
  <c r="F44" i="5" s="1"/>
  <c r="E44" i="5"/>
  <c r="G44" i="5" s="1"/>
  <c r="H44" i="5" s="1"/>
  <c r="I44" i="5" s="1"/>
  <c r="C43" i="5"/>
  <c r="B44" i="5"/>
  <c r="B37" i="6" s="1"/>
  <c r="C36" i="6" s="1"/>
  <c r="J44" i="5" l="1"/>
  <c r="M691" i="6"/>
  <c r="S691" i="6" s="1"/>
  <c r="N692" i="6"/>
  <c r="Q692" i="6"/>
  <c r="R692" i="6" s="1"/>
  <c r="M692" i="6" s="1"/>
  <c r="S692" i="6" s="1"/>
  <c r="O693" i="6"/>
  <c r="P693" i="6" s="1"/>
  <c r="AK37" i="6"/>
  <c r="AD37" i="6"/>
  <c r="C44" i="5"/>
  <c r="A46" i="5"/>
  <c r="E45" i="5"/>
  <c r="G45" i="5" s="1"/>
  <c r="H45" i="5" s="1"/>
  <c r="I45" i="5" s="1"/>
  <c r="D45" i="5"/>
  <c r="F45" i="5" s="1"/>
  <c r="B45" i="5"/>
  <c r="B38" i="6" s="1"/>
  <c r="C37" i="6" s="1"/>
  <c r="J45" i="5" l="1"/>
  <c r="N693" i="6"/>
  <c r="Q693" i="6"/>
  <c r="R693" i="6" s="1"/>
  <c r="M693" i="6" s="1"/>
  <c r="S693" i="6" s="1"/>
  <c r="O694" i="6"/>
  <c r="P694" i="6" s="1"/>
  <c r="AK38" i="6"/>
  <c r="AD38" i="6"/>
  <c r="A47" i="5"/>
  <c r="E46" i="5"/>
  <c r="G46" i="5" s="1"/>
  <c r="H46" i="5" s="1"/>
  <c r="I46" i="5" s="1"/>
  <c r="D46" i="5"/>
  <c r="F46" i="5" s="1"/>
  <c r="C45" i="5"/>
  <c r="B46" i="5"/>
  <c r="B39" i="6" s="1"/>
  <c r="C38" i="6" s="1"/>
  <c r="J46" i="5" l="1"/>
  <c r="O695" i="6"/>
  <c r="P695" i="6" s="1"/>
  <c r="Q694" i="6"/>
  <c r="R694" i="6" s="1"/>
  <c r="N694" i="6"/>
  <c r="AK39" i="6"/>
  <c r="AD39" i="6"/>
  <c r="C46" i="5"/>
  <c r="A48" i="5"/>
  <c r="E47" i="5"/>
  <c r="G47" i="5" s="1"/>
  <c r="H47" i="5" s="1"/>
  <c r="I47" i="5" s="1"/>
  <c r="D47" i="5"/>
  <c r="F47" i="5" s="1"/>
  <c r="B47" i="5"/>
  <c r="B40" i="6" s="1"/>
  <c r="C39" i="6" s="1"/>
  <c r="J47" i="5" l="1"/>
  <c r="M694" i="6"/>
  <c r="S694" i="6" s="1"/>
  <c r="O696" i="6"/>
  <c r="P696" i="6" s="1"/>
  <c r="N695" i="6"/>
  <c r="Q695" i="6"/>
  <c r="R695" i="6" s="1"/>
  <c r="AK40" i="6"/>
  <c r="AD40" i="6"/>
  <c r="A49" i="5"/>
  <c r="E48" i="5"/>
  <c r="G48" i="5" s="1"/>
  <c r="H48" i="5" s="1"/>
  <c r="I48" i="5" s="1"/>
  <c r="D48" i="5"/>
  <c r="F48" i="5" s="1"/>
  <c r="C47" i="5"/>
  <c r="B48" i="5"/>
  <c r="B41" i="6" s="1"/>
  <c r="C40" i="6" s="1"/>
  <c r="M695" i="6" l="1"/>
  <c r="S695" i="6" s="1"/>
  <c r="J48" i="5"/>
  <c r="N696" i="6"/>
  <c r="Q696" i="6"/>
  <c r="R696" i="6" s="1"/>
  <c r="M696" i="6" s="1"/>
  <c r="S696" i="6" s="1"/>
  <c r="O697" i="6"/>
  <c r="P697" i="6" s="1"/>
  <c r="AK41" i="6"/>
  <c r="AD41" i="6"/>
  <c r="C48" i="5"/>
  <c r="A50" i="5"/>
  <c r="D49" i="5"/>
  <c r="F49" i="5" s="1"/>
  <c r="E49" i="5"/>
  <c r="G49" i="5" s="1"/>
  <c r="H49" i="5" s="1"/>
  <c r="I49" i="5" s="1"/>
  <c r="B49" i="5"/>
  <c r="B42" i="6" s="1"/>
  <c r="C41" i="6" s="1"/>
  <c r="J49" i="5" l="1"/>
  <c r="N697" i="6"/>
  <c r="O698" i="6"/>
  <c r="P698" i="6" s="1"/>
  <c r="Q697" i="6"/>
  <c r="R697" i="6" s="1"/>
  <c r="M697" i="6" s="1"/>
  <c r="S697" i="6" s="1"/>
  <c r="AK42" i="6"/>
  <c r="AD42" i="6"/>
  <c r="C49" i="5"/>
  <c r="A51" i="5"/>
  <c r="E50" i="5"/>
  <c r="G50" i="5" s="1"/>
  <c r="H50" i="5" s="1"/>
  <c r="I50" i="5" s="1"/>
  <c r="D50" i="5"/>
  <c r="F50" i="5" s="1"/>
  <c r="B50" i="5"/>
  <c r="J50" i="5" l="1"/>
  <c r="O699" i="6"/>
  <c r="P699" i="6" s="1"/>
  <c r="N698" i="6"/>
  <c r="Q698" i="6"/>
  <c r="R698" i="6" s="1"/>
  <c r="C50" i="5"/>
  <c r="B43" i="6"/>
  <c r="C42" i="6" s="1"/>
  <c r="A52" i="5"/>
  <c r="E51" i="5"/>
  <c r="G51" i="5" s="1"/>
  <c r="H51" i="5" s="1"/>
  <c r="I51" i="5" s="1"/>
  <c r="D51" i="5"/>
  <c r="F51" i="5" s="1"/>
  <c r="B51" i="5"/>
  <c r="J51" i="5" l="1"/>
  <c r="M698" i="6"/>
  <c r="S698" i="6" s="1"/>
  <c r="O700" i="6"/>
  <c r="P700" i="6" s="1"/>
  <c r="N699" i="6"/>
  <c r="Q699" i="6"/>
  <c r="R699" i="6" s="1"/>
  <c r="M699" i="6" s="1"/>
  <c r="S699" i="6" s="1"/>
  <c r="AK43" i="6"/>
  <c r="AD43" i="6"/>
  <c r="C51" i="5"/>
  <c r="B44" i="6"/>
  <c r="C43" i="6" s="1"/>
  <c r="A53" i="5"/>
  <c r="D52" i="5"/>
  <c r="F52" i="5" s="1"/>
  <c r="E52" i="5"/>
  <c r="G52" i="5" s="1"/>
  <c r="H52" i="5" s="1"/>
  <c r="I52" i="5" s="1"/>
  <c r="B52" i="5"/>
  <c r="J52" i="5" l="1"/>
  <c r="Q700" i="6"/>
  <c r="R700" i="6" s="1"/>
  <c r="N700" i="6"/>
  <c r="O701" i="6"/>
  <c r="P701" i="6" s="1"/>
  <c r="AK44" i="6"/>
  <c r="AD44" i="6"/>
  <c r="C52" i="5"/>
  <c r="B45" i="6"/>
  <c r="C44" i="6" s="1"/>
  <c r="A54" i="5"/>
  <c r="E53" i="5"/>
  <c r="G53" i="5" s="1"/>
  <c r="H53" i="5" s="1"/>
  <c r="I53" i="5" s="1"/>
  <c r="D53" i="5"/>
  <c r="F53" i="5" s="1"/>
  <c r="B53" i="5"/>
  <c r="J53" i="5" l="1"/>
  <c r="M700" i="6"/>
  <c r="S700" i="6" s="1"/>
  <c r="Q701" i="6"/>
  <c r="R701" i="6" s="1"/>
  <c r="O702" i="6"/>
  <c r="P702" i="6" s="1"/>
  <c r="N701" i="6"/>
  <c r="AK45" i="6"/>
  <c r="AD45" i="6"/>
  <c r="C53" i="5"/>
  <c r="B46" i="6"/>
  <c r="C45" i="6" s="1"/>
  <c r="A55" i="5"/>
  <c r="E54" i="5"/>
  <c r="G54" i="5" s="1"/>
  <c r="H54" i="5" s="1"/>
  <c r="I54" i="5" s="1"/>
  <c r="D54" i="5"/>
  <c r="F54" i="5" s="1"/>
  <c r="B54" i="5"/>
  <c r="J54" i="5" l="1"/>
  <c r="M701" i="6"/>
  <c r="S701" i="6" s="1"/>
  <c r="N702" i="6"/>
  <c r="Q702" i="6"/>
  <c r="R702" i="6" s="1"/>
  <c r="O703" i="6"/>
  <c r="P703" i="6" s="1"/>
  <c r="AK46" i="6"/>
  <c r="AD46" i="6"/>
  <c r="C54" i="5"/>
  <c r="B47" i="6"/>
  <c r="C46" i="6" s="1"/>
  <c r="A56" i="5"/>
  <c r="E55" i="5"/>
  <c r="G55" i="5" s="1"/>
  <c r="H55" i="5" s="1"/>
  <c r="I55" i="5" s="1"/>
  <c r="D55" i="5"/>
  <c r="F55" i="5" s="1"/>
  <c r="B55" i="5"/>
  <c r="J55" i="5" l="1"/>
  <c r="M702" i="6"/>
  <c r="S702" i="6" s="1"/>
  <c r="N703" i="6"/>
  <c r="Q703" i="6"/>
  <c r="R703" i="6" s="1"/>
  <c r="M703" i="6" s="1"/>
  <c r="S703" i="6" s="1"/>
  <c r="O704" i="6"/>
  <c r="P704" i="6" s="1"/>
  <c r="AK47" i="6"/>
  <c r="AD47" i="6"/>
  <c r="C55" i="5"/>
  <c r="B48" i="6"/>
  <c r="C47" i="6" s="1"/>
  <c r="A57" i="5"/>
  <c r="D56" i="5"/>
  <c r="F56" i="5" s="1"/>
  <c r="E56" i="5"/>
  <c r="G56" i="5" s="1"/>
  <c r="H56" i="5" s="1"/>
  <c r="I56" i="5" s="1"/>
  <c r="B56" i="5"/>
  <c r="J56" i="5" l="1"/>
  <c r="N704" i="6"/>
  <c r="O705" i="6"/>
  <c r="P705" i="6" s="1"/>
  <c r="Q704" i="6"/>
  <c r="R704" i="6" s="1"/>
  <c r="M704" i="6" s="1"/>
  <c r="S704" i="6" s="1"/>
  <c r="AK48" i="6"/>
  <c r="AD48" i="6"/>
  <c r="C56" i="5"/>
  <c r="B49" i="6"/>
  <c r="C48" i="6" s="1"/>
  <c r="A58" i="5"/>
  <c r="E57" i="5"/>
  <c r="G57" i="5" s="1"/>
  <c r="H57" i="5" s="1"/>
  <c r="I57" i="5" s="1"/>
  <c r="D57" i="5"/>
  <c r="F57" i="5" s="1"/>
  <c r="B57" i="5"/>
  <c r="J57" i="5" l="1"/>
  <c r="O706" i="6"/>
  <c r="P706" i="6" s="1"/>
  <c r="N705" i="6"/>
  <c r="Q705" i="6"/>
  <c r="R705" i="6" s="1"/>
  <c r="AK49" i="6"/>
  <c r="AD49" i="6"/>
  <c r="C57" i="5"/>
  <c r="B50" i="6"/>
  <c r="C49" i="6" s="1"/>
  <c r="A59" i="5"/>
  <c r="E58" i="5"/>
  <c r="G58" i="5" s="1"/>
  <c r="H58" i="5" s="1"/>
  <c r="I58" i="5" s="1"/>
  <c r="D58" i="5"/>
  <c r="F58" i="5" s="1"/>
  <c r="B58" i="5"/>
  <c r="J58" i="5" l="1"/>
  <c r="M705" i="6"/>
  <c r="S705" i="6" s="1"/>
  <c r="O707" i="6"/>
  <c r="P707" i="6" s="1"/>
  <c r="Q706" i="6"/>
  <c r="R706" i="6" s="1"/>
  <c r="N706" i="6"/>
  <c r="AK50" i="6"/>
  <c r="AD50" i="6"/>
  <c r="C58" i="5"/>
  <c r="B51" i="6"/>
  <c r="C50" i="6" s="1"/>
  <c r="A60" i="5"/>
  <c r="E59" i="5"/>
  <c r="G59" i="5" s="1"/>
  <c r="H59" i="5" s="1"/>
  <c r="I59" i="5" s="1"/>
  <c r="D59" i="5"/>
  <c r="F59" i="5" s="1"/>
  <c r="B59" i="5"/>
  <c r="J59" i="5" l="1"/>
  <c r="O708" i="6"/>
  <c r="P708" i="6" s="1"/>
  <c r="M706" i="6"/>
  <c r="S706" i="6" s="1"/>
  <c r="N707" i="6"/>
  <c r="Q707" i="6"/>
  <c r="R707" i="6" s="1"/>
  <c r="M707" i="6" s="1"/>
  <c r="S707" i="6" s="1"/>
  <c r="AK51" i="6"/>
  <c r="AD51" i="6"/>
  <c r="C59" i="5"/>
  <c r="B52" i="6"/>
  <c r="C51" i="6" s="1"/>
  <c r="A61" i="5"/>
  <c r="D60" i="5"/>
  <c r="F60" i="5" s="1"/>
  <c r="E60" i="5"/>
  <c r="G60" i="5" s="1"/>
  <c r="H60" i="5" s="1"/>
  <c r="I60" i="5" s="1"/>
  <c r="B60" i="5"/>
  <c r="J60" i="5" l="1"/>
  <c r="O709" i="6"/>
  <c r="P709" i="6" s="1"/>
  <c r="N708" i="6"/>
  <c r="Q708" i="6"/>
  <c r="R708" i="6" s="1"/>
  <c r="M708" i="6" s="1"/>
  <c r="S708" i="6" s="1"/>
  <c r="AK52" i="6"/>
  <c r="AD52" i="6"/>
  <c r="C60" i="5"/>
  <c r="B53" i="6"/>
  <c r="C52" i="6" s="1"/>
  <c r="A62" i="5"/>
  <c r="E61" i="5"/>
  <c r="G61" i="5" s="1"/>
  <c r="H61" i="5" s="1"/>
  <c r="I61" i="5" s="1"/>
  <c r="D61" i="5"/>
  <c r="F61" i="5" s="1"/>
  <c r="B61" i="5"/>
  <c r="N709" i="6" l="1"/>
  <c r="J61" i="5"/>
  <c r="O710" i="6"/>
  <c r="P710" i="6" s="1"/>
  <c r="Q709" i="6"/>
  <c r="R709" i="6" s="1"/>
  <c r="M709" i="6" s="1"/>
  <c r="S709" i="6" s="1"/>
  <c r="AK53" i="6"/>
  <c r="AD53" i="6"/>
  <c r="C61" i="5"/>
  <c r="B54" i="6"/>
  <c r="C53" i="6" s="1"/>
  <c r="A63" i="5"/>
  <c r="E62" i="5"/>
  <c r="G62" i="5" s="1"/>
  <c r="H62" i="5" s="1"/>
  <c r="I62" i="5" s="1"/>
  <c r="D62" i="5"/>
  <c r="F62" i="5" s="1"/>
  <c r="B62" i="5"/>
  <c r="Q710" i="6" l="1"/>
  <c r="R710" i="6" s="1"/>
  <c r="N710" i="6"/>
  <c r="J62" i="5"/>
  <c r="O711" i="6"/>
  <c r="P711" i="6" s="1"/>
  <c r="AK54" i="6"/>
  <c r="AD54" i="6"/>
  <c r="C62" i="5"/>
  <c r="B55" i="6"/>
  <c r="C54" i="6" s="1"/>
  <c r="A64" i="5"/>
  <c r="E63" i="5"/>
  <c r="G63" i="5" s="1"/>
  <c r="H63" i="5" s="1"/>
  <c r="I63" i="5" s="1"/>
  <c r="D63" i="5"/>
  <c r="F63" i="5" s="1"/>
  <c r="B63" i="5"/>
  <c r="M710" i="6" l="1"/>
  <c r="S710" i="6" s="1"/>
  <c r="N711" i="6"/>
  <c r="O712" i="6"/>
  <c r="P712" i="6" s="1"/>
  <c r="Q711" i="6"/>
  <c r="R711" i="6" s="1"/>
  <c r="M711" i="6" s="1"/>
  <c r="S711" i="6" s="1"/>
  <c r="J63" i="5"/>
  <c r="AK55" i="6"/>
  <c r="AD55" i="6"/>
  <c r="C63" i="5"/>
  <c r="B56" i="6"/>
  <c r="C55" i="6" s="1"/>
  <c r="A65" i="5"/>
  <c r="D64" i="5"/>
  <c r="F64" i="5" s="1"/>
  <c r="E64" i="5"/>
  <c r="G64" i="5" s="1"/>
  <c r="H64" i="5" s="1"/>
  <c r="I64" i="5" s="1"/>
  <c r="B64" i="5"/>
  <c r="O713" i="6" l="1"/>
  <c r="P713" i="6" s="1"/>
  <c r="Q712" i="6"/>
  <c r="R712" i="6" s="1"/>
  <c r="N712" i="6"/>
  <c r="J64" i="5"/>
  <c r="AK56" i="6"/>
  <c r="AD56" i="6"/>
  <c r="C64" i="5"/>
  <c r="B57" i="6"/>
  <c r="C56" i="6" s="1"/>
  <c r="A66" i="5"/>
  <c r="D65" i="5"/>
  <c r="F65" i="5" s="1"/>
  <c r="E65" i="5"/>
  <c r="G65" i="5" s="1"/>
  <c r="H65" i="5" s="1"/>
  <c r="I65" i="5" s="1"/>
  <c r="B65" i="5"/>
  <c r="M712" i="6" l="1"/>
  <c r="S712" i="6" s="1"/>
  <c r="N713" i="6"/>
  <c r="Q713" i="6"/>
  <c r="R713" i="6" s="1"/>
  <c r="M713" i="6" s="1"/>
  <c r="S713" i="6" s="1"/>
  <c r="O714" i="6"/>
  <c r="P714" i="6" s="1"/>
  <c r="J65" i="5"/>
  <c r="AK57" i="6"/>
  <c r="AD57" i="6"/>
  <c r="C65" i="5"/>
  <c r="B58" i="6"/>
  <c r="C57" i="6" s="1"/>
  <c r="A67" i="5"/>
  <c r="E66" i="5"/>
  <c r="G66" i="5" s="1"/>
  <c r="H66" i="5" s="1"/>
  <c r="I66" i="5" s="1"/>
  <c r="D66" i="5"/>
  <c r="F66" i="5" s="1"/>
  <c r="B66" i="5"/>
  <c r="N714" i="6" l="1"/>
  <c r="Q714" i="6"/>
  <c r="R714" i="6" s="1"/>
  <c r="O715" i="6"/>
  <c r="P715" i="6" s="1"/>
  <c r="J66" i="5"/>
  <c r="AK58" i="6"/>
  <c r="AD58" i="6"/>
  <c r="C66" i="5"/>
  <c r="B59" i="6"/>
  <c r="C58" i="6" s="1"/>
  <c r="E67" i="5"/>
  <c r="G67" i="5" s="1"/>
  <c r="H67" i="5" s="1"/>
  <c r="I67" i="5" s="1"/>
  <c r="A68" i="5"/>
  <c r="D67" i="5"/>
  <c r="F67" i="5" s="1"/>
  <c r="B67" i="5"/>
  <c r="M714" i="6" l="1"/>
  <c r="S714" i="6" s="1"/>
  <c r="N715" i="6"/>
  <c r="Q715" i="6"/>
  <c r="R715" i="6" s="1"/>
  <c r="O716" i="6"/>
  <c r="P716" i="6" s="1"/>
  <c r="J67" i="5"/>
  <c r="AK59" i="6"/>
  <c r="AD59" i="6"/>
  <c r="C67" i="5"/>
  <c r="B60" i="6"/>
  <c r="C59" i="6" s="1"/>
  <c r="A69" i="5"/>
  <c r="D68" i="5"/>
  <c r="F68" i="5" s="1"/>
  <c r="E68" i="5"/>
  <c r="G68" i="5" s="1"/>
  <c r="H68" i="5" s="1"/>
  <c r="I68" i="5" s="1"/>
  <c r="B68" i="5"/>
  <c r="M715" i="6" l="1"/>
  <c r="S715" i="6" s="1"/>
  <c r="Q716" i="6"/>
  <c r="R716" i="6" s="1"/>
  <c r="N716" i="6"/>
  <c r="O717" i="6"/>
  <c r="P717" i="6" s="1"/>
  <c r="J68" i="5"/>
  <c r="AK60" i="6"/>
  <c r="AD60" i="6"/>
  <c r="C68" i="5"/>
  <c r="B61" i="6"/>
  <c r="C60" i="6" s="1"/>
  <c r="A70" i="5"/>
  <c r="E69" i="5"/>
  <c r="G69" i="5" s="1"/>
  <c r="H69" i="5" s="1"/>
  <c r="I69" i="5" s="1"/>
  <c r="D69" i="5"/>
  <c r="F69" i="5" s="1"/>
  <c r="B69" i="5"/>
  <c r="B62" i="6" s="1"/>
  <c r="C61" i="6" s="1"/>
  <c r="M716" i="6" l="1"/>
  <c r="S716" i="6" s="1"/>
  <c r="O718" i="6"/>
  <c r="P718" i="6" s="1"/>
  <c r="N717" i="6"/>
  <c r="Q717" i="6"/>
  <c r="R717" i="6" s="1"/>
  <c r="J69" i="5"/>
  <c r="AK62" i="6"/>
  <c r="AK61" i="6"/>
  <c r="AD61" i="6"/>
  <c r="AD62" i="6" s="1"/>
  <c r="C69" i="5"/>
  <c r="A71" i="5"/>
  <c r="E70" i="5"/>
  <c r="G70" i="5" s="1"/>
  <c r="H70" i="5" s="1"/>
  <c r="I70" i="5" s="1"/>
  <c r="D70" i="5"/>
  <c r="F70" i="5" s="1"/>
  <c r="B70" i="5"/>
  <c r="B63" i="6" s="1"/>
  <c r="C62" i="6" s="1"/>
  <c r="M717" i="6" l="1"/>
  <c r="S717" i="6" s="1"/>
  <c r="N718" i="6"/>
  <c r="Q718" i="6"/>
  <c r="R718" i="6" s="1"/>
  <c r="M718" i="6" s="1"/>
  <c r="S718" i="6" s="1"/>
  <c r="O719" i="6"/>
  <c r="P719" i="6" s="1"/>
  <c r="J70" i="5"/>
  <c r="AK63" i="6"/>
  <c r="AD63" i="6"/>
  <c r="C70" i="5"/>
  <c r="A72" i="5"/>
  <c r="E71" i="5"/>
  <c r="G71" i="5" s="1"/>
  <c r="H71" i="5" s="1"/>
  <c r="I71" i="5" s="1"/>
  <c r="D71" i="5"/>
  <c r="F71" i="5" s="1"/>
  <c r="B71" i="5"/>
  <c r="B64" i="6" s="1"/>
  <c r="C63" i="6" s="1"/>
  <c r="O720" i="6" l="1"/>
  <c r="P720" i="6" s="1"/>
  <c r="Q719" i="6"/>
  <c r="R719" i="6" s="1"/>
  <c r="N719" i="6"/>
  <c r="J71" i="5"/>
  <c r="AK64" i="6"/>
  <c r="AD64" i="6"/>
  <c r="C71" i="5"/>
  <c r="A73" i="5"/>
  <c r="E72" i="5"/>
  <c r="G72" i="5" s="1"/>
  <c r="H72" i="5" s="1"/>
  <c r="I72" i="5" s="1"/>
  <c r="D72" i="5"/>
  <c r="F72" i="5" s="1"/>
  <c r="B72" i="5"/>
  <c r="B65" i="6" s="1"/>
  <c r="C64" i="6" s="1"/>
  <c r="M719" i="6" l="1"/>
  <c r="S719" i="6" s="1"/>
  <c r="O721" i="6"/>
  <c r="P721" i="6" s="1"/>
  <c r="N720" i="6"/>
  <c r="Q720" i="6"/>
  <c r="R720" i="6" s="1"/>
  <c r="M720" i="6" s="1"/>
  <c r="S720" i="6" s="1"/>
  <c r="J72" i="5"/>
  <c r="AK65" i="6"/>
  <c r="AD65" i="6"/>
  <c r="C72" i="5"/>
  <c r="A74" i="5"/>
  <c r="D73" i="5"/>
  <c r="F73" i="5" s="1"/>
  <c r="E73" i="5"/>
  <c r="G73" i="5" s="1"/>
  <c r="H73" i="5" s="1"/>
  <c r="I73" i="5" s="1"/>
  <c r="B73" i="5"/>
  <c r="B66" i="6" s="1"/>
  <c r="C65" i="6" s="1"/>
  <c r="N721" i="6" l="1"/>
  <c r="Q721" i="6"/>
  <c r="R721" i="6" s="1"/>
  <c r="M721" i="6" s="1"/>
  <c r="S721" i="6" s="1"/>
  <c r="O722" i="6"/>
  <c r="P722" i="6" s="1"/>
  <c r="J73" i="5"/>
  <c r="AK66" i="6"/>
  <c r="AD66" i="6"/>
  <c r="C73" i="5"/>
  <c r="A75" i="5"/>
  <c r="E74" i="5"/>
  <c r="G74" i="5" s="1"/>
  <c r="H74" i="5" s="1"/>
  <c r="I74" i="5" s="1"/>
  <c r="D74" i="5"/>
  <c r="F74" i="5" s="1"/>
  <c r="B74" i="5"/>
  <c r="B67" i="6" s="1"/>
  <c r="C66" i="6" s="1"/>
  <c r="N722" i="6" l="1"/>
  <c r="Q722" i="6"/>
  <c r="R722" i="6" s="1"/>
  <c r="M722" i="6" s="1"/>
  <c r="S722" i="6" s="1"/>
  <c r="O723" i="6"/>
  <c r="P723" i="6" s="1"/>
  <c r="J74" i="5"/>
  <c r="AK67" i="6"/>
  <c r="AD67" i="6"/>
  <c r="C74" i="5"/>
  <c r="A76" i="5"/>
  <c r="E75" i="5"/>
  <c r="G75" i="5" s="1"/>
  <c r="H75" i="5" s="1"/>
  <c r="I75" i="5" s="1"/>
  <c r="D75" i="5"/>
  <c r="F75" i="5" s="1"/>
  <c r="B75" i="5"/>
  <c r="B68" i="6" s="1"/>
  <c r="C67" i="6" s="1"/>
  <c r="Q723" i="6" l="1"/>
  <c r="R723" i="6" s="1"/>
  <c r="M723" i="6" s="1"/>
  <c r="S723" i="6" s="1"/>
  <c r="N723" i="6"/>
  <c r="O724" i="6"/>
  <c r="P724" i="6" s="1"/>
  <c r="J75" i="5"/>
  <c r="AK68" i="6"/>
  <c r="AD68" i="6"/>
  <c r="C75" i="5"/>
  <c r="A77" i="5"/>
  <c r="D76" i="5"/>
  <c r="F76" i="5" s="1"/>
  <c r="E76" i="5"/>
  <c r="G76" i="5" s="1"/>
  <c r="H76" i="5" s="1"/>
  <c r="I76" i="5" s="1"/>
  <c r="B76" i="5"/>
  <c r="B69" i="6" s="1"/>
  <c r="C68" i="6" s="1"/>
  <c r="O725" i="6" l="1"/>
  <c r="P725" i="6" s="1"/>
  <c r="Q724" i="6"/>
  <c r="R724" i="6" s="1"/>
  <c r="N724" i="6"/>
  <c r="J76" i="5"/>
  <c r="AK69" i="6"/>
  <c r="AD69" i="6"/>
  <c r="C76" i="5"/>
  <c r="A78" i="5"/>
  <c r="E77" i="5"/>
  <c r="G77" i="5" s="1"/>
  <c r="H77" i="5" s="1"/>
  <c r="I77" i="5" s="1"/>
  <c r="D77" i="5"/>
  <c r="F77" i="5" s="1"/>
  <c r="B77" i="5"/>
  <c r="B70" i="6" s="1"/>
  <c r="C69" i="6" s="1"/>
  <c r="M724" i="6" l="1"/>
  <c r="S724" i="6" s="1"/>
  <c r="N725" i="6"/>
  <c r="O726" i="6"/>
  <c r="P726" i="6" s="1"/>
  <c r="Q725" i="6"/>
  <c r="R725" i="6" s="1"/>
  <c r="J77" i="5"/>
  <c r="AK70" i="6"/>
  <c r="AD70" i="6"/>
  <c r="C77" i="5"/>
  <c r="A79" i="5"/>
  <c r="E78" i="5"/>
  <c r="G78" i="5" s="1"/>
  <c r="H78" i="5" s="1"/>
  <c r="I78" i="5" s="1"/>
  <c r="D78" i="5"/>
  <c r="F78" i="5" s="1"/>
  <c r="B78" i="5"/>
  <c r="B71" i="6" s="1"/>
  <c r="C70" i="6" s="1"/>
  <c r="M725" i="6" l="1"/>
  <c r="S725" i="6" s="1"/>
  <c r="Q726" i="6"/>
  <c r="R726" i="6" s="1"/>
  <c r="O727" i="6"/>
  <c r="P727" i="6" s="1"/>
  <c r="N726" i="6"/>
  <c r="J78" i="5"/>
  <c r="AK71" i="6"/>
  <c r="AD71" i="6"/>
  <c r="C78" i="5"/>
  <c r="A80" i="5"/>
  <c r="E79" i="5"/>
  <c r="G79" i="5" s="1"/>
  <c r="H79" i="5" s="1"/>
  <c r="I79" i="5" s="1"/>
  <c r="D79" i="5"/>
  <c r="F79" i="5" s="1"/>
  <c r="B79" i="5"/>
  <c r="B72" i="6" s="1"/>
  <c r="C71" i="6" s="1"/>
  <c r="M726" i="6" l="1"/>
  <c r="S726" i="6" s="1"/>
  <c r="N727" i="6"/>
  <c r="O728" i="6"/>
  <c r="P728" i="6" s="1"/>
  <c r="Q727" i="6"/>
  <c r="R727" i="6" s="1"/>
  <c r="M727" i="6" s="1"/>
  <c r="S727" i="6" s="1"/>
  <c r="J79" i="5"/>
  <c r="AK72" i="6"/>
  <c r="AD72" i="6"/>
  <c r="C79" i="5"/>
  <c r="A81" i="5"/>
  <c r="D80" i="5"/>
  <c r="F80" i="5" s="1"/>
  <c r="E80" i="5"/>
  <c r="G80" i="5" s="1"/>
  <c r="H80" i="5" s="1"/>
  <c r="I80" i="5" s="1"/>
  <c r="B80" i="5"/>
  <c r="B73" i="6" s="1"/>
  <c r="C72" i="6" s="1"/>
  <c r="N728" i="6" l="1"/>
  <c r="Q728" i="6"/>
  <c r="R728" i="6" s="1"/>
  <c r="M728" i="6" s="1"/>
  <c r="S728" i="6" s="1"/>
  <c r="O729" i="6"/>
  <c r="P729" i="6" s="1"/>
  <c r="J80" i="5"/>
  <c r="AK73" i="6"/>
  <c r="AD73" i="6"/>
  <c r="C80" i="5"/>
  <c r="A82" i="5"/>
  <c r="E81" i="5"/>
  <c r="G81" i="5" s="1"/>
  <c r="H81" i="5" s="1"/>
  <c r="I81" i="5" s="1"/>
  <c r="D81" i="5"/>
  <c r="F81" i="5" s="1"/>
  <c r="B81" i="5"/>
  <c r="B74" i="6" s="1"/>
  <c r="C73" i="6" s="1"/>
  <c r="Q729" i="6" l="1"/>
  <c r="R729" i="6" s="1"/>
  <c r="N729" i="6"/>
  <c r="O730" i="6"/>
  <c r="P730" i="6" s="1"/>
  <c r="J81" i="5"/>
  <c r="AK74" i="6"/>
  <c r="AD74" i="6"/>
  <c r="C81" i="5"/>
  <c r="A83" i="5"/>
  <c r="E82" i="5"/>
  <c r="G82" i="5" s="1"/>
  <c r="H82" i="5" s="1"/>
  <c r="I82" i="5" s="1"/>
  <c r="D82" i="5"/>
  <c r="F82" i="5" s="1"/>
  <c r="B82" i="5"/>
  <c r="B75" i="6" s="1"/>
  <c r="C74" i="6" s="1"/>
  <c r="M729" i="6" l="1"/>
  <c r="S729" i="6" s="1"/>
  <c r="N730" i="6"/>
  <c r="Q730" i="6"/>
  <c r="R730" i="6" s="1"/>
  <c r="O731" i="6"/>
  <c r="P731" i="6" s="1"/>
  <c r="J82" i="5"/>
  <c r="AK75" i="6"/>
  <c r="AD75" i="6"/>
  <c r="C82" i="5"/>
  <c r="A84" i="5"/>
  <c r="E83" i="5"/>
  <c r="G83" i="5" s="1"/>
  <c r="H83" i="5" s="1"/>
  <c r="D83" i="5"/>
  <c r="F83" i="5" s="1"/>
  <c r="B83" i="5"/>
  <c r="B76" i="6" s="1"/>
  <c r="C75" i="6" s="1"/>
  <c r="M730" i="6" l="1"/>
  <c r="S730" i="6" s="1"/>
  <c r="N731" i="6"/>
  <c r="Q731" i="6"/>
  <c r="R731" i="6" s="1"/>
  <c r="O732" i="6"/>
  <c r="P732" i="6" s="1"/>
  <c r="I83" i="5"/>
  <c r="AD76" i="6"/>
  <c r="C83" i="5"/>
  <c r="A85" i="5"/>
  <c r="D84" i="5"/>
  <c r="F84" i="5" s="1"/>
  <c r="E84" i="5"/>
  <c r="G84" i="5" s="1"/>
  <c r="H84" i="5" s="1"/>
  <c r="B84" i="5"/>
  <c r="B77" i="6" s="1"/>
  <c r="C76" i="6" s="1"/>
  <c r="M731" i="6" l="1"/>
  <c r="S731" i="6" s="1"/>
  <c r="N732" i="6"/>
  <c r="Q732" i="6"/>
  <c r="R732" i="6" s="1"/>
  <c r="O733" i="6"/>
  <c r="P733" i="6" s="1"/>
  <c r="AK76" i="6"/>
  <c r="J83" i="5"/>
  <c r="I84" i="5"/>
  <c r="AD77" i="6"/>
  <c r="C84" i="5"/>
  <c r="A86" i="5"/>
  <c r="E85" i="5"/>
  <c r="G85" i="5" s="1"/>
  <c r="H85" i="5" s="1"/>
  <c r="D85" i="5"/>
  <c r="F85" i="5" s="1"/>
  <c r="B85" i="5"/>
  <c r="B78" i="6" s="1"/>
  <c r="C77" i="6" s="1"/>
  <c r="M732" i="6" l="1"/>
  <c r="S732" i="6" s="1"/>
  <c r="Q733" i="6"/>
  <c r="R733" i="6" s="1"/>
  <c r="O734" i="6"/>
  <c r="P734" i="6" s="1"/>
  <c r="N733" i="6"/>
  <c r="AK77" i="6"/>
  <c r="J84" i="5"/>
  <c r="I85" i="5"/>
  <c r="AD78" i="6"/>
  <c r="C85" i="5"/>
  <c r="A87" i="5"/>
  <c r="E86" i="5"/>
  <c r="G86" i="5" s="1"/>
  <c r="H86" i="5" s="1"/>
  <c r="D86" i="5"/>
  <c r="F86" i="5" s="1"/>
  <c r="B86" i="5"/>
  <c r="M733" i="6" l="1"/>
  <c r="S733" i="6" s="1"/>
  <c r="O735" i="6"/>
  <c r="P735" i="6" s="1"/>
  <c r="N734" i="6"/>
  <c r="Q734" i="6"/>
  <c r="R734" i="6" s="1"/>
  <c r="M734" i="6" s="1"/>
  <c r="S734" i="6" s="1"/>
  <c r="AK78" i="6"/>
  <c r="J85" i="5"/>
  <c r="I86" i="5"/>
  <c r="J86" i="5" s="1"/>
  <c r="C86" i="5"/>
  <c r="B79" i="6"/>
  <c r="A88" i="5"/>
  <c r="E87" i="5"/>
  <c r="G87" i="5" s="1"/>
  <c r="H87" i="5" s="1"/>
  <c r="D87" i="5"/>
  <c r="F87" i="5" s="1"/>
  <c r="B87" i="5"/>
  <c r="N735" i="6" l="1"/>
  <c r="Q735" i="6"/>
  <c r="R735" i="6" s="1"/>
  <c r="M735" i="6" s="1"/>
  <c r="S735" i="6" s="1"/>
  <c r="O736" i="6"/>
  <c r="P736" i="6" s="1"/>
  <c r="I87" i="5"/>
  <c r="J87" i="5" s="1"/>
  <c r="C78" i="6"/>
  <c r="AK79" i="6"/>
  <c r="AD79" i="6"/>
  <c r="C87" i="5"/>
  <c r="B80" i="6"/>
  <c r="A89" i="5"/>
  <c r="D88" i="5"/>
  <c r="F88" i="5" s="1"/>
  <c r="E88" i="5"/>
  <c r="G88" i="5" s="1"/>
  <c r="H88" i="5" s="1"/>
  <c r="B88" i="5"/>
  <c r="Q736" i="6" l="1"/>
  <c r="R736" i="6" s="1"/>
  <c r="M736" i="6" s="1"/>
  <c r="S736" i="6" s="1"/>
  <c r="N736" i="6"/>
  <c r="O737" i="6"/>
  <c r="P737" i="6" s="1"/>
  <c r="I88" i="5"/>
  <c r="J88" i="5" s="1"/>
  <c r="C79" i="6"/>
  <c r="AK80" i="6"/>
  <c r="AD80" i="6"/>
  <c r="C88" i="5"/>
  <c r="B81" i="6"/>
  <c r="A90" i="5"/>
  <c r="D89" i="5"/>
  <c r="F89" i="5" s="1"/>
  <c r="E89" i="5"/>
  <c r="G89" i="5" s="1"/>
  <c r="H89" i="5" s="1"/>
  <c r="B89" i="5"/>
  <c r="Q737" i="6" l="1"/>
  <c r="R737" i="6" s="1"/>
  <c r="N737" i="6"/>
  <c r="O738" i="6"/>
  <c r="P738" i="6" s="1"/>
  <c r="I89" i="5"/>
  <c r="J89" i="5" s="1"/>
  <c r="C80" i="6"/>
  <c r="AK81" i="6"/>
  <c r="A91" i="5"/>
  <c r="AD81" i="6"/>
  <c r="C89" i="5"/>
  <c r="B82" i="6"/>
  <c r="B90" i="5"/>
  <c r="E90" i="5"/>
  <c r="G90" i="5" s="1"/>
  <c r="H90" i="5" s="1"/>
  <c r="D90" i="5"/>
  <c r="F90" i="5" s="1"/>
  <c r="M737" i="6" l="1"/>
  <c r="S737" i="6" s="1"/>
  <c r="Q738" i="6"/>
  <c r="R738" i="6" s="1"/>
  <c r="O739" i="6"/>
  <c r="P739" i="6" s="1"/>
  <c r="N738" i="6"/>
  <c r="I90" i="5"/>
  <c r="J90" i="5" s="1"/>
  <c r="C81" i="6"/>
  <c r="AK82" i="6"/>
  <c r="B91" i="5"/>
  <c r="B84" i="6" s="1"/>
  <c r="C83" i="6" s="1"/>
  <c r="E91" i="5"/>
  <c r="A92" i="5"/>
  <c r="D91" i="5"/>
  <c r="F91" i="5" s="1"/>
  <c r="AD82" i="6"/>
  <c r="C90" i="5"/>
  <c r="B83" i="6"/>
  <c r="C82" i="6" s="1"/>
  <c r="M738" i="6" l="1"/>
  <c r="S738" i="6" s="1"/>
  <c r="Q739" i="6"/>
  <c r="R739" i="6" s="1"/>
  <c r="O740" i="6"/>
  <c r="P740" i="6" s="1"/>
  <c r="N739" i="6"/>
  <c r="C91" i="5"/>
  <c r="G91" i="5"/>
  <c r="H91" i="5" s="1"/>
  <c r="I91" i="5" s="1"/>
  <c r="AK83" i="6"/>
  <c r="A93" i="5"/>
  <c r="B92" i="5"/>
  <c r="E92" i="5"/>
  <c r="G92" i="5" s="1"/>
  <c r="H92" i="5" s="1"/>
  <c r="D92" i="5"/>
  <c r="F92" i="5" s="1"/>
  <c r="AD83" i="6"/>
  <c r="AD84" i="6" s="1"/>
  <c r="M739" i="6" l="1"/>
  <c r="S739" i="6" s="1"/>
  <c r="O741" i="6"/>
  <c r="P741" i="6" s="1"/>
  <c r="Q740" i="6"/>
  <c r="R740" i="6" s="1"/>
  <c r="N740" i="6"/>
  <c r="AK84" i="6"/>
  <c r="J91" i="5"/>
  <c r="C92" i="5"/>
  <c r="B85" i="6"/>
  <c r="C84" i="6" s="1"/>
  <c r="I92" i="5"/>
  <c r="J92" i="5" s="1"/>
  <c r="A94" i="5"/>
  <c r="D93" i="5"/>
  <c r="F93" i="5" s="1"/>
  <c r="B93" i="5"/>
  <c r="E93" i="5"/>
  <c r="R5" i="6"/>
  <c r="M5" i="6" s="1"/>
  <c r="S5" i="6" s="1"/>
  <c r="M740" i="6" l="1"/>
  <c r="S740" i="6" s="1"/>
  <c r="N741" i="6"/>
  <c r="O742" i="6"/>
  <c r="P742" i="6" s="1"/>
  <c r="Q741" i="6"/>
  <c r="R741" i="6" s="1"/>
  <c r="M741" i="6" s="1"/>
  <c r="S741" i="6" s="1"/>
  <c r="AK85" i="6"/>
  <c r="AD85" i="6"/>
  <c r="C93" i="5"/>
  <c r="B86" i="6"/>
  <c r="C85" i="6" s="1"/>
  <c r="G93" i="5"/>
  <c r="H93" i="5" s="1"/>
  <c r="I93" i="5" s="1"/>
  <c r="J93" i="5" s="1"/>
  <c r="E94" i="5"/>
  <c r="G94" i="5" s="1"/>
  <c r="H94" i="5" s="1"/>
  <c r="A95" i="5"/>
  <c r="D94" i="5"/>
  <c r="F94" i="5" s="1"/>
  <c r="B94" i="5"/>
  <c r="N742" i="6" l="1"/>
  <c r="O743" i="6"/>
  <c r="P743" i="6" s="1"/>
  <c r="Q742" i="6"/>
  <c r="R742" i="6" s="1"/>
  <c r="M742" i="6" s="1"/>
  <c r="S742" i="6" s="1"/>
  <c r="AK86" i="6"/>
  <c r="C94" i="5"/>
  <c r="B87" i="6"/>
  <c r="C86" i="6" s="1"/>
  <c r="AD86" i="6"/>
  <c r="I94" i="5"/>
  <c r="J94" i="5" s="1"/>
  <c r="E95" i="5"/>
  <c r="G95" i="5" s="1"/>
  <c r="H95" i="5" s="1"/>
  <c r="D95" i="5"/>
  <c r="F95" i="5" s="1"/>
  <c r="A96" i="5"/>
  <c r="B95" i="5"/>
  <c r="N743" i="6" l="1"/>
  <c r="O744" i="6"/>
  <c r="P744" i="6" s="1"/>
  <c r="Q743" i="6"/>
  <c r="R743" i="6" s="1"/>
  <c r="M743" i="6" s="1"/>
  <c r="S743" i="6" s="1"/>
  <c r="AD87" i="6"/>
  <c r="AK87" i="6"/>
  <c r="C95" i="5"/>
  <c r="B88" i="6"/>
  <c r="C87" i="6" s="1"/>
  <c r="I95" i="5"/>
  <c r="J95" i="5" s="1"/>
  <c r="E96" i="5"/>
  <c r="G96" i="5" s="1"/>
  <c r="H96" i="5" s="1"/>
  <c r="B96" i="5"/>
  <c r="A97" i="5"/>
  <c r="D96" i="5"/>
  <c r="F96" i="5" s="1"/>
  <c r="O745" i="6" l="1"/>
  <c r="P745" i="6" s="1"/>
  <c r="N744" i="6"/>
  <c r="Q744" i="6"/>
  <c r="R744" i="6" s="1"/>
  <c r="AK88" i="6"/>
  <c r="AD88" i="6"/>
  <c r="C96" i="5"/>
  <c r="B89" i="6"/>
  <c r="C88" i="6" s="1"/>
  <c r="I96" i="5"/>
  <c r="J96" i="5" s="1"/>
  <c r="D97" i="5"/>
  <c r="F97" i="5" s="1"/>
  <c r="E97" i="5"/>
  <c r="G97" i="5" s="1"/>
  <c r="H97" i="5" s="1"/>
  <c r="B97" i="5"/>
  <c r="B90" i="6" s="1"/>
  <c r="C89" i="6" s="1"/>
  <c r="A98" i="5"/>
  <c r="M744" i="6" l="1"/>
  <c r="S744" i="6" s="1"/>
  <c r="N745" i="6"/>
  <c r="Q745" i="6"/>
  <c r="R745" i="6" s="1"/>
  <c r="M745" i="6" s="1"/>
  <c r="S745" i="6" s="1"/>
  <c r="O746" i="6"/>
  <c r="P746" i="6" s="1"/>
  <c r="C97" i="5"/>
  <c r="I97" i="5"/>
  <c r="AK89" i="6"/>
  <c r="AD89" i="6"/>
  <c r="AD90" i="6" s="1"/>
  <c r="E98" i="5"/>
  <c r="B98" i="5"/>
  <c r="A99" i="5"/>
  <c r="D98" i="5"/>
  <c r="F98" i="5" s="1"/>
  <c r="Q746" i="6" l="1"/>
  <c r="R746" i="6" s="1"/>
  <c r="N746" i="6"/>
  <c r="O747" i="6"/>
  <c r="P747" i="6" s="1"/>
  <c r="AK90" i="6"/>
  <c r="J97" i="5"/>
  <c r="G98" i="5"/>
  <c r="H98" i="5" s="1"/>
  <c r="I98" i="5" s="1"/>
  <c r="J98" i="5" s="1"/>
  <c r="C98" i="5"/>
  <c r="B91" i="6"/>
  <c r="C90" i="6" s="1"/>
  <c r="A100" i="5"/>
  <c r="B99" i="5"/>
  <c r="D99" i="5"/>
  <c r="F99" i="5" s="1"/>
  <c r="E99" i="5"/>
  <c r="G99" i="5" s="1"/>
  <c r="H99" i="5" s="1"/>
  <c r="M746" i="6" l="1"/>
  <c r="S746" i="6" s="1"/>
  <c r="N747" i="6"/>
  <c r="Q747" i="6"/>
  <c r="R747" i="6" s="1"/>
  <c r="M747" i="6" s="1"/>
  <c r="S747" i="6" s="1"/>
  <c r="O748" i="6"/>
  <c r="P748" i="6" s="1"/>
  <c r="AK91" i="6"/>
  <c r="AD91" i="6"/>
  <c r="I99" i="5"/>
  <c r="J99" i="5" s="1"/>
  <c r="C99" i="5"/>
  <c r="B92" i="6"/>
  <c r="C91" i="6" s="1"/>
  <c r="D100" i="5"/>
  <c r="F100" i="5" s="1"/>
  <c r="E100" i="5"/>
  <c r="G100" i="5" s="1"/>
  <c r="H100" i="5" s="1"/>
  <c r="I100" i="5" s="1"/>
  <c r="B100" i="5"/>
  <c r="A101" i="5"/>
  <c r="N748" i="6" l="1"/>
  <c r="O749" i="6"/>
  <c r="P749" i="6" s="1"/>
  <c r="Q748" i="6"/>
  <c r="R748" i="6" s="1"/>
  <c r="J100" i="5"/>
  <c r="C100" i="5"/>
  <c r="B93" i="6"/>
  <c r="C92" i="6" s="1"/>
  <c r="AD92" i="6"/>
  <c r="AK92" i="6"/>
  <c r="E101" i="5"/>
  <c r="A102" i="5"/>
  <c r="B101" i="5"/>
  <c r="D101" i="5"/>
  <c r="F101" i="5" s="1"/>
  <c r="M748" i="6" l="1"/>
  <c r="S748" i="6" s="1"/>
  <c r="N749" i="6"/>
  <c r="O750" i="6"/>
  <c r="P750" i="6" s="1"/>
  <c r="Q749" i="6"/>
  <c r="R749" i="6" s="1"/>
  <c r="G101" i="5"/>
  <c r="H101" i="5" s="1"/>
  <c r="I101" i="5" s="1"/>
  <c r="J101" i="5" s="1"/>
  <c r="AD93" i="6"/>
  <c r="C101" i="5"/>
  <c r="B94" i="6"/>
  <c r="C93" i="6" s="1"/>
  <c r="AK93" i="6"/>
  <c r="A103" i="5"/>
  <c r="D102" i="5"/>
  <c r="F102" i="5" s="1"/>
  <c r="B102" i="5"/>
  <c r="E102" i="5"/>
  <c r="M749" i="6" l="1"/>
  <c r="S749" i="6" s="1"/>
  <c r="O751" i="6"/>
  <c r="P751" i="6" s="1"/>
  <c r="N750" i="6"/>
  <c r="Q750" i="6"/>
  <c r="R750" i="6" s="1"/>
  <c r="M750" i="6" s="1"/>
  <c r="S750" i="6" s="1"/>
  <c r="G102" i="5"/>
  <c r="H102" i="5" s="1"/>
  <c r="I102" i="5" s="1"/>
  <c r="J102" i="5" s="1"/>
  <c r="AD94" i="6"/>
  <c r="C102" i="5"/>
  <c r="B95" i="6"/>
  <c r="C94" i="6" s="1"/>
  <c r="AK94" i="6"/>
  <c r="B103" i="5"/>
  <c r="E103" i="5"/>
  <c r="G103" i="5" s="1"/>
  <c r="H103" i="5" s="1"/>
  <c r="I103" i="5" s="1"/>
  <c r="D103" i="5"/>
  <c r="F103" i="5" s="1"/>
  <c r="A104" i="5"/>
  <c r="O752" i="6" l="1"/>
  <c r="P752" i="6" s="1"/>
  <c r="N751" i="6"/>
  <c r="Q751" i="6"/>
  <c r="R751" i="6" s="1"/>
  <c r="J103" i="5"/>
  <c r="AK95" i="6"/>
  <c r="AD95" i="6"/>
  <c r="C103" i="5"/>
  <c r="B96" i="6"/>
  <c r="C95" i="6" s="1"/>
  <c r="E104" i="5"/>
  <c r="D104" i="5"/>
  <c r="F104" i="5" s="1"/>
  <c r="B104" i="5"/>
  <c r="A105" i="5"/>
  <c r="M751" i="6" l="1"/>
  <c r="S751" i="6" s="1"/>
  <c r="N752" i="6"/>
  <c r="O753" i="6"/>
  <c r="P753" i="6" s="1"/>
  <c r="Q752" i="6"/>
  <c r="R752" i="6" s="1"/>
  <c r="M752" i="6" s="1"/>
  <c r="S752" i="6" s="1"/>
  <c r="AD96" i="6"/>
  <c r="C104" i="5"/>
  <c r="B97" i="6"/>
  <c r="C96" i="6" s="1"/>
  <c r="G104" i="5"/>
  <c r="H104" i="5" s="1"/>
  <c r="I104" i="5" s="1"/>
  <c r="J104" i="5" s="1"/>
  <c r="AK96" i="6"/>
  <c r="E105" i="5"/>
  <c r="G105" i="5" s="1"/>
  <c r="H105" i="5" s="1"/>
  <c r="D105" i="5"/>
  <c r="F105" i="5" s="1"/>
  <c r="B105" i="5"/>
  <c r="A106" i="5"/>
  <c r="O754" i="6" l="1"/>
  <c r="P754" i="6" s="1"/>
  <c r="N753" i="6"/>
  <c r="Q753" i="6"/>
  <c r="R753" i="6" s="1"/>
  <c r="M753" i="6" s="1"/>
  <c r="S753" i="6" s="1"/>
  <c r="AK97" i="6"/>
  <c r="AD97" i="6"/>
  <c r="C105" i="5"/>
  <c r="B98" i="6"/>
  <c r="C97" i="6" s="1"/>
  <c r="I105" i="5"/>
  <c r="J105" i="5" s="1"/>
  <c r="D106" i="5"/>
  <c r="F106" i="5" s="1"/>
  <c r="A107" i="5"/>
  <c r="E106" i="5"/>
  <c r="B106" i="5"/>
  <c r="O755" i="6" l="1"/>
  <c r="P755" i="6" s="1"/>
  <c r="Q754" i="6"/>
  <c r="R754" i="6" s="1"/>
  <c r="N754" i="6"/>
  <c r="AK98" i="6"/>
  <c r="G106" i="5"/>
  <c r="H106" i="5" s="1"/>
  <c r="I106" i="5" s="1"/>
  <c r="J106" i="5" s="1"/>
  <c r="C106" i="5"/>
  <c r="B99" i="6"/>
  <c r="C98" i="6" s="1"/>
  <c r="AD98" i="6"/>
  <c r="A108" i="5"/>
  <c r="E107" i="5"/>
  <c r="G107" i="5" s="1"/>
  <c r="H107" i="5" s="1"/>
  <c r="D107" i="5"/>
  <c r="F107" i="5" s="1"/>
  <c r="B107" i="5"/>
  <c r="M754" i="6" l="1"/>
  <c r="S754" i="6" s="1"/>
  <c r="N755" i="6"/>
  <c r="O756" i="6"/>
  <c r="P756" i="6" s="1"/>
  <c r="Q755" i="6"/>
  <c r="R755" i="6" s="1"/>
  <c r="M755" i="6" s="1"/>
  <c r="S755" i="6" s="1"/>
  <c r="AD99" i="6"/>
  <c r="I107" i="5"/>
  <c r="J107" i="5" s="1"/>
  <c r="C107" i="5"/>
  <c r="B100" i="6"/>
  <c r="C99" i="6" s="1"/>
  <c r="AK99" i="6"/>
  <c r="B108" i="5"/>
  <c r="D108" i="5"/>
  <c r="F108" i="5" s="1"/>
  <c r="A109" i="5"/>
  <c r="E108" i="5"/>
  <c r="N756" i="6" l="1"/>
  <c r="O757" i="6"/>
  <c r="P757" i="6" s="1"/>
  <c r="Q756" i="6"/>
  <c r="R756" i="6" s="1"/>
  <c r="M756" i="6" s="1"/>
  <c r="S756" i="6" s="1"/>
  <c r="AK100" i="6"/>
  <c r="G108" i="5"/>
  <c r="H108" i="5" s="1"/>
  <c r="I108" i="5" s="1"/>
  <c r="J108" i="5" s="1"/>
  <c r="AD100" i="6"/>
  <c r="C108" i="5"/>
  <c r="B101" i="6"/>
  <c r="C100" i="6" s="1"/>
  <c r="E109" i="5"/>
  <c r="G109" i="5" s="1"/>
  <c r="H109" i="5" s="1"/>
  <c r="I109" i="5" s="1"/>
  <c r="D109" i="5"/>
  <c r="F109" i="5" s="1"/>
  <c r="B109" i="5"/>
  <c r="A110" i="5"/>
  <c r="O758" i="6" l="1"/>
  <c r="P758" i="6" s="1"/>
  <c r="N757" i="6"/>
  <c r="Q757" i="6"/>
  <c r="R757" i="6" s="1"/>
  <c r="J109" i="5"/>
  <c r="AD101" i="6"/>
  <c r="C109" i="5"/>
  <c r="B102" i="6"/>
  <c r="C101" i="6" s="1"/>
  <c r="AK101" i="6"/>
  <c r="A111" i="5"/>
  <c r="D110" i="5"/>
  <c r="F110" i="5" s="1"/>
  <c r="E110" i="5"/>
  <c r="G110" i="5" s="1"/>
  <c r="H110" i="5" s="1"/>
  <c r="B110" i="5"/>
  <c r="M757" i="6" l="1"/>
  <c r="S757" i="6" s="1"/>
  <c r="O759" i="6"/>
  <c r="P759" i="6" s="1"/>
  <c r="Q758" i="6"/>
  <c r="R758" i="6" s="1"/>
  <c r="N758" i="6"/>
  <c r="I110" i="5"/>
  <c r="J110" i="5" s="1"/>
  <c r="AD102" i="6"/>
  <c r="C110" i="5"/>
  <c r="B103" i="6"/>
  <c r="C102" i="6" s="1"/>
  <c r="AK102" i="6"/>
  <c r="E111" i="5"/>
  <c r="G111" i="5" s="1"/>
  <c r="H111" i="5" s="1"/>
  <c r="I111" i="5" s="1"/>
  <c r="B111" i="5"/>
  <c r="A112" i="5"/>
  <c r="D111" i="5"/>
  <c r="F111" i="5" s="1"/>
  <c r="M758" i="6" l="1"/>
  <c r="S758" i="6" s="1"/>
  <c r="O760" i="6"/>
  <c r="P760" i="6" s="1"/>
  <c r="N759" i="6"/>
  <c r="Q759" i="6"/>
  <c r="R759" i="6" s="1"/>
  <c r="M759" i="6" s="1"/>
  <c r="S759" i="6" s="1"/>
  <c r="J111" i="5"/>
  <c r="AK103" i="6"/>
  <c r="C111" i="5"/>
  <c r="B104" i="6"/>
  <c r="C103" i="6" s="1"/>
  <c r="AD103" i="6"/>
  <c r="D112" i="5"/>
  <c r="F112" i="5" s="1"/>
  <c r="B112" i="5"/>
  <c r="A113" i="5"/>
  <c r="E112" i="5"/>
  <c r="G112" i="5" s="1"/>
  <c r="H112" i="5" s="1"/>
  <c r="N760" i="6" l="1"/>
  <c r="Q760" i="6"/>
  <c r="R760" i="6" s="1"/>
  <c r="O761" i="6"/>
  <c r="P761" i="6" s="1"/>
  <c r="AD104" i="6"/>
  <c r="C112" i="5"/>
  <c r="B105" i="6"/>
  <c r="C104" i="6" s="1"/>
  <c r="I112" i="5"/>
  <c r="J112" i="5" s="1"/>
  <c r="AK104" i="6"/>
  <c r="D113" i="5"/>
  <c r="F113" i="5" s="1"/>
  <c r="A114" i="5"/>
  <c r="B113" i="5"/>
  <c r="E113" i="5"/>
  <c r="G113" i="5" s="1"/>
  <c r="H113" i="5" s="1"/>
  <c r="I113" i="5" s="1"/>
  <c r="M760" i="6" l="1"/>
  <c r="S760" i="6" s="1"/>
  <c r="N761" i="6"/>
  <c r="O762" i="6"/>
  <c r="P762" i="6" s="1"/>
  <c r="Q761" i="6"/>
  <c r="R761" i="6" s="1"/>
  <c r="M761" i="6" s="1"/>
  <c r="S761" i="6" s="1"/>
  <c r="J113" i="5"/>
  <c r="AK105" i="6"/>
  <c r="C113" i="5"/>
  <c r="B106" i="6"/>
  <c r="C105" i="6" s="1"/>
  <c r="AD105" i="6"/>
  <c r="D114" i="5"/>
  <c r="F114" i="5" s="1"/>
  <c r="A115" i="5"/>
  <c r="E114" i="5"/>
  <c r="G114" i="5" s="1"/>
  <c r="H114" i="5" s="1"/>
  <c r="B114" i="5"/>
  <c r="O763" i="6" l="1"/>
  <c r="P763" i="6" s="1"/>
  <c r="N762" i="6"/>
  <c r="Q762" i="6"/>
  <c r="R762" i="6" s="1"/>
  <c r="AD106" i="6"/>
  <c r="C114" i="5"/>
  <c r="B107" i="6"/>
  <c r="C106" i="6" s="1"/>
  <c r="I114" i="5"/>
  <c r="J114" i="5" s="1"/>
  <c r="AK106" i="6"/>
  <c r="A116" i="5"/>
  <c r="D115" i="5"/>
  <c r="F115" i="5" s="1"/>
  <c r="E115" i="5"/>
  <c r="G115" i="5" s="1"/>
  <c r="H115" i="5" s="1"/>
  <c r="B115" i="5"/>
  <c r="M762" i="6" l="1"/>
  <c r="S762" i="6" s="1"/>
  <c r="N763" i="6"/>
  <c r="Q763" i="6"/>
  <c r="R763" i="6" s="1"/>
  <c r="M763" i="6" s="1"/>
  <c r="S763" i="6" s="1"/>
  <c r="O764" i="6"/>
  <c r="P764" i="6" s="1"/>
  <c r="I115" i="5"/>
  <c r="J115" i="5" s="1"/>
  <c r="C115" i="5"/>
  <c r="B108" i="6"/>
  <c r="C107" i="6" s="1"/>
  <c r="AK107" i="6"/>
  <c r="AD107" i="6"/>
  <c r="B116" i="5"/>
  <c r="A117" i="5"/>
  <c r="D116" i="5"/>
  <c r="F116" i="5" s="1"/>
  <c r="E116" i="5"/>
  <c r="G116" i="5" s="1"/>
  <c r="H116" i="5" s="1"/>
  <c r="O765" i="6" l="1"/>
  <c r="P765" i="6" s="1"/>
  <c r="N764" i="6"/>
  <c r="Q764" i="6"/>
  <c r="R764" i="6" s="1"/>
  <c r="M764" i="6" s="1"/>
  <c r="S764" i="6" s="1"/>
  <c r="I116" i="5"/>
  <c r="J116" i="5" s="1"/>
  <c r="AD108" i="6"/>
  <c r="C116" i="5"/>
  <c r="B109" i="6"/>
  <c r="C108" i="6" s="1"/>
  <c r="AK108" i="6"/>
  <c r="E117" i="5"/>
  <c r="G117" i="5" s="1"/>
  <c r="H117" i="5" s="1"/>
  <c r="I117" i="5" s="1"/>
  <c r="A118" i="5"/>
  <c r="B117" i="5"/>
  <c r="D117" i="5"/>
  <c r="F117" i="5" s="1"/>
  <c r="O766" i="6" l="1"/>
  <c r="P766" i="6" s="1"/>
  <c r="N765" i="6"/>
  <c r="Q765" i="6"/>
  <c r="R765" i="6" s="1"/>
  <c r="M765" i="6" s="1"/>
  <c r="S765" i="6" s="1"/>
  <c r="J117" i="5"/>
  <c r="C117" i="5"/>
  <c r="B110" i="6"/>
  <c r="C109" i="6" s="1"/>
  <c r="AK109" i="6"/>
  <c r="AD109" i="6"/>
  <c r="E118" i="5"/>
  <c r="G118" i="5" s="1"/>
  <c r="H118" i="5" s="1"/>
  <c r="A119" i="5"/>
  <c r="B118" i="5"/>
  <c r="D118" i="5"/>
  <c r="F118" i="5" s="1"/>
  <c r="O767" i="6" l="1"/>
  <c r="P767" i="6" s="1"/>
  <c r="N766" i="6"/>
  <c r="Q766" i="6"/>
  <c r="R766" i="6" s="1"/>
  <c r="M766" i="6" s="1"/>
  <c r="S766" i="6" s="1"/>
  <c r="AD110" i="6"/>
  <c r="I118" i="5"/>
  <c r="J118" i="5" s="1"/>
  <c r="C118" i="5"/>
  <c r="B111" i="6"/>
  <c r="C110" i="6" s="1"/>
  <c r="AK110" i="6"/>
  <c r="D119" i="5"/>
  <c r="F119" i="5" s="1"/>
  <c r="E119" i="5"/>
  <c r="G119" i="5" s="1"/>
  <c r="H119" i="5" s="1"/>
  <c r="A120" i="5"/>
  <c r="B119" i="5"/>
  <c r="N767" i="6" l="1"/>
  <c r="Q767" i="6"/>
  <c r="R767" i="6" s="1"/>
  <c r="M767" i="6" s="1"/>
  <c r="S767" i="6" s="1"/>
  <c r="O768" i="6"/>
  <c r="P768" i="6" s="1"/>
  <c r="AK111" i="6"/>
  <c r="AD111" i="6"/>
  <c r="C119" i="5"/>
  <c r="B112" i="6"/>
  <c r="C111" i="6" s="1"/>
  <c r="I119" i="5"/>
  <c r="J119" i="5" s="1"/>
  <c r="A121" i="5"/>
  <c r="D120" i="5"/>
  <c r="F120" i="5" s="1"/>
  <c r="E120" i="5"/>
  <c r="G120" i="5" s="1"/>
  <c r="H120" i="5" s="1"/>
  <c r="B120" i="5"/>
  <c r="N768" i="6" l="1"/>
  <c r="O769" i="6"/>
  <c r="P769" i="6" s="1"/>
  <c r="Q768" i="6"/>
  <c r="R768" i="6" s="1"/>
  <c r="M768" i="6" s="1"/>
  <c r="S768" i="6" s="1"/>
  <c r="AK112" i="6"/>
  <c r="AD112" i="6"/>
  <c r="I120" i="5"/>
  <c r="J120" i="5" s="1"/>
  <c r="C120" i="5"/>
  <c r="B113" i="6"/>
  <c r="C112" i="6" s="1"/>
  <c r="E121" i="5"/>
  <c r="G121" i="5" s="1"/>
  <c r="H121" i="5" s="1"/>
  <c r="B121" i="5"/>
  <c r="A122" i="5"/>
  <c r="D121" i="5"/>
  <c r="F121" i="5" s="1"/>
  <c r="N769" i="6" l="1"/>
  <c r="Q769" i="6"/>
  <c r="R769" i="6" s="1"/>
  <c r="M769" i="6" s="1"/>
  <c r="S769" i="6" s="1"/>
  <c r="O770" i="6"/>
  <c r="P770" i="6" s="1"/>
  <c r="C121" i="5"/>
  <c r="B114" i="6"/>
  <c r="C113" i="6" s="1"/>
  <c r="AD113" i="6"/>
  <c r="AK113" i="6"/>
  <c r="I121" i="5"/>
  <c r="J121" i="5" s="1"/>
  <c r="B122" i="5"/>
  <c r="A123" i="5"/>
  <c r="E122" i="5"/>
  <c r="G122" i="5" s="1"/>
  <c r="H122" i="5" s="1"/>
  <c r="I122" i="5" s="1"/>
  <c r="D122" i="5"/>
  <c r="F122" i="5" s="1"/>
  <c r="O771" i="6" l="1"/>
  <c r="P771" i="6" s="1"/>
  <c r="N770" i="6"/>
  <c r="Q770" i="6"/>
  <c r="R770" i="6" s="1"/>
  <c r="M770" i="6" s="1"/>
  <c r="S770" i="6" s="1"/>
  <c r="J122" i="5"/>
  <c r="AD114" i="6"/>
  <c r="AK114" i="6"/>
  <c r="C122" i="5"/>
  <c r="B115" i="6"/>
  <c r="C114" i="6" s="1"/>
  <c r="A124" i="5"/>
  <c r="E123" i="5"/>
  <c r="G123" i="5" s="1"/>
  <c r="H123" i="5" s="1"/>
  <c r="D123" i="5"/>
  <c r="F123" i="5" s="1"/>
  <c r="B123" i="5"/>
  <c r="N771" i="6" l="1"/>
  <c r="Q771" i="6"/>
  <c r="R771" i="6" s="1"/>
  <c r="M771" i="6" s="1"/>
  <c r="S771" i="6" s="1"/>
  <c r="O772" i="6"/>
  <c r="P772" i="6" s="1"/>
  <c r="AD115" i="6"/>
  <c r="I123" i="5"/>
  <c r="J123" i="5" s="1"/>
  <c r="C123" i="5"/>
  <c r="B116" i="6"/>
  <c r="C115" i="6" s="1"/>
  <c r="AK115" i="6"/>
  <c r="D124" i="5"/>
  <c r="F124" i="5" s="1"/>
  <c r="B124" i="5"/>
  <c r="E124" i="5"/>
  <c r="G124" i="5" s="1"/>
  <c r="H124" i="5" s="1"/>
  <c r="A125" i="5"/>
  <c r="O773" i="6" l="1"/>
  <c r="P773" i="6" s="1"/>
  <c r="N772" i="6"/>
  <c r="Q772" i="6"/>
  <c r="R772" i="6" s="1"/>
  <c r="M772" i="6" s="1"/>
  <c r="S772" i="6" s="1"/>
  <c r="AK116" i="6"/>
  <c r="C124" i="5"/>
  <c r="B117" i="6"/>
  <c r="C116" i="6" s="1"/>
  <c r="AD116" i="6"/>
  <c r="I124" i="5"/>
  <c r="J124" i="5" s="1"/>
  <c r="B125" i="5"/>
  <c r="B118" i="6" s="1"/>
  <c r="C117" i="6" s="1"/>
  <c r="A126" i="5"/>
  <c r="D125" i="5"/>
  <c r="F125" i="5" s="1"/>
  <c r="E125" i="5"/>
  <c r="N773" i="6" l="1"/>
  <c r="Q773" i="6"/>
  <c r="R773" i="6" s="1"/>
  <c r="M773" i="6" s="1"/>
  <c r="S773" i="6" s="1"/>
  <c r="O774" i="6"/>
  <c r="P774" i="6" s="1"/>
  <c r="AD117" i="6"/>
  <c r="AD118" i="6" s="1"/>
  <c r="AK117" i="6"/>
  <c r="G125" i="5"/>
  <c r="H125" i="5" s="1"/>
  <c r="I125" i="5" s="1"/>
  <c r="C125" i="5"/>
  <c r="D126" i="5"/>
  <c r="F126" i="5" s="1"/>
  <c r="E126" i="5"/>
  <c r="B126" i="5"/>
  <c r="B119" i="6" s="1"/>
  <c r="C118" i="6" s="1"/>
  <c r="A127" i="5"/>
  <c r="O775" i="6" l="1"/>
  <c r="P775" i="6" s="1"/>
  <c r="Q774" i="6"/>
  <c r="R774" i="6" s="1"/>
  <c r="N774" i="6"/>
  <c r="AK118" i="6"/>
  <c r="J125" i="5"/>
  <c r="C126" i="5"/>
  <c r="AD119" i="6"/>
  <c r="G126" i="5"/>
  <c r="H126" i="5" s="1"/>
  <c r="I126" i="5" s="1"/>
  <c r="E127" i="5"/>
  <c r="G127" i="5" s="1"/>
  <c r="H127" i="5" s="1"/>
  <c r="I127" i="5" s="1"/>
  <c r="D127" i="5"/>
  <c r="F127" i="5" s="1"/>
  <c r="B127" i="5"/>
  <c r="B120" i="6" s="1"/>
  <c r="C119" i="6" s="1"/>
  <c r="A128" i="5"/>
  <c r="M774" i="6" l="1"/>
  <c r="S774" i="6" s="1"/>
  <c r="N775" i="6"/>
  <c r="O776" i="6"/>
  <c r="P776" i="6" s="1"/>
  <c r="Q775" i="6"/>
  <c r="R775" i="6" s="1"/>
  <c r="M775" i="6" s="1"/>
  <c r="S775" i="6" s="1"/>
  <c r="J127" i="5"/>
  <c r="AK119" i="6"/>
  <c r="J126" i="5"/>
  <c r="AK120" i="6"/>
  <c r="C127" i="5"/>
  <c r="AD120" i="6"/>
  <c r="E128" i="5"/>
  <c r="G128" i="5" s="1"/>
  <c r="H128" i="5" s="1"/>
  <c r="B128" i="5"/>
  <c r="B121" i="6" s="1"/>
  <c r="C120" i="6" s="1"/>
  <c r="A129" i="5"/>
  <c r="D128" i="5"/>
  <c r="F128" i="5" s="1"/>
  <c r="C128" i="5" l="1"/>
  <c r="O777" i="6"/>
  <c r="P777" i="6" s="1"/>
  <c r="Q776" i="6"/>
  <c r="R776" i="6" s="1"/>
  <c r="N776" i="6"/>
  <c r="I128" i="5"/>
  <c r="AD121" i="6"/>
  <c r="B129" i="5"/>
  <c r="B122" i="6" s="1"/>
  <c r="C121" i="6" s="1"/>
  <c r="E129" i="5"/>
  <c r="A130" i="5"/>
  <c r="D129" i="5"/>
  <c r="F129" i="5" s="1"/>
  <c r="M776" i="6" l="1"/>
  <c r="S776" i="6" s="1"/>
  <c r="Q777" i="6"/>
  <c r="R777" i="6" s="1"/>
  <c r="O778" i="6"/>
  <c r="P778" i="6" s="1"/>
  <c r="N777" i="6"/>
  <c r="AK121" i="6"/>
  <c r="J128" i="5"/>
  <c r="C129" i="5"/>
  <c r="G129" i="5"/>
  <c r="H129" i="5" s="1"/>
  <c r="I129" i="5" s="1"/>
  <c r="AD122" i="6"/>
  <c r="D130" i="5"/>
  <c r="F130" i="5" s="1"/>
  <c r="E130" i="5"/>
  <c r="G130" i="5" s="1"/>
  <c r="H130" i="5" s="1"/>
  <c r="I130" i="5" s="1"/>
  <c r="B130" i="5"/>
  <c r="B123" i="6" s="1"/>
  <c r="C122" i="6" s="1"/>
  <c r="A131" i="5"/>
  <c r="M777" i="6" l="1"/>
  <c r="S777" i="6" s="1"/>
  <c r="N778" i="6"/>
  <c r="O779" i="6"/>
  <c r="P779" i="6" s="1"/>
  <c r="Q778" i="6"/>
  <c r="R778" i="6" s="1"/>
  <c r="M778" i="6" s="1"/>
  <c r="S778" i="6" s="1"/>
  <c r="J130" i="5"/>
  <c r="AK122" i="6"/>
  <c r="J129" i="5"/>
  <c r="AK123" i="6"/>
  <c r="AD123" i="6"/>
  <c r="C130" i="5"/>
  <c r="D131" i="5"/>
  <c r="F131" i="5" s="1"/>
  <c r="E131" i="5"/>
  <c r="B131" i="5"/>
  <c r="B124" i="6" s="1"/>
  <c r="C123" i="6" s="1"/>
  <c r="A132" i="5"/>
  <c r="Q779" i="6" l="1"/>
  <c r="R779" i="6" s="1"/>
  <c r="O780" i="6"/>
  <c r="P780" i="6" s="1"/>
  <c r="N779" i="6"/>
  <c r="G131" i="5"/>
  <c r="H131" i="5" s="1"/>
  <c r="I131" i="5" s="1"/>
  <c r="C131" i="5"/>
  <c r="AD124" i="6"/>
  <c r="E132" i="5"/>
  <c r="A133" i="5"/>
  <c r="D132" i="5"/>
  <c r="F132" i="5" s="1"/>
  <c r="B132" i="5"/>
  <c r="B125" i="6" s="1"/>
  <c r="C124" i="6" s="1"/>
  <c r="M779" i="6" l="1"/>
  <c r="S779" i="6" s="1"/>
  <c r="Q780" i="6"/>
  <c r="R780" i="6" s="1"/>
  <c r="N780" i="6"/>
  <c r="O781" i="6"/>
  <c r="P781" i="6" s="1"/>
  <c r="AK124" i="6"/>
  <c r="J131" i="5"/>
  <c r="C132" i="5"/>
  <c r="AD125" i="6"/>
  <c r="AD126" i="6" s="1"/>
  <c r="AD127" i="6" s="1"/>
  <c r="AD128" i="6" s="1"/>
  <c r="AD129" i="6" s="1"/>
  <c r="AD130" i="6" s="1"/>
  <c r="AD131" i="6" s="1"/>
  <c r="AD132" i="6" s="1"/>
  <c r="AD133" i="6" s="1"/>
  <c r="AD134" i="6" s="1"/>
  <c r="AD135" i="6" s="1"/>
  <c r="AD136" i="6" s="1"/>
  <c r="AD137" i="6" s="1"/>
  <c r="AD138" i="6" s="1"/>
  <c r="AD139" i="6" s="1"/>
  <c r="AD140" i="6" s="1"/>
  <c r="AD141" i="6" s="1"/>
  <c r="AD142" i="6" s="1"/>
  <c r="AD143" i="6" s="1"/>
  <c r="AD144" i="6" s="1"/>
  <c r="AD145" i="6" s="1"/>
  <c r="AD146" i="6" s="1"/>
  <c r="AD147" i="6" s="1"/>
  <c r="AD148" i="6" s="1"/>
  <c r="AD149" i="6" s="1"/>
  <c r="AD150" i="6" s="1"/>
  <c r="AD151" i="6" s="1"/>
  <c r="AD152" i="6" s="1"/>
  <c r="AD153" i="6" s="1"/>
  <c r="AD154" i="6" s="1"/>
  <c r="AD155" i="6" s="1"/>
  <c r="AD156" i="6" s="1"/>
  <c r="AD157" i="6" s="1"/>
  <c r="AD158" i="6" s="1"/>
  <c r="AD159" i="6" s="1"/>
  <c r="AD160" i="6" s="1"/>
  <c r="AD161" i="6" s="1"/>
  <c r="AD162" i="6" s="1"/>
  <c r="AD163" i="6" s="1"/>
  <c r="AD164" i="6" s="1"/>
  <c r="AD165" i="6" s="1"/>
  <c r="AD166" i="6" s="1"/>
  <c r="AD167" i="6" s="1"/>
  <c r="AD168" i="6" s="1"/>
  <c r="AD169" i="6" s="1"/>
  <c r="AD170" i="6" s="1"/>
  <c r="AD171" i="6" s="1"/>
  <c r="AD172" i="6" s="1"/>
  <c r="AD173" i="6" s="1"/>
  <c r="AD174" i="6" s="1"/>
  <c r="AD175" i="6" s="1"/>
  <c r="AD176" i="6" s="1"/>
  <c r="AD177" i="6" s="1"/>
  <c r="AD178" i="6" s="1"/>
  <c r="AD179" i="6" s="1"/>
  <c r="AD180" i="6" s="1"/>
  <c r="AD181" i="6" s="1"/>
  <c r="AD182" i="6" s="1"/>
  <c r="AD183" i="6" s="1"/>
  <c r="AD184" i="6" s="1"/>
  <c r="AD185" i="6" s="1"/>
  <c r="AD186" i="6" s="1"/>
  <c r="AD187" i="6" s="1"/>
  <c r="AD188" i="6" s="1"/>
  <c r="AD189" i="6" s="1"/>
  <c r="AD190" i="6" s="1"/>
  <c r="AD191" i="6" s="1"/>
  <c r="AD192" i="6" s="1"/>
  <c r="AD193" i="6" s="1"/>
  <c r="AD194" i="6" s="1"/>
  <c r="AD195" i="6" s="1"/>
  <c r="AD196" i="6" s="1"/>
  <c r="AD197" i="6" s="1"/>
  <c r="AD198" i="6" s="1"/>
  <c r="AD199" i="6" s="1"/>
  <c r="AD200" i="6" s="1"/>
  <c r="AD201" i="6" s="1"/>
  <c r="AD202" i="6" s="1"/>
  <c r="AD203" i="6" s="1"/>
  <c r="AD204" i="6" s="1"/>
  <c r="AD205" i="6" s="1"/>
  <c r="AD206" i="6" s="1"/>
  <c r="AD207" i="6" s="1"/>
  <c r="AD208" i="6" s="1"/>
  <c r="AD209" i="6" s="1"/>
  <c r="AD210" i="6" s="1"/>
  <c r="AD211" i="6" s="1"/>
  <c r="AD212" i="6" s="1"/>
  <c r="AD213" i="6" s="1"/>
  <c r="AD214" i="6" s="1"/>
  <c r="AD215" i="6" s="1"/>
  <c r="AD216" i="6" s="1"/>
  <c r="AD217" i="6" s="1"/>
  <c r="AD218" i="6" s="1"/>
  <c r="AD219" i="6" s="1"/>
  <c r="AD220" i="6" s="1"/>
  <c r="AD221" i="6" s="1"/>
  <c r="AD222" i="6" s="1"/>
  <c r="AD223" i="6" s="1"/>
  <c r="AD224" i="6" s="1"/>
  <c r="AD225" i="6" s="1"/>
  <c r="AD226" i="6" s="1"/>
  <c r="AD227" i="6" s="1"/>
  <c r="AD228" i="6" s="1"/>
  <c r="AD229" i="6" s="1"/>
  <c r="AD230" i="6" s="1"/>
  <c r="AD231" i="6" s="1"/>
  <c r="AD232" i="6" s="1"/>
  <c r="AD233" i="6" s="1"/>
  <c r="AD234" i="6" s="1"/>
  <c r="AD235" i="6" s="1"/>
  <c r="AD236" i="6" s="1"/>
  <c r="AD237" i="6" s="1"/>
  <c r="AD238" i="6" s="1"/>
  <c r="AD239" i="6" s="1"/>
  <c r="AD240" i="6" s="1"/>
  <c r="AD241" i="6" s="1"/>
  <c r="AD242" i="6" s="1"/>
  <c r="AD243" i="6" s="1"/>
  <c r="AD244" i="6" s="1"/>
  <c r="AD245" i="6" s="1"/>
  <c r="AD246" i="6" s="1"/>
  <c r="AD247" i="6" s="1"/>
  <c r="AD248" i="6" s="1"/>
  <c r="AD249" i="6" s="1"/>
  <c r="AD250" i="6" s="1"/>
  <c r="AD251" i="6" s="1"/>
  <c r="AD252" i="6" s="1"/>
  <c r="AD253" i="6" s="1"/>
  <c r="AD254" i="6" s="1"/>
  <c r="AD255" i="6" s="1"/>
  <c r="AD256" i="6" s="1"/>
  <c r="AD257" i="6" s="1"/>
  <c r="AD258" i="6" s="1"/>
  <c r="AD259" i="6" s="1"/>
  <c r="AD260" i="6" s="1"/>
  <c r="AD261" i="6" s="1"/>
  <c r="AD262" i="6" s="1"/>
  <c r="AD263" i="6" s="1"/>
  <c r="AD264" i="6" s="1"/>
  <c r="AD265" i="6" s="1"/>
  <c r="AD266" i="6" s="1"/>
  <c r="AD267" i="6" s="1"/>
  <c r="AD268" i="6" s="1"/>
  <c r="AD269" i="6" s="1"/>
  <c r="AD270" i="6" s="1"/>
  <c r="AD271" i="6" s="1"/>
  <c r="AD272" i="6" s="1"/>
  <c r="AD273" i="6" s="1"/>
  <c r="AD274" i="6" s="1"/>
  <c r="AD275" i="6" s="1"/>
  <c r="AD276" i="6" s="1"/>
  <c r="AD277" i="6" s="1"/>
  <c r="AD278" i="6" s="1"/>
  <c r="AD279" i="6" s="1"/>
  <c r="AD280" i="6" s="1"/>
  <c r="AD281" i="6" s="1"/>
  <c r="AD282" i="6" s="1"/>
  <c r="AD283" i="6" s="1"/>
  <c r="AD284" i="6" s="1"/>
  <c r="AD285" i="6" s="1"/>
  <c r="AD286" i="6" s="1"/>
  <c r="AD287" i="6" s="1"/>
  <c r="AD288" i="6" s="1"/>
  <c r="AD289" i="6" s="1"/>
  <c r="AD290" i="6" s="1"/>
  <c r="AD291" i="6" s="1"/>
  <c r="AD292" i="6" s="1"/>
  <c r="AD293" i="6" s="1"/>
  <c r="AD294" i="6" s="1"/>
  <c r="AD295" i="6" s="1"/>
  <c r="AD296" i="6" s="1"/>
  <c r="AD297" i="6" s="1"/>
  <c r="AD298" i="6" s="1"/>
  <c r="AD299" i="6" s="1"/>
  <c r="AD300" i="6" s="1"/>
  <c r="AD301" i="6" s="1"/>
  <c r="AD302" i="6" s="1"/>
  <c r="AD303" i="6" s="1"/>
  <c r="AD304" i="6" s="1"/>
  <c r="AD305" i="6" s="1"/>
  <c r="AD306" i="6" s="1"/>
  <c r="AD307" i="6" s="1"/>
  <c r="AD308" i="6" s="1"/>
  <c r="AD309" i="6" s="1"/>
  <c r="AD310" i="6" s="1"/>
  <c r="AD311" i="6" s="1"/>
  <c r="AD312" i="6" s="1"/>
  <c r="AD313" i="6" s="1"/>
  <c r="AD314" i="6" s="1"/>
  <c r="AD315" i="6" s="1"/>
  <c r="AD316" i="6" s="1"/>
  <c r="AD317" i="6" s="1"/>
  <c r="AD318" i="6" s="1"/>
  <c r="AD319" i="6" s="1"/>
  <c r="AD320" i="6" s="1"/>
  <c r="AD321" i="6" s="1"/>
  <c r="AD322" i="6" s="1"/>
  <c r="AD323" i="6" s="1"/>
  <c r="AD324" i="6" s="1"/>
  <c r="AD325" i="6" s="1"/>
  <c r="AD326" i="6" s="1"/>
  <c r="AD327" i="6" s="1"/>
  <c r="AD328" i="6" s="1"/>
  <c r="AD329" i="6" s="1"/>
  <c r="AD330" i="6" s="1"/>
  <c r="AD331" i="6" s="1"/>
  <c r="AD332" i="6" s="1"/>
  <c r="AD333" i="6" s="1"/>
  <c r="AD334" i="6" s="1"/>
  <c r="AD335" i="6" s="1"/>
  <c r="AD336" i="6" s="1"/>
  <c r="AD337" i="6" s="1"/>
  <c r="AD338" i="6" s="1"/>
  <c r="AD339" i="6" s="1"/>
  <c r="AD340" i="6" s="1"/>
  <c r="AD341" i="6" s="1"/>
  <c r="AD342" i="6" s="1"/>
  <c r="AD343" i="6" s="1"/>
  <c r="AD344" i="6" s="1"/>
  <c r="AD345" i="6" s="1"/>
  <c r="AD346" i="6" s="1"/>
  <c r="AD347" i="6" s="1"/>
  <c r="AD348" i="6" s="1"/>
  <c r="AD349" i="6" s="1"/>
  <c r="AD350" i="6" s="1"/>
  <c r="AD351" i="6" s="1"/>
  <c r="AD352" i="6" s="1"/>
  <c r="AD353" i="6" s="1"/>
  <c r="AD354" i="6" s="1"/>
  <c r="AD355" i="6" s="1"/>
  <c r="AD356" i="6" s="1"/>
  <c r="AD357" i="6" s="1"/>
  <c r="AD358" i="6" s="1"/>
  <c r="AD359" i="6" s="1"/>
  <c r="AD360" i="6" s="1"/>
  <c r="AD361" i="6" s="1"/>
  <c r="AD362" i="6" s="1"/>
  <c r="AD363" i="6" s="1"/>
  <c r="AD364" i="6" s="1"/>
  <c r="AP10" i="6" s="1"/>
  <c r="G132" i="5"/>
  <c r="H132" i="5" s="1"/>
  <c r="I132" i="5" s="1"/>
  <c r="D133" i="5"/>
  <c r="F133" i="5" s="1"/>
  <c r="E133" i="5"/>
  <c r="G133" i="5" s="1"/>
  <c r="H133" i="5" s="1"/>
  <c r="I133" i="5" s="1"/>
  <c r="B133" i="5"/>
  <c r="C133" i="5" s="1"/>
  <c r="A134" i="5"/>
  <c r="M780" i="6" l="1"/>
  <c r="S780" i="6" s="1"/>
  <c r="N781" i="6"/>
  <c r="Q781" i="6"/>
  <c r="R781" i="6" s="1"/>
  <c r="M781" i="6" s="1"/>
  <c r="S781" i="6" s="1"/>
  <c r="O782" i="6"/>
  <c r="P782" i="6" s="1"/>
  <c r="AK126" i="6"/>
  <c r="J133" i="5"/>
  <c r="AK125" i="6"/>
  <c r="J132" i="5"/>
  <c r="A135" i="5"/>
  <c r="E134" i="5"/>
  <c r="G134" i="5" s="1"/>
  <c r="H134" i="5" s="1"/>
  <c r="B134" i="5"/>
  <c r="C134" i="5" s="1"/>
  <c r="D134" i="5"/>
  <c r="F134" i="5" s="1"/>
  <c r="O783" i="6" l="1"/>
  <c r="P783" i="6" s="1"/>
  <c r="N782" i="6"/>
  <c r="Q782" i="6"/>
  <c r="R782" i="6" s="1"/>
  <c r="M782" i="6" s="1"/>
  <c r="S782" i="6" s="1"/>
  <c r="I134" i="5"/>
  <c r="A136" i="5"/>
  <c r="E135" i="5"/>
  <c r="B135" i="5"/>
  <c r="C135" i="5" s="1"/>
  <c r="D135" i="5"/>
  <c r="F135" i="5" s="1"/>
  <c r="Q783" i="6" l="1"/>
  <c r="R783" i="6" s="1"/>
  <c r="N783" i="6"/>
  <c r="O784" i="6"/>
  <c r="P784" i="6" s="1"/>
  <c r="AK127" i="6"/>
  <c r="J134" i="5"/>
  <c r="G135" i="5"/>
  <c r="H135" i="5" s="1"/>
  <c r="I135" i="5" s="1"/>
  <c r="A137" i="5"/>
  <c r="D136" i="5"/>
  <c r="F136" i="5" s="1"/>
  <c r="E136" i="5"/>
  <c r="G136" i="5" s="1"/>
  <c r="H136" i="5" s="1"/>
  <c r="B136" i="5"/>
  <c r="C136" i="5" s="1"/>
  <c r="M783" i="6" l="1"/>
  <c r="S783" i="6" s="1"/>
  <c r="O785" i="6"/>
  <c r="P785" i="6" s="1"/>
  <c r="N784" i="6"/>
  <c r="Q784" i="6"/>
  <c r="R784" i="6" s="1"/>
  <c r="M784" i="6" s="1"/>
  <c r="S784" i="6" s="1"/>
  <c r="AK128" i="6"/>
  <c r="J135" i="5"/>
  <c r="I136" i="5"/>
  <c r="E137" i="5"/>
  <c r="B137" i="5"/>
  <c r="C137" i="5" s="1"/>
  <c r="D137" i="5"/>
  <c r="F137" i="5" s="1"/>
  <c r="A138" i="5"/>
  <c r="O786" i="6" l="1"/>
  <c r="P786" i="6" s="1"/>
  <c r="N785" i="6"/>
  <c r="Q785" i="6"/>
  <c r="R785" i="6" s="1"/>
  <c r="M785" i="6" s="1"/>
  <c r="S785" i="6" s="1"/>
  <c r="AK129" i="6"/>
  <c r="J136" i="5"/>
  <c r="G137" i="5"/>
  <c r="H137" i="5" s="1"/>
  <c r="I137" i="5" s="1"/>
  <c r="D138" i="5"/>
  <c r="F138" i="5" s="1"/>
  <c r="B138" i="5"/>
  <c r="C138" i="5" s="1"/>
  <c r="E138" i="5"/>
  <c r="A139" i="5"/>
  <c r="O787" i="6" l="1"/>
  <c r="P787" i="6" s="1"/>
  <c r="N786" i="6"/>
  <c r="Q786" i="6"/>
  <c r="R786" i="6" s="1"/>
  <c r="M786" i="6" s="1"/>
  <c r="S786" i="6" s="1"/>
  <c r="AK130" i="6"/>
  <c r="J137" i="5"/>
  <c r="G138" i="5"/>
  <c r="H138" i="5" s="1"/>
  <c r="I138" i="5" s="1"/>
  <c r="A140" i="5"/>
  <c r="D139" i="5"/>
  <c r="F139" i="5" s="1"/>
  <c r="B139" i="5"/>
  <c r="C139" i="5" s="1"/>
  <c r="E139" i="5"/>
  <c r="G139" i="5" s="1"/>
  <c r="H139" i="5" s="1"/>
  <c r="I139" i="5" s="1"/>
  <c r="N787" i="6" l="1"/>
  <c r="Q787" i="6"/>
  <c r="R787" i="6" s="1"/>
  <c r="M787" i="6" s="1"/>
  <c r="S787" i="6" s="1"/>
  <c r="O788" i="6"/>
  <c r="P788" i="6" s="1"/>
  <c r="AK132" i="6"/>
  <c r="J139" i="5"/>
  <c r="AK131" i="6"/>
  <c r="J138" i="5"/>
  <c r="B140" i="5"/>
  <c r="C140" i="5" s="1"/>
  <c r="D140" i="5"/>
  <c r="E140" i="5"/>
  <c r="A141" i="5"/>
  <c r="F140" i="5"/>
  <c r="O789" i="6" l="1"/>
  <c r="P789" i="6" s="1"/>
  <c r="Q788" i="6"/>
  <c r="R788" i="6" s="1"/>
  <c r="N788" i="6"/>
  <c r="G140" i="5"/>
  <c r="H140" i="5" s="1"/>
  <c r="I140" i="5" s="1"/>
  <c r="A142" i="5"/>
  <c r="D141" i="5"/>
  <c r="F141" i="5" s="1"/>
  <c r="E141" i="5"/>
  <c r="G141" i="5" s="1"/>
  <c r="H141" i="5" s="1"/>
  <c r="B141" i="5"/>
  <c r="C141" i="5" s="1"/>
  <c r="M788" i="6" l="1"/>
  <c r="S788" i="6" s="1"/>
  <c r="N789" i="6"/>
  <c r="Q789" i="6"/>
  <c r="R789" i="6" s="1"/>
  <c r="M789" i="6" s="1"/>
  <c r="S789" i="6" s="1"/>
  <c r="O790" i="6"/>
  <c r="P790" i="6" s="1"/>
  <c r="AK133" i="6"/>
  <c r="J140" i="5"/>
  <c r="I141" i="5"/>
  <c r="D142" i="5"/>
  <c r="F142" i="5" s="1"/>
  <c r="E142" i="5"/>
  <c r="B142" i="5"/>
  <c r="C142" i="5" s="1"/>
  <c r="A143" i="5"/>
  <c r="N790" i="6" l="1"/>
  <c r="Q790" i="6"/>
  <c r="R790" i="6" s="1"/>
  <c r="M790" i="6" s="1"/>
  <c r="S790" i="6" s="1"/>
  <c r="O791" i="6"/>
  <c r="P791" i="6" s="1"/>
  <c r="AK134" i="6"/>
  <c r="J141" i="5"/>
  <c r="G142" i="5"/>
  <c r="H142" i="5" s="1"/>
  <c r="I142" i="5" s="1"/>
  <c r="D143" i="5"/>
  <c r="F143" i="5" s="1"/>
  <c r="A144" i="5"/>
  <c r="E143" i="5"/>
  <c r="B143" i="5"/>
  <c r="C143" i="5" s="1"/>
  <c r="N791" i="6" l="1"/>
  <c r="O792" i="6"/>
  <c r="P792" i="6" s="1"/>
  <c r="Q791" i="6"/>
  <c r="R791" i="6" s="1"/>
  <c r="M791" i="6" s="1"/>
  <c r="S791" i="6" s="1"/>
  <c r="AK135" i="6"/>
  <c r="J142" i="5"/>
  <c r="G143" i="5"/>
  <c r="H143" i="5" s="1"/>
  <c r="I143" i="5" s="1"/>
  <c r="D144" i="5"/>
  <c r="F144" i="5" s="1"/>
  <c r="A145" i="5"/>
  <c r="E144" i="5"/>
  <c r="B144" i="5"/>
  <c r="C144" i="5" s="1"/>
  <c r="O793" i="6" l="1"/>
  <c r="P793" i="6" s="1"/>
  <c r="N792" i="6"/>
  <c r="Q792" i="6"/>
  <c r="R792" i="6" s="1"/>
  <c r="M792" i="6" s="1"/>
  <c r="S792" i="6" s="1"/>
  <c r="AK136" i="6"/>
  <c r="J143" i="5"/>
  <c r="G144" i="5"/>
  <c r="H144" i="5" s="1"/>
  <c r="I144" i="5" s="1"/>
  <c r="A146" i="5"/>
  <c r="E145" i="5"/>
  <c r="B145" i="5"/>
  <c r="C145" i="5" s="1"/>
  <c r="D145" i="5"/>
  <c r="F145" i="5" s="1"/>
  <c r="Q793" i="6" l="1"/>
  <c r="R793" i="6" s="1"/>
  <c r="O794" i="6"/>
  <c r="P794" i="6" s="1"/>
  <c r="N793" i="6"/>
  <c r="AK137" i="6"/>
  <c r="J144" i="5"/>
  <c r="G145" i="5"/>
  <c r="H145" i="5" s="1"/>
  <c r="I145" i="5" s="1"/>
  <c r="A147" i="5"/>
  <c r="D146" i="5"/>
  <c r="F146" i="5" s="1"/>
  <c r="E146" i="5"/>
  <c r="B146" i="5"/>
  <c r="C146" i="5" s="1"/>
  <c r="Q794" i="6" l="1"/>
  <c r="R794" i="6" s="1"/>
  <c r="N794" i="6"/>
  <c r="O795" i="6"/>
  <c r="P795" i="6" s="1"/>
  <c r="M793" i="6"/>
  <c r="S793" i="6" s="1"/>
  <c r="AK138" i="6"/>
  <c r="J145" i="5"/>
  <c r="G146" i="5"/>
  <c r="H146" i="5" s="1"/>
  <c r="I146" i="5" s="1"/>
  <c r="A148" i="5"/>
  <c r="E147" i="5"/>
  <c r="B147" i="5"/>
  <c r="C147" i="5" s="1"/>
  <c r="D147" i="5"/>
  <c r="F147" i="5" s="1"/>
  <c r="M794" i="6" l="1"/>
  <c r="S794" i="6" s="1"/>
  <c r="N795" i="6"/>
  <c r="O796" i="6"/>
  <c r="P796" i="6" s="1"/>
  <c r="Q795" i="6"/>
  <c r="R795" i="6" s="1"/>
  <c r="M795" i="6" s="1"/>
  <c r="S795" i="6" s="1"/>
  <c r="AK139" i="6"/>
  <c r="J146" i="5"/>
  <c r="G147" i="5"/>
  <c r="H147" i="5" s="1"/>
  <c r="I147" i="5" s="1"/>
  <c r="E148" i="5"/>
  <c r="G148" i="5" s="1"/>
  <c r="H148" i="5" s="1"/>
  <c r="D148" i="5"/>
  <c r="F148" i="5" s="1"/>
  <c r="B148" i="5"/>
  <c r="C148" i="5" s="1"/>
  <c r="A149" i="5"/>
  <c r="Q796" i="6" l="1"/>
  <c r="R796" i="6" s="1"/>
  <c r="N796" i="6"/>
  <c r="O797" i="6"/>
  <c r="P797" i="6" s="1"/>
  <c r="AK140" i="6"/>
  <c r="J147" i="5"/>
  <c r="I148" i="5"/>
  <c r="D149" i="5"/>
  <c r="F149" i="5" s="1"/>
  <c r="E149" i="5"/>
  <c r="G149" i="5" s="1"/>
  <c r="H149" i="5" s="1"/>
  <c r="B149" i="5"/>
  <c r="C149" i="5" s="1"/>
  <c r="A150" i="5"/>
  <c r="M796" i="6" l="1"/>
  <c r="S796" i="6" s="1"/>
  <c r="N797" i="6"/>
  <c r="O798" i="6"/>
  <c r="P798" i="6" s="1"/>
  <c r="Q797" i="6"/>
  <c r="R797" i="6" s="1"/>
  <c r="M797" i="6" s="1"/>
  <c r="S797" i="6" s="1"/>
  <c r="AK141" i="6"/>
  <c r="J148" i="5"/>
  <c r="I149" i="5"/>
  <c r="D150" i="5"/>
  <c r="F150" i="5" s="1"/>
  <c r="A151" i="5"/>
  <c r="B150" i="5"/>
  <c r="C150" i="5" s="1"/>
  <c r="E150" i="5"/>
  <c r="Q798" i="6" l="1"/>
  <c r="R798" i="6" s="1"/>
  <c r="O799" i="6"/>
  <c r="P799" i="6" s="1"/>
  <c r="N798" i="6"/>
  <c r="AK142" i="6"/>
  <c r="J149" i="5"/>
  <c r="G150" i="5"/>
  <c r="H150" i="5" s="1"/>
  <c r="I150" i="5" s="1"/>
  <c r="E151" i="5"/>
  <c r="D151" i="5"/>
  <c r="F151" i="5" s="1"/>
  <c r="A152" i="5"/>
  <c r="B151" i="5"/>
  <c r="C151" i="5" s="1"/>
  <c r="M798" i="6" l="1"/>
  <c r="S798" i="6" s="1"/>
  <c r="N799" i="6"/>
  <c r="O800" i="6"/>
  <c r="P800" i="6" s="1"/>
  <c r="Q799" i="6"/>
  <c r="R799" i="6" s="1"/>
  <c r="M799" i="6" s="1"/>
  <c r="S799" i="6" s="1"/>
  <c r="AK143" i="6"/>
  <c r="J150" i="5"/>
  <c r="G151" i="5"/>
  <c r="H151" i="5" s="1"/>
  <c r="I151" i="5" s="1"/>
  <c r="E152" i="5"/>
  <c r="G152" i="5" s="1"/>
  <c r="H152" i="5" s="1"/>
  <c r="I152" i="5" s="1"/>
  <c r="A153" i="5"/>
  <c r="B152" i="5"/>
  <c r="C152" i="5" s="1"/>
  <c r="D152" i="5"/>
  <c r="F152" i="5" s="1"/>
  <c r="Q800" i="6" l="1"/>
  <c r="R800" i="6" s="1"/>
  <c r="O801" i="6"/>
  <c r="P801" i="6" s="1"/>
  <c r="N800" i="6"/>
  <c r="AK144" i="6"/>
  <c r="J151" i="5"/>
  <c r="AK145" i="6"/>
  <c r="J152" i="5"/>
  <c r="B153" i="5"/>
  <c r="C153" i="5" s="1"/>
  <c r="A154" i="5"/>
  <c r="E153" i="5"/>
  <c r="D153" i="5"/>
  <c r="F153" i="5" s="1"/>
  <c r="M800" i="6" l="1"/>
  <c r="S800" i="6" s="1"/>
  <c r="N801" i="6"/>
  <c r="Q801" i="6"/>
  <c r="R801" i="6" s="1"/>
  <c r="O802" i="6"/>
  <c r="P802" i="6" s="1"/>
  <c r="G153" i="5"/>
  <c r="H153" i="5" s="1"/>
  <c r="I153" i="5" s="1"/>
  <c r="B154" i="5"/>
  <c r="C154" i="5" s="1"/>
  <c r="E154" i="5"/>
  <c r="A155" i="5"/>
  <c r="D154" i="5"/>
  <c r="F154" i="5" s="1"/>
  <c r="M801" i="6" l="1"/>
  <c r="S801" i="6" s="1"/>
  <c r="O803" i="6"/>
  <c r="P803" i="6" s="1"/>
  <c r="N802" i="6"/>
  <c r="Q802" i="6"/>
  <c r="R802" i="6" s="1"/>
  <c r="M802" i="6" s="1"/>
  <c r="S802" i="6" s="1"/>
  <c r="AK146" i="6"/>
  <c r="J153" i="5"/>
  <c r="G154" i="5"/>
  <c r="H154" i="5" s="1"/>
  <c r="I154" i="5" s="1"/>
  <c r="D155" i="5"/>
  <c r="F155" i="5" s="1"/>
  <c r="E155" i="5"/>
  <c r="B155" i="5"/>
  <c r="C155" i="5" s="1"/>
  <c r="A156" i="5"/>
  <c r="O804" i="6" l="1"/>
  <c r="P804" i="6" s="1"/>
  <c r="N803" i="6"/>
  <c r="Q803" i="6"/>
  <c r="R803" i="6" s="1"/>
  <c r="M803" i="6" s="1"/>
  <c r="S803" i="6" s="1"/>
  <c r="AK147" i="6"/>
  <c r="J154" i="5"/>
  <c r="G155" i="5"/>
  <c r="H155" i="5" s="1"/>
  <c r="I155" i="5" s="1"/>
  <c r="D156" i="5"/>
  <c r="F156" i="5" s="1"/>
  <c r="B156" i="5"/>
  <c r="C156" i="5" s="1"/>
  <c r="E156" i="5"/>
  <c r="A157" i="5"/>
  <c r="N804" i="6" l="1"/>
  <c r="O805" i="6"/>
  <c r="P805" i="6" s="1"/>
  <c r="Q804" i="6"/>
  <c r="R804" i="6" s="1"/>
  <c r="M804" i="6" s="1"/>
  <c r="S804" i="6" s="1"/>
  <c r="AK148" i="6"/>
  <c r="J155" i="5"/>
  <c r="G156" i="5"/>
  <c r="H156" i="5" s="1"/>
  <c r="I156" i="5" s="1"/>
  <c r="B157" i="5"/>
  <c r="C157" i="5" s="1"/>
  <c r="D157" i="5"/>
  <c r="F157" i="5" s="1"/>
  <c r="A158" i="5"/>
  <c r="E157" i="5"/>
  <c r="G157" i="5" s="1"/>
  <c r="H157" i="5" s="1"/>
  <c r="I157" i="5" s="1"/>
  <c r="O806" i="6" l="1"/>
  <c r="P806" i="6" s="1"/>
  <c r="N805" i="6"/>
  <c r="Q805" i="6"/>
  <c r="R805" i="6" s="1"/>
  <c r="AK149" i="6"/>
  <c r="J156" i="5"/>
  <c r="AK150" i="6"/>
  <c r="J157" i="5"/>
  <c r="A159" i="5"/>
  <c r="B158" i="5"/>
  <c r="C158" i="5" s="1"/>
  <c r="D158" i="5"/>
  <c r="F158" i="5" s="1"/>
  <c r="E158" i="5"/>
  <c r="M805" i="6" l="1"/>
  <c r="S805" i="6" s="1"/>
  <c r="N806" i="6"/>
  <c r="Q806" i="6"/>
  <c r="R806" i="6" s="1"/>
  <c r="M806" i="6" s="1"/>
  <c r="S806" i="6" s="1"/>
  <c r="O807" i="6"/>
  <c r="P807" i="6" s="1"/>
  <c r="G158" i="5"/>
  <c r="H158" i="5" s="1"/>
  <c r="I158" i="5" s="1"/>
  <c r="D159" i="5"/>
  <c r="F159" i="5" s="1"/>
  <c r="A160" i="5"/>
  <c r="E159" i="5"/>
  <c r="G159" i="5" s="1"/>
  <c r="H159" i="5" s="1"/>
  <c r="I159" i="5" s="1"/>
  <c r="B159" i="5"/>
  <c r="C159" i="5" s="1"/>
  <c r="N807" i="6" l="1"/>
  <c r="O808" i="6"/>
  <c r="P808" i="6" s="1"/>
  <c r="Q807" i="6"/>
  <c r="R807" i="6" s="1"/>
  <c r="M807" i="6" s="1"/>
  <c r="S807" i="6" s="1"/>
  <c r="AK152" i="6"/>
  <c r="J159" i="5"/>
  <c r="AK151" i="6"/>
  <c r="J158" i="5"/>
  <c r="D160" i="5"/>
  <c r="F160" i="5" s="1"/>
  <c r="E160" i="5"/>
  <c r="B160" i="5"/>
  <c r="C160" i="5" s="1"/>
  <c r="A161" i="5"/>
  <c r="N808" i="6" l="1"/>
  <c r="Q808" i="6"/>
  <c r="R808" i="6" s="1"/>
  <c r="M808" i="6" s="1"/>
  <c r="S808" i="6" s="1"/>
  <c r="O809" i="6"/>
  <c r="P809" i="6" s="1"/>
  <c r="G160" i="5"/>
  <c r="H160" i="5" s="1"/>
  <c r="I160" i="5" s="1"/>
  <c r="D161" i="5"/>
  <c r="F161" i="5" s="1"/>
  <c r="B161" i="5"/>
  <c r="C161" i="5" s="1"/>
  <c r="E161" i="5"/>
  <c r="A162" i="5"/>
  <c r="O810" i="6" l="1"/>
  <c r="P810" i="6" s="1"/>
  <c r="N809" i="6"/>
  <c r="Q809" i="6"/>
  <c r="R809" i="6" s="1"/>
  <c r="M809" i="6" s="1"/>
  <c r="S809" i="6" s="1"/>
  <c r="AK153" i="6"/>
  <c r="J160" i="5"/>
  <c r="G161" i="5"/>
  <c r="H161" i="5" s="1"/>
  <c r="I161" i="5" s="1"/>
  <c r="D162" i="5"/>
  <c r="F162" i="5" s="1"/>
  <c r="E162" i="5"/>
  <c r="B162" i="5"/>
  <c r="C162" i="5" s="1"/>
  <c r="A163" i="5"/>
  <c r="O811" i="6" l="1"/>
  <c r="P811" i="6" s="1"/>
  <c r="Q810" i="6"/>
  <c r="R810" i="6" s="1"/>
  <c r="N810" i="6"/>
  <c r="AK154" i="6"/>
  <c r="J161" i="5"/>
  <c r="G162" i="5"/>
  <c r="H162" i="5" s="1"/>
  <c r="I162" i="5" s="1"/>
  <c r="E163" i="5"/>
  <c r="B163" i="5"/>
  <c r="C163" i="5" s="1"/>
  <c r="A164" i="5"/>
  <c r="D163" i="5"/>
  <c r="F163" i="5" s="1"/>
  <c r="M810" i="6" l="1"/>
  <c r="S810" i="6" s="1"/>
  <c r="Q811" i="6"/>
  <c r="R811" i="6" s="1"/>
  <c r="N811" i="6"/>
  <c r="O812" i="6"/>
  <c r="P812" i="6" s="1"/>
  <c r="AK155" i="6"/>
  <c r="J162" i="5"/>
  <c r="G163" i="5"/>
  <c r="H163" i="5" s="1"/>
  <c r="I163" i="5" s="1"/>
  <c r="D164" i="5"/>
  <c r="F164" i="5" s="1"/>
  <c r="E164" i="5"/>
  <c r="B164" i="5"/>
  <c r="C164" i="5" s="1"/>
  <c r="A165" i="5"/>
  <c r="M811" i="6" l="1"/>
  <c r="S811" i="6" s="1"/>
  <c r="Q812" i="6"/>
  <c r="R812" i="6" s="1"/>
  <c r="N812" i="6"/>
  <c r="O813" i="6"/>
  <c r="P813" i="6" s="1"/>
  <c r="AK156" i="6"/>
  <c r="J163" i="5"/>
  <c r="G164" i="5"/>
  <c r="H164" i="5" s="1"/>
  <c r="I164" i="5" s="1"/>
  <c r="A166" i="5"/>
  <c r="E165" i="5"/>
  <c r="G165" i="5" s="1"/>
  <c r="H165" i="5" s="1"/>
  <c r="D165" i="5"/>
  <c r="F165" i="5" s="1"/>
  <c r="B165" i="5"/>
  <c r="C165" i="5" s="1"/>
  <c r="M812" i="6" l="1"/>
  <c r="S812" i="6" s="1"/>
  <c r="N813" i="6"/>
  <c r="Q813" i="6"/>
  <c r="R813" i="6" s="1"/>
  <c r="M813" i="6" s="1"/>
  <c r="S813" i="6" s="1"/>
  <c r="O814" i="6"/>
  <c r="P814" i="6" s="1"/>
  <c r="AK157" i="6"/>
  <c r="J164" i="5"/>
  <c r="I165" i="5"/>
  <c r="A167" i="5"/>
  <c r="B166" i="5"/>
  <c r="C166" i="5" s="1"/>
  <c r="E166" i="5"/>
  <c r="D166" i="5"/>
  <c r="F166" i="5" s="1"/>
  <c r="N814" i="6" l="1"/>
  <c r="O815" i="6"/>
  <c r="P815" i="6" s="1"/>
  <c r="Q814" i="6"/>
  <c r="R814" i="6" s="1"/>
  <c r="M814" i="6" s="1"/>
  <c r="S814" i="6" s="1"/>
  <c r="AK158" i="6"/>
  <c r="J165" i="5"/>
  <c r="G166" i="5"/>
  <c r="H166" i="5" s="1"/>
  <c r="I166" i="5" s="1"/>
  <c r="B167" i="5"/>
  <c r="C167" i="5" s="1"/>
  <c r="D167" i="5"/>
  <c r="F167" i="5" s="1"/>
  <c r="E167" i="5"/>
  <c r="A168" i="5"/>
  <c r="O816" i="6" l="1"/>
  <c r="P816" i="6" s="1"/>
  <c r="N815" i="6"/>
  <c r="Q815" i="6"/>
  <c r="R815" i="6" s="1"/>
  <c r="M815" i="6" s="1"/>
  <c r="S815" i="6" s="1"/>
  <c r="AK159" i="6"/>
  <c r="J166" i="5"/>
  <c r="G167" i="5"/>
  <c r="H167" i="5" s="1"/>
  <c r="I167" i="5" s="1"/>
  <c r="D168" i="5"/>
  <c r="F168" i="5" s="1"/>
  <c r="B168" i="5"/>
  <c r="C168" i="5" s="1"/>
  <c r="A169" i="5"/>
  <c r="E168" i="5"/>
  <c r="G168" i="5" s="1"/>
  <c r="H168" i="5" s="1"/>
  <c r="I168" i="5" s="1"/>
  <c r="N816" i="6" l="1"/>
  <c r="O817" i="6"/>
  <c r="P817" i="6" s="1"/>
  <c r="Q816" i="6"/>
  <c r="R816" i="6" s="1"/>
  <c r="M816" i="6" s="1"/>
  <c r="S816" i="6" s="1"/>
  <c r="AK161" i="6"/>
  <c r="J168" i="5"/>
  <c r="AK160" i="6"/>
  <c r="J167" i="5"/>
  <c r="D169" i="5"/>
  <c r="F169" i="5" s="1"/>
  <c r="B169" i="5"/>
  <c r="C169" i="5" s="1"/>
  <c r="E169" i="5"/>
  <c r="A170" i="5"/>
  <c r="N817" i="6" l="1"/>
  <c r="Q817" i="6"/>
  <c r="R817" i="6" s="1"/>
  <c r="M817" i="6" s="1"/>
  <c r="S817" i="6" s="1"/>
  <c r="O818" i="6"/>
  <c r="P818" i="6" s="1"/>
  <c r="G169" i="5"/>
  <c r="H169" i="5" s="1"/>
  <c r="I169" i="5" s="1"/>
  <c r="A171" i="5"/>
  <c r="E170" i="5"/>
  <c r="B170" i="5"/>
  <c r="C170" i="5" s="1"/>
  <c r="D170" i="5"/>
  <c r="F170" i="5" s="1"/>
  <c r="Q818" i="6" l="1"/>
  <c r="R818" i="6" s="1"/>
  <c r="O819" i="6"/>
  <c r="P819" i="6" s="1"/>
  <c r="N818" i="6"/>
  <c r="AK162" i="6"/>
  <c r="J169" i="5"/>
  <c r="G170" i="5"/>
  <c r="H170" i="5" s="1"/>
  <c r="I170" i="5" s="1"/>
  <c r="A172" i="5"/>
  <c r="E171" i="5"/>
  <c r="D171" i="5"/>
  <c r="F171" i="5" s="1"/>
  <c r="B171" i="5"/>
  <c r="C171" i="5" s="1"/>
  <c r="M818" i="6" l="1"/>
  <c r="S818" i="6" s="1"/>
  <c r="O820" i="6"/>
  <c r="P820" i="6" s="1"/>
  <c r="N819" i="6"/>
  <c r="Q819" i="6"/>
  <c r="R819" i="6" s="1"/>
  <c r="M819" i="6" s="1"/>
  <c r="S819" i="6" s="1"/>
  <c r="AK163" i="6"/>
  <c r="J170" i="5"/>
  <c r="G171" i="5"/>
  <c r="H171" i="5" s="1"/>
  <c r="I171" i="5" s="1"/>
  <c r="A173" i="5"/>
  <c r="D172" i="5"/>
  <c r="F172" i="5" s="1"/>
  <c r="E172" i="5"/>
  <c r="G172" i="5" s="1"/>
  <c r="H172" i="5" s="1"/>
  <c r="B172" i="5"/>
  <c r="C172" i="5" s="1"/>
  <c r="Q820" i="6" l="1"/>
  <c r="R820" i="6" s="1"/>
  <c r="O821" i="6"/>
  <c r="P821" i="6" s="1"/>
  <c r="N820" i="6"/>
  <c r="AK164" i="6"/>
  <c r="J171" i="5"/>
  <c r="I172" i="5"/>
  <c r="A174" i="5"/>
  <c r="E173" i="5"/>
  <c r="B173" i="5"/>
  <c r="C173" i="5" s="1"/>
  <c r="D173" i="5"/>
  <c r="F173" i="5" s="1"/>
  <c r="N821" i="6" l="1"/>
  <c r="O822" i="6"/>
  <c r="P822" i="6" s="1"/>
  <c r="Q821" i="6"/>
  <c r="R821" i="6" s="1"/>
  <c r="M821" i="6" s="1"/>
  <c r="S821" i="6" s="1"/>
  <c r="M820" i="6"/>
  <c r="S820" i="6" s="1"/>
  <c r="AK165" i="6"/>
  <c r="J172" i="5"/>
  <c r="G173" i="5"/>
  <c r="H173" i="5" s="1"/>
  <c r="I173" i="5" s="1"/>
  <c r="E174" i="5"/>
  <c r="D174" i="5"/>
  <c r="F174" i="5" s="1"/>
  <c r="A175" i="5"/>
  <c r="B174" i="5"/>
  <c r="C174" i="5" s="1"/>
  <c r="O823" i="6" l="1"/>
  <c r="P823" i="6" s="1"/>
  <c r="N822" i="6"/>
  <c r="Q822" i="6"/>
  <c r="R822" i="6" s="1"/>
  <c r="M822" i="6" s="1"/>
  <c r="S822" i="6" s="1"/>
  <c r="AK166" i="6"/>
  <c r="J173" i="5"/>
  <c r="G174" i="5"/>
  <c r="H174" i="5" s="1"/>
  <c r="I174" i="5" s="1"/>
  <c r="D175" i="5"/>
  <c r="F175" i="5" s="1"/>
  <c r="E175" i="5"/>
  <c r="G175" i="5" s="1"/>
  <c r="H175" i="5" s="1"/>
  <c r="B175" i="5"/>
  <c r="C175" i="5" s="1"/>
  <c r="A176" i="5"/>
  <c r="N823" i="6" l="1"/>
  <c r="Q823" i="6"/>
  <c r="R823" i="6" s="1"/>
  <c r="M823" i="6" s="1"/>
  <c r="S823" i="6" s="1"/>
  <c r="O824" i="6"/>
  <c r="P824" i="6" s="1"/>
  <c r="AK167" i="6"/>
  <c r="J174" i="5"/>
  <c r="I175" i="5"/>
  <c r="D176" i="5"/>
  <c r="F176" i="5" s="1"/>
  <c r="B176" i="5"/>
  <c r="C176" i="5" s="1"/>
  <c r="A177" i="5"/>
  <c r="E176" i="5"/>
  <c r="N824" i="6" l="1"/>
  <c r="Q824" i="6"/>
  <c r="R824" i="6" s="1"/>
  <c r="M824" i="6" s="1"/>
  <c r="S824" i="6" s="1"/>
  <c r="O825" i="6"/>
  <c r="P825" i="6" s="1"/>
  <c r="AK168" i="6"/>
  <c r="J175" i="5"/>
  <c r="G176" i="5"/>
  <c r="H176" i="5" s="1"/>
  <c r="I176" i="5" s="1"/>
  <c r="D177" i="5"/>
  <c r="F177" i="5" s="1"/>
  <c r="B177" i="5"/>
  <c r="C177" i="5" s="1"/>
  <c r="A178" i="5"/>
  <c r="E177" i="5"/>
  <c r="N825" i="6" l="1"/>
  <c r="O826" i="6"/>
  <c r="P826" i="6" s="1"/>
  <c r="Q825" i="6"/>
  <c r="R825" i="6" s="1"/>
  <c r="M825" i="6" s="1"/>
  <c r="S825" i="6" s="1"/>
  <c r="AK169" i="6"/>
  <c r="J176" i="5"/>
  <c r="G177" i="5"/>
  <c r="H177" i="5" s="1"/>
  <c r="I177" i="5" s="1"/>
  <c r="B178" i="5"/>
  <c r="C178" i="5" s="1"/>
  <c r="E178" i="5"/>
  <c r="A179" i="5"/>
  <c r="D178" i="5"/>
  <c r="F178" i="5" s="1"/>
  <c r="O827" i="6" l="1"/>
  <c r="P827" i="6" s="1"/>
  <c r="N826" i="6"/>
  <c r="Q826" i="6"/>
  <c r="R826" i="6" s="1"/>
  <c r="M826" i="6" s="1"/>
  <c r="S826" i="6" s="1"/>
  <c r="AK170" i="6"/>
  <c r="J177" i="5"/>
  <c r="G178" i="5"/>
  <c r="H178" i="5" s="1"/>
  <c r="I178" i="5" s="1"/>
  <c r="D179" i="5"/>
  <c r="F179" i="5" s="1"/>
  <c r="B179" i="5"/>
  <c r="C179" i="5" s="1"/>
  <c r="A180" i="5"/>
  <c r="E179" i="5"/>
  <c r="G179" i="5" s="1"/>
  <c r="H179" i="5" s="1"/>
  <c r="O828" i="6" l="1"/>
  <c r="P828" i="6" s="1"/>
  <c r="Q827" i="6"/>
  <c r="R827" i="6" s="1"/>
  <c r="N827" i="6"/>
  <c r="AK171" i="6"/>
  <c r="J178" i="5"/>
  <c r="I179" i="5"/>
  <c r="D180" i="5"/>
  <c r="F180" i="5" s="1"/>
  <c r="B180" i="5"/>
  <c r="C180" i="5" s="1"/>
  <c r="A181" i="5"/>
  <c r="E180" i="5"/>
  <c r="M827" i="6" l="1"/>
  <c r="S827" i="6" s="1"/>
  <c r="N828" i="6"/>
  <c r="O829" i="6"/>
  <c r="P829" i="6" s="1"/>
  <c r="Q828" i="6"/>
  <c r="R828" i="6" s="1"/>
  <c r="M828" i="6" s="1"/>
  <c r="S828" i="6" s="1"/>
  <c r="AK172" i="6"/>
  <c r="J179" i="5"/>
  <c r="G180" i="5"/>
  <c r="H180" i="5" s="1"/>
  <c r="I180" i="5" s="1"/>
  <c r="D181" i="5"/>
  <c r="F181" i="5" s="1"/>
  <c r="E181" i="5"/>
  <c r="G181" i="5" s="1"/>
  <c r="H181" i="5" s="1"/>
  <c r="I181" i="5" s="1"/>
  <c r="A182" i="5"/>
  <c r="B181" i="5"/>
  <c r="C181" i="5" s="1"/>
  <c r="O830" i="6" l="1"/>
  <c r="P830" i="6" s="1"/>
  <c r="N829" i="6"/>
  <c r="Q829" i="6"/>
  <c r="R829" i="6" s="1"/>
  <c r="M829" i="6" s="1"/>
  <c r="S829" i="6" s="1"/>
  <c r="AK174" i="6"/>
  <c r="J181" i="5"/>
  <c r="AK173" i="6"/>
  <c r="J180" i="5"/>
  <c r="E182" i="5"/>
  <c r="D182" i="5"/>
  <c r="F182" i="5" s="1"/>
  <c r="A183" i="5"/>
  <c r="B182" i="5"/>
  <c r="C182" i="5" s="1"/>
  <c r="O831" i="6" l="1"/>
  <c r="P831" i="6" s="1"/>
  <c r="N830" i="6"/>
  <c r="Q830" i="6"/>
  <c r="R830" i="6" s="1"/>
  <c r="M830" i="6" s="1"/>
  <c r="S830" i="6" s="1"/>
  <c r="G182" i="5"/>
  <c r="H182" i="5" s="1"/>
  <c r="I182" i="5" s="1"/>
  <c r="D183" i="5"/>
  <c r="F183" i="5" s="1"/>
  <c r="B183" i="5"/>
  <c r="C183" i="5" s="1"/>
  <c r="E183" i="5"/>
  <c r="G183" i="5" s="1"/>
  <c r="H183" i="5" s="1"/>
  <c r="A184" i="5"/>
  <c r="N831" i="6" l="1"/>
  <c r="Q831" i="6"/>
  <c r="R831" i="6" s="1"/>
  <c r="O832" i="6"/>
  <c r="P832" i="6" s="1"/>
  <c r="AK175" i="6"/>
  <c r="J182" i="5"/>
  <c r="I183" i="5"/>
  <c r="D184" i="5"/>
  <c r="F184" i="5" s="1"/>
  <c r="A185" i="5"/>
  <c r="B184" i="5"/>
  <c r="C184" i="5" s="1"/>
  <c r="E184" i="5"/>
  <c r="M831" i="6" l="1"/>
  <c r="S831" i="6" s="1"/>
  <c r="O833" i="6"/>
  <c r="P833" i="6" s="1"/>
  <c r="N832" i="6"/>
  <c r="Q832" i="6"/>
  <c r="R832" i="6" s="1"/>
  <c r="M832" i="6" s="1"/>
  <c r="S832" i="6" s="1"/>
  <c r="AK176" i="6"/>
  <c r="J183" i="5"/>
  <c r="G184" i="5"/>
  <c r="H184" i="5" s="1"/>
  <c r="I184" i="5" s="1"/>
  <c r="B185" i="5"/>
  <c r="C185" i="5" s="1"/>
  <c r="D185" i="5"/>
  <c r="F185" i="5" s="1"/>
  <c r="A186" i="5"/>
  <c r="E185" i="5"/>
  <c r="Q833" i="6" l="1"/>
  <c r="R833" i="6" s="1"/>
  <c r="O834" i="6"/>
  <c r="P834" i="6" s="1"/>
  <c r="N833" i="6"/>
  <c r="AK177" i="6"/>
  <c r="J184" i="5"/>
  <c r="G185" i="5"/>
  <c r="H185" i="5" s="1"/>
  <c r="I185" i="5" s="1"/>
  <c r="D186" i="5"/>
  <c r="F186" i="5" s="1"/>
  <c r="A187" i="5"/>
  <c r="E186" i="5"/>
  <c r="G186" i="5" s="1"/>
  <c r="H186" i="5" s="1"/>
  <c r="B186" i="5"/>
  <c r="C186" i="5" s="1"/>
  <c r="M833" i="6" l="1"/>
  <c r="S833" i="6" s="1"/>
  <c r="Q834" i="6"/>
  <c r="R834" i="6" s="1"/>
  <c r="O835" i="6"/>
  <c r="P835" i="6" s="1"/>
  <c r="N834" i="6"/>
  <c r="AK178" i="6"/>
  <c r="J185" i="5"/>
  <c r="I186" i="5"/>
  <c r="E187" i="5"/>
  <c r="G187" i="5" s="1"/>
  <c r="H187" i="5" s="1"/>
  <c r="D187" i="5"/>
  <c r="F187" i="5" s="1"/>
  <c r="B187" i="5"/>
  <c r="C187" i="5" s="1"/>
  <c r="A188" i="5"/>
  <c r="M834" i="6" l="1"/>
  <c r="S834" i="6" s="1"/>
  <c r="Q835" i="6"/>
  <c r="R835" i="6" s="1"/>
  <c r="N835" i="6"/>
  <c r="O836" i="6"/>
  <c r="P836" i="6" s="1"/>
  <c r="AK179" i="6"/>
  <c r="J186" i="5"/>
  <c r="I187" i="5"/>
  <c r="A189" i="5"/>
  <c r="B188" i="5"/>
  <c r="C188" i="5" s="1"/>
  <c r="E188" i="5"/>
  <c r="D188" i="5"/>
  <c r="F188" i="5" s="1"/>
  <c r="M835" i="6" l="1"/>
  <c r="S835" i="6" s="1"/>
  <c r="N836" i="6"/>
  <c r="O837" i="6"/>
  <c r="P837" i="6" s="1"/>
  <c r="Q836" i="6"/>
  <c r="R836" i="6" s="1"/>
  <c r="M836" i="6" s="1"/>
  <c r="S836" i="6" s="1"/>
  <c r="AK180" i="6"/>
  <c r="J187" i="5"/>
  <c r="G188" i="5"/>
  <c r="H188" i="5" s="1"/>
  <c r="I188" i="5" s="1"/>
  <c r="D189" i="5"/>
  <c r="F189" i="5" s="1"/>
  <c r="A190" i="5"/>
  <c r="B189" i="5"/>
  <c r="C189" i="5" s="1"/>
  <c r="E189" i="5"/>
  <c r="O838" i="6" l="1"/>
  <c r="P838" i="6" s="1"/>
  <c r="N837" i="6"/>
  <c r="Q837" i="6"/>
  <c r="R837" i="6" s="1"/>
  <c r="M837" i="6" s="1"/>
  <c r="S837" i="6" s="1"/>
  <c r="AK181" i="6"/>
  <c r="J188" i="5"/>
  <c r="G189" i="5"/>
  <c r="H189" i="5" s="1"/>
  <c r="I189" i="5" s="1"/>
  <c r="E190" i="5"/>
  <c r="D190" i="5"/>
  <c r="F190" i="5" s="1"/>
  <c r="A191" i="5"/>
  <c r="B190" i="5"/>
  <c r="C190" i="5" s="1"/>
  <c r="N838" i="6" l="1"/>
  <c r="O839" i="6"/>
  <c r="P839" i="6" s="1"/>
  <c r="Q838" i="6"/>
  <c r="R838" i="6" s="1"/>
  <c r="M838" i="6" s="1"/>
  <c r="S838" i="6" s="1"/>
  <c r="AK182" i="6"/>
  <c r="J189" i="5"/>
  <c r="G190" i="5"/>
  <c r="H190" i="5" s="1"/>
  <c r="I190" i="5" s="1"/>
  <c r="E191" i="5"/>
  <c r="B191" i="5"/>
  <c r="C191" i="5" s="1"/>
  <c r="A192" i="5"/>
  <c r="D191" i="5"/>
  <c r="F191" i="5" s="1"/>
  <c r="O840" i="6" l="1"/>
  <c r="P840" i="6" s="1"/>
  <c r="N839" i="6"/>
  <c r="Q839" i="6"/>
  <c r="R839" i="6" s="1"/>
  <c r="M839" i="6" s="1"/>
  <c r="S839" i="6" s="1"/>
  <c r="AK183" i="6"/>
  <c r="J190" i="5"/>
  <c r="G191" i="5"/>
  <c r="H191" i="5" s="1"/>
  <c r="I191" i="5" s="1"/>
  <c r="A193" i="5"/>
  <c r="D192" i="5"/>
  <c r="F192" i="5" s="1"/>
  <c r="E192" i="5"/>
  <c r="B192" i="5"/>
  <c r="C192" i="5" s="1"/>
  <c r="Q840" i="6" l="1"/>
  <c r="R840" i="6" s="1"/>
  <c r="O841" i="6"/>
  <c r="P841" i="6" s="1"/>
  <c r="N840" i="6"/>
  <c r="AK184" i="6"/>
  <c r="J191" i="5"/>
  <c r="G192" i="5"/>
  <c r="H192" i="5" s="1"/>
  <c r="I192" i="5" s="1"/>
  <c r="D193" i="5"/>
  <c r="F193" i="5" s="1"/>
  <c r="A194" i="5"/>
  <c r="B193" i="5"/>
  <c r="C193" i="5" s="1"/>
  <c r="E193" i="5"/>
  <c r="G193" i="5" s="1"/>
  <c r="H193" i="5" s="1"/>
  <c r="I193" i="5" s="1"/>
  <c r="M840" i="6" l="1"/>
  <c r="S840" i="6" s="1"/>
  <c r="Q841" i="6"/>
  <c r="R841" i="6" s="1"/>
  <c r="M841" i="6" s="1"/>
  <c r="S841" i="6" s="1"/>
  <c r="N841" i="6"/>
  <c r="O842" i="6"/>
  <c r="P842" i="6" s="1"/>
  <c r="J193" i="5"/>
  <c r="AK185" i="6"/>
  <c r="J192" i="5"/>
  <c r="B194" i="5"/>
  <c r="C194" i="5" s="1"/>
  <c r="E194" i="5"/>
  <c r="A195" i="5"/>
  <c r="D194" i="5"/>
  <c r="F194" i="5" s="1"/>
  <c r="N842" i="6" l="1"/>
  <c r="O843" i="6"/>
  <c r="P843" i="6" s="1"/>
  <c r="Q842" i="6"/>
  <c r="R842" i="6" s="1"/>
  <c r="M842" i="6" s="1"/>
  <c r="S842" i="6" s="1"/>
  <c r="G194" i="5"/>
  <c r="H194" i="5" s="1"/>
  <c r="I194" i="5" s="1"/>
  <c r="J194" i="5" s="1"/>
  <c r="E195" i="5"/>
  <c r="G195" i="5" s="1"/>
  <c r="H195" i="5" s="1"/>
  <c r="B195" i="5"/>
  <c r="C195" i="5" s="1"/>
  <c r="A196" i="5"/>
  <c r="D195" i="5"/>
  <c r="F195" i="5" s="1"/>
  <c r="N843" i="6" l="1"/>
  <c r="Q843" i="6"/>
  <c r="R843" i="6" s="1"/>
  <c r="M843" i="6" s="1"/>
  <c r="S843" i="6" s="1"/>
  <c r="O844" i="6"/>
  <c r="P844" i="6" s="1"/>
  <c r="I195" i="5"/>
  <c r="J195" i="5" s="1"/>
  <c r="E196" i="5"/>
  <c r="B196" i="5"/>
  <c r="C196" i="5" s="1"/>
  <c r="A197" i="5"/>
  <c r="D196" i="5"/>
  <c r="F196" i="5" s="1"/>
  <c r="Q844" i="6" l="1"/>
  <c r="R844" i="6" s="1"/>
  <c r="N844" i="6"/>
  <c r="O845" i="6"/>
  <c r="P845" i="6" s="1"/>
  <c r="G196" i="5"/>
  <c r="H196" i="5" s="1"/>
  <c r="I196" i="5" s="1"/>
  <c r="J196" i="5" s="1"/>
  <c r="E197" i="5"/>
  <c r="D197" i="5"/>
  <c r="F197" i="5" s="1"/>
  <c r="A198" i="5"/>
  <c r="B197" i="5"/>
  <c r="C197" i="5" s="1"/>
  <c r="M844" i="6" l="1"/>
  <c r="S844" i="6" s="1"/>
  <c r="Q845" i="6"/>
  <c r="R845" i="6" s="1"/>
  <c r="O846" i="6"/>
  <c r="P846" i="6" s="1"/>
  <c r="N845" i="6"/>
  <c r="G197" i="5"/>
  <c r="H197" i="5" s="1"/>
  <c r="I197" i="5" s="1"/>
  <c r="J197" i="5" s="1"/>
  <c r="E198" i="5"/>
  <c r="G198" i="5" s="1"/>
  <c r="H198" i="5" s="1"/>
  <c r="D198" i="5"/>
  <c r="F198" i="5" s="1"/>
  <c r="B198" i="5"/>
  <c r="C198" i="5" s="1"/>
  <c r="A199" i="5"/>
  <c r="M845" i="6" l="1"/>
  <c r="S845" i="6" s="1"/>
  <c r="Q846" i="6"/>
  <c r="R846" i="6" s="1"/>
  <c r="N846" i="6"/>
  <c r="O847" i="6"/>
  <c r="P847" i="6" s="1"/>
  <c r="D199" i="5"/>
  <c r="F199" i="5" s="1"/>
  <c r="I198" i="5"/>
  <c r="J198" i="5" s="1"/>
  <c r="A200" i="5"/>
  <c r="B199" i="5"/>
  <c r="C199" i="5" s="1"/>
  <c r="E199" i="5"/>
  <c r="G199" i="5" s="1"/>
  <c r="H199" i="5" s="1"/>
  <c r="M846" i="6" l="1"/>
  <c r="S846" i="6" s="1"/>
  <c r="N847" i="6"/>
  <c r="Q847" i="6"/>
  <c r="R847" i="6" s="1"/>
  <c r="M847" i="6" s="1"/>
  <c r="S847" i="6" s="1"/>
  <c r="O848" i="6"/>
  <c r="P848" i="6" s="1"/>
  <c r="I199" i="5"/>
  <c r="J199" i="5" s="1"/>
  <c r="E200" i="5"/>
  <c r="D200" i="5"/>
  <c r="F200" i="5" s="1"/>
  <c r="B200" i="5"/>
  <c r="C200" i="5" s="1"/>
  <c r="A201" i="5"/>
  <c r="O849" i="6" l="1"/>
  <c r="P849" i="6" s="1"/>
  <c r="N848" i="6"/>
  <c r="Q848" i="6"/>
  <c r="R848" i="6" s="1"/>
  <c r="M848" i="6" s="1"/>
  <c r="S848" i="6" s="1"/>
  <c r="G200" i="5"/>
  <c r="H200" i="5" s="1"/>
  <c r="I200" i="5" s="1"/>
  <c r="J200" i="5" s="1"/>
  <c r="E201" i="5"/>
  <c r="G201" i="5" s="1"/>
  <c r="H201" i="5" s="1"/>
  <c r="D201" i="5"/>
  <c r="F201" i="5" s="1"/>
  <c r="A202" i="5"/>
  <c r="D202" i="5" s="1"/>
  <c r="B201" i="5"/>
  <c r="C201" i="5" s="1"/>
  <c r="Q849" i="6" l="1"/>
  <c r="R849" i="6" s="1"/>
  <c r="O850" i="6"/>
  <c r="P850" i="6" s="1"/>
  <c r="N849" i="6"/>
  <c r="B202" i="5"/>
  <c r="C202" i="5" s="1"/>
  <c r="I201" i="5"/>
  <c r="J201" i="5" s="1"/>
  <c r="A203" i="5"/>
  <c r="F202" i="5"/>
  <c r="E202" i="5"/>
  <c r="M849" i="6" l="1"/>
  <c r="S849" i="6" s="1"/>
  <c r="Q850" i="6"/>
  <c r="R850" i="6" s="1"/>
  <c r="M850" i="6" s="1"/>
  <c r="S850" i="6" s="1"/>
  <c r="N850" i="6"/>
  <c r="O851" i="6"/>
  <c r="P851" i="6" s="1"/>
  <c r="E203" i="5"/>
  <c r="G203" i="5" s="1"/>
  <c r="H203" i="5" s="1"/>
  <c r="B203" i="5"/>
  <c r="C203" i="5" s="1"/>
  <c r="G202" i="5"/>
  <c r="H202" i="5" s="1"/>
  <c r="I202" i="5" s="1"/>
  <c r="J202" i="5" s="1"/>
  <c r="D203" i="5"/>
  <c r="F203" i="5" s="1"/>
  <c r="A204" i="5"/>
  <c r="Q851" i="6" l="1"/>
  <c r="R851" i="6" s="1"/>
  <c r="O852" i="6"/>
  <c r="P852" i="6" s="1"/>
  <c r="N851" i="6"/>
  <c r="D204" i="5"/>
  <c r="F204" i="5" s="1"/>
  <c r="I203" i="5"/>
  <c r="J203" i="5" s="1"/>
  <c r="E204" i="5"/>
  <c r="G204" i="5" s="1"/>
  <c r="H204" i="5" s="1"/>
  <c r="I204" i="5" s="1"/>
  <c r="B204" i="5"/>
  <c r="C204" i="5" s="1"/>
  <c r="A205" i="5"/>
  <c r="E205" i="5" s="1"/>
  <c r="M851" i="6" l="1"/>
  <c r="S851" i="6" s="1"/>
  <c r="N852" i="6"/>
  <c r="Q852" i="6"/>
  <c r="R852" i="6" s="1"/>
  <c r="M852" i="6" s="1"/>
  <c r="S852" i="6" s="1"/>
  <c r="O853" i="6"/>
  <c r="P853" i="6" s="1"/>
  <c r="J204" i="5"/>
  <c r="D205" i="5"/>
  <c r="F205" i="5" s="1"/>
  <c r="B205" i="5"/>
  <c r="C205" i="5" s="1"/>
  <c r="A206" i="5"/>
  <c r="B206" i="5" s="1"/>
  <c r="G205" i="5"/>
  <c r="H205" i="5" s="1"/>
  <c r="I205" i="5" s="1"/>
  <c r="N853" i="6" l="1"/>
  <c r="O854" i="6"/>
  <c r="P854" i="6" s="1"/>
  <c r="Q853" i="6"/>
  <c r="R853" i="6" s="1"/>
  <c r="M853" i="6" s="1"/>
  <c r="S853" i="6" s="1"/>
  <c r="J205" i="5"/>
  <c r="C206" i="5"/>
  <c r="E206" i="5"/>
  <c r="G206" i="5" s="1"/>
  <c r="H206" i="5" s="1"/>
  <c r="I206" i="5" s="1"/>
  <c r="J206" i="5" s="1"/>
  <c r="A207" i="5"/>
  <c r="D206" i="5"/>
  <c r="F206" i="5" s="1"/>
  <c r="N854" i="6" l="1"/>
  <c r="O855" i="6"/>
  <c r="P855" i="6" s="1"/>
  <c r="Q854" i="6"/>
  <c r="R854" i="6" s="1"/>
  <c r="M854" i="6" s="1"/>
  <c r="S854" i="6" s="1"/>
  <c r="E207" i="5"/>
  <c r="B207" i="5"/>
  <c r="C207" i="5" s="1"/>
  <c r="A208" i="5"/>
  <c r="A209" i="5" s="1"/>
  <c r="D207" i="5"/>
  <c r="F207" i="5" s="1"/>
  <c r="N855" i="6" l="1"/>
  <c r="Q855" i="6"/>
  <c r="R855" i="6" s="1"/>
  <c r="O856" i="6"/>
  <c r="P856" i="6" s="1"/>
  <c r="B208" i="5"/>
  <c r="C208" i="5" s="1"/>
  <c r="D208" i="5"/>
  <c r="F208" i="5" s="1"/>
  <c r="E208" i="5"/>
  <c r="G208" i="5" s="1"/>
  <c r="H208" i="5" s="1"/>
  <c r="G207" i="5"/>
  <c r="H207" i="5" s="1"/>
  <c r="I207" i="5" s="1"/>
  <c r="J207" i="5" s="1"/>
  <c r="A210" i="5"/>
  <c r="D209" i="5"/>
  <c r="F209" i="5" s="1"/>
  <c r="B209" i="5"/>
  <c r="E209" i="5"/>
  <c r="M855" i="6" l="1"/>
  <c r="S855" i="6" s="1"/>
  <c r="N856" i="6"/>
  <c r="Q856" i="6"/>
  <c r="R856" i="6" s="1"/>
  <c r="M856" i="6" s="1"/>
  <c r="S856" i="6" s="1"/>
  <c r="O857" i="6"/>
  <c r="P857" i="6" s="1"/>
  <c r="C209" i="5"/>
  <c r="G209" i="5"/>
  <c r="H209" i="5" s="1"/>
  <c r="I209" i="5" s="1"/>
  <c r="J209" i="5" s="1"/>
  <c r="I208" i="5"/>
  <c r="J208" i="5" s="1"/>
  <c r="D210" i="5"/>
  <c r="F210" i="5" s="1"/>
  <c r="E210" i="5"/>
  <c r="G210" i="5" s="1"/>
  <c r="H210" i="5" s="1"/>
  <c r="A211" i="5"/>
  <c r="B210" i="5"/>
  <c r="C210" i="5" l="1"/>
  <c r="Q857" i="6"/>
  <c r="R857" i="6" s="1"/>
  <c r="N857" i="6"/>
  <c r="O858" i="6"/>
  <c r="P858" i="6" s="1"/>
  <c r="I210" i="5"/>
  <c r="J210" i="5" s="1"/>
  <c r="B211" i="5"/>
  <c r="C211" i="5" s="1"/>
  <c r="E211" i="5"/>
  <c r="A212" i="5"/>
  <c r="D211" i="5"/>
  <c r="F211" i="5" s="1"/>
  <c r="M857" i="6" l="1"/>
  <c r="S857" i="6" s="1"/>
  <c r="O859" i="6"/>
  <c r="P859" i="6" s="1"/>
  <c r="N858" i="6"/>
  <c r="Q858" i="6"/>
  <c r="R858" i="6" s="1"/>
  <c r="M858" i="6" s="1"/>
  <c r="S858" i="6" s="1"/>
  <c r="G211" i="5"/>
  <c r="H211" i="5" s="1"/>
  <c r="I211" i="5" s="1"/>
  <c r="J211" i="5" s="1"/>
  <c r="E212" i="5"/>
  <c r="A213" i="5"/>
  <c r="B212" i="5"/>
  <c r="C212" i="5" s="1"/>
  <c r="D212" i="5"/>
  <c r="F212" i="5" s="1"/>
  <c r="G212" i="5"/>
  <c r="H212" i="5" s="1"/>
  <c r="O860" i="6" l="1"/>
  <c r="P860" i="6" s="1"/>
  <c r="N859" i="6"/>
  <c r="Q859" i="6"/>
  <c r="R859" i="6" s="1"/>
  <c r="M859" i="6" s="1"/>
  <c r="S859" i="6" s="1"/>
  <c r="I212" i="5"/>
  <c r="J212" i="5" s="1"/>
  <c r="B213" i="5"/>
  <c r="C213" i="5" s="1"/>
  <c r="A214" i="5"/>
  <c r="D213" i="5"/>
  <c r="F213" i="5" s="1"/>
  <c r="E213" i="5"/>
  <c r="N860" i="6" l="1"/>
  <c r="O861" i="6"/>
  <c r="P861" i="6" s="1"/>
  <c r="Q860" i="6"/>
  <c r="R860" i="6" s="1"/>
  <c r="M860" i="6" s="1"/>
  <c r="S860" i="6" s="1"/>
  <c r="G213" i="5"/>
  <c r="H213" i="5" s="1"/>
  <c r="I213" i="5" s="1"/>
  <c r="J213" i="5" s="1"/>
  <c r="A215" i="5"/>
  <c r="D214" i="5"/>
  <c r="F214" i="5" s="1"/>
  <c r="B214" i="5"/>
  <c r="C214" i="5" s="1"/>
  <c r="E214" i="5"/>
  <c r="N861" i="6" l="1"/>
  <c r="Q861" i="6"/>
  <c r="R861" i="6" s="1"/>
  <c r="M861" i="6" s="1"/>
  <c r="S861" i="6" s="1"/>
  <c r="O862" i="6"/>
  <c r="P862" i="6" s="1"/>
  <c r="G214" i="5"/>
  <c r="H214" i="5" s="1"/>
  <c r="I214" i="5" s="1"/>
  <c r="J214" i="5" s="1"/>
  <c r="B215" i="5"/>
  <c r="C215" i="5" s="1"/>
  <c r="A216" i="5"/>
  <c r="E215" i="5"/>
  <c r="D215" i="5"/>
  <c r="F215" i="5" s="1"/>
  <c r="N862" i="6" l="1"/>
  <c r="Q862" i="6"/>
  <c r="R862" i="6" s="1"/>
  <c r="M862" i="6" s="1"/>
  <c r="S862" i="6" s="1"/>
  <c r="O863" i="6"/>
  <c r="P863" i="6" s="1"/>
  <c r="G215" i="5"/>
  <c r="H215" i="5" s="1"/>
  <c r="I215" i="5" s="1"/>
  <c r="J215" i="5" s="1"/>
  <c r="D216" i="5"/>
  <c r="F216" i="5" s="1"/>
  <c r="A217" i="5"/>
  <c r="B216" i="5"/>
  <c r="C216" i="5" s="1"/>
  <c r="E216" i="5"/>
  <c r="N863" i="6" l="1"/>
  <c r="Q863" i="6"/>
  <c r="R863" i="6" s="1"/>
  <c r="M863" i="6" s="1"/>
  <c r="S863" i="6" s="1"/>
  <c r="O864" i="6"/>
  <c r="P864" i="6" s="1"/>
  <c r="G216" i="5"/>
  <c r="H216" i="5" s="1"/>
  <c r="I216" i="5" s="1"/>
  <c r="J216" i="5" s="1"/>
  <c r="E217" i="5"/>
  <c r="G217" i="5" s="1"/>
  <c r="H217" i="5" s="1"/>
  <c r="I217" i="5" s="1"/>
  <c r="A218" i="5"/>
  <c r="D217" i="5"/>
  <c r="F217" i="5" s="1"/>
  <c r="B217" i="5"/>
  <c r="C217" i="5" s="1"/>
  <c r="O865" i="6" l="1"/>
  <c r="P865" i="6" s="1"/>
  <c r="Q864" i="6"/>
  <c r="R864" i="6" s="1"/>
  <c r="N864" i="6"/>
  <c r="J217" i="5"/>
  <c r="B218" i="5"/>
  <c r="C218" i="5" s="1"/>
  <c r="A219" i="5"/>
  <c r="D218" i="5"/>
  <c r="F218" i="5" s="1"/>
  <c r="E218" i="5"/>
  <c r="M864" i="6" l="1"/>
  <c r="S864" i="6" s="1"/>
  <c r="N865" i="6"/>
  <c r="O866" i="6"/>
  <c r="P866" i="6" s="1"/>
  <c r="Q865" i="6"/>
  <c r="R865" i="6" s="1"/>
  <c r="M865" i="6" s="1"/>
  <c r="S865" i="6" s="1"/>
  <c r="G218" i="5"/>
  <c r="H218" i="5" s="1"/>
  <c r="I218" i="5" s="1"/>
  <c r="J218" i="5" s="1"/>
  <c r="D219" i="5"/>
  <c r="F219" i="5" s="1"/>
  <c r="A220" i="5"/>
  <c r="B219" i="5"/>
  <c r="C219" i="5" s="1"/>
  <c r="E219" i="5"/>
  <c r="N866" i="6" l="1"/>
  <c r="Q866" i="6"/>
  <c r="R866" i="6" s="1"/>
  <c r="M866" i="6" s="1"/>
  <c r="S866" i="6" s="1"/>
  <c r="O867" i="6"/>
  <c r="P867" i="6" s="1"/>
  <c r="G219" i="5"/>
  <c r="H219" i="5" s="1"/>
  <c r="I219" i="5" s="1"/>
  <c r="J219" i="5" s="1"/>
  <c r="B220" i="5"/>
  <c r="C220" i="5" s="1"/>
  <c r="E220" i="5"/>
  <c r="A221" i="5"/>
  <c r="D220" i="5"/>
  <c r="F220" i="5" s="1"/>
  <c r="N867" i="6" l="1"/>
  <c r="Q867" i="6"/>
  <c r="R867" i="6" s="1"/>
  <c r="M867" i="6" s="1"/>
  <c r="S867" i="6" s="1"/>
  <c r="O868" i="6"/>
  <c r="P868" i="6" s="1"/>
  <c r="G220" i="5"/>
  <c r="H220" i="5" s="1"/>
  <c r="I220" i="5" s="1"/>
  <c r="J220" i="5" s="1"/>
  <c r="E221" i="5"/>
  <c r="B221" i="5"/>
  <c r="C221" i="5" s="1"/>
  <c r="D221" i="5"/>
  <c r="F221" i="5" s="1"/>
  <c r="A222" i="5"/>
  <c r="O869" i="6" l="1"/>
  <c r="P869" i="6" s="1"/>
  <c r="N868" i="6"/>
  <c r="Q868" i="6"/>
  <c r="R868" i="6" s="1"/>
  <c r="G221" i="5"/>
  <c r="H221" i="5" s="1"/>
  <c r="I221" i="5" s="1"/>
  <c r="J221" i="5" s="1"/>
  <c r="E222" i="5"/>
  <c r="A223" i="5"/>
  <c r="B222" i="5"/>
  <c r="C222" i="5" s="1"/>
  <c r="D222" i="5"/>
  <c r="F222" i="5" s="1"/>
  <c r="G222" i="5"/>
  <c r="H222" i="5" s="1"/>
  <c r="M868" i="6" l="1"/>
  <c r="S868" i="6" s="1"/>
  <c r="N869" i="6"/>
  <c r="O870" i="6"/>
  <c r="P870" i="6" s="1"/>
  <c r="Q869" i="6"/>
  <c r="R869" i="6" s="1"/>
  <c r="M869" i="6" s="1"/>
  <c r="S869" i="6" s="1"/>
  <c r="I222" i="5"/>
  <c r="J222" i="5" s="1"/>
  <c r="D223" i="5"/>
  <c r="F223" i="5" s="1"/>
  <c r="A224" i="5"/>
  <c r="B223" i="5"/>
  <c r="C223" i="5" s="1"/>
  <c r="E223" i="5"/>
  <c r="N870" i="6" l="1"/>
  <c r="Q870" i="6"/>
  <c r="R870" i="6" s="1"/>
  <c r="M870" i="6" s="1"/>
  <c r="S870" i="6" s="1"/>
  <c r="O871" i="6"/>
  <c r="P871" i="6" s="1"/>
  <c r="G223" i="5"/>
  <c r="H223" i="5" s="1"/>
  <c r="I223" i="5" s="1"/>
  <c r="J223" i="5" s="1"/>
  <c r="E224" i="5"/>
  <c r="G224" i="5" s="1"/>
  <c r="H224" i="5" s="1"/>
  <c r="I224" i="5" s="1"/>
  <c r="D224" i="5"/>
  <c r="F224" i="5" s="1"/>
  <c r="B224" i="5"/>
  <c r="C224" i="5" s="1"/>
  <c r="A225" i="5"/>
  <c r="O872" i="6" l="1"/>
  <c r="P872" i="6" s="1"/>
  <c r="Q871" i="6"/>
  <c r="R871" i="6" s="1"/>
  <c r="N871" i="6"/>
  <c r="J224" i="5"/>
  <c r="E225" i="5"/>
  <c r="G225" i="5" s="1"/>
  <c r="H225" i="5" s="1"/>
  <c r="B225" i="5"/>
  <c r="C225" i="5" s="1"/>
  <c r="A226" i="5"/>
  <c r="D225" i="5"/>
  <c r="F225" i="5" s="1"/>
  <c r="M871" i="6" l="1"/>
  <c r="S871" i="6" s="1"/>
  <c r="N872" i="6"/>
  <c r="O873" i="6"/>
  <c r="P873" i="6" s="1"/>
  <c r="Q872" i="6"/>
  <c r="R872" i="6" s="1"/>
  <c r="M872" i="6" s="1"/>
  <c r="S872" i="6" s="1"/>
  <c r="I225" i="5"/>
  <c r="J225" i="5" s="1"/>
  <c r="A227" i="5"/>
  <c r="B226" i="5"/>
  <c r="C226" i="5" s="1"/>
  <c r="D226" i="5"/>
  <c r="F226" i="5" s="1"/>
  <c r="E226" i="5"/>
  <c r="N873" i="6" l="1"/>
  <c r="O874" i="6"/>
  <c r="P874" i="6" s="1"/>
  <c r="Q873" i="6"/>
  <c r="R873" i="6" s="1"/>
  <c r="M873" i="6" s="1"/>
  <c r="S873" i="6" s="1"/>
  <c r="G226" i="5"/>
  <c r="H226" i="5" s="1"/>
  <c r="I226" i="5" s="1"/>
  <c r="J226" i="5" s="1"/>
  <c r="A228" i="5"/>
  <c r="D227" i="5"/>
  <c r="F227" i="5" s="1"/>
  <c r="B227" i="5"/>
  <c r="C227" i="5" s="1"/>
  <c r="E227" i="5"/>
  <c r="G227" i="5" s="1"/>
  <c r="H227" i="5" s="1"/>
  <c r="N874" i="6" l="1"/>
  <c r="O875" i="6"/>
  <c r="P875" i="6" s="1"/>
  <c r="Q874" i="6"/>
  <c r="R874" i="6" s="1"/>
  <c r="M874" i="6" s="1"/>
  <c r="S874" i="6" s="1"/>
  <c r="I227" i="5"/>
  <c r="J227" i="5" s="1"/>
  <c r="A229" i="5"/>
  <c r="E228" i="5"/>
  <c r="G228" i="5" s="1"/>
  <c r="H228" i="5" s="1"/>
  <c r="D228" i="5"/>
  <c r="F228" i="5" s="1"/>
  <c r="B228" i="5"/>
  <c r="C228" i="5" s="1"/>
  <c r="O876" i="6" l="1"/>
  <c r="P876" i="6" s="1"/>
  <c r="N875" i="6"/>
  <c r="Q875" i="6"/>
  <c r="R875" i="6" s="1"/>
  <c r="M875" i="6" s="1"/>
  <c r="S875" i="6" s="1"/>
  <c r="I228" i="5"/>
  <c r="J228" i="5" s="1"/>
  <c r="B229" i="5"/>
  <c r="C229" i="5" s="1"/>
  <c r="D229" i="5"/>
  <c r="F229" i="5" s="1"/>
  <c r="E229" i="5"/>
  <c r="A230" i="5"/>
  <c r="N876" i="6" l="1"/>
  <c r="O877" i="6"/>
  <c r="P877" i="6" s="1"/>
  <c r="Q876" i="6"/>
  <c r="R876" i="6" s="1"/>
  <c r="M876" i="6" s="1"/>
  <c r="S876" i="6" s="1"/>
  <c r="G229" i="5"/>
  <c r="H229" i="5" s="1"/>
  <c r="I229" i="5" s="1"/>
  <c r="J229" i="5" s="1"/>
  <c r="A231" i="5"/>
  <c r="B230" i="5"/>
  <c r="C230" i="5" s="1"/>
  <c r="D230" i="5"/>
  <c r="F230" i="5" s="1"/>
  <c r="E230" i="5"/>
  <c r="O878" i="6" l="1"/>
  <c r="P878" i="6" s="1"/>
  <c r="Q877" i="6"/>
  <c r="R877" i="6" s="1"/>
  <c r="N877" i="6"/>
  <c r="G230" i="5"/>
  <c r="H230" i="5" s="1"/>
  <c r="I230" i="5" s="1"/>
  <c r="J230" i="5" s="1"/>
  <c r="E231" i="5"/>
  <c r="G231" i="5" s="1"/>
  <c r="H231" i="5" s="1"/>
  <c r="A232" i="5"/>
  <c r="B231" i="5"/>
  <c r="C231" i="5" s="1"/>
  <c r="D231" i="5"/>
  <c r="F231" i="5" s="1"/>
  <c r="M877" i="6" l="1"/>
  <c r="S877" i="6" s="1"/>
  <c r="N878" i="6"/>
  <c r="Q878" i="6"/>
  <c r="R878" i="6" s="1"/>
  <c r="M878" i="6" s="1"/>
  <c r="S878" i="6" s="1"/>
  <c r="O879" i="6"/>
  <c r="P879" i="6" s="1"/>
  <c r="I231" i="5"/>
  <c r="J231" i="5" s="1"/>
  <c r="B232" i="5"/>
  <c r="C232" i="5" s="1"/>
  <c r="E232" i="5"/>
  <c r="G232" i="5" s="1"/>
  <c r="H232" i="5" s="1"/>
  <c r="D232" i="5"/>
  <c r="F232" i="5" s="1"/>
  <c r="A233" i="5"/>
  <c r="O880" i="6" l="1"/>
  <c r="P880" i="6" s="1"/>
  <c r="Q879" i="6"/>
  <c r="R879" i="6" s="1"/>
  <c r="N879" i="6"/>
  <c r="I232" i="5"/>
  <c r="J232" i="5" s="1"/>
  <c r="D233" i="5"/>
  <c r="F233" i="5" s="1"/>
  <c r="B233" i="5"/>
  <c r="C233" i="5" s="1"/>
  <c r="E233" i="5"/>
  <c r="A234" i="5"/>
  <c r="M879" i="6" l="1"/>
  <c r="S879" i="6" s="1"/>
  <c r="O881" i="6"/>
  <c r="P881" i="6" s="1"/>
  <c r="Q880" i="6"/>
  <c r="R880" i="6" s="1"/>
  <c r="N880" i="6"/>
  <c r="G233" i="5"/>
  <c r="H233" i="5" s="1"/>
  <c r="I233" i="5" s="1"/>
  <c r="J233" i="5" s="1"/>
  <c r="A235" i="5"/>
  <c r="D234" i="5"/>
  <c r="F234" i="5" s="1"/>
  <c r="B234" i="5"/>
  <c r="C234" i="5" s="1"/>
  <c r="E234" i="5"/>
  <c r="M880" i="6" l="1"/>
  <c r="S880" i="6" s="1"/>
  <c r="N881" i="6"/>
  <c r="Q881" i="6"/>
  <c r="R881" i="6" s="1"/>
  <c r="M881" i="6" s="1"/>
  <c r="S881" i="6" s="1"/>
  <c r="O882" i="6"/>
  <c r="P882" i="6" s="1"/>
  <c r="G234" i="5"/>
  <c r="H234" i="5" s="1"/>
  <c r="I234" i="5" s="1"/>
  <c r="J234" i="5" s="1"/>
  <c r="A236" i="5"/>
  <c r="B235" i="5"/>
  <c r="C235" i="5" s="1"/>
  <c r="E235" i="5"/>
  <c r="G235" i="5" s="1"/>
  <c r="H235" i="5" s="1"/>
  <c r="D235" i="5"/>
  <c r="F235" i="5" s="1"/>
  <c r="O883" i="6" l="1"/>
  <c r="P883" i="6" s="1"/>
  <c r="Q882" i="6"/>
  <c r="R882" i="6" s="1"/>
  <c r="N882" i="6"/>
  <c r="I235" i="5"/>
  <c r="J235" i="5" s="1"/>
  <c r="B236" i="5"/>
  <c r="C236" i="5" s="1"/>
  <c r="D236" i="5"/>
  <c r="F236" i="5" s="1"/>
  <c r="E236" i="5"/>
  <c r="A237" i="5"/>
  <c r="M882" i="6" l="1"/>
  <c r="S882" i="6" s="1"/>
  <c r="Q883" i="6"/>
  <c r="R883" i="6" s="1"/>
  <c r="M883" i="6" s="1"/>
  <c r="S883" i="6" s="1"/>
  <c r="N883" i="6"/>
  <c r="O884" i="6"/>
  <c r="P884" i="6" s="1"/>
  <c r="G236" i="5"/>
  <c r="H236" i="5" s="1"/>
  <c r="I236" i="5" s="1"/>
  <c r="J236" i="5" s="1"/>
  <c r="D237" i="5"/>
  <c r="F237" i="5" s="1"/>
  <c r="E237" i="5"/>
  <c r="G237" i="5" s="1"/>
  <c r="H237" i="5" s="1"/>
  <c r="A238" i="5"/>
  <c r="B237" i="5"/>
  <c r="C237" i="5" s="1"/>
  <c r="O885" i="6" l="1"/>
  <c r="P885" i="6" s="1"/>
  <c r="N884" i="6"/>
  <c r="Q884" i="6"/>
  <c r="R884" i="6" s="1"/>
  <c r="M884" i="6" s="1"/>
  <c r="S884" i="6" s="1"/>
  <c r="I237" i="5"/>
  <c r="J237" i="5" s="1"/>
  <c r="A239" i="5"/>
  <c r="B238" i="5"/>
  <c r="C238" i="5" s="1"/>
  <c r="D238" i="5"/>
  <c r="F238" i="5" s="1"/>
  <c r="E238" i="5"/>
  <c r="N885" i="6" l="1"/>
  <c r="O886" i="6"/>
  <c r="P886" i="6" s="1"/>
  <c r="Q885" i="6"/>
  <c r="R885" i="6" s="1"/>
  <c r="M885" i="6" s="1"/>
  <c r="S885" i="6" s="1"/>
  <c r="G238" i="5"/>
  <c r="H238" i="5" s="1"/>
  <c r="I238" i="5" s="1"/>
  <c r="J238" i="5" s="1"/>
  <c r="E239" i="5"/>
  <c r="G239" i="5" s="1"/>
  <c r="H239" i="5" s="1"/>
  <c r="I239" i="5" s="1"/>
  <c r="B239" i="5"/>
  <c r="C239" i="5" s="1"/>
  <c r="D239" i="5"/>
  <c r="F239" i="5" s="1"/>
  <c r="A240" i="5"/>
  <c r="O887" i="6" l="1"/>
  <c r="P887" i="6" s="1"/>
  <c r="Q886" i="6"/>
  <c r="R886" i="6" s="1"/>
  <c r="N886" i="6"/>
  <c r="J239" i="5"/>
  <c r="B240" i="5"/>
  <c r="C240" i="5" s="1"/>
  <c r="A241" i="5"/>
  <c r="E240" i="5"/>
  <c r="G240" i="5" s="1"/>
  <c r="H240" i="5" s="1"/>
  <c r="D240" i="5"/>
  <c r="F240" i="5" s="1"/>
  <c r="M886" i="6" l="1"/>
  <c r="S886" i="6" s="1"/>
  <c r="N887" i="6"/>
  <c r="Q887" i="6"/>
  <c r="R887" i="6" s="1"/>
  <c r="M887" i="6" s="1"/>
  <c r="S887" i="6" s="1"/>
  <c r="O888" i="6"/>
  <c r="P888" i="6" s="1"/>
  <c r="I240" i="5"/>
  <c r="J240" i="5" s="1"/>
  <c r="E241" i="5"/>
  <c r="B241" i="5"/>
  <c r="C241" i="5" s="1"/>
  <c r="D241" i="5"/>
  <c r="F241" i="5" s="1"/>
  <c r="A242" i="5"/>
  <c r="O889" i="6" l="1"/>
  <c r="P889" i="6" s="1"/>
  <c r="Q888" i="6"/>
  <c r="R888" i="6" s="1"/>
  <c r="N888" i="6"/>
  <c r="G241" i="5"/>
  <c r="H241" i="5" s="1"/>
  <c r="I241" i="5" s="1"/>
  <c r="J241" i="5" s="1"/>
  <c r="A243" i="5"/>
  <c r="B242" i="5"/>
  <c r="C242" i="5" s="1"/>
  <c r="D242" i="5"/>
  <c r="F242" i="5" s="1"/>
  <c r="E242" i="5"/>
  <c r="M888" i="6" l="1"/>
  <c r="S888" i="6" s="1"/>
  <c r="O890" i="6"/>
  <c r="P890" i="6" s="1"/>
  <c r="Q889" i="6"/>
  <c r="R889" i="6" s="1"/>
  <c r="N889" i="6"/>
  <c r="G242" i="5"/>
  <c r="H242" i="5" s="1"/>
  <c r="I242" i="5" s="1"/>
  <c r="J242" i="5" s="1"/>
  <c r="A244" i="5"/>
  <c r="B243" i="5"/>
  <c r="C243" i="5" s="1"/>
  <c r="D243" i="5"/>
  <c r="F243" i="5" s="1"/>
  <c r="E243" i="5"/>
  <c r="M889" i="6" l="1"/>
  <c r="S889" i="6" s="1"/>
  <c r="N890" i="6"/>
  <c r="O891" i="6"/>
  <c r="P891" i="6" s="1"/>
  <c r="Q890" i="6"/>
  <c r="R890" i="6" s="1"/>
  <c r="M890" i="6" s="1"/>
  <c r="S890" i="6" s="1"/>
  <c r="G243" i="5"/>
  <c r="H243" i="5" s="1"/>
  <c r="I243" i="5" s="1"/>
  <c r="J243" i="5" s="1"/>
  <c r="B244" i="5"/>
  <c r="C244" i="5" s="1"/>
  <c r="E244" i="5"/>
  <c r="G244" i="5" s="1"/>
  <c r="H244" i="5" s="1"/>
  <c r="D244" i="5"/>
  <c r="F244" i="5" s="1"/>
  <c r="A245" i="5"/>
  <c r="N891" i="6" l="1"/>
  <c r="Q891" i="6"/>
  <c r="R891" i="6" s="1"/>
  <c r="M891" i="6" s="1"/>
  <c r="S891" i="6" s="1"/>
  <c r="O892" i="6"/>
  <c r="P892" i="6" s="1"/>
  <c r="I244" i="5"/>
  <c r="J244" i="5" s="1"/>
  <c r="A246" i="5"/>
  <c r="B245" i="5"/>
  <c r="C245" i="5" s="1"/>
  <c r="E245" i="5"/>
  <c r="D245" i="5"/>
  <c r="F245" i="5" s="1"/>
  <c r="O893" i="6" l="1"/>
  <c r="P893" i="6" s="1"/>
  <c r="Q892" i="6"/>
  <c r="R892" i="6" s="1"/>
  <c r="N892" i="6"/>
  <c r="G245" i="5"/>
  <c r="H245" i="5" s="1"/>
  <c r="I245" i="5" s="1"/>
  <c r="J245" i="5" s="1"/>
  <c r="A247" i="5"/>
  <c r="E246" i="5"/>
  <c r="B246" i="5"/>
  <c r="C246" i="5" s="1"/>
  <c r="D246" i="5"/>
  <c r="F246" i="5" s="1"/>
  <c r="M892" i="6" l="1"/>
  <c r="S892" i="6" s="1"/>
  <c r="N893" i="6"/>
  <c r="O894" i="6"/>
  <c r="P894" i="6" s="1"/>
  <c r="Q893" i="6"/>
  <c r="R893" i="6" s="1"/>
  <c r="M893" i="6" s="1"/>
  <c r="S893" i="6" s="1"/>
  <c r="G246" i="5"/>
  <c r="H246" i="5" s="1"/>
  <c r="I246" i="5" s="1"/>
  <c r="J246" i="5" s="1"/>
  <c r="A248" i="5"/>
  <c r="D247" i="5"/>
  <c r="F247" i="5" s="1"/>
  <c r="B247" i="5"/>
  <c r="C247" i="5" s="1"/>
  <c r="E247" i="5"/>
  <c r="G247" i="5" s="1"/>
  <c r="H247" i="5" s="1"/>
  <c r="O895" i="6" l="1"/>
  <c r="P895" i="6" s="1"/>
  <c r="Q894" i="6"/>
  <c r="R894" i="6" s="1"/>
  <c r="N894" i="6"/>
  <c r="I247" i="5"/>
  <c r="J247" i="5" s="1"/>
  <c r="A249" i="5"/>
  <c r="D248" i="5"/>
  <c r="F248" i="5" s="1"/>
  <c r="E248" i="5"/>
  <c r="G248" i="5" s="1"/>
  <c r="H248" i="5" s="1"/>
  <c r="B248" i="5"/>
  <c r="C248" i="5" s="1"/>
  <c r="M894" i="6" l="1"/>
  <c r="S894" i="6" s="1"/>
  <c r="O896" i="6"/>
  <c r="P896" i="6" s="1"/>
  <c r="N895" i="6"/>
  <c r="Q895" i="6"/>
  <c r="R895" i="6" s="1"/>
  <c r="M895" i="6" s="1"/>
  <c r="S895" i="6" s="1"/>
  <c r="I248" i="5"/>
  <c r="J248" i="5" s="1"/>
  <c r="A250" i="5"/>
  <c r="B249" i="5"/>
  <c r="C249" i="5" s="1"/>
  <c r="E249" i="5"/>
  <c r="G249" i="5"/>
  <c r="H249" i="5" s="1"/>
  <c r="D249" i="5"/>
  <c r="F249" i="5" s="1"/>
  <c r="O897" i="6" l="1"/>
  <c r="P897" i="6" s="1"/>
  <c r="N896" i="6"/>
  <c r="Q896" i="6"/>
  <c r="R896" i="6" s="1"/>
  <c r="M896" i="6" s="1"/>
  <c r="S896" i="6" s="1"/>
  <c r="I249" i="5"/>
  <c r="J249" i="5" s="1"/>
  <c r="A251" i="5"/>
  <c r="E250" i="5"/>
  <c r="G250" i="5" s="1"/>
  <c r="H250" i="5" s="1"/>
  <c r="D250" i="5"/>
  <c r="F250" i="5" s="1"/>
  <c r="B250" i="5"/>
  <c r="C250" i="5" s="1"/>
  <c r="N897" i="6" l="1"/>
  <c r="O898" i="6"/>
  <c r="P898" i="6" s="1"/>
  <c r="Q897" i="6"/>
  <c r="R897" i="6" s="1"/>
  <c r="M897" i="6" s="1"/>
  <c r="S897" i="6" s="1"/>
  <c r="I250" i="5"/>
  <c r="J250" i="5" s="1"/>
  <c r="A252" i="5"/>
  <c r="B251" i="5"/>
  <c r="C251" i="5" s="1"/>
  <c r="E251" i="5"/>
  <c r="G251" i="5"/>
  <c r="H251" i="5" s="1"/>
  <c r="D251" i="5"/>
  <c r="F251" i="5" s="1"/>
  <c r="N898" i="6" l="1"/>
  <c r="Q898" i="6"/>
  <c r="R898" i="6" s="1"/>
  <c r="M898" i="6" s="1"/>
  <c r="S898" i="6" s="1"/>
  <c r="O899" i="6"/>
  <c r="P899" i="6" s="1"/>
  <c r="I251" i="5"/>
  <c r="J251" i="5" s="1"/>
  <c r="A253" i="5"/>
  <c r="E252" i="5"/>
  <c r="B252" i="5"/>
  <c r="C252" i="5" s="1"/>
  <c r="D252" i="5"/>
  <c r="F252" i="5" s="1"/>
  <c r="G252" i="5"/>
  <c r="H252" i="5" s="1"/>
  <c r="N899" i="6" l="1"/>
  <c r="Q899" i="6"/>
  <c r="R899" i="6" s="1"/>
  <c r="M899" i="6" s="1"/>
  <c r="S899" i="6" s="1"/>
  <c r="O900" i="6"/>
  <c r="P900" i="6" s="1"/>
  <c r="I252" i="5"/>
  <c r="J252" i="5" s="1"/>
  <c r="A254" i="5"/>
  <c r="E253" i="5"/>
  <c r="B253" i="5"/>
  <c r="C253" i="5" s="1"/>
  <c r="D253" i="5"/>
  <c r="F253" i="5" s="1"/>
  <c r="G253" i="5"/>
  <c r="H253" i="5" s="1"/>
  <c r="O901" i="6" l="1"/>
  <c r="P901" i="6" s="1"/>
  <c r="Q900" i="6"/>
  <c r="R900" i="6" s="1"/>
  <c r="N900" i="6"/>
  <c r="I253" i="5"/>
  <c r="J253" i="5" s="1"/>
  <c r="A255" i="5"/>
  <c r="D254" i="5"/>
  <c r="F254" i="5" s="1"/>
  <c r="B254" i="5"/>
  <c r="C254" i="5"/>
  <c r="E254" i="5"/>
  <c r="M900" i="6" l="1"/>
  <c r="S900" i="6" s="1"/>
  <c r="N901" i="6"/>
  <c r="O902" i="6"/>
  <c r="P902" i="6" s="1"/>
  <c r="Q901" i="6"/>
  <c r="R901" i="6" s="1"/>
  <c r="M901" i="6" s="1"/>
  <c r="S901" i="6" s="1"/>
  <c r="G254" i="5"/>
  <c r="H254" i="5" s="1"/>
  <c r="I254" i="5" s="1"/>
  <c r="J254" i="5" s="1"/>
  <c r="A256" i="5"/>
  <c r="E255" i="5"/>
  <c r="B255" i="5"/>
  <c r="C255" i="5" s="1"/>
  <c r="D255" i="5"/>
  <c r="F255" i="5" s="1"/>
  <c r="G255" i="5"/>
  <c r="H255" i="5" s="1"/>
  <c r="O903" i="6" l="1"/>
  <c r="P903" i="6" s="1"/>
  <c r="Q902" i="6"/>
  <c r="R902" i="6" s="1"/>
  <c r="N902" i="6"/>
  <c r="I255" i="5"/>
  <c r="J255" i="5" s="1"/>
  <c r="A257" i="5"/>
  <c r="D256" i="5"/>
  <c r="F256" i="5" s="1"/>
  <c r="E256" i="5"/>
  <c r="B256" i="5"/>
  <c r="C256" i="5" s="1"/>
  <c r="M902" i="6" l="1"/>
  <c r="S902" i="6" s="1"/>
  <c r="O904" i="6"/>
  <c r="P904" i="6" s="1"/>
  <c r="Q903" i="6"/>
  <c r="R903" i="6" s="1"/>
  <c r="N903" i="6"/>
  <c r="G256" i="5"/>
  <c r="H256" i="5" s="1"/>
  <c r="I256" i="5" s="1"/>
  <c r="J256" i="5" s="1"/>
  <c r="A258" i="5"/>
  <c r="E257" i="5"/>
  <c r="B257" i="5"/>
  <c r="C257" i="5" s="1"/>
  <c r="D257" i="5"/>
  <c r="F257" i="5" s="1"/>
  <c r="M903" i="6" l="1"/>
  <c r="S903" i="6" s="1"/>
  <c r="Q904" i="6"/>
  <c r="R904" i="6" s="1"/>
  <c r="O905" i="6"/>
  <c r="P905" i="6" s="1"/>
  <c r="N904" i="6"/>
  <c r="G257" i="5"/>
  <c r="H257" i="5" s="1"/>
  <c r="I257" i="5" s="1"/>
  <c r="J257" i="5" s="1"/>
  <c r="A259" i="5"/>
  <c r="B258" i="5"/>
  <c r="C258" i="5" s="1"/>
  <c r="E258" i="5"/>
  <c r="G258" i="5" s="1"/>
  <c r="H258" i="5" s="1"/>
  <c r="D258" i="5"/>
  <c r="F258" i="5" s="1"/>
  <c r="M904" i="6" l="1"/>
  <c r="S904" i="6" s="1"/>
  <c r="O906" i="6"/>
  <c r="P906" i="6" s="1"/>
  <c r="Q905" i="6"/>
  <c r="R905" i="6" s="1"/>
  <c r="N905" i="6"/>
  <c r="I258" i="5"/>
  <c r="J258" i="5" s="1"/>
  <c r="A260" i="5"/>
  <c r="D259" i="5"/>
  <c r="F259" i="5" s="1"/>
  <c r="B259" i="5"/>
  <c r="C259" i="5" s="1"/>
  <c r="E259" i="5"/>
  <c r="M905" i="6" l="1"/>
  <c r="S905" i="6" s="1"/>
  <c r="O907" i="6"/>
  <c r="P907" i="6" s="1"/>
  <c r="Q906" i="6"/>
  <c r="R906" i="6" s="1"/>
  <c r="N906" i="6"/>
  <c r="G259" i="5"/>
  <c r="H259" i="5" s="1"/>
  <c r="I259" i="5" s="1"/>
  <c r="J259" i="5" s="1"/>
  <c r="A261" i="5"/>
  <c r="B260" i="5"/>
  <c r="C260" i="5" s="1"/>
  <c r="D260" i="5"/>
  <c r="F260" i="5" s="1"/>
  <c r="E260" i="5"/>
  <c r="G260" i="5" s="1"/>
  <c r="H260" i="5" s="1"/>
  <c r="M906" i="6" l="1"/>
  <c r="S906" i="6" s="1"/>
  <c r="Q907" i="6"/>
  <c r="R907" i="6" s="1"/>
  <c r="O908" i="6"/>
  <c r="P908" i="6" s="1"/>
  <c r="N907" i="6"/>
  <c r="I260" i="5"/>
  <c r="J260" i="5" s="1"/>
  <c r="A262" i="5"/>
  <c r="B261" i="5"/>
  <c r="C261" i="5" s="1"/>
  <c r="D261" i="5"/>
  <c r="F261" i="5" s="1"/>
  <c r="E261" i="5"/>
  <c r="M907" i="6" l="1"/>
  <c r="S907" i="6" s="1"/>
  <c r="N908" i="6"/>
  <c r="O909" i="6"/>
  <c r="P909" i="6" s="1"/>
  <c r="Q908" i="6"/>
  <c r="R908" i="6" s="1"/>
  <c r="M908" i="6" s="1"/>
  <c r="S908" i="6" s="1"/>
  <c r="G261" i="5"/>
  <c r="H261" i="5" s="1"/>
  <c r="I261" i="5" s="1"/>
  <c r="J261" i="5" s="1"/>
  <c r="A263" i="5"/>
  <c r="E262" i="5"/>
  <c r="B262" i="5"/>
  <c r="C262" i="5" s="1"/>
  <c r="D262" i="5"/>
  <c r="F262" i="5" s="1"/>
  <c r="N909" i="6" l="1"/>
  <c r="Q909" i="6"/>
  <c r="R909" i="6" s="1"/>
  <c r="M909" i="6" s="1"/>
  <c r="S909" i="6" s="1"/>
  <c r="O910" i="6"/>
  <c r="P910" i="6" s="1"/>
  <c r="G262" i="5"/>
  <c r="H262" i="5" s="1"/>
  <c r="I262" i="5" s="1"/>
  <c r="J262" i="5" s="1"/>
  <c r="A264" i="5"/>
  <c r="B263" i="5"/>
  <c r="C263" i="5" s="1"/>
  <c r="D263" i="5"/>
  <c r="F263" i="5" s="1"/>
  <c r="E263" i="5"/>
  <c r="N910" i="6" l="1"/>
  <c r="Q910" i="6"/>
  <c r="R910" i="6" s="1"/>
  <c r="M910" i="6" s="1"/>
  <c r="S910" i="6" s="1"/>
  <c r="O911" i="6"/>
  <c r="P911" i="6" s="1"/>
  <c r="G263" i="5"/>
  <c r="H263" i="5" s="1"/>
  <c r="I263" i="5" s="1"/>
  <c r="J263" i="5" s="1"/>
  <c r="A265" i="5"/>
  <c r="D264" i="5"/>
  <c r="F264" i="5" s="1"/>
  <c r="E264" i="5"/>
  <c r="B264" i="5"/>
  <c r="C264" i="5" s="1"/>
  <c r="N911" i="6" l="1"/>
  <c r="Q911" i="6"/>
  <c r="R911" i="6" s="1"/>
  <c r="M911" i="6" s="1"/>
  <c r="S911" i="6" s="1"/>
  <c r="O912" i="6"/>
  <c r="P912" i="6" s="1"/>
  <c r="G264" i="5"/>
  <c r="H264" i="5" s="1"/>
  <c r="I264" i="5" s="1"/>
  <c r="J264" i="5" s="1"/>
  <c r="A266" i="5"/>
  <c r="E265" i="5"/>
  <c r="G265" i="5" s="1"/>
  <c r="H265" i="5" s="1"/>
  <c r="B265" i="5"/>
  <c r="C265" i="5" s="1"/>
  <c r="D265" i="5"/>
  <c r="F265" i="5" s="1"/>
  <c r="Q912" i="6" l="1"/>
  <c r="R912" i="6" s="1"/>
  <c r="O913" i="6"/>
  <c r="P913" i="6" s="1"/>
  <c r="N912" i="6"/>
  <c r="I265" i="5"/>
  <c r="J265" i="5" s="1"/>
  <c r="A267" i="5"/>
  <c r="B266" i="5"/>
  <c r="C266" i="5" s="1"/>
  <c r="D266" i="5"/>
  <c r="F266" i="5" s="1"/>
  <c r="E266" i="5"/>
  <c r="M912" i="6" l="1"/>
  <c r="S912" i="6" s="1"/>
  <c r="N913" i="6"/>
  <c r="Q913" i="6"/>
  <c r="R913" i="6" s="1"/>
  <c r="M913" i="6" s="1"/>
  <c r="S913" i="6" s="1"/>
  <c r="O914" i="6"/>
  <c r="P914" i="6" s="1"/>
  <c r="G266" i="5"/>
  <c r="H266" i="5" s="1"/>
  <c r="I266" i="5" s="1"/>
  <c r="J266" i="5" s="1"/>
  <c r="A268" i="5"/>
  <c r="B267" i="5"/>
  <c r="C267" i="5" s="1"/>
  <c r="E267" i="5"/>
  <c r="D267" i="5"/>
  <c r="F267" i="5" s="1"/>
  <c r="N914" i="6" l="1"/>
  <c r="Q914" i="6"/>
  <c r="R914" i="6" s="1"/>
  <c r="M914" i="6" s="1"/>
  <c r="S914" i="6" s="1"/>
  <c r="O915" i="6"/>
  <c r="P915" i="6" s="1"/>
  <c r="G267" i="5"/>
  <c r="H267" i="5" s="1"/>
  <c r="I267" i="5" s="1"/>
  <c r="J267" i="5" s="1"/>
  <c r="A269" i="5"/>
  <c r="B268" i="5"/>
  <c r="C268" i="5" s="1"/>
  <c r="E268" i="5"/>
  <c r="D268" i="5"/>
  <c r="F268" i="5" s="1"/>
  <c r="O916" i="6" l="1"/>
  <c r="P916" i="6" s="1"/>
  <c r="Q915" i="6"/>
  <c r="R915" i="6" s="1"/>
  <c r="N915" i="6"/>
  <c r="G268" i="5"/>
  <c r="H268" i="5" s="1"/>
  <c r="I268" i="5" s="1"/>
  <c r="J268" i="5" s="1"/>
  <c r="A270" i="5"/>
  <c r="B269" i="5"/>
  <c r="C269" i="5" s="1"/>
  <c r="E269" i="5"/>
  <c r="G269" i="5" s="1"/>
  <c r="H269" i="5" s="1"/>
  <c r="D269" i="5"/>
  <c r="F269" i="5" s="1"/>
  <c r="M915" i="6" l="1"/>
  <c r="S915" i="6" s="1"/>
  <c r="O917" i="6"/>
  <c r="P917" i="6" s="1"/>
  <c r="Q916" i="6"/>
  <c r="R916" i="6" s="1"/>
  <c r="N916" i="6"/>
  <c r="I269" i="5"/>
  <c r="J269" i="5" s="1"/>
  <c r="A271" i="5"/>
  <c r="D270" i="5"/>
  <c r="F270" i="5" s="1"/>
  <c r="B270" i="5"/>
  <c r="C270" i="5" s="1"/>
  <c r="E270" i="5"/>
  <c r="M916" i="6" l="1"/>
  <c r="S916" i="6" s="1"/>
  <c r="N917" i="6"/>
  <c r="O918" i="6"/>
  <c r="P918" i="6" s="1"/>
  <c r="Q917" i="6"/>
  <c r="R917" i="6" s="1"/>
  <c r="M917" i="6" s="1"/>
  <c r="S917" i="6" s="1"/>
  <c r="G270" i="5"/>
  <c r="H270" i="5" s="1"/>
  <c r="I270" i="5" s="1"/>
  <c r="J270" i="5" s="1"/>
  <c r="A272" i="5"/>
  <c r="B271" i="5"/>
  <c r="C271" i="5" s="1"/>
  <c r="E271" i="5"/>
  <c r="D271" i="5"/>
  <c r="F271" i="5" s="1"/>
  <c r="O919" i="6" l="1"/>
  <c r="P919" i="6" s="1"/>
  <c r="Q918" i="6"/>
  <c r="R918" i="6" s="1"/>
  <c r="N918" i="6"/>
  <c r="G271" i="5"/>
  <c r="H271" i="5" s="1"/>
  <c r="I271" i="5" s="1"/>
  <c r="J271" i="5" s="1"/>
  <c r="A273" i="5"/>
  <c r="E272" i="5"/>
  <c r="D272" i="5"/>
  <c r="F272" i="5" s="1"/>
  <c r="B272" i="5"/>
  <c r="C272" i="5" s="1"/>
  <c r="M918" i="6" l="1"/>
  <c r="S918" i="6" s="1"/>
  <c r="N919" i="6"/>
  <c r="O920" i="6"/>
  <c r="P920" i="6" s="1"/>
  <c r="Q919" i="6"/>
  <c r="R919" i="6" s="1"/>
  <c r="M919" i="6" s="1"/>
  <c r="S919" i="6" s="1"/>
  <c r="G272" i="5"/>
  <c r="H272" i="5" s="1"/>
  <c r="I272" i="5" s="1"/>
  <c r="J272" i="5" s="1"/>
  <c r="A274" i="5"/>
  <c r="E273" i="5"/>
  <c r="B273" i="5"/>
  <c r="C273" i="5" s="1"/>
  <c r="D273" i="5"/>
  <c r="F273" i="5" s="1"/>
  <c r="N920" i="6" l="1"/>
  <c r="Q920" i="6"/>
  <c r="R920" i="6" s="1"/>
  <c r="M920" i="6" s="1"/>
  <c r="S920" i="6" s="1"/>
  <c r="O921" i="6"/>
  <c r="P921" i="6" s="1"/>
  <c r="G273" i="5"/>
  <c r="H273" i="5" s="1"/>
  <c r="I273" i="5" s="1"/>
  <c r="J273" i="5" s="1"/>
  <c r="A275" i="5"/>
  <c r="E274" i="5"/>
  <c r="B274" i="5"/>
  <c r="C274" i="5" s="1"/>
  <c r="D274" i="5"/>
  <c r="F274" i="5" s="1"/>
  <c r="O922" i="6" l="1"/>
  <c r="P922" i="6" s="1"/>
  <c r="Q921" i="6"/>
  <c r="R921" i="6" s="1"/>
  <c r="N921" i="6"/>
  <c r="G274" i="5"/>
  <c r="H274" i="5" s="1"/>
  <c r="I274" i="5" s="1"/>
  <c r="J274" i="5" s="1"/>
  <c r="A276" i="5"/>
  <c r="B275" i="5"/>
  <c r="C275" i="5" s="1"/>
  <c r="D275" i="5"/>
  <c r="F275" i="5" s="1"/>
  <c r="E275" i="5"/>
  <c r="G275" i="5" s="1"/>
  <c r="H275" i="5" s="1"/>
  <c r="I275" i="5" s="1"/>
  <c r="M921" i="6" l="1"/>
  <c r="S921" i="6" s="1"/>
  <c r="N922" i="6"/>
  <c r="O923" i="6"/>
  <c r="P923" i="6" s="1"/>
  <c r="Q922" i="6"/>
  <c r="R922" i="6" s="1"/>
  <c r="M922" i="6" s="1"/>
  <c r="S922" i="6" s="1"/>
  <c r="J275" i="5"/>
  <c r="A277" i="5"/>
  <c r="B276" i="5"/>
  <c r="C276" i="5" s="1"/>
  <c r="E276" i="5"/>
  <c r="D276" i="5"/>
  <c r="F276" i="5" s="1"/>
  <c r="Q923" i="6" l="1"/>
  <c r="R923" i="6" s="1"/>
  <c r="O924" i="6"/>
  <c r="P924" i="6" s="1"/>
  <c r="N923" i="6"/>
  <c r="G276" i="5"/>
  <c r="H276" i="5" s="1"/>
  <c r="I276" i="5" s="1"/>
  <c r="J276" i="5" s="1"/>
  <c r="A278" i="5"/>
  <c r="D277" i="5"/>
  <c r="F277" i="5" s="1"/>
  <c r="E277" i="5"/>
  <c r="B277" i="5"/>
  <c r="C277" i="5" s="1"/>
  <c r="M923" i="6" l="1"/>
  <c r="S923" i="6" s="1"/>
  <c r="N924" i="6"/>
  <c r="Q924" i="6"/>
  <c r="R924" i="6" s="1"/>
  <c r="O925" i="6"/>
  <c r="P925" i="6" s="1"/>
  <c r="G277" i="5"/>
  <c r="H277" i="5" s="1"/>
  <c r="I277" i="5" s="1"/>
  <c r="J277" i="5" s="1"/>
  <c r="A279" i="5"/>
  <c r="E278" i="5"/>
  <c r="G278" i="5" s="1"/>
  <c r="H278" i="5" s="1"/>
  <c r="D278" i="5"/>
  <c r="F278" i="5" s="1"/>
  <c r="B278" i="5"/>
  <c r="C278" i="5" s="1"/>
  <c r="M924" i="6" l="1"/>
  <c r="S924" i="6" s="1"/>
  <c r="N925" i="6"/>
  <c r="Q925" i="6"/>
  <c r="R925" i="6" s="1"/>
  <c r="M925" i="6" s="1"/>
  <c r="S925" i="6" s="1"/>
  <c r="O926" i="6"/>
  <c r="P926" i="6" s="1"/>
  <c r="I278" i="5"/>
  <c r="J278" i="5" s="1"/>
  <c r="A280" i="5"/>
  <c r="E279" i="5"/>
  <c r="G279" i="5" s="1"/>
  <c r="H279" i="5" s="1"/>
  <c r="B279" i="5"/>
  <c r="C279" i="5" s="1"/>
  <c r="D279" i="5"/>
  <c r="F279" i="5" s="1"/>
  <c r="N926" i="6" l="1"/>
  <c r="Q926" i="6"/>
  <c r="R926" i="6" s="1"/>
  <c r="M926" i="6" s="1"/>
  <c r="S926" i="6" s="1"/>
  <c r="O927" i="6"/>
  <c r="P927" i="6" s="1"/>
  <c r="I279" i="5"/>
  <c r="J279" i="5" s="1"/>
  <c r="A281" i="5"/>
  <c r="B280" i="5"/>
  <c r="C280" i="5" s="1"/>
  <c r="D280" i="5"/>
  <c r="F280" i="5" s="1"/>
  <c r="E280" i="5"/>
  <c r="O928" i="6" l="1"/>
  <c r="P928" i="6" s="1"/>
  <c r="N927" i="6"/>
  <c r="Q927" i="6"/>
  <c r="R927" i="6" s="1"/>
  <c r="M927" i="6" s="1"/>
  <c r="S927" i="6" s="1"/>
  <c r="G280" i="5"/>
  <c r="H280" i="5" s="1"/>
  <c r="I280" i="5" s="1"/>
  <c r="J280" i="5" s="1"/>
  <c r="A282" i="5"/>
  <c r="B281" i="5"/>
  <c r="C281" i="5" s="1"/>
  <c r="E281" i="5"/>
  <c r="D281" i="5"/>
  <c r="F281" i="5" s="1"/>
  <c r="N928" i="6" l="1"/>
  <c r="O929" i="6"/>
  <c r="P929" i="6" s="1"/>
  <c r="Q928" i="6"/>
  <c r="R928" i="6" s="1"/>
  <c r="M928" i="6" s="1"/>
  <c r="S928" i="6" s="1"/>
  <c r="G281" i="5"/>
  <c r="H281" i="5" s="1"/>
  <c r="I281" i="5" s="1"/>
  <c r="J281" i="5" s="1"/>
  <c r="B282" i="5"/>
  <c r="A283" i="5"/>
  <c r="E282" i="5"/>
  <c r="G282" i="5" s="1"/>
  <c r="H282" i="5" s="1"/>
  <c r="D282" i="5"/>
  <c r="F282" i="5" s="1"/>
  <c r="C282" i="5"/>
  <c r="N929" i="6" l="1"/>
  <c r="Q929" i="6"/>
  <c r="R929" i="6" s="1"/>
  <c r="O930" i="6"/>
  <c r="P930" i="6" s="1"/>
  <c r="I282" i="5"/>
  <c r="J282" i="5" s="1"/>
  <c r="D283" i="5"/>
  <c r="F283" i="5" s="1"/>
  <c r="A284" i="5"/>
  <c r="E283" i="5"/>
  <c r="G283" i="5"/>
  <c r="H283" i="5" s="1"/>
  <c r="B283" i="5"/>
  <c r="C283" i="5" s="1"/>
  <c r="M929" i="6" l="1"/>
  <c r="S929" i="6" s="1"/>
  <c r="N930" i="6"/>
  <c r="O931" i="6"/>
  <c r="P931" i="6" s="1"/>
  <c r="Q930" i="6"/>
  <c r="R930" i="6" s="1"/>
  <c r="M930" i="6" s="1"/>
  <c r="S930" i="6" s="1"/>
  <c r="I283" i="5"/>
  <c r="J283" i="5" s="1"/>
  <c r="E284" i="5"/>
  <c r="D284" i="5"/>
  <c r="F284" i="5" s="1"/>
  <c r="B284" i="5"/>
  <c r="C284" i="5" s="1"/>
  <c r="A285" i="5"/>
  <c r="N931" i="6" l="1"/>
  <c r="O932" i="6"/>
  <c r="P932" i="6" s="1"/>
  <c r="Q931" i="6"/>
  <c r="R931" i="6" s="1"/>
  <c r="M931" i="6" s="1"/>
  <c r="S931" i="6" s="1"/>
  <c r="G284" i="5"/>
  <c r="H284" i="5" s="1"/>
  <c r="I284" i="5" s="1"/>
  <c r="J284" i="5" s="1"/>
  <c r="E285" i="5"/>
  <c r="G285" i="5" s="1"/>
  <c r="H285" i="5" s="1"/>
  <c r="B285" i="5"/>
  <c r="C285" i="5" s="1"/>
  <c r="A286" i="5"/>
  <c r="D285" i="5"/>
  <c r="F285" i="5" s="1"/>
  <c r="N932" i="6" l="1"/>
  <c r="Q932" i="6"/>
  <c r="R932" i="6" s="1"/>
  <c r="M932" i="6" s="1"/>
  <c r="S932" i="6" s="1"/>
  <c r="O933" i="6"/>
  <c r="P933" i="6" s="1"/>
  <c r="I285" i="5"/>
  <c r="J285" i="5" s="1"/>
  <c r="B286" i="5"/>
  <c r="C286" i="5" s="1"/>
  <c r="A287" i="5"/>
  <c r="D286" i="5"/>
  <c r="F286" i="5" s="1"/>
  <c r="E286" i="5"/>
  <c r="N933" i="6" l="1"/>
  <c r="Q933" i="6"/>
  <c r="R933" i="6" s="1"/>
  <c r="M933" i="6" s="1"/>
  <c r="S933" i="6" s="1"/>
  <c r="O934" i="6"/>
  <c r="P934" i="6" s="1"/>
  <c r="G286" i="5"/>
  <c r="H286" i="5" s="1"/>
  <c r="I286" i="5" s="1"/>
  <c r="J286" i="5" s="1"/>
  <c r="A288" i="5"/>
  <c r="D287" i="5"/>
  <c r="F287" i="5" s="1"/>
  <c r="E287" i="5"/>
  <c r="G287" i="5" s="1"/>
  <c r="H287" i="5" s="1"/>
  <c r="B287" i="5"/>
  <c r="C287" i="5" s="1"/>
  <c r="N934" i="6" l="1"/>
  <c r="O935" i="6"/>
  <c r="P935" i="6" s="1"/>
  <c r="Q934" i="6"/>
  <c r="R934" i="6" s="1"/>
  <c r="M934" i="6" s="1"/>
  <c r="S934" i="6" s="1"/>
  <c r="I287" i="5"/>
  <c r="J287" i="5" s="1"/>
  <c r="E288" i="5"/>
  <c r="G288" i="5" s="1"/>
  <c r="H288" i="5" s="1"/>
  <c r="B288" i="5"/>
  <c r="C288" i="5" s="1"/>
  <c r="A289" i="5"/>
  <c r="D288" i="5"/>
  <c r="F288" i="5" s="1"/>
  <c r="N935" i="6" l="1"/>
  <c r="O936" i="6"/>
  <c r="P936" i="6" s="1"/>
  <c r="Q935" i="6"/>
  <c r="R935" i="6" s="1"/>
  <c r="I288" i="5"/>
  <c r="J288" i="5" s="1"/>
  <c r="D289" i="5"/>
  <c r="F289" i="5" s="1"/>
  <c r="A290" i="5"/>
  <c r="E289" i="5"/>
  <c r="B289" i="5"/>
  <c r="C289" i="5" s="1"/>
  <c r="M935" i="6" l="1"/>
  <c r="S935" i="6" s="1"/>
  <c r="O937" i="6"/>
  <c r="P937" i="6" s="1"/>
  <c r="N936" i="6"/>
  <c r="Q936" i="6"/>
  <c r="R936" i="6" s="1"/>
  <c r="M936" i="6" s="1"/>
  <c r="S936" i="6" s="1"/>
  <c r="G289" i="5"/>
  <c r="H289" i="5" s="1"/>
  <c r="I289" i="5" s="1"/>
  <c r="J289" i="5" s="1"/>
  <c r="A291" i="5"/>
  <c r="B290" i="5"/>
  <c r="C290" i="5" s="1"/>
  <c r="E290" i="5"/>
  <c r="G290" i="5" s="1"/>
  <c r="H290" i="5" s="1"/>
  <c r="D290" i="5"/>
  <c r="F290" i="5" s="1"/>
  <c r="N937" i="6" l="1"/>
  <c r="O938" i="6"/>
  <c r="P938" i="6" s="1"/>
  <c r="Q937" i="6"/>
  <c r="R937" i="6" s="1"/>
  <c r="M937" i="6" s="1"/>
  <c r="S937" i="6" s="1"/>
  <c r="I290" i="5"/>
  <c r="J290" i="5" s="1"/>
  <c r="D291" i="5"/>
  <c r="F291" i="5" s="1"/>
  <c r="A292" i="5"/>
  <c r="B291" i="5"/>
  <c r="C291" i="5" s="1"/>
  <c r="E291" i="5"/>
  <c r="N938" i="6" l="1"/>
  <c r="Q938" i="6"/>
  <c r="R938" i="6" s="1"/>
  <c r="M938" i="6" s="1"/>
  <c r="S938" i="6" s="1"/>
  <c r="O939" i="6"/>
  <c r="P939" i="6" s="1"/>
  <c r="G291" i="5"/>
  <c r="H291" i="5" s="1"/>
  <c r="I291" i="5" s="1"/>
  <c r="J291" i="5" s="1"/>
  <c r="E292" i="5"/>
  <c r="B292" i="5"/>
  <c r="C292" i="5" s="1"/>
  <c r="A293" i="5"/>
  <c r="D292" i="5"/>
  <c r="F292" i="5" s="1"/>
  <c r="G292" i="5"/>
  <c r="H292" i="5" s="1"/>
  <c r="I292" i="5" s="1"/>
  <c r="O940" i="6" l="1"/>
  <c r="P940" i="6" s="1"/>
  <c r="N939" i="6"/>
  <c r="Q939" i="6"/>
  <c r="R939" i="6" s="1"/>
  <c r="M939" i="6" s="1"/>
  <c r="S939" i="6" s="1"/>
  <c r="J292" i="5"/>
  <c r="E293" i="5"/>
  <c r="G293" i="5" s="1"/>
  <c r="H293" i="5" s="1"/>
  <c r="B293" i="5"/>
  <c r="C293" i="5" s="1"/>
  <c r="A294" i="5"/>
  <c r="D293" i="5"/>
  <c r="F293" i="5" s="1"/>
  <c r="N940" i="6" l="1"/>
  <c r="O941" i="6"/>
  <c r="P941" i="6" s="1"/>
  <c r="Q940" i="6"/>
  <c r="R940" i="6" s="1"/>
  <c r="M940" i="6" s="1"/>
  <c r="S940" i="6" s="1"/>
  <c r="I293" i="5"/>
  <c r="J293" i="5" s="1"/>
  <c r="A295" i="5"/>
  <c r="B294" i="5"/>
  <c r="C294" i="5" s="1"/>
  <c r="D294" i="5"/>
  <c r="F294" i="5" s="1"/>
  <c r="E294" i="5"/>
  <c r="Q941" i="6" l="1"/>
  <c r="R941" i="6" s="1"/>
  <c r="N941" i="6"/>
  <c r="O942" i="6"/>
  <c r="P942" i="6" s="1"/>
  <c r="G294" i="5"/>
  <c r="H294" i="5" s="1"/>
  <c r="I294" i="5" s="1"/>
  <c r="J294" i="5" s="1"/>
  <c r="D295" i="5"/>
  <c r="F295" i="5" s="1"/>
  <c r="A296" i="5"/>
  <c r="B295" i="5"/>
  <c r="C295" i="5" s="1"/>
  <c r="E295" i="5"/>
  <c r="M941" i="6" l="1"/>
  <c r="S941" i="6" s="1"/>
  <c r="N942" i="6"/>
  <c r="O943" i="6"/>
  <c r="P943" i="6" s="1"/>
  <c r="Q942" i="6"/>
  <c r="R942" i="6" s="1"/>
  <c r="M942" i="6" s="1"/>
  <c r="S942" i="6" s="1"/>
  <c r="G295" i="5"/>
  <c r="H295" i="5" s="1"/>
  <c r="I295" i="5" s="1"/>
  <c r="J295" i="5" s="1"/>
  <c r="B296" i="5"/>
  <c r="C296" i="5" s="1"/>
  <c r="A297" i="5"/>
  <c r="D296" i="5"/>
  <c r="F296" i="5" s="1"/>
  <c r="E296" i="5"/>
  <c r="N943" i="6" l="1"/>
  <c r="Q943" i="6"/>
  <c r="R943" i="6" s="1"/>
  <c r="M943" i="6" s="1"/>
  <c r="S943" i="6" s="1"/>
  <c r="O944" i="6"/>
  <c r="P944" i="6" s="1"/>
  <c r="G296" i="5"/>
  <c r="H296" i="5" s="1"/>
  <c r="I296" i="5" s="1"/>
  <c r="J296" i="5" s="1"/>
  <c r="B297" i="5"/>
  <c r="C297" i="5" s="1"/>
  <c r="A298" i="5"/>
  <c r="E297" i="5"/>
  <c r="G297" i="5" s="1"/>
  <c r="H297" i="5" s="1"/>
  <c r="D297" i="5"/>
  <c r="F297" i="5" s="1"/>
  <c r="O945" i="6" l="1"/>
  <c r="P945" i="6" s="1"/>
  <c r="N944" i="6"/>
  <c r="Q944" i="6"/>
  <c r="R944" i="6" s="1"/>
  <c r="I297" i="5"/>
  <c r="J297" i="5" s="1"/>
  <c r="A299" i="5"/>
  <c r="B298" i="5"/>
  <c r="C298" i="5" s="1"/>
  <c r="D298" i="5"/>
  <c r="F298" i="5" s="1"/>
  <c r="E298" i="5"/>
  <c r="M944" i="6" l="1"/>
  <c r="S944" i="6" s="1"/>
  <c r="N945" i="6"/>
  <c r="Q945" i="6"/>
  <c r="R945" i="6" s="1"/>
  <c r="M945" i="6" s="1"/>
  <c r="S945" i="6" s="1"/>
  <c r="O946" i="6"/>
  <c r="P946" i="6" s="1"/>
  <c r="G298" i="5"/>
  <c r="H298" i="5" s="1"/>
  <c r="I298" i="5" s="1"/>
  <c r="J298" i="5" s="1"/>
  <c r="E299" i="5"/>
  <c r="G299" i="5" s="1"/>
  <c r="H299" i="5" s="1"/>
  <c r="I299" i="5" s="1"/>
  <c r="D299" i="5"/>
  <c r="F299" i="5" s="1"/>
  <c r="A300" i="5"/>
  <c r="B299" i="5"/>
  <c r="C299" i="5" s="1"/>
  <c r="Q946" i="6" l="1"/>
  <c r="R946" i="6" s="1"/>
  <c r="N946" i="6"/>
  <c r="O947" i="6"/>
  <c r="P947" i="6" s="1"/>
  <c r="J299" i="5"/>
  <c r="D300" i="5"/>
  <c r="F300" i="5" s="1"/>
  <c r="E300" i="5"/>
  <c r="G300" i="5" s="1"/>
  <c r="H300" i="5" s="1"/>
  <c r="A301" i="5"/>
  <c r="B300" i="5"/>
  <c r="C300" i="5" s="1"/>
  <c r="M946" i="6" l="1"/>
  <c r="S946" i="6" s="1"/>
  <c r="O948" i="6"/>
  <c r="P948" i="6" s="1"/>
  <c r="Q947" i="6"/>
  <c r="R947" i="6" s="1"/>
  <c r="N947" i="6"/>
  <c r="I300" i="5"/>
  <c r="J300" i="5" s="1"/>
  <c r="E301" i="5"/>
  <c r="A302" i="5"/>
  <c r="B301" i="5"/>
  <c r="C301" i="5" s="1"/>
  <c r="D301" i="5"/>
  <c r="F301" i="5" s="1"/>
  <c r="N948" i="6" l="1"/>
  <c r="O949" i="6"/>
  <c r="P949" i="6" s="1"/>
  <c r="M947" i="6"/>
  <c r="S947" i="6" s="1"/>
  <c r="Q948" i="6"/>
  <c r="R948" i="6" s="1"/>
  <c r="M948" i="6" s="1"/>
  <c r="S948" i="6" s="1"/>
  <c r="G301" i="5"/>
  <c r="H301" i="5" s="1"/>
  <c r="I301" i="5" s="1"/>
  <c r="J301" i="5" s="1"/>
  <c r="A303" i="5"/>
  <c r="E302" i="5"/>
  <c r="B302" i="5"/>
  <c r="C302" i="5" s="1"/>
  <c r="D302" i="5"/>
  <c r="F302" i="5" s="1"/>
  <c r="N949" i="6" l="1"/>
  <c r="O950" i="6"/>
  <c r="P950" i="6" s="1"/>
  <c r="Q949" i="6"/>
  <c r="R949" i="6" s="1"/>
  <c r="M949" i="6" s="1"/>
  <c r="S949" i="6" s="1"/>
  <c r="G302" i="5"/>
  <c r="H302" i="5" s="1"/>
  <c r="I302" i="5" s="1"/>
  <c r="J302" i="5" s="1"/>
  <c r="D303" i="5"/>
  <c r="A304" i="5"/>
  <c r="E303" i="5"/>
  <c r="B303" i="5"/>
  <c r="C303" i="5" s="1"/>
  <c r="F303" i="5"/>
  <c r="N950" i="6" l="1"/>
  <c r="Q950" i="6"/>
  <c r="R950" i="6" s="1"/>
  <c r="M950" i="6" s="1"/>
  <c r="S950" i="6" s="1"/>
  <c r="O951" i="6"/>
  <c r="P951" i="6" s="1"/>
  <c r="G303" i="5"/>
  <c r="H303" i="5" s="1"/>
  <c r="I303" i="5" s="1"/>
  <c r="J303" i="5" s="1"/>
  <c r="D304" i="5"/>
  <c r="F304" i="5" s="1"/>
  <c r="E304" i="5"/>
  <c r="B304" i="5"/>
  <c r="C304" i="5" s="1"/>
  <c r="A305" i="5"/>
  <c r="O952" i="6" l="1"/>
  <c r="P952" i="6" s="1"/>
  <c r="N951" i="6"/>
  <c r="Q951" i="6"/>
  <c r="R951" i="6" s="1"/>
  <c r="G304" i="5"/>
  <c r="H304" i="5" s="1"/>
  <c r="I304" i="5" s="1"/>
  <c r="J304" i="5" s="1"/>
  <c r="Q952" i="6"/>
  <c r="N952" i="6"/>
  <c r="O953" i="6"/>
  <c r="P953" i="6" s="1"/>
  <c r="E305" i="5"/>
  <c r="G305" i="5" s="1"/>
  <c r="H305" i="5" s="1"/>
  <c r="A306" i="5"/>
  <c r="B305" i="5"/>
  <c r="C305" i="5" s="1"/>
  <c r="D305" i="5"/>
  <c r="F305" i="5" s="1"/>
  <c r="M951" i="6" l="1"/>
  <c r="S951" i="6" s="1"/>
  <c r="I305" i="5"/>
  <c r="J305" i="5" s="1"/>
  <c r="Q953" i="6"/>
  <c r="R952" i="6"/>
  <c r="M952" i="6" s="1"/>
  <c r="S952" i="6" s="1"/>
  <c r="N953" i="6"/>
  <c r="O954" i="6"/>
  <c r="P954" i="6" s="1"/>
  <c r="A307" i="5"/>
  <c r="D306" i="5"/>
  <c r="F306" i="5" s="1"/>
  <c r="B306" i="5"/>
  <c r="C306" i="5" s="1"/>
  <c r="E306" i="5"/>
  <c r="G306" i="5" l="1"/>
  <c r="H306" i="5" s="1"/>
  <c r="I306" i="5" s="1"/>
  <c r="J306" i="5" s="1"/>
  <c r="Q954" i="6"/>
  <c r="R953" i="6"/>
  <c r="M953" i="6" s="1"/>
  <c r="S953" i="6" s="1"/>
  <c r="N954" i="6"/>
  <c r="O955" i="6"/>
  <c r="P955" i="6" s="1"/>
  <c r="D307" i="5"/>
  <c r="A308" i="5"/>
  <c r="E307" i="5"/>
  <c r="G307" i="5" s="1"/>
  <c r="H307" i="5" s="1"/>
  <c r="B307" i="5"/>
  <c r="C307" i="5" s="1"/>
  <c r="F307" i="5"/>
  <c r="I307" i="5" l="1"/>
  <c r="J307" i="5" s="1"/>
  <c r="Q955" i="6"/>
  <c r="R954" i="6"/>
  <c r="M954" i="6" s="1"/>
  <c r="S954" i="6" s="1"/>
  <c r="O956" i="6"/>
  <c r="P956" i="6" s="1"/>
  <c r="N955" i="6"/>
  <c r="D308" i="5"/>
  <c r="F308" i="5" s="1"/>
  <c r="E308" i="5"/>
  <c r="G308" i="5" s="1"/>
  <c r="H308" i="5" s="1"/>
  <c r="B308" i="5"/>
  <c r="C308" i="5" s="1"/>
  <c r="A309" i="5"/>
  <c r="I308" i="5" l="1"/>
  <c r="J308" i="5" s="1"/>
  <c r="Q956" i="6"/>
  <c r="R955" i="6"/>
  <c r="M955" i="6" s="1"/>
  <c r="S955" i="6" s="1"/>
  <c r="O957" i="6"/>
  <c r="P957" i="6" s="1"/>
  <c r="N956" i="6"/>
  <c r="E309" i="5"/>
  <c r="A310" i="5"/>
  <c r="B309" i="5"/>
  <c r="C309" i="5" s="1"/>
  <c r="D309" i="5"/>
  <c r="F309" i="5" s="1"/>
  <c r="G309" i="5" l="1"/>
  <c r="H309" i="5" s="1"/>
  <c r="I309" i="5" s="1"/>
  <c r="J309" i="5" s="1"/>
  <c r="Q957" i="6"/>
  <c r="R956" i="6"/>
  <c r="M956" i="6" s="1"/>
  <c r="S956" i="6" s="1"/>
  <c r="N957" i="6"/>
  <c r="O958" i="6"/>
  <c r="P958" i="6" s="1"/>
  <c r="D310" i="5"/>
  <c r="A311" i="5"/>
  <c r="B310" i="5"/>
  <c r="C310" i="5" s="1"/>
  <c r="E310" i="5"/>
  <c r="G310" i="5" s="1"/>
  <c r="H310" i="5" s="1"/>
  <c r="F310" i="5"/>
  <c r="I310" i="5" l="1"/>
  <c r="J310" i="5" s="1"/>
  <c r="Q958" i="6"/>
  <c r="R957" i="6"/>
  <c r="M957" i="6" s="1"/>
  <c r="S957" i="6" s="1"/>
  <c r="O959" i="6"/>
  <c r="P959" i="6" s="1"/>
  <c r="N958" i="6"/>
  <c r="D311" i="5"/>
  <c r="F311" i="5" s="1"/>
  <c r="A312" i="5"/>
  <c r="B311" i="5"/>
  <c r="C311" i="5" s="1"/>
  <c r="E311" i="5"/>
  <c r="G311" i="5" l="1"/>
  <c r="H311" i="5" s="1"/>
  <c r="I311" i="5" s="1"/>
  <c r="J311" i="5" s="1"/>
  <c r="Q959" i="6"/>
  <c r="R958" i="6"/>
  <c r="M958" i="6" s="1"/>
  <c r="S958" i="6" s="1"/>
  <c r="N959" i="6"/>
  <c r="O960" i="6"/>
  <c r="P960" i="6" s="1"/>
  <c r="D312" i="5"/>
  <c r="F312" i="5" s="1"/>
  <c r="B312" i="5"/>
  <c r="A313" i="5"/>
  <c r="E312" i="5"/>
  <c r="C312" i="5"/>
  <c r="G312" i="5" l="1"/>
  <c r="H312" i="5" s="1"/>
  <c r="I312" i="5" s="1"/>
  <c r="J312" i="5" s="1"/>
  <c r="Q960" i="6"/>
  <c r="R959" i="6"/>
  <c r="M959" i="6" s="1"/>
  <c r="S959" i="6" s="1"/>
  <c r="N960" i="6"/>
  <c r="O961" i="6"/>
  <c r="P961" i="6" s="1"/>
  <c r="D313" i="5"/>
  <c r="B313" i="5"/>
  <c r="C313" i="5" s="1"/>
  <c r="A314" i="5"/>
  <c r="F313" i="5"/>
  <c r="E313" i="5"/>
  <c r="G313" i="5" s="1"/>
  <c r="H313" i="5" s="1"/>
  <c r="I313" i="5" l="1"/>
  <c r="J313" i="5" s="1"/>
  <c r="Q961" i="6"/>
  <c r="R960" i="6"/>
  <c r="M960" i="6" s="1"/>
  <c r="S960" i="6" s="1"/>
  <c r="N961" i="6"/>
  <c r="O962" i="6"/>
  <c r="P962" i="6" s="1"/>
  <c r="A315" i="5"/>
  <c r="E314" i="5"/>
  <c r="B314" i="5"/>
  <c r="C314" i="5" s="1"/>
  <c r="D314" i="5"/>
  <c r="F314" i="5" s="1"/>
  <c r="G314" i="5" l="1"/>
  <c r="H314" i="5" s="1"/>
  <c r="I314" i="5" s="1"/>
  <c r="J314" i="5" s="1"/>
  <c r="Q962" i="6"/>
  <c r="R961" i="6"/>
  <c r="M961" i="6" s="1"/>
  <c r="S961" i="6" s="1"/>
  <c r="N962" i="6"/>
  <c r="O963" i="6"/>
  <c r="P963" i="6" s="1"/>
  <c r="D315" i="5"/>
  <c r="F315" i="5" s="1"/>
  <c r="A316" i="5"/>
  <c r="B315" i="5"/>
  <c r="C315" i="5" s="1"/>
  <c r="E315" i="5"/>
  <c r="G315" i="5" s="1"/>
  <c r="H315" i="5" s="1"/>
  <c r="I315" i="5" l="1"/>
  <c r="J315" i="5" s="1"/>
  <c r="Q963" i="6"/>
  <c r="R962" i="6"/>
  <c r="M962" i="6" s="1"/>
  <c r="S962" i="6" s="1"/>
  <c r="N963" i="6"/>
  <c r="O964" i="6"/>
  <c r="P964" i="6" s="1"/>
  <c r="D316" i="5"/>
  <c r="F316" i="5" s="1"/>
  <c r="B316" i="5"/>
  <c r="C316" i="5" s="1"/>
  <c r="A317" i="5"/>
  <c r="E316" i="5"/>
  <c r="G316" i="5" l="1"/>
  <c r="H316" i="5" s="1"/>
  <c r="I316" i="5" s="1"/>
  <c r="J316" i="5" s="1"/>
  <c r="Q964" i="6"/>
  <c r="R963" i="6"/>
  <c r="M963" i="6" s="1"/>
  <c r="S963" i="6" s="1"/>
  <c r="O965" i="6"/>
  <c r="P965" i="6" s="1"/>
  <c r="N964" i="6"/>
  <c r="D317" i="5"/>
  <c r="E317" i="5"/>
  <c r="G317" i="5" s="1"/>
  <c r="H317" i="5" s="1"/>
  <c r="I317" i="5" s="1"/>
  <c r="B317" i="5"/>
  <c r="C317" i="5" s="1"/>
  <c r="A318" i="5"/>
  <c r="F317" i="5"/>
  <c r="J317" i="5" l="1"/>
  <c r="Q965" i="6"/>
  <c r="R964" i="6"/>
  <c r="M964" i="6" s="1"/>
  <c r="S964" i="6" s="1"/>
  <c r="O966" i="6"/>
  <c r="P966" i="6" s="1"/>
  <c r="N965" i="6"/>
  <c r="A319" i="5"/>
  <c r="B318" i="5"/>
  <c r="C318" i="5" s="1"/>
  <c r="D318" i="5"/>
  <c r="F318" i="5" s="1"/>
  <c r="E318" i="5"/>
  <c r="G318" i="5" l="1"/>
  <c r="H318" i="5" s="1"/>
  <c r="I318" i="5" s="1"/>
  <c r="J318" i="5" s="1"/>
  <c r="Q966" i="6"/>
  <c r="R965" i="6"/>
  <c r="M965" i="6" s="1"/>
  <c r="S965" i="6" s="1"/>
  <c r="N966" i="6"/>
  <c r="O967" i="6"/>
  <c r="P967" i="6" s="1"/>
  <c r="D319" i="5"/>
  <c r="E319" i="5"/>
  <c r="B319" i="5"/>
  <c r="C319" i="5" s="1"/>
  <c r="F319" i="5"/>
  <c r="G319" i="5"/>
  <c r="H319" i="5" s="1"/>
  <c r="A320" i="5"/>
  <c r="I319" i="5" l="1"/>
  <c r="J319" i="5" s="1"/>
  <c r="Q967" i="6"/>
  <c r="R966" i="6"/>
  <c r="M966" i="6" s="1"/>
  <c r="S966" i="6" s="1"/>
  <c r="O968" i="6"/>
  <c r="P968" i="6" s="1"/>
  <c r="N967" i="6"/>
  <c r="A321" i="5"/>
  <c r="B320" i="5"/>
  <c r="C320" i="5" s="1"/>
  <c r="D320" i="5"/>
  <c r="F320" i="5" s="1"/>
  <c r="E320" i="5"/>
  <c r="G320" i="5" l="1"/>
  <c r="H320" i="5" s="1"/>
  <c r="I320" i="5" s="1"/>
  <c r="J320" i="5" s="1"/>
  <c r="Q968" i="6"/>
  <c r="R967" i="6"/>
  <c r="M967" i="6" s="1"/>
  <c r="S967" i="6" s="1"/>
  <c r="N968" i="6"/>
  <c r="O969" i="6"/>
  <c r="P969" i="6" s="1"/>
  <c r="B321" i="5"/>
  <c r="C321" i="5" s="1"/>
  <c r="A322" i="5"/>
  <c r="E321" i="5"/>
  <c r="D321" i="5"/>
  <c r="F321" i="5" s="1"/>
  <c r="G321" i="5" l="1"/>
  <c r="H321" i="5" s="1"/>
  <c r="I321" i="5" s="1"/>
  <c r="J321" i="5" s="1"/>
  <c r="Q969" i="6"/>
  <c r="R968" i="6"/>
  <c r="M968" i="6" s="1"/>
  <c r="S968" i="6" s="1"/>
  <c r="N969" i="6"/>
  <c r="O970" i="6"/>
  <c r="P970" i="6" s="1"/>
  <c r="D322" i="5"/>
  <c r="F322" i="5" s="1"/>
  <c r="B322" i="5"/>
  <c r="C322" i="5" s="1"/>
  <c r="E322" i="5"/>
  <c r="A323" i="5"/>
  <c r="G322" i="5" l="1"/>
  <c r="H322" i="5" s="1"/>
  <c r="I322" i="5" s="1"/>
  <c r="J322" i="5" s="1"/>
  <c r="Q970" i="6"/>
  <c r="R969" i="6"/>
  <c r="M969" i="6" s="1"/>
  <c r="S969" i="6" s="1"/>
  <c r="N970" i="6"/>
  <c r="O971" i="6"/>
  <c r="P971" i="6" s="1"/>
  <c r="A324" i="5"/>
  <c r="B323" i="5"/>
  <c r="C323" i="5" s="1"/>
  <c r="E323" i="5"/>
  <c r="D323" i="5"/>
  <c r="F323" i="5" s="1"/>
  <c r="G323" i="5" l="1"/>
  <c r="H323" i="5" s="1"/>
  <c r="I323" i="5" s="1"/>
  <c r="J323" i="5" s="1"/>
  <c r="Q971" i="6"/>
  <c r="R970" i="6"/>
  <c r="M970" i="6" s="1"/>
  <c r="S970" i="6" s="1"/>
  <c r="N971" i="6"/>
  <c r="O972" i="6"/>
  <c r="P972" i="6" s="1"/>
  <c r="E324" i="5"/>
  <c r="G324" i="5" s="1"/>
  <c r="H324" i="5" s="1"/>
  <c r="I324" i="5" s="1"/>
  <c r="A325" i="5"/>
  <c r="B324" i="5"/>
  <c r="C324" i="5" s="1"/>
  <c r="D324" i="5"/>
  <c r="F324" i="5" s="1"/>
  <c r="J324" i="5" l="1"/>
  <c r="Q972" i="6"/>
  <c r="R971" i="6"/>
  <c r="M971" i="6" s="1"/>
  <c r="S971" i="6" s="1"/>
  <c r="N972" i="6"/>
  <c r="O973" i="6"/>
  <c r="P973" i="6" s="1"/>
  <c r="E325" i="5"/>
  <c r="B325" i="5"/>
  <c r="C325" i="5" s="1"/>
  <c r="A326" i="5"/>
  <c r="G325" i="5"/>
  <c r="H325" i="5" s="1"/>
  <c r="D325" i="5"/>
  <c r="F325" i="5" s="1"/>
  <c r="I325" i="5" l="1"/>
  <c r="J325" i="5" s="1"/>
  <c r="Q973" i="6"/>
  <c r="R972" i="6"/>
  <c r="M972" i="6" s="1"/>
  <c r="S972" i="6" s="1"/>
  <c r="O974" i="6"/>
  <c r="P974" i="6" s="1"/>
  <c r="N973" i="6"/>
  <c r="A327" i="5"/>
  <c r="E326" i="5"/>
  <c r="B326" i="5"/>
  <c r="C326" i="5"/>
  <c r="D326" i="5"/>
  <c r="F326" i="5" s="1"/>
  <c r="G326" i="5" l="1"/>
  <c r="H326" i="5" s="1"/>
  <c r="I326" i="5" s="1"/>
  <c r="J326" i="5" s="1"/>
  <c r="Q974" i="6"/>
  <c r="R973" i="6"/>
  <c r="M973" i="6" s="1"/>
  <c r="S973" i="6" s="1"/>
  <c r="O975" i="6"/>
  <c r="P975" i="6" s="1"/>
  <c r="N974" i="6"/>
  <c r="A328" i="5"/>
  <c r="E327" i="5"/>
  <c r="B327" i="5"/>
  <c r="C327" i="5" s="1"/>
  <c r="G327" i="5"/>
  <c r="H327" i="5" s="1"/>
  <c r="D327" i="5"/>
  <c r="F327" i="5" s="1"/>
  <c r="I327" i="5" l="1"/>
  <c r="J327" i="5" s="1"/>
  <c r="Q975" i="6"/>
  <c r="R974" i="6"/>
  <c r="M974" i="6" s="1"/>
  <c r="S974" i="6" s="1"/>
  <c r="N975" i="6"/>
  <c r="O976" i="6"/>
  <c r="P976" i="6" s="1"/>
  <c r="B328" i="5"/>
  <c r="C328" i="5" s="1"/>
  <c r="A329" i="5"/>
  <c r="D328" i="5"/>
  <c r="F328" i="5" s="1"/>
  <c r="E328" i="5"/>
  <c r="G328" i="5" l="1"/>
  <c r="H328" i="5" s="1"/>
  <c r="I328" i="5" s="1"/>
  <c r="J328" i="5" s="1"/>
  <c r="Q976" i="6"/>
  <c r="R975" i="6"/>
  <c r="M975" i="6" s="1"/>
  <c r="S975" i="6" s="1"/>
  <c r="O977" i="6"/>
  <c r="P977" i="6" s="1"/>
  <c r="N976" i="6"/>
  <c r="E329" i="5"/>
  <c r="G329" i="5" s="1"/>
  <c r="H329" i="5" s="1"/>
  <c r="D329" i="5"/>
  <c r="F329" i="5" s="1"/>
  <c r="B329" i="5"/>
  <c r="C329" i="5" s="1"/>
  <c r="A330" i="5"/>
  <c r="I329" i="5" l="1"/>
  <c r="J329" i="5" s="1"/>
  <c r="Q977" i="6"/>
  <c r="R976" i="6"/>
  <c r="M976" i="6" s="1"/>
  <c r="S976" i="6" s="1"/>
  <c r="O978" i="6"/>
  <c r="P978" i="6" s="1"/>
  <c r="N977" i="6"/>
  <c r="E330" i="5"/>
  <c r="B330" i="5"/>
  <c r="C330" i="5" s="1"/>
  <c r="D330" i="5"/>
  <c r="F330" i="5" s="1"/>
  <c r="A331" i="5"/>
  <c r="G330" i="5" l="1"/>
  <c r="H330" i="5" s="1"/>
  <c r="I330" i="5" s="1"/>
  <c r="J330" i="5" s="1"/>
  <c r="Q978" i="6"/>
  <c r="R977" i="6"/>
  <c r="M977" i="6" s="1"/>
  <c r="S977" i="6" s="1"/>
  <c r="N978" i="6"/>
  <c r="O979" i="6"/>
  <c r="P979" i="6" s="1"/>
  <c r="A332" i="5"/>
  <c r="B331" i="5"/>
  <c r="C331" i="5" s="1"/>
  <c r="E331" i="5"/>
  <c r="D331" i="5"/>
  <c r="F331" i="5" s="1"/>
  <c r="G331" i="5" l="1"/>
  <c r="H331" i="5" s="1"/>
  <c r="I331" i="5" s="1"/>
  <c r="J331" i="5" s="1"/>
  <c r="Q979" i="6"/>
  <c r="R978" i="6"/>
  <c r="M978" i="6" s="1"/>
  <c r="S978" i="6" s="1"/>
  <c r="N979" i="6"/>
  <c r="O980" i="6"/>
  <c r="P980" i="6" s="1"/>
  <c r="A333" i="5"/>
  <c r="B332" i="5"/>
  <c r="C332" i="5" s="1"/>
  <c r="D332" i="5"/>
  <c r="F332" i="5" s="1"/>
  <c r="E332" i="5"/>
  <c r="G332" i="5" l="1"/>
  <c r="H332" i="5" s="1"/>
  <c r="I332" i="5" s="1"/>
  <c r="J332" i="5" s="1"/>
  <c r="Q980" i="6"/>
  <c r="R979" i="6"/>
  <c r="M979" i="6" s="1"/>
  <c r="S979" i="6" s="1"/>
  <c r="N980" i="6"/>
  <c r="O981" i="6"/>
  <c r="P981" i="6" s="1"/>
  <c r="D333" i="5"/>
  <c r="F333" i="5" s="1"/>
  <c r="A334" i="5"/>
  <c r="B333" i="5"/>
  <c r="C333" i="5" s="1"/>
  <c r="E333" i="5"/>
  <c r="G333" i="5" l="1"/>
  <c r="H333" i="5" s="1"/>
  <c r="I333" i="5" s="1"/>
  <c r="J333" i="5" s="1"/>
  <c r="Q981" i="6"/>
  <c r="R980" i="6"/>
  <c r="M980" i="6" s="1"/>
  <c r="S980" i="6" s="1"/>
  <c r="O982" i="6"/>
  <c r="P982" i="6" s="1"/>
  <c r="N981" i="6"/>
  <c r="D334" i="5"/>
  <c r="E334" i="5"/>
  <c r="B334" i="5"/>
  <c r="C334" i="5" s="1"/>
  <c r="F334" i="5"/>
  <c r="G334" i="5"/>
  <c r="H334" i="5" s="1"/>
  <c r="I334" i="5" s="1"/>
  <c r="A335" i="5"/>
  <c r="J334" i="5" l="1"/>
  <c r="Q982" i="6"/>
  <c r="R981" i="6"/>
  <c r="M981" i="6" s="1"/>
  <c r="S981" i="6" s="1"/>
  <c r="O983" i="6"/>
  <c r="P983" i="6" s="1"/>
  <c r="N982" i="6"/>
  <c r="B335" i="5"/>
  <c r="C335" i="5" s="1"/>
  <c r="E335" i="5"/>
  <c r="D335" i="5"/>
  <c r="F335" i="5" s="1"/>
  <c r="A336" i="5"/>
  <c r="G335" i="5" l="1"/>
  <c r="H335" i="5" s="1"/>
  <c r="I335" i="5" s="1"/>
  <c r="J335" i="5" s="1"/>
  <c r="Q983" i="6"/>
  <c r="R982" i="6"/>
  <c r="M982" i="6" s="1"/>
  <c r="S982" i="6" s="1"/>
  <c r="O984" i="6"/>
  <c r="P984" i="6" s="1"/>
  <c r="N983" i="6"/>
  <c r="B336" i="5"/>
  <c r="C336" i="5" s="1"/>
  <c r="A337" i="5"/>
  <c r="E336" i="5"/>
  <c r="G336" i="5" s="1"/>
  <c r="H336" i="5" s="1"/>
  <c r="D336" i="5"/>
  <c r="F336" i="5" s="1"/>
  <c r="I336" i="5" l="1"/>
  <c r="J336" i="5" s="1"/>
  <c r="Q984" i="6"/>
  <c r="R983" i="6"/>
  <c r="M983" i="6" s="1"/>
  <c r="S983" i="6" s="1"/>
  <c r="N984" i="6"/>
  <c r="O985" i="6"/>
  <c r="P985" i="6" s="1"/>
  <c r="B337" i="5"/>
  <c r="C337" i="5" s="1"/>
  <c r="E337" i="5"/>
  <c r="D337" i="5"/>
  <c r="A338" i="5"/>
  <c r="F337" i="5"/>
  <c r="G337" i="5" l="1"/>
  <c r="H337" i="5" s="1"/>
  <c r="I337" i="5" s="1"/>
  <c r="J337" i="5" s="1"/>
  <c r="Q985" i="6"/>
  <c r="R984" i="6"/>
  <c r="M984" i="6" s="1"/>
  <c r="S984" i="6" s="1"/>
  <c r="O986" i="6"/>
  <c r="P986" i="6" s="1"/>
  <c r="N985" i="6"/>
  <c r="B338" i="5"/>
  <c r="C338" i="5" s="1"/>
  <c r="D338" i="5"/>
  <c r="F338" i="5" s="1"/>
  <c r="E338" i="5"/>
  <c r="G338" i="5" s="1"/>
  <c r="H338" i="5" s="1"/>
  <c r="A339" i="5"/>
  <c r="I338" i="5" l="1"/>
  <c r="J338" i="5" s="1"/>
  <c r="Q986" i="6"/>
  <c r="R985" i="6"/>
  <c r="M985" i="6" s="1"/>
  <c r="S985" i="6" s="1"/>
  <c r="N986" i="6"/>
  <c r="O987" i="6"/>
  <c r="P987" i="6" s="1"/>
  <c r="B339" i="5"/>
  <c r="C339" i="5" s="1"/>
  <c r="E339" i="5"/>
  <c r="D339" i="5"/>
  <c r="F339" i="5"/>
  <c r="A340" i="5"/>
  <c r="G339" i="5" l="1"/>
  <c r="H339" i="5" s="1"/>
  <c r="I339" i="5" s="1"/>
  <c r="J339" i="5" s="1"/>
  <c r="Q987" i="6"/>
  <c r="R986" i="6"/>
  <c r="M986" i="6" s="1"/>
  <c r="S986" i="6" s="1"/>
  <c r="O988" i="6"/>
  <c r="P988" i="6" s="1"/>
  <c r="N987" i="6"/>
  <c r="B340" i="5"/>
  <c r="C340" i="5" s="1"/>
  <c r="A341" i="5"/>
  <c r="D340" i="5"/>
  <c r="F340" i="5" s="1"/>
  <c r="E340" i="5"/>
  <c r="G340" i="5" l="1"/>
  <c r="H340" i="5" s="1"/>
  <c r="I340" i="5" s="1"/>
  <c r="J340" i="5" s="1"/>
  <c r="Q988" i="6"/>
  <c r="R987" i="6"/>
  <c r="M987" i="6" s="1"/>
  <c r="S987" i="6" s="1"/>
  <c r="O989" i="6"/>
  <c r="P989" i="6" s="1"/>
  <c r="N988" i="6"/>
  <c r="B341" i="5"/>
  <c r="C341" i="5" s="1"/>
  <c r="A342" i="5"/>
  <c r="E341" i="5"/>
  <c r="D341" i="5"/>
  <c r="F341" i="5" s="1"/>
  <c r="G341" i="5" l="1"/>
  <c r="H341" i="5" s="1"/>
  <c r="I341" i="5" s="1"/>
  <c r="J341" i="5" s="1"/>
  <c r="Q989" i="6"/>
  <c r="R988" i="6"/>
  <c r="M988" i="6" s="1"/>
  <c r="S988" i="6" s="1"/>
  <c r="N989" i="6"/>
  <c r="O990" i="6"/>
  <c r="P990" i="6" s="1"/>
  <c r="B342" i="5"/>
  <c r="C342" i="5" s="1"/>
  <c r="A343" i="5"/>
  <c r="D342" i="5"/>
  <c r="E342" i="5"/>
  <c r="G342" i="5" s="1"/>
  <c r="H342" i="5" s="1"/>
  <c r="F342" i="5"/>
  <c r="I342" i="5" l="1"/>
  <c r="J342" i="5" s="1"/>
  <c r="Q990" i="6"/>
  <c r="R989" i="6"/>
  <c r="M989" i="6" s="1"/>
  <c r="S989" i="6" s="1"/>
  <c r="N990" i="6"/>
  <c r="O991" i="6"/>
  <c r="P991" i="6" s="1"/>
  <c r="B343" i="5"/>
  <c r="C343" i="5" s="1"/>
  <c r="E343" i="5"/>
  <c r="D343" i="5"/>
  <c r="F343" i="5"/>
  <c r="A344" i="5"/>
  <c r="G343" i="5" l="1"/>
  <c r="H343" i="5" s="1"/>
  <c r="I343" i="5" s="1"/>
  <c r="J343" i="5" s="1"/>
  <c r="Q991" i="6"/>
  <c r="R990" i="6"/>
  <c r="M990" i="6" s="1"/>
  <c r="S990" i="6" s="1"/>
  <c r="O992" i="6"/>
  <c r="P992" i="6" s="1"/>
  <c r="N991" i="6"/>
  <c r="B344" i="5"/>
  <c r="C344" i="5" s="1"/>
  <c r="D344" i="5"/>
  <c r="F344" i="5" s="1"/>
  <c r="E344" i="5"/>
  <c r="A345" i="5"/>
  <c r="G344" i="5" l="1"/>
  <c r="H344" i="5" s="1"/>
  <c r="I344" i="5" s="1"/>
  <c r="J344" i="5" s="1"/>
  <c r="Q992" i="6"/>
  <c r="R991" i="6"/>
  <c r="M991" i="6" s="1"/>
  <c r="S991" i="6" s="1"/>
  <c r="O993" i="6"/>
  <c r="P993" i="6" s="1"/>
  <c r="N992" i="6"/>
  <c r="B345" i="5"/>
  <c r="C345" i="5" s="1"/>
  <c r="A346" i="5"/>
  <c r="D345" i="5"/>
  <c r="F345" i="5" s="1"/>
  <c r="E345" i="5"/>
  <c r="G345" i="5"/>
  <c r="H345" i="5" s="1"/>
  <c r="I345" i="5" l="1"/>
  <c r="J345" i="5" s="1"/>
  <c r="Q993" i="6"/>
  <c r="R992" i="6"/>
  <c r="M992" i="6" s="1"/>
  <c r="S992" i="6" s="1"/>
  <c r="N993" i="6"/>
  <c r="O994" i="6"/>
  <c r="P994" i="6" s="1"/>
  <c r="B346" i="5"/>
  <c r="C346" i="5" s="1"/>
  <c r="A347" i="5"/>
  <c r="D346" i="5"/>
  <c r="F346" i="5" s="1"/>
  <c r="E346" i="5"/>
  <c r="G346" i="5" s="1"/>
  <c r="H346" i="5" s="1"/>
  <c r="I346" i="5" l="1"/>
  <c r="J346" i="5" s="1"/>
  <c r="Q994" i="6"/>
  <c r="R993" i="6"/>
  <c r="M993" i="6" s="1"/>
  <c r="S993" i="6" s="1"/>
  <c r="O995" i="6"/>
  <c r="P995" i="6" s="1"/>
  <c r="N994" i="6"/>
  <c r="B347" i="5"/>
  <c r="C347" i="5" s="1"/>
  <c r="D347" i="5"/>
  <c r="F347" i="5" s="1"/>
  <c r="E347" i="5"/>
  <c r="G347" i="5"/>
  <c r="H347" i="5" s="1"/>
  <c r="A348" i="5"/>
  <c r="I347" i="5" l="1"/>
  <c r="J347" i="5" s="1"/>
  <c r="Q995" i="6"/>
  <c r="R994" i="6"/>
  <c r="M994" i="6" s="1"/>
  <c r="S994" i="6" s="1"/>
  <c r="O996" i="6"/>
  <c r="P996" i="6" s="1"/>
  <c r="N995" i="6"/>
  <c r="B348" i="5"/>
  <c r="C348" i="5" s="1"/>
  <c r="E348" i="5"/>
  <c r="D348" i="5"/>
  <c r="F348" i="5"/>
  <c r="A349" i="5"/>
  <c r="G348" i="5" l="1"/>
  <c r="H348" i="5" s="1"/>
  <c r="I348" i="5" s="1"/>
  <c r="J348" i="5" s="1"/>
  <c r="Q996" i="6"/>
  <c r="R995" i="6"/>
  <c r="M995" i="6" s="1"/>
  <c r="S995" i="6" s="1"/>
  <c r="O997" i="6"/>
  <c r="P997" i="6" s="1"/>
  <c r="N996" i="6"/>
  <c r="B349" i="5"/>
  <c r="C349" i="5" s="1"/>
  <c r="A350" i="5"/>
  <c r="E349" i="5"/>
  <c r="G349" i="5" s="1"/>
  <c r="H349" i="5" s="1"/>
  <c r="D349" i="5"/>
  <c r="F349" i="5" s="1"/>
  <c r="I349" i="5" l="1"/>
  <c r="J349" i="5" s="1"/>
  <c r="Q997" i="6"/>
  <c r="R996" i="6"/>
  <c r="M996" i="6" s="1"/>
  <c r="S996" i="6" s="1"/>
  <c r="N997" i="6"/>
  <c r="O998" i="6"/>
  <c r="P998" i="6" s="1"/>
  <c r="D350" i="5"/>
  <c r="F350" i="5" s="1"/>
  <c r="B350" i="5"/>
  <c r="C350" i="5" s="1"/>
  <c r="E350" i="5"/>
  <c r="G350" i="5" s="1"/>
  <c r="H350" i="5" s="1"/>
  <c r="A351" i="5"/>
  <c r="I350" i="5" l="1"/>
  <c r="J350" i="5" s="1"/>
  <c r="Q998" i="6"/>
  <c r="R997" i="6"/>
  <c r="M997" i="6" s="1"/>
  <c r="S997" i="6" s="1"/>
  <c r="N998" i="6"/>
  <c r="O999" i="6"/>
  <c r="P999" i="6" s="1"/>
  <c r="B351" i="5"/>
  <c r="C351" i="5" s="1"/>
  <c r="E351" i="5"/>
  <c r="G351" i="5" s="1"/>
  <c r="H351" i="5" s="1"/>
  <c r="A352" i="5"/>
  <c r="D351" i="5"/>
  <c r="F351" i="5" s="1"/>
  <c r="I351" i="5" l="1"/>
  <c r="J351" i="5" s="1"/>
  <c r="Q999" i="6"/>
  <c r="R998" i="6"/>
  <c r="M998" i="6" s="1"/>
  <c r="S998" i="6" s="1"/>
  <c r="N999" i="6"/>
  <c r="O1000" i="6"/>
  <c r="P1000" i="6" s="1"/>
  <c r="B352" i="5"/>
  <c r="C352" i="5" s="1"/>
  <c r="A353" i="5"/>
  <c r="D352" i="5"/>
  <c r="F352" i="5" s="1"/>
  <c r="E352" i="5"/>
  <c r="G352" i="5" s="1"/>
  <c r="H352" i="5" s="1"/>
  <c r="I352" i="5" l="1"/>
  <c r="J352" i="5" s="1"/>
  <c r="Q1000" i="6"/>
  <c r="R999" i="6"/>
  <c r="M999" i="6" s="1"/>
  <c r="S999" i="6" s="1"/>
  <c r="O1001" i="6"/>
  <c r="P1001" i="6" s="1"/>
  <c r="N1000" i="6"/>
  <c r="B353" i="5"/>
  <c r="C353" i="5" s="1"/>
  <c r="D353" i="5"/>
  <c r="F353" i="5" s="1"/>
  <c r="A354" i="5"/>
  <c r="E353" i="5"/>
  <c r="G353" i="5" l="1"/>
  <c r="H353" i="5" s="1"/>
  <c r="I353" i="5" s="1"/>
  <c r="J353" i="5" s="1"/>
  <c r="Q1001" i="6"/>
  <c r="R1000" i="6"/>
  <c r="M1000" i="6" s="1"/>
  <c r="S1000" i="6" s="1"/>
  <c r="O1002" i="6"/>
  <c r="P1002" i="6" s="1"/>
  <c r="N1001" i="6"/>
  <c r="B354" i="5"/>
  <c r="C354" i="5" s="1"/>
  <c r="A355" i="5"/>
  <c r="D354" i="5"/>
  <c r="F354" i="5" s="1"/>
  <c r="E354" i="5"/>
  <c r="G354" i="5" s="1"/>
  <c r="H354" i="5" s="1"/>
  <c r="I354" i="5" l="1"/>
  <c r="J354" i="5" s="1"/>
  <c r="Q1002" i="6"/>
  <c r="R1001" i="6"/>
  <c r="M1001" i="6" s="1"/>
  <c r="S1001" i="6" s="1"/>
  <c r="N1002" i="6"/>
  <c r="O1003" i="6"/>
  <c r="P1003" i="6" s="1"/>
  <c r="B355" i="5"/>
  <c r="C355" i="5" s="1"/>
  <c r="A356" i="5"/>
  <c r="D355" i="5"/>
  <c r="F355" i="5"/>
  <c r="E355" i="5"/>
  <c r="G355" i="5" l="1"/>
  <c r="H355" i="5" s="1"/>
  <c r="I355" i="5" s="1"/>
  <c r="J355" i="5" s="1"/>
  <c r="Q1003" i="6"/>
  <c r="R1002" i="6"/>
  <c r="M1002" i="6" s="1"/>
  <c r="S1002" i="6" s="1"/>
  <c r="N1003" i="6"/>
  <c r="O1004" i="6"/>
  <c r="P1004" i="6" s="1"/>
  <c r="B356" i="5"/>
  <c r="C356" i="5" s="1"/>
  <c r="E356" i="5"/>
  <c r="D356" i="5"/>
  <c r="F356" i="5" s="1"/>
  <c r="A357" i="5"/>
  <c r="G356" i="5" l="1"/>
  <c r="H356" i="5" s="1"/>
  <c r="I356" i="5" s="1"/>
  <c r="J356" i="5" s="1"/>
  <c r="Q1004" i="6"/>
  <c r="R1003" i="6"/>
  <c r="M1003" i="6" s="1"/>
  <c r="S1003" i="6" s="1"/>
  <c r="N1004" i="6"/>
  <c r="O1005" i="6"/>
  <c r="P1005" i="6" s="1"/>
  <c r="B357" i="5"/>
  <c r="C357" i="5" s="1"/>
  <c r="D357" i="5"/>
  <c r="F357" i="5" s="1"/>
  <c r="E357" i="5"/>
  <c r="G357" i="5" s="1"/>
  <c r="H357" i="5" s="1"/>
  <c r="A358" i="5"/>
  <c r="I357" i="5" l="1"/>
  <c r="J357" i="5" s="1"/>
  <c r="Q1005" i="6"/>
  <c r="R1004" i="6"/>
  <c r="M1004" i="6" s="1"/>
  <c r="S1004" i="6" s="1"/>
  <c r="O1006" i="6"/>
  <c r="P1006" i="6" s="1"/>
  <c r="N1005" i="6"/>
  <c r="B358" i="5"/>
  <c r="C358" i="5" s="1"/>
  <c r="A359" i="5"/>
  <c r="D358" i="5"/>
  <c r="F358" i="5" s="1"/>
  <c r="E358" i="5"/>
  <c r="G358" i="5" l="1"/>
  <c r="H358" i="5" s="1"/>
  <c r="I358" i="5" s="1"/>
  <c r="J358" i="5" s="1"/>
  <c r="Q1006" i="6"/>
  <c r="R1005" i="6"/>
  <c r="M1005" i="6" s="1"/>
  <c r="S1005" i="6" s="1"/>
  <c r="O1007" i="6"/>
  <c r="P1007" i="6" s="1"/>
  <c r="N1006" i="6"/>
  <c r="B359" i="5"/>
  <c r="C359" i="5" s="1"/>
  <c r="A360" i="5"/>
  <c r="E359" i="5"/>
  <c r="D359" i="5"/>
  <c r="F359" i="5" s="1"/>
  <c r="G359" i="5" l="1"/>
  <c r="H359" i="5" s="1"/>
  <c r="I359" i="5" s="1"/>
  <c r="J359" i="5" s="1"/>
  <c r="Q1007" i="6"/>
  <c r="R1006" i="6"/>
  <c r="M1006" i="6" s="1"/>
  <c r="S1006" i="6" s="1"/>
  <c r="O1008" i="6"/>
  <c r="P1008" i="6" s="1"/>
  <c r="N1007" i="6"/>
  <c r="B360" i="5"/>
  <c r="C360" i="5" s="1"/>
  <c r="A361" i="5"/>
  <c r="D360" i="5"/>
  <c r="F360" i="5" s="1"/>
  <c r="E360" i="5"/>
  <c r="G360" i="5" l="1"/>
  <c r="H360" i="5" s="1"/>
  <c r="I360" i="5" s="1"/>
  <c r="J360" i="5" s="1"/>
  <c r="Q1008" i="6"/>
  <c r="R1007" i="6"/>
  <c r="M1007" i="6" s="1"/>
  <c r="S1007" i="6" s="1"/>
  <c r="N1008" i="6"/>
  <c r="O1009" i="6"/>
  <c r="P1009" i="6" s="1"/>
  <c r="B361" i="5"/>
  <c r="C361" i="5" s="1"/>
  <c r="D361" i="5"/>
  <c r="F361" i="5" s="1"/>
  <c r="A362" i="5"/>
  <c r="E361" i="5"/>
  <c r="G361" i="5" l="1"/>
  <c r="H361" i="5" s="1"/>
  <c r="I361" i="5" s="1"/>
  <c r="J361" i="5" s="1"/>
  <c r="Q1009" i="6"/>
  <c r="R1008" i="6"/>
  <c r="M1008" i="6" s="1"/>
  <c r="S1008" i="6" s="1"/>
  <c r="O1010" i="6"/>
  <c r="P1010" i="6" s="1"/>
  <c r="N1009" i="6"/>
  <c r="B362" i="5"/>
  <c r="C362" i="5" s="1"/>
  <c r="E362" i="5"/>
  <c r="D362" i="5"/>
  <c r="F362" i="5" s="1"/>
  <c r="A363" i="5"/>
  <c r="G362" i="5" l="1"/>
  <c r="H362" i="5" s="1"/>
  <c r="I362" i="5" s="1"/>
  <c r="J362" i="5" s="1"/>
  <c r="Q1010" i="6"/>
  <c r="R1009" i="6"/>
  <c r="M1009" i="6" s="1"/>
  <c r="S1009" i="6" s="1"/>
  <c r="N1010" i="6"/>
  <c r="O1011" i="6"/>
  <c r="P1011" i="6" s="1"/>
  <c r="B363" i="5"/>
  <c r="C363" i="5" s="1"/>
  <c r="A364" i="5"/>
  <c r="D363" i="5"/>
  <c r="F363" i="5" s="1"/>
  <c r="E363" i="5"/>
  <c r="G363" i="5" l="1"/>
  <c r="H363" i="5" s="1"/>
  <c r="I363" i="5" s="1"/>
  <c r="J363" i="5" s="1"/>
  <c r="Q1011" i="6"/>
  <c r="R1010" i="6"/>
  <c r="M1010" i="6" s="1"/>
  <c r="S1010" i="6" s="1"/>
  <c r="O1012" i="6"/>
  <c r="P1012" i="6" s="1"/>
  <c r="N1011" i="6"/>
  <c r="B364" i="5"/>
  <c r="C364" i="5" s="1"/>
  <c r="E364" i="5"/>
  <c r="G364" i="5" s="1"/>
  <c r="H364" i="5" s="1"/>
  <c r="D364" i="5"/>
  <c r="F364" i="5" s="1"/>
  <c r="A365" i="5"/>
  <c r="I364" i="5" l="1"/>
  <c r="J364" i="5" s="1"/>
  <c r="Q1012" i="6"/>
  <c r="R1011" i="6"/>
  <c r="M1011" i="6" s="1"/>
  <c r="S1011" i="6" s="1"/>
  <c r="N1012" i="6"/>
  <c r="O1013" i="6"/>
  <c r="P1013" i="6" s="1"/>
  <c r="B365" i="5"/>
  <c r="C365" i="5" s="1"/>
  <c r="A366" i="5"/>
  <c r="E365" i="5"/>
  <c r="D365" i="5"/>
  <c r="F365" i="5" s="1"/>
  <c r="G365" i="5" l="1"/>
  <c r="H365" i="5" s="1"/>
  <c r="I365" i="5" s="1"/>
  <c r="J365" i="5" s="1"/>
  <c r="Q1013" i="6"/>
  <c r="R1012" i="6"/>
  <c r="M1012" i="6" s="1"/>
  <c r="S1012" i="6" s="1"/>
  <c r="N1013" i="6"/>
  <c r="O1014" i="6"/>
  <c r="P1014" i="6" s="1"/>
  <c r="B366" i="5"/>
  <c r="C366" i="5" s="1"/>
  <c r="E366" i="5"/>
  <c r="G366" i="5" s="1"/>
  <c r="H366" i="5" s="1"/>
  <c r="I366" i="5" s="1"/>
  <c r="A367" i="5"/>
  <c r="D366" i="5"/>
  <c r="F366" i="5" s="1"/>
  <c r="J366" i="5" l="1"/>
  <c r="Q1014" i="6"/>
  <c r="R1013" i="6"/>
  <c r="M1013" i="6" s="1"/>
  <c r="S1013" i="6" s="1"/>
  <c r="O1015" i="6"/>
  <c r="P1015" i="6" s="1"/>
  <c r="N1014" i="6"/>
  <c r="B367" i="5"/>
  <c r="C367" i="5" s="1"/>
  <c r="A368" i="5"/>
  <c r="D367" i="5"/>
  <c r="F367" i="5" s="1"/>
  <c r="E367" i="5"/>
  <c r="G367" i="5" l="1"/>
  <c r="H367" i="5" s="1"/>
  <c r="I367" i="5" s="1"/>
  <c r="J367" i="5" s="1"/>
  <c r="Q1015" i="6"/>
  <c r="R1014" i="6"/>
  <c r="M1014" i="6" s="1"/>
  <c r="S1014" i="6" s="1"/>
  <c r="O1016" i="6"/>
  <c r="P1016" i="6" s="1"/>
  <c r="N1015" i="6"/>
  <c r="E368" i="5"/>
  <c r="G368" i="5" s="1"/>
  <c r="H368" i="5" s="1"/>
  <c r="I368" i="5" s="1"/>
  <c r="A369" i="5"/>
  <c r="D368" i="5"/>
  <c r="F368" i="5" s="1"/>
  <c r="B368" i="5"/>
  <c r="C368" i="5" s="1"/>
  <c r="J368" i="5" l="1"/>
  <c r="Q1016" i="6"/>
  <c r="R1015" i="6"/>
  <c r="M1015" i="6" s="1"/>
  <c r="S1015" i="6" s="1"/>
  <c r="O1017" i="6"/>
  <c r="P1017" i="6" s="1"/>
  <c r="N1016" i="6"/>
  <c r="A370" i="5"/>
  <c r="E369" i="5"/>
  <c r="D369" i="5"/>
  <c r="F369" i="5"/>
  <c r="B369" i="5"/>
  <c r="C369" i="5" s="1"/>
  <c r="G369" i="5" l="1"/>
  <c r="H369" i="5" s="1"/>
  <c r="I369" i="5" s="1"/>
  <c r="J369" i="5" s="1"/>
  <c r="Q1017" i="6"/>
  <c r="R1016" i="6"/>
  <c r="M1016" i="6" s="1"/>
  <c r="S1016" i="6" s="1"/>
  <c r="N1017" i="6"/>
  <c r="O1018" i="6"/>
  <c r="P1018" i="6" s="1"/>
  <c r="A371" i="5"/>
  <c r="D370" i="5"/>
  <c r="F370" i="5" s="1"/>
  <c r="E370" i="5"/>
  <c r="B370" i="5"/>
  <c r="C370" i="5" s="1"/>
  <c r="G370" i="5" l="1"/>
  <c r="H370" i="5" s="1"/>
  <c r="I370" i="5" s="1"/>
  <c r="J370" i="5" s="1"/>
  <c r="Q1018" i="6"/>
  <c r="R1017" i="6"/>
  <c r="M1017" i="6" s="1"/>
  <c r="S1017" i="6" s="1"/>
  <c r="N1018" i="6"/>
  <c r="O1019" i="6"/>
  <c r="P1019" i="6" s="1"/>
  <c r="B371" i="5"/>
  <c r="C371" i="5" s="1"/>
  <c r="A372" i="5"/>
  <c r="D371" i="5"/>
  <c r="F371" i="5" s="1"/>
  <c r="E371" i="5"/>
  <c r="G371" i="5" s="1"/>
  <c r="H371" i="5" s="1"/>
  <c r="I371" i="5" l="1"/>
  <c r="J371" i="5" s="1"/>
  <c r="Q1019" i="6"/>
  <c r="R1018" i="6"/>
  <c r="M1018" i="6" s="1"/>
  <c r="S1018" i="6" s="1"/>
  <c r="N1019" i="6"/>
  <c r="O1020" i="6"/>
  <c r="P1020" i="6" s="1"/>
  <c r="E372" i="5"/>
  <c r="G372" i="5" s="1"/>
  <c r="H372" i="5" s="1"/>
  <c r="A373" i="5"/>
  <c r="D372" i="5"/>
  <c r="F372" i="5" s="1"/>
  <c r="B372" i="5"/>
  <c r="C372" i="5" s="1"/>
  <c r="I372" i="5" l="1"/>
  <c r="J372" i="5" s="1"/>
  <c r="Q1020" i="6"/>
  <c r="R1019" i="6"/>
  <c r="M1019" i="6" s="1"/>
  <c r="S1019" i="6" s="1"/>
  <c r="N1020" i="6"/>
  <c r="O1021" i="6"/>
  <c r="P1021" i="6" s="1"/>
  <c r="A374" i="5"/>
  <c r="D373" i="5"/>
  <c r="F373" i="5" s="1"/>
  <c r="B373" i="5"/>
  <c r="C373" i="5" s="1"/>
  <c r="E373" i="5"/>
  <c r="G373" i="5" l="1"/>
  <c r="H373" i="5" s="1"/>
  <c r="I373" i="5" s="1"/>
  <c r="J373" i="5" s="1"/>
  <c r="Q1021" i="6"/>
  <c r="R1020" i="6"/>
  <c r="M1020" i="6" s="1"/>
  <c r="S1020" i="6" s="1"/>
  <c r="O1022" i="6"/>
  <c r="P1022" i="6" s="1"/>
  <c r="N1021" i="6"/>
  <c r="E374" i="5"/>
  <c r="G374" i="5" s="1"/>
  <c r="H374" i="5" s="1"/>
  <c r="I374" i="5" s="1"/>
  <c r="A375" i="5"/>
  <c r="D374" i="5"/>
  <c r="F374" i="5" s="1"/>
  <c r="B374" i="5"/>
  <c r="C374" i="5" s="1"/>
  <c r="J374" i="5" l="1"/>
  <c r="Q1022" i="6"/>
  <c r="R1021" i="6"/>
  <c r="M1021" i="6" s="1"/>
  <c r="S1021" i="6" s="1"/>
  <c r="O1023" i="6"/>
  <c r="P1023" i="6" s="1"/>
  <c r="N1022" i="6"/>
  <c r="D375" i="5"/>
  <c r="F375" i="5" s="1"/>
  <c r="B375" i="5"/>
  <c r="C375" i="5" s="1"/>
  <c r="H3" i="5" s="1"/>
  <c r="E375" i="5"/>
  <c r="G375" i="5" l="1"/>
  <c r="H375" i="5" s="1"/>
  <c r="I375" i="5" s="1"/>
  <c r="J375" i="5" s="1"/>
  <c r="Q1023" i="6"/>
  <c r="R1022" i="6"/>
  <c r="M1022" i="6" s="1"/>
  <c r="S1022" i="6" s="1"/>
  <c r="N1023" i="6"/>
  <c r="O1024" i="6"/>
  <c r="P1024" i="6" s="1"/>
  <c r="Q1024" i="6" l="1"/>
  <c r="R1023" i="6"/>
  <c r="M1023" i="6" s="1"/>
  <c r="S1023" i="6" s="1"/>
  <c r="N1024" i="6"/>
  <c r="O1025" i="6"/>
  <c r="P1025" i="6" s="1"/>
  <c r="Q1025" i="6" l="1"/>
  <c r="R1024" i="6"/>
  <c r="M1024" i="6" s="1"/>
  <c r="S1024" i="6" s="1"/>
  <c r="O1026" i="6"/>
  <c r="P1026" i="6" s="1"/>
  <c r="N1025" i="6"/>
  <c r="Q1026" i="6" l="1"/>
  <c r="R1025" i="6"/>
  <c r="M1025" i="6" s="1"/>
  <c r="S1025" i="6" s="1"/>
  <c r="N1026" i="6"/>
  <c r="O1027" i="6"/>
  <c r="P1027" i="6" s="1"/>
  <c r="Q1027" i="6" l="1"/>
  <c r="R1026" i="6"/>
  <c r="M1026" i="6" s="1"/>
  <c r="S1026" i="6" s="1"/>
  <c r="O1028" i="6"/>
  <c r="P1028" i="6" s="1"/>
  <c r="N1027" i="6"/>
  <c r="Q1028" i="6" l="1"/>
  <c r="R1027" i="6"/>
  <c r="M1027" i="6" s="1"/>
  <c r="S1027" i="6" s="1"/>
  <c r="N1028" i="6"/>
  <c r="O1029" i="6"/>
  <c r="P1029" i="6" s="1"/>
  <c r="Q1029" i="6" l="1"/>
  <c r="R1028" i="6"/>
  <c r="M1028" i="6" s="1"/>
  <c r="S1028" i="6" s="1"/>
  <c r="N1029" i="6"/>
  <c r="O1030" i="6"/>
  <c r="P1030" i="6" s="1"/>
  <c r="Q1030" i="6" l="1"/>
  <c r="R1029" i="6"/>
  <c r="M1029" i="6" s="1"/>
  <c r="S1029" i="6" s="1"/>
  <c r="O1031" i="6"/>
  <c r="P1031" i="6" s="1"/>
  <c r="N1030" i="6"/>
  <c r="Q1031" i="6" l="1"/>
  <c r="R1030" i="6"/>
  <c r="M1030" i="6" s="1"/>
  <c r="S1030" i="6" s="1"/>
  <c r="O1032" i="6"/>
  <c r="P1032" i="6" s="1"/>
  <c r="N1031" i="6"/>
  <c r="Q1032" i="6" l="1"/>
  <c r="R1031" i="6"/>
  <c r="M1031" i="6" s="1"/>
  <c r="S1031" i="6" s="1"/>
  <c r="O1033" i="6"/>
  <c r="P1033" i="6" s="1"/>
  <c r="N1032" i="6"/>
  <c r="Q1033" i="6" l="1"/>
  <c r="R1032" i="6"/>
  <c r="M1032" i="6" s="1"/>
  <c r="S1032" i="6" s="1"/>
  <c r="O1034" i="6"/>
  <c r="P1034" i="6" s="1"/>
  <c r="N1033" i="6"/>
  <c r="Q1034" i="6" l="1"/>
  <c r="R1033" i="6"/>
  <c r="M1033" i="6" s="1"/>
  <c r="S1033" i="6" s="1"/>
  <c r="O1035" i="6"/>
  <c r="P1035" i="6" s="1"/>
  <c r="N1034" i="6"/>
  <c r="Q1035" i="6" l="1"/>
  <c r="R1034" i="6"/>
  <c r="M1034" i="6" s="1"/>
  <c r="S1034" i="6" s="1"/>
  <c r="O1036" i="6"/>
  <c r="P1036" i="6" s="1"/>
  <c r="N1035" i="6"/>
  <c r="Q1036" i="6" l="1"/>
  <c r="R1035" i="6"/>
  <c r="M1035" i="6" s="1"/>
  <c r="S1035" i="6" s="1"/>
  <c r="N1036" i="6"/>
  <c r="O1037" i="6"/>
  <c r="P1037" i="6" s="1"/>
  <c r="Q1037" i="6" l="1"/>
  <c r="R1036" i="6"/>
  <c r="M1036" i="6" s="1"/>
  <c r="S1036" i="6" s="1"/>
  <c r="O1038" i="6"/>
  <c r="P1038" i="6" s="1"/>
  <c r="N1037" i="6"/>
  <c r="Q1038" i="6" l="1"/>
  <c r="R1037" i="6"/>
  <c r="M1037" i="6" s="1"/>
  <c r="S1037" i="6" s="1"/>
  <c r="N1038" i="6"/>
  <c r="O1039" i="6"/>
  <c r="P1039" i="6" s="1"/>
  <c r="Q1039" i="6" l="1"/>
  <c r="R1038" i="6"/>
  <c r="M1038" i="6" s="1"/>
  <c r="S1038" i="6" s="1"/>
  <c r="N1039" i="6"/>
  <c r="O1040" i="6"/>
  <c r="P1040" i="6" s="1"/>
  <c r="Q1040" i="6" l="1"/>
  <c r="R1039" i="6"/>
  <c r="M1039" i="6" s="1"/>
  <c r="S1039" i="6" s="1"/>
  <c r="O1041" i="6"/>
  <c r="P1041" i="6" s="1"/>
  <c r="N1040" i="6"/>
  <c r="Q1041" i="6" l="1"/>
  <c r="R1040" i="6"/>
  <c r="M1040" i="6" s="1"/>
  <c r="S1040" i="6" s="1"/>
  <c r="N1041" i="6"/>
  <c r="O1042" i="6"/>
  <c r="P1042" i="6" s="1"/>
  <c r="Q1042" i="6" l="1"/>
  <c r="R1041" i="6"/>
  <c r="M1041" i="6" s="1"/>
  <c r="S1041" i="6" s="1"/>
  <c r="N1042" i="6"/>
  <c r="O1043" i="6"/>
  <c r="P1043" i="6" s="1"/>
  <c r="Q1043" i="6" l="1"/>
  <c r="R1042" i="6"/>
  <c r="M1042" i="6" s="1"/>
  <c r="S1042" i="6" s="1"/>
  <c r="N1043" i="6"/>
  <c r="O1044" i="6"/>
  <c r="P1044" i="6" s="1"/>
  <c r="Q1044" i="6" l="1"/>
  <c r="R1043" i="6"/>
  <c r="M1043" i="6" s="1"/>
  <c r="S1043" i="6" s="1"/>
  <c r="N1044" i="6"/>
  <c r="O1045" i="6"/>
  <c r="P1045" i="6" s="1"/>
  <c r="Q1045" i="6" l="1"/>
  <c r="R1044" i="6"/>
  <c r="M1044" i="6" s="1"/>
  <c r="S1044" i="6" s="1"/>
  <c r="N1045" i="6"/>
  <c r="O1046" i="6"/>
  <c r="P1046" i="6" s="1"/>
  <c r="Q1046" i="6" l="1"/>
  <c r="R1045" i="6"/>
  <c r="M1045" i="6" s="1"/>
  <c r="S1045" i="6" s="1"/>
  <c r="O1047" i="6"/>
  <c r="P1047" i="6" s="1"/>
  <c r="N1046" i="6"/>
  <c r="Q1047" i="6" l="1"/>
  <c r="R1046" i="6"/>
  <c r="M1046" i="6" s="1"/>
  <c r="S1046" i="6" s="1"/>
  <c r="O1048" i="6"/>
  <c r="P1048" i="6" s="1"/>
  <c r="N1047" i="6"/>
  <c r="Q1048" i="6" l="1"/>
  <c r="R1047" i="6"/>
  <c r="M1047" i="6" s="1"/>
  <c r="S1047" i="6" s="1"/>
  <c r="O1049" i="6"/>
  <c r="P1049" i="6" s="1"/>
  <c r="N1048" i="6"/>
  <c r="Q1049" i="6" l="1"/>
  <c r="R1048" i="6"/>
  <c r="M1048" i="6" s="1"/>
  <c r="S1048" i="6" s="1"/>
  <c r="N1049" i="6"/>
  <c r="O1050" i="6"/>
  <c r="P1050" i="6" s="1"/>
  <c r="Q1050" i="6" l="1"/>
  <c r="R1049" i="6"/>
  <c r="M1049" i="6" s="1"/>
  <c r="S1049" i="6" s="1"/>
  <c r="N1050" i="6"/>
  <c r="O1051" i="6"/>
  <c r="P1051" i="6" s="1"/>
  <c r="Q1051" i="6" l="1"/>
  <c r="R1050" i="6"/>
  <c r="M1050" i="6" s="1"/>
  <c r="S1050" i="6" s="1"/>
  <c r="O1052" i="6"/>
  <c r="P1052" i="6" s="1"/>
  <c r="N1051" i="6"/>
  <c r="Q1052" i="6" l="1"/>
  <c r="R1051" i="6"/>
  <c r="M1051" i="6" s="1"/>
  <c r="S1051" i="6" s="1"/>
  <c r="N1052" i="6"/>
  <c r="O1053" i="6"/>
  <c r="P1053" i="6" s="1"/>
  <c r="Q1053" i="6" l="1"/>
  <c r="R1052" i="6"/>
  <c r="M1052" i="6" s="1"/>
  <c r="S1052" i="6" s="1"/>
  <c r="O1054" i="6"/>
  <c r="P1054" i="6" s="1"/>
  <c r="N1053" i="6"/>
  <c r="Q1054" i="6" l="1"/>
  <c r="R1053" i="6"/>
  <c r="M1053" i="6" s="1"/>
  <c r="S1053" i="6" s="1"/>
  <c r="N1054" i="6"/>
  <c r="O1055" i="6"/>
  <c r="P1055" i="6" s="1"/>
  <c r="Q1055" i="6" l="1"/>
  <c r="R1054" i="6"/>
  <c r="M1054" i="6" s="1"/>
  <c r="S1054" i="6" s="1"/>
  <c r="N1055" i="6"/>
  <c r="O1056" i="6"/>
  <c r="P1056" i="6" s="1"/>
  <c r="Q1056" i="6" l="1"/>
  <c r="R1055" i="6"/>
  <c r="M1055" i="6" s="1"/>
  <c r="S1055" i="6" s="1"/>
  <c r="O1057" i="6"/>
  <c r="P1057" i="6" s="1"/>
  <c r="N1056" i="6"/>
  <c r="Q1057" i="6" l="1"/>
  <c r="R1056" i="6"/>
  <c r="M1056" i="6" s="1"/>
  <c r="S1056" i="6" s="1"/>
  <c r="N1057" i="6"/>
  <c r="O1058" i="6"/>
  <c r="P1058" i="6" s="1"/>
  <c r="Q1058" i="6" l="1"/>
  <c r="R1057" i="6"/>
  <c r="M1057" i="6" s="1"/>
  <c r="S1057" i="6" s="1"/>
  <c r="O1059" i="6"/>
  <c r="P1059" i="6" s="1"/>
  <c r="N1058" i="6"/>
  <c r="Q1059" i="6" l="1"/>
  <c r="R1058" i="6"/>
  <c r="M1058" i="6" s="1"/>
  <c r="S1058" i="6" s="1"/>
  <c r="O1060" i="6"/>
  <c r="P1060" i="6" s="1"/>
  <c r="N1059" i="6"/>
  <c r="Q1060" i="6" l="1"/>
  <c r="R1059" i="6"/>
  <c r="M1059" i="6" s="1"/>
  <c r="S1059" i="6" s="1"/>
  <c r="N1060" i="6"/>
  <c r="O1061" i="6"/>
  <c r="P1061" i="6" s="1"/>
  <c r="Q1061" i="6" l="1"/>
  <c r="R1060" i="6"/>
  <c r="M1060" i="6" s="1"/>
  <c r="S1060" i="6" s="1"/>
  <c r="N1061" i="6"/>
  <c r="O1062" i="6"/>
  <c r="P1062" i="6" s="1"/>
  <c r="Q1062" i="6" l="1"/>
  <c r="R1061" i="6"/>
  <c r="M1061" i="6" s="1"/>
  <c r="S1061" i="6" s="1"/>
  <c r="N1062" i="6"/>
  <c r="O1063" i="6"/>
  <c r="P1063" i="6" s="1"/>
  <c r="Q1063" i="6" l="1"/>
  <c r="R1062" i="6"/>
  <c r="M1062" i="6" s="1"/>
  <c r="S1062" i="6" s="1"/>
  <c r="O1064" i="6"/>
  <c r="P1064" i="6" s="1"/>
  <c r="N1063" i="6"/>
  <c r="Q1064" i="6" l="1"/>
  <c r="R1063" i="6"/>
  <c r="M1063" i="6" s="1"/>
  <c r="S1063" i="6" s="1"/>
  <c r="N1064" i="6"/>
  <c r="O1065" i="6"/>
  <c r="P1065" i="6" s="1"/>
  <c r="Q1065" i="6" l="1"/>
  <c r="R1064" i="6"/>
  <c r="M1064" i="6" s="1"/>
  <c r="S1064" i="6" s="1"/>
  <c r="N1065" i="6"/>
  <c r="O1066" i="6"/>
  <c r="P1066" i="6" s="1"/>
  <c r="Q1066" i="6" l="1"/>
  <c r="R1065" i="6"/>
  <c r="M1065" i="6" s="1"/>
  <c r="S1065" i="6" s="1"/>
  <c r="N1066" i="6"/>
  <c r="O1067" i="6"/>
  <c r="P1067" i="6" s="1"/>
  <c r="Q1067" i="6" l="1"/>
  <c r="R1066" i="6"/>
  <c r="M1066" i="6" s="1"/>
  <c r="S1066" i="6" s="1"/>
  <c r="O1068" i="6"/>
  <c r="P1068" i="6" s="1"/>
  <c r="N1067" i="6"/>
  <c r="Q1068" i="6" l="1"/>
  <c r="R1067" i="6"/>
  <c r="M1067" i="6" s="1"/>
  <c r="S1067" i="6" s="1"/>
  <c r="O1069" i="6"/>
  <c r="P1069" i="6" s="1"/>
  <c r="N1068" i="6"/>
  <c r="Q1069" i="6" l="1"/>
  <c r="R1068" i="6"/>
  <c r="M1068" i="6" s="1"/>
  <c r="S1068" i="6" s="1"/>
  <c r="O1070" i="6"/>
  <c r="P1070" i="6" s="1"/>
  <c r="N1069" i="6"/>
  <c r="Q1070" i="6" l="1"/>
  <c r="R1069" i="6"/>
  <c r="M1069" i="6" s="1"/>
  <c r="S1069" i="6" s="1"/>
  <c r="N1070" i="6"/>
  <c r="O1071" i="6"/>
  <c r="P1071" i="6" s="1"/>
  <c r="Q1071" i="6" l="1"/>
  <c r="R1070" i="6"/>
  <c r="M1070" i="6" s="1"/>
  <c r="S1070" i="6" s="1"/>
  <c r="N1071" i="6"/>
  <c r="O1072" i="6"/>
  <c r="P1072" i="6" s="1"/>
  <c r="Q1072" i="6" l="1"/>
  <c r="R1071" i="6"/>
  <c r="M1071" i="6" s="1"/>
  <c r="S1071" i="6" s="1"/>
  <c r="N1072" i="6"/>
  <c r="O1073" i="6"/>
  <c r="P1073" i="6" s="1"/>
  <c r="Q1073" i="6" l="1"/>
  <c r="R1072" i="6"/>
  <c r="M1072" i="6" s="1"/>
  <c r="S1072" i="6" s="1"/>
  <c r="N1073" i="6"/>
  <c r="O1074" i="6"/>
  <c r="P1074" i="6" s="1"/>
  <c r="Q1074" i="6" l="1"/>
  <c r="R1073" i="6"/>
  <c r="M1073" i="6" s="1"/>
  <c r="S1073" i="6" s="1"/>
  <c r="N1074" i="6"/>
  <c r="O1075" i="6"/>
  <c r="P1075" i="6" s="1"/>
  <c r="Q1075" i="6" l="1"/>
  <c r="R1074" i="6"/>
  <c r="M1074" i="6" s="1"/>
  <c r="S1074" i="6" s="1"/>
  <c r="O1076" i="6"/>
  <c r="P1076" i="6" s="1"/>
  <c r="N1075" i="6"/>
  <c r="Q1076" i="6" l="1"/>
  <c r="R1075" i="6"/>
  <c r="M1075" i="6" s="1"/>
  <c r="S1075" i="6" s="1"/>
  <c r="O1077" i="6"/>
  <c r="P1077" i="6" s="1"/>
  <c r="N1076" i="6"/>
  <c r="Q1077" i="6" l="1"/>
  <c r="R1076" i="6"/>
  <c r="M1076" i="6" s="1"/>
  <c r="S1076" i="6" s="1"/>
  <c r="O1078" i="6"/>
  <c r="P1078" i="6" s="1"/>
  <c r="N1077" i="6"/>
  <c r="Q1078" i="6" l="1"/>
  <c r="R1077" i="6"/>
  <c r="M1077" i="6" s="1"/>
  <c r="S1077" i="6" s="1"/>
  <c r="N1078" i="6"/>
  <c r="O1079" i="6"/>
  <c r="P1079" i="6" s="1"/>
  <c r="Q1079" i="6" l="1"/>
  <c r="R1078" i="6"/>
  <c r="M1078" i="6" s="1"/>
  <c r="S1078" i="6" s="1"/>
  <c r="N1079" i="6"/>
  <c r="O1080" i="6"/>
  <c r="P1080" i="6" s="1"/>
  <c r="Q1080" i="6" l="1"/>
  <c r="R1079" i="6"/>
  <c r="M1079" i="6" s="1"/>
  <c r="S1079" i="6" s="1"/>
  <c r="N1080" i="6"/>
  <c r="O1081" i="6"/>
  <c r="P1081" i="6" s="1"/>
  <c r="Q1081" i="6" l="1"/>
  <c r="R1080" i="6"/>
  <c r="M1080" i="6" s="1"/>
  <c r="S1080" i="6" s="1"/>
  <c r="N1081" i="6"/>
  <c r="O1082" i="6"/>
  <c r="P1082" i="6" s="1"/>
  <c r="Q1082" i="6" l="1"/>
  <c r="R1081" i="6"/>
  <c r="M1081" i="6" s="1"/>
  <c r="S1081" i="6" s="1"/>
  <c r="O1083" i="6"/>
  <c r="P1083" i="6" s="1"/>
  <c r="N1082" i="6"/>
  <c r="Q1083" i="6" l="1"/>
  <c r="R1082" i="6"/>
  <c r="M1082" i="6" s="1"/>
  <c r="S1082" i="6" s="1"/>
  <c r="O1084" i="6"/>
  <c r="P1084" i="6" s="1"/>
  <c r="N1083" i="6"/>
  <c r="Q1084" i="6" l="1"/>
  <c r="R1083" i="6"/>
  <c r="M1083" i="6" s="1"/>
  <c r="S1083" i="6" s="1"/>
  <c r="N1084" i="6"/>
  <c r="O1085" i="6"/>
  <c r="P1085" i="6" s="1"/>
  <c r="Q1085" i="6" l="1"/>
  <c r="R1084" i="6"/>
  <c r="M1084" i="6" s="1"/>
  <c r="S1084" i="6" s="1"/>
  <c r="N1085" i="6"/>
  <c r="O1086" i="6"/>
  <c r="P1086" i="6" s="1"/>
  <c r="Q1086" i="6" l="1"/>
  <c r="R1085" i="6"/>
  <c r="M1085" i="6" s="1"/>
  <c r="S1085" i="6" s="1"/>
  <c r="O1087" i="6"/>
  <c r="P1087" i="6" s="1"/>
  <c r="N1086" i="6"/>
  <c r="Q1087" i="6" l="1"/>
  <c r="R1086" i="6"/>
  <c r="M1086" i="6" s="1"/>
  <c r="S1086" i="6" s="1"/>
  <c r="O1088" i="6"/>
  <c r="P1088" i="6" s="1"/>
  <c r="N1087" i="6"/>
  <c r="Q1088" i="6" l="1"/>
  <c r="R1087" i="6"/>
  <c r="M1087" i="6" s="1"/>
  <c r="S1087" i="6" s="1"/>
  <c r="N1088" i="6"/>
  <c r="O1089" i="6"/>
  <c r="P1089" i="6" s="1"/>
  <c r="Q1089" i="6" l="1"/>
  <c r="R1088" i="6"/>
  <c r="M1088" i="6" s="1"/>
  <c r="S1088" i="6" s="1"/>
  <c r="N1089" i="6"/>
  <c r="O1090" i="6"/>
  <c r="P1090" i="6" s="1"/>
  <c r="Q1090" i="6" l="1"/>
  <c r="R1089" i="6"/>
  <c r="M1089" i="6" s="1"/>
  <c r="S1089" i="6" s="1"/>
  <c r="N1090" i="6"/>
  <c r="O1091" i="6"/>
  <c r="P1091" i="6" s="1"/>
  <c r="Q1091" i="6" l="1"/>
  <c r="R1090" i="6"/>
  <c r="M1090" i="6" s="1"/>
  <c r="S1090" i="6" s="1"/>
  <c r="N1091" i="6"/>
  <c r="O1092" i="6"/>
  <c r="P1092" i="6" s="1"/>
  <c r="Q1092" i="6" l="1"/>
  <c r="R1091" i="6"/>
  <c r="M1091" i="6" s="1"/>
  <c r="S1091" i="6" s="1"/>
  <c r="N1092" i="6"/>
  <c r="O1093" i="6"/>
  <c r="P1093" i="6" s="1"/>
  <c r="Q1093" i="6" l="1"/>
  <c r="R1092" i="6"/>
  <c r="M1092" i="6" s="1"/>
  <c r="S1092" i="6" s="1"/>
  <c r="N1093" i="6"/>
  <c r="O1094" i="6"/>
  <c r="P1094" i="6" s="1"/>
  <c r="Q1094" i="6" l="1"/>
  <c r="R1093" i="6"/>
  <c r="M1093" i="6" s="1"/>
  <c r="S1093" i="6" s="1"/>
  <c r="O1095" i="6"/>
  <c r="P1095" i="6" s="1"/>
  <c r="N1094" i="6"/>
  <c r="Q1095" i="6" l="1"/>
  <c r="R1094" i="6"/>
  <c r="M1094" i="6" s="1"/>
  <c r="S1094" i="6" s="1"/>
  <c r="O1096" i="6"/>
  <c r="P1096" i="6" s="1"/>
  <c r="N1095" i="6"/>
  <c r="Q1096" i="6" l="1"/>
  <c r="R1095" i="6"/>
  <c r="M1095" i="6" s="1"/>
  <c r="S1095" i="6" s="1"/>
  <c r="N1096" i="6"/>
  <c r="O1097" i="6"/>
  <c r="P1097" i="6" s="1"/>
  <c r="Q1097" i="6" l="1"/>
  <c r="R1096" i="6"/>
  <c r="M1096" i="6" s="1"/>
  <c r="S1096" i="6" s="1"/>
  <c r="N1097" i="6"/>
  <c r="O1098" i="6"/>
  <c r="P1098" i="6" s="1"/>
  <c r="Q1098" i="6" l="1"/>
  <c r="R1097" i="6"/>
  <c r="M1097" i="6" s="1"/>
  <c r="S1097" i="6" s="1"/>
  <c r="O1099" i="6"/>
  <c r="P1099" i="6" s="1"/>
  <c r="N1098" i="6"/>
  <c r="Q1099" i="6" l="1"/>
  <c r="R1098" i="6"/>
  <c r="M1098" i="6" s="1"/>
  <c r="S1098" i="6" s="1"/>
  <c r="O1100" i="6"/>
  <c r="P1100" i="6" s="1"/>
  <c r="N1099" i="6"/>
  <c r="Q1100" i="6" l="1"/>
  <c r="R1099" i="6"/>
  <c r="M1099" i="6" s="1"/>
  <c r="S1099" i="6" s="1"/>
  <c r="N1100" i="6"/>
  <c r="O1101" i="6"/>
  <c r="P1101" i="6" s="1"/>
  <c r="Q1101" i="6" l="1"/>
  <c r="R1100" i="6"/>
  <c r="M1100" i="6" s="1"/>
  <c r="S1100" i="6" s="1"/>
  <c r="N1101" i="6"/>
  <c r="O1102" i="6"/>
  <c r="P1102" i="6" s="1"/>
  <c r="Q1102" i="6" l="1"/>
  <c r="R1101" i="6"/>
  <c r="M1101" i="6" s="1"/>
  <c r="S1101" i="6" s="1"/>
  <c r="O1103" i="6"/>
  <c r="P1103" i="6" s="1"/>
  <c r="N1102" i="6"/>
  <c r="Q1103" i="6" l="1"/>
  <c r="R1102" i="6"/>
  <c r="M1102" i="6" s="1"/>
  <c r="S1102" i="6" s="1"/>
  <c r="O1104" i="6"/>
  <c r="P1104" i="6" s="1"/>
  <c r="N1103" i="6"/>
  <c r="Q1104" i="6" l="1"/>
  <c r="R1103" i="6"/>
  <c r="M1103" i="6" s="1"/>
  <c r="S1103" i="6" s="1"/>
  <c r="N1104" i="6"/>
  <c r="O1105" i="6"/>
  <c r="P1105" i="6" s="1"/>
  <c r="Q1105" i="6" l="1"/>
  <c r="R1104" i="6"/>
  <c r="M1104" i="6" s="1"/>
  <c r="S1104" i="6" s="1"/>
  <c r="O1106" i="6"/>
  <c r="P1106" i="6" s="1"/>
  <c r="N1105" i="6"/>
  <c r="Q1106" i="6" l="1"/>
  <c r="R1105" i="6"/>
  <c r="M1105" i="6" s="1"/>
  <c r="S1105" i="6" s="1"/>
  <c r="N1106" i="6"/>
  <c r="O1107" i="6"/>
  <c r="P1107" i="6" s="1"/>
  <c r="Q1107" i="6" l="1"/>
  <c r="R1106" i="6"/>
  <c r="M1106" i="6" s="1"/>
  <c r="S1106" i="6" s="1"/>
  <c r="N1107" i="6"/>
  <c r="O1108" i="6"/>
  <c r="P1108" i="6" s="1"/>
  <c r="Q1108" i="6" l="1"/>
  <c r="R1107" i="6"/>
  <c r="M1107" i="6" s="1"/>
  <c r="S1107" i="6" s="1"/>
  <c r="N1108" i="6"/>
  <c r="O1109" i="6"/>
  <c r="P1109" i="6" s="1"/>
  <c r="Q1109" i="6" l="1"/>
  <c r="R1108" i="6"/>
  <c r="M1108" i="6" s="1"/>
  <c r="S1108" i="6" s="1"/>
  <c r="N1109" i="6"/>
  <c r="O1110" i="6"/>
  <c r="P1110" i="6" s="1"/>
  <c r="Q1110" i="6" l="1"/>
  <c r="R1109" i="6"/>
  <c r="M1109" i="6" s="1"/>
  <c r="S1109" i="6" s="1"/>
  <c r="O1111" i="6"/>
  <c r="P1111" i="6" s="1"/>
  <c r="N1110" i="6"/>
  <c r="Q1111" i="6" l="1"/>
  <c r="R1110" i="6"/>
  <c r="M1110" i="6" s="1"/>
  <c r="S1110" i="6" s="1"/>
  <c r="O1112" i="6"/>
  <c r="P1112" i="6" s="1"/>
  <c r="N1111" i="6"/>
  <c r="Q1112" i="6" l="1"/>
  <c r="R1111" i="6"/>
  <c r="M1111" i="6" s="1"/>
  <c r="S1111" i="6" s="1"/>
  <c r="N1112" i="6"/>
  <c r="O1113" i="6"/>
  <c r="P1113" i="6" s="1"/>
  <c r="Q1113" i="6" l="1"/>
  <c r="R1112" i="6"/>
  <c r="M1112" i="6" s="1"/>
  <c r="S1112" i="6" s="1"/>
  <c r="N1113" i="6"/>
  <c r="O1114" i="6"/>
  <c r="P1114" i="6" s="1"/>
  <c r="Q1114" i="6" l="1"/>
  <c r="R1113" i="6"/>
  <c r="M1113" i="6" s="1"/>
  <c r="S1113" i="6" s="1"/>
  <c r="O1115" i="6"/>
  <c r="P1115" i="6" s="1"/>
  <c r="N1114" i="6"/>
  <c r="Q1115" i="6" l="1"/>
  <c r="R1114" i="6"/>
  <c r="M1114" i="6" s="1"/>
  <c r="S1114" i="6" s="1"/>
  <c r="O1116" i="6"/>
  <c r="P1116" i="6" s="1"/>
  <c r="N1115" i="6"/>
  <c r="Q1116" i="6" l="1"/>
  <c r="R1115" i="6"/>
  <c r="M1115" i="6" s="1"/>
  <c r="S1115" i="6" s="1"/>
  <c r="N1116" i="6"/>
  <c r="O1117" i="6"/>
  <c r="P1117" i="6" s="1"/>
  <c r="Q1117" i="6" l="1"/>
  <c r="R1116" i="6"/>
  <c r="M1116" i="6" s="1"/>
  <c r="S1116" i="6" s="1"/>
  <c r="N1117" i="6"/>
  <c r="O1118" i="6"/>
  <c r="P1118" i="6" s="1"/>
  <c r="Q1118" i="6" l="1"/>
  <c r="R1117" i="6"/>
  <c r="M1117" i="6" s="1"/>
  <c r="S1117" i="6" s="1"/>
  <c r="O1119" i="6"/>
  <c r="P1119" i="6" s="1"/>
  <c r="N1118" i="6"/>
  <c r="Q1119" i="6" l="1"/>
  <c r="R1118" i="6"/>
  <c r="M1118" i="6" s="1"/>
  <c r="S1118" i="6" s="1"/>
  <c r="N1119" i="6"/>
  <c r="O1120" i="6"/>
  <c r="P1120" i="6" s="1"/>
  <c r="Q1120" i="6" l="1"/>
  <c r="R1119" i="6"/>
  <c r="M1119" i="6" s="1"/>
  <c r="S1119" i="6" s="1"/>
  <c r="N1120" i="6"/>
  <c r="O1121" i="6"/>
  <c r="P1121" i="6" s="1"/>
  <c r="Q1121" i="6" l="1"/>
  <c r="R1120" i="6"/>
  <c r="M1120" i="6" s="1"/>
  <c r="S1120" i="6" s="1"/>
  <c r="O1122" i="6"/>
  <c r="P1122" i="6" s="1"/>
  <c r="N1121" i="6"/>
  <c r="Q1122" i="6" l="1"/>
  <c r="R1121" i="6"/>
  <c r="M1121" i="6" s="1"/>
  <c r="S1121" i="6" s="1"/>
  <c r="N1122" i="6"/>
  <c r="O1123" i="6"/>
  <c r="P1123" i="6" s="1"/>
  <c r="Q1123" i="6" l="1"/>
  <c r="R1122" i="6"/>
  <c r="M1122" i="6" s="1"/>
  <c r="S1122" i="6" s="1"/>
  <c r="N1123" i="6"/>
  <c r="O1124" i="6"/>
  <c r="P1124" i="6" s="1"/>
  <c r="Q1124" i="6" l="1"/>
  <c r="R1123" i="6"/>
  <c r="M1123" i="6" s="1"/>
  <c r="S1123" i="6" s="1"/>
  <c r="N1124" i="6"/>
  <c r="O1125" i="6"/>
  <c r="P1125" i="6" s="1"/>
  <c r="Q1125" i="6" l="1"/>
  <c r="R1124" i="6"/>
  <c r="M1124" i="6" s="1"/>
  <c r="S1124" i="6" s="1"/>
  <c r="N1125" i="6"/>
  <c r="O1126" i="6"/>
  <c r="P1126" i="6" s="1"/>
  <c r="Q1126" i="6" l="1"/>
  <c r="R1125" i="6"/>
  <c r="M1125" i="6" s="1"/>
  <c r="S1125" i="6" s="1"/>
  <c r="O1127" i="6"/>
  <c r="P1127" i="6" s="1"/>
  <c r="N1126" i="6"/>
  <c r="Q1127" i="6" l="1"/>
  <c r="R1126" i="6"/>
  <c r="M1126" i="6" s="1"/>
  <c r="S1126" i="6" s="1"/>
  <c r="N1127" i="6"/>
  <c r="O1128" i="6"/>
  <c r="P1128" i="6" s="1"/>
  <c r="Q1128" i="6" l="1"/>
  <c r="R1127" i="6"/>
  <c r="M1127" i="6" s="1"/>
  <c r="S1127" i="6" s="1"/>
  <c r="N1128" i="6"/>
  <c r="O1129" i="6"/>
  <c r="P1129" i="6" s="1"/>
  <c r="Q1129" i="6" l="1"/>
  <c r="R1128" i="6"/>
  <c r="M1128" i="6" s="1"/>
  <c r="S1128" i="6" s="1"/>
  <c r="N1129" i="6"/>
  <c r="O1130" i="6"/>
  <c r="P1130" i="6" s="1"/>
  <c r="Q1130" i="6" l="1"/>
  <c r="R1129" i="6"/>
  <c r="M1129" i="6" s="1"/>
  <c r="S1129" i="6" s="1"/>
  <c r="O1131" i="6"/>
  <c r="P1131" i="6" s="1"/>
  <c r="N1130" i="6"/>
  <c r="Q1131" i="6" l="1"/>
  <c r="R1130" i="6"/>
  <c r="M1130" i="6" s="1"/>
  <c r="S1130" i="6" s="1"/>
  <c r="O1132" i="6"/>
  <c r="P1132" i="6" s="1"/>
  <c r="N1131" i="6"/>
  <c r="Q1132" i="6" l="1"/>
  <c r="R1131" i="6"/>
  <c r="M1131" i="6" s="1"/>
  <c r="S1131" i="6" s="1"/>
  <c r="N1132" i="6"/>
  <c r="O1133" i="6"/>
  <c r="P1133" i="6" s="1"/>
  <c r="Q1133" i="6" l="1"/>
  <c r="R1132" i="6"/>
  <c r="M1132" i="6" s="1"/>
  <c r="S1132" i="6" s="1"/>
  <c r="N1133" i="6"/>
  <c r="O1134" i="6"/>
  <c r="P1134" i="6" s="1"/>
  <c r="Q1134" i="6" l="1"/>
  <c r="R1133" i="6"/>
  <c r="M1133" i="6" s="1"/>
  <c r="S1133" i="6" s="1"/>
  <c r="N1134" i="6"/>
  <c r="O1135" i="6"/>
  <c r="P1135" i="6" s="1"/>
  <c r="Q1135" i="6" l="1"/>
  <c r="R1134" i="6"/>
  <c r="M1134" i="6" s="1"/>
  <c r="S1134" i="6" s="1"/>
  <c r="N1135" i="6"/>
  <c r="O1136" i="6"/>
  <c r="P1136" i="6" s="1"/>
  <c r="Q1136" i="6" l="1"/>
  <c r="R1135" i="6"/>
  <c r="M1135" i="6" s="1"/>
  <c r="S1135" i="6" s="1"/>
  <c r="N1136" i="6"/>
  <c r="O1137" i="6"/>
  <c r="P1137" i="6" s="1"/>
  <c r="Q1137" i="6" l="1"/>
  <c r="R1136" i="6"/>
  <c r="M1136" i="6" s="1"/>
  <c r="S1136" i="6" s="1"/>
  <c r="N1137" i="6"/>
  <c r="O1138" i="6"/>
  <c r="P1138" i="6" s="1"/>
  <c r="Q1138" i="6" l="1"/>
  <c r="R1137" i="6"/>
  <c r="M1137" i="6" s="1"/>
  <c r="S1137" i="6" s="1"/>
  <c r="N1138" i="6"/>
  <c r="O1139" i="6"/>
  <c r="P1139" i="6" s="1"/>
  <c r="Q1139" i="6" l="1"/>
  <c r="R1138" i="6"/>
  <c r="M1138" i="6" s="1"/>
  <c r="S1138" i="6" s="1"/>
  <c r="N1139" i="6"/>
  <c r="O1140" i="6"/>
  <c r="P1140" i="6" s="1"/>
  <c r="Q1140" i="6" l="1"/>
  <c r="R1139" i="6"/>
  <c r="M1139" i="6" s="1"/>
  <c r="S1139" i="6" s="1"/>
  <c r="N1140" i="6"/>
  <c r="O1141" i="6"/>
  <c r="P1141" i="6" s="1"/>
  <c r="Q1141" i="6" l="1"/>
  <c r="R1140" i="6"/>
  <c r="M1140" i="6" s="1"/>
  <c r="S1140" i="6" s="1"/>
  <c r="N1141" i="6"/>
  <c r="O1142" i="6"/>
  <c r="P1142" i="6" s="1"/>
  <c r="Q1142" i="6" l="1"/>
  <c r="R1141" i="6"/>
  <c r="M1141" i="6" s="1"/>
  <c r="S1141" i="6" s="1"/>
  <c r="O1143" i="6"/>
  <c r="P1143" i="6" s="1"/>
  <c r="N1142" i="6"/>
  <c r="Q1143" i="6" l="1"/>
  <c r="R1142" i="6"/>
  <c r="M1142" i="6" s="1"/>
  <c r="S1142" i="6" s="1"/>
  <c r="O1144" i="6"/>
  <c r="P1144" i="6" s="1"/>
  <c r="N1143" i="6"/>
  <c r="Q1144" i="6" l="1"/>
  <c r="R1143" i="6"/>
  <c r="M1143" i="6" s="1"/>
  <c r="S1143" i="6" s="1"/>
  <c r="N1144" i="6"/>
  <c r="O1145" i="6"/>
  <c r="P1145" i="6" s="1"/>
  <c r="Q1145" i="6" l="1"/>
  <c r="R1144" i="6"/>
  <c r="M1144" i="6" s="1"/>
  <c r="S1144" i="6" s="1"/>
  <c r="N1145" i="6"/>
  <c r="O1146" i="6"/>
  <c r="P1146" i="6" s="1"/>
  <c r="Q1146" i="6" l="1"/>
  <c r="R1145" i="6"/>
  <c r="M1145" i="6" s="1"/>
  <c r="S1145" i="6" s="1"/>
  <c r="O1147" i="6"/>
  <c r="P1147" i="6" s="1"/>
  <c r="N1146" i="6"/>
  <c r="Q1147" i="6" l="1"/>
  <c r="R1146" i="6"/>
  <c r="M1146" i="6" s="1"/>
  <c r="S1146" i="6" s="1"/>
  <c r="O1148" i="6"/>
  <c r="P1148" i="6" s="1"/>
  <c r="N1147" i="6"/>
  <c r="Q1148" i="6" l="1"/>
  <c r="R1147" i="6"/>
  <c r="M1147" i="6" s="1"/>
  <c r="S1147" i="6" s="1"/>
  <c r="N1148" i="6"/>
  <c r="O1149" i="6"/>
  <c r="P1149" i="6" s="1"/>
  <c r="Q1149" i="6" l="1"/>
  <c r="R1148" i="6"/>
  <c r="M1148" i="6" s="1"/>
  <c r="S1148" i="6" s="1"/>
  <c r="N1149" i="6"/>
  <c r="O1150" i="6"/>
  <c r="P1150" i="6" s="1"/>
  <c r="Q1150" i="6" l="1"/>
  <c r="R1149" i="6"/>
  <c r="M1149" i="6" s="1"/>
  <c r="S1149" i="6" s="1"/>
  <c r="O1151" i="6"/>
  <c r="P1151" i="6" s="1"/>
  <c r="N1150" i="6"/>
  <c r="Q1151" i="6" l="1"/>
  <c r="R1150" i="6"/>
  <c r="M1150" i="6" s="1"/>
  <c r="S1150" i="6" s="1"/>
  <c r="O1152" i="6"/>
  <c r="P1152" i="6" s="1"/>
  <c r="N1151" i="6"/>
  <c r="Q1152" i="6" l="1"/>
  <c r="R1151" i="6"/>
  <c r="M1151" i="6" s="1"/>
  <c r="S1151" i="6" s="1"/>
  <c r="N1152" i="6"/>
  <c r="O1153" i="6"/>
  <c r="P1153" i="6" s="1"/>
  <c r="Q1153" i="6" l="1"/>
  <c r="R1152" i="6"/>
  <c r="M1152" i="6" s="1"/>
  <c r="S1152" i="6" s="1"/>
  <c r="O1154" i="6"/>
  <c r="P1154" i="6" s="1"/>
  <c r="N1153" i="6"/>
  <c r="Q1154" i="6" l="1"/>
  <c r="R1153" i="6"/>
  <c r="M1153" i="6" s="1"/>
  <c r="S1153" i="6" s="1"/>
  <c r="N1154" i="6"/>
  <c r="O1155" i="6"/>
  <c r="P1155" i="6" s="1"/>
  <c r="Q1155" i="6" l="1"/>
  <c r="R1154" i="6"/>
  <c r="M1154" i="6" s="1"/>
  <c r="S1154" i="6" s="1"/>
  <c r="N1155" i="6"/>
  <c r="O1156" i="6"/>
  <c r="P1156" i="6" s="1"/>
  <c r="Q1156" i="6" l="1"/>
  <c r="R1155" i="6"/>
  <c r="M1155" i="6" s="1"/>
  <c r="S1155" i="6" s="1"/>
  <c r="N1156" i="6"/>
  <c r="O1157" i="6"/>
  <c r="P1157" i="6" s="1"/>
  <c r="Q1157" i="6" l="1"/>
  <c r="R1156" i="6"/>
  <c r="M1156" i="6" s="1"/>
  <c r="S1156" i="6" s="1"/>
  <c r="O1158" i="6"/>
  <c r="P1158" i="6" s="1"/>
  <c r="N1157" i="6"/>
  <c r="Q1158" i="6" l="1"/>
  <c r="R1157" i="6"/>
  <c r="M1157" i="6" s="1"/>
  <c r="S1157" i="6" s="1"/>
  <c r="N1158" i="6"/>
  <c r="O1159" i="6"/>
  <c r="P1159" i="6" s="1"/>
  <c r="Q1159" i="6" l="1"/>
  <c r="R1158" i="6"/>
  <c r="M1158" i="6" s="1"/>
  <c r="S1158" i="6" s="1"/>
  <c r="O1160" i="6"/>
  <c r="P1160" i="6" s="1"/>
  <c r="N1159" i="6"/>
  <c r="Q1160" i="6" l="1"/>
  <c r="R1159" i="6"/>
  <c r="M1159" i="6" s="1"/>
  <c r="S1159" i="6" s="1"/>
  <c r="N1160" i="6"/>
  <c r="O1161" i="6"/>
  <c r="P1161" i="6" s="1"/>
  <c r="Q1161" i="6" l="1"/>
  <c r="R1160" i="6"/>
  <c r="M1160" i="6" s="1"/>
  <c r="S1160" i="6" s="1"/>
  <c r="N1161" i="6"/>
  <c r="O1162" i="6"/>
  <c r="P1162" i="6" s="1"/>
  <c r="Q1162" i="6" l="1"/>
  <c r="R1161" i="6"/>
  <c r="M1161" i="6" s="1"/>
  <c r="S1161" i="6" s="1"/>
  <c r="N1162" i="6"/>
  <c r="O1163" i="6"/>
  <c r="P1163" i="6" s="1"/>
  <c r="Q1163" i="6" l="1"/>
  <c r="R1162" i="6"/>
  <c r="M1162" i="6" s="1"/>
  <c r="S1162" i="6" s="1"/>
  <c r="N1163" i="6"/>
  <c r="O1164" i="6"/>
  <c r="P1164" i="6" s="1"/>
  <c r="Q1164" i="6" l="1"/>
  <c r="R1163" i="6"/>
  <c r="M1163" i="6" s="1"/>
  <c r="S1163" i="6" s="1"/>
  <c r="O1165" i="6"/>
  <c r="P1165" i="6" s="1"/>
  <c r="N1164" i="6"/>
  <c r="Q1165" i="6" l="1"/>
  <c r="R1164" i="6"/>
  <c r="M1164" i="6" s="1"/>
  <c r="S1164" i="6" s="1"/>
  <c r="N1165" i="6"/>
  <c r="O1166" i="6"/>
  <c r="P1166" i="6" s="1"/>
  <c r="Q1166" i="6" l="1"/>
  <c r="R1165" i="6"/>
  <c r="M1165" i="6" s="1"/>
  <c r="S1165" i="6" s="1"/>
  <c r="O1167" i="6"/>
  <c r="P1167" i="6" s="1"/>
  <c r="N1166" i="6"/>
  <c r="Q1167" i="6" l="1"/>
  <c r="R1166" i="6"/>
  <c r="M1166" i="6" s="1"/>
  <c r="S1166" i="6" s="1"/>
  <c r="O1168" i="6"/>
  <c r="P1168" i="6" s="1"/>
  <c r="N1167" i="6"/>
  <c r="Q1168" i="6" l="1"/>
  <c r="R1167" i="6"/>
  <c r="M1167" i="6" s="1"/>
  <c r="S1167" i="6" s="1"/>
  <c r="N1168" i="6"/>
  <c r="O1169" i="6"/>
  <c r="P1169" i="6" s="1"/>
  <c r="Q1169" i="6" l="1"/>
  <c r="R1168" i="6"/>
  <c r="M1168" i="6" s="1"/>
  <c r="S1168" i="6" s="1"/>
  <c r="O1170" i="6"/>
  <c r="P1170" i="6" s="1"/>
  <c r="N1169" i="6"/>
  <c r="Q1170" i="6" l="1"/>
  <c r="R1169" i="6"/>
  <c r="M1169" i="6" s="1"/>
  <c r="S1169" i="6" s="1"/>
  <c r="O1171" i="6"/>
  <c r="P1171" i="6" s="1"/>
  <c r="N1170" i="6"/>
  <c r="Q1171" i="6" l="1"/>
  <c r="R1170" i="6"/>
  <c r="M1170" i="6" s="1"/>
  <c r="S1170" i="6" s="1"/>
  <c r="O1172" i="6"/>
  <c r="P1172" i="6" s="1"/>
  <c r="N1171" i="6"/>
  <c r="I246" i="6"/>
  <c r="D246" i="6"/>
  <c r="H246" i="6" s="1"/>
  <c r="G246" i="6"/>
  <c r="E246" i="6"/>
  <c r="Q1172" i="6" l="1"/>
  <c r="AE246" i="6"/>
  <c r="AF246" i="6"/>
  <c r="R1171" i="6"/>
  <c r="M1171" i="6" s="1"/>
  <c r="S1171" i="6" s="1"/>
  <c r="O1173" i="6"/>
  <c r="P1173" i="6" s="1"/>
  <c r="N1172" i="6"/>
  <c r="D247" i="6"/>
  <c r="E247" i="6"/>
  <c r="G247" i="6"/>
  <c r="AF247" i="6" s="1"/>
  <c r="I247" i="6"/>
  <c r="F247" i="6"/>
  <c r="Q1173" i="6" l="1"/>
  <c r="R1172" i="6"/>
  <c r="M1172" i="6" s="1"/>
  <c r="S1172" i="6" s="1"/>
  <c r="O1174" i="6"/>
  <c r="P1174" i="6" s="1"/>
  <c r="N1173" i="6"/>
  <c r="AE247" i="6"/>
  <c r="H247" i="6"/>
  <c r="Q1174" i="6" l="1"/>
  <c r="O1175" i="6"/>
  <c r="P1175" i="6" s="1"/>
  <c r="R1173" i="6"/>
  <c r="M1173" i="6" s="1"/>
  <c r="S1173" i="6" s="1"/>
  <c r="N1174" i="6"/>
  <c r="F248" i="6"/>
  <c r="D248" i="6"/>
  <c r="G248" i="6"/>
  <c r="I248" i="6"/>
  <c r="E248" i="6"/>
  <c r="Q1175" i="6" l="1"/>
  <c r="O1176" i="6"/>
  <c r="P1176" i="6" s="1"/>
  <c r="N1175" i="6"/>
  <c r="AE248" i="6"/>
  <c r="AF248" i="6"/>
  <c r="R1174" i="6"/>
  <c r="M1174" i="6" s="1"/>
  <c r="H248" i="6"/>
  <c r="D249" i="6" s="1"/>
  <c r="R1175" i="6" l="1"/>
  <c r="M1175" i="6" s="1"/>
  <c r="S1175" i="6" s="1"/>
  <c r="Q1176" i="6"/>
  <c r="O1177" i="6"/>
  <c r="P1177" i="6" s="1"/>
  <c r="N1176" i="6"/>
  <c r="S1174" i="6"/>
  <c r="G249" i="6"/>
  <c r="I249" i="6"/>
  <c r="F249" i="6"/>
  <c r="E249" i="6"/>
  <c r="R1176" i="6" l="1"/>
  <c r="M1176" i="6" s="1"/>
  <c r="S1176" i="6" s="1"/>
  <c r="Q1177" i="6"/>
  <c r="N1177" i="6"/>
  <c r="O1178" i="6"/>
  <c r="P1178" i="6" s="1"/>
  <c r="AE249" i="6"/>
  <c r="AF249" i="6"/>
  <c r="H249" i="6"/>
  <c r="D250" i="6" s="1"/>
  <c r="G250" i="6"/>
  <c r="F250" i="6"/>
  <c r="I250" i="6"/>
  <c r="E250" i="6"/>
  <c r="R1177" i="6" l="1"/>
  <c r="M1177" i="6" s="1"/>
  <c r="S1177" i="6" s="1"/>
  <c r="Q1178" i="6"/>
  <c r="N1178" i="6"/>
  <c r="O1179" i="6"/>
  <c r="P1179" i="6" s="1"/>
  <c r="AE250" i="6"/>
  <c r="AF250" i="6"/>
  <c r="H250" i="6"/>
  <c r="R1178" i="6" l="1"/>
  <c r="M1178" i="6" s="1"/>
  <c r="S1178" i="6" s="1"/>
  <c r="Q1179" i="6"/>
  <c r="O1180" i="6"/>
  <c r="P1180" i="6" s="1"/>
  <c r="N1179" i="6"/>
  <c r="D251" i="6"/>
  <c r="E251" i="6"/>
  <c r="F251" i="6"/>
  <c r="I251" i="6"/>
  <c r="G251" i="6"/>
  <c r="R1179" i="6" l="1"/>
  <c r="M1179" i="6" s="1"/>
  <c r="S1179" i="6" s="1"/>
  <c r="Q1180" i="6"/>
  <c r="N1180" i="6"/>
  <c r="O1181" i="6"/>
  <c r="P1181" i="6" s="1"/>
  <c r="AE251" i="6"/>
  <c r="AF251" i="6"/>
  <c r="H251" i="6"/>
  <c r="D252" i="6" s="1"/>
  <c r="G252" i="6"/>
  <c r="R1180" i="6" l="1"/>
  <c r="M1180" i="6" s="1"/>
  <c r="S1180" i="6" s="1"/>
  <c r="Q1181" i="6"/>
  <c r="O1182" i="6"/>
  <c r="P1182" i="6" s="1"/>
  <c r="N1181" i="6"/>
  <c r="AE252" i="6"/>
  <c r="AF252" i="6"/>
  <c r="I252" i="6"/>
  <c r="F252" i="6"/>
  <c r="E252" i="6"/>
  <c r="H252" i="6"/>
  <c r="D253" i="6" s="1"/>
  <c r="F253" i="6"/>
  <c r="I253" i="6"/>
  <c r="R1181" i="6" l="1"/>
  <c r="M1181" i="6" s="1"/>
  <c r="S1181" i="6" s="1"/>
  <c r="Q1182" i="6"/>
  <c r="N1182" i="6"/>
  <c r="O1183" i="6"/>
  <c r="P1183" i="6" s="1"/>
  <c r="E253" i="6"/>
  <c r="G253" i="6"/>
  <c r="R1182" i="6" l="1"/>
  <c r="M1182" i="6" s="1"/>
  <c r="S1182" i="6" s="1"/>
  <c r="Q1183" i="6"/>
  <c r="N1183" i="6"/>
  <c r="O1184" i="6"/>
  <c r="P1184" i="6" s="1"/>
  <c r="AE253" i="6"/>
  <c r="AF253" i="6"/>
  <c r="H253" i="6"/>
  <c r="R1183" i="6" l="1"/>
  <c r="M1183" i="6" s="1"/>
  <c r="S1183" i="6" s="1"/>
  <c r="Q1184" i="6"/>
  <c r="N1184" i="6"/>
  <c r="O1185" i="6"/>
  <c r="P1185" i="6" s="1"/>
  <c r="E254" i="6"/>
  <c r="G254" i="6"/>
  <c r="I254" i="6"/>
  <c r="F254" i="6"/>
  <c r="D254" i="6"/>
  <c r="R1184" i="6" l="1"/>
  <c r="M1184" i="6" s="1"/>
  <c r="S1184" i="6" s="1"/>
  <c r="Q1185" i="6"/>
  <c r="N1185" i="6"/>
  <c r="O1186" i="6"/>
  <c r="P1186" i="6" s="1"/>
  <c r="AE254" i="6"/>
  <c r="AF254" i="6"/>
  <c r="H254" i="6"/>
  <c r="F255" i="6" s="1"/>
  <c r="I255" i="6"/>
  <c r="E255" i="6"/>
  <c r="G255" i="6"/>
  <c r="R1185" i="6" l="1"/>
  <c r="M1185" i="6" s="1"/>
  <c r="S1185" i="6" s="1"/>
  <c r="Q1186" i="6"/>
  <c r="N1186" i="6"/>
  <c r="O1187" i="6"/>
  <c r="P1187" i="6" s="1"/>
  <c r="AE255" i="6"/>
  <c r="AF255" i="6"/>
  <c r="D255" i="6"/>
  <c r="H255" i="6" s="1"/>
  <c r="R1186" i="6" l="1"/>
  <c r="M1186" i="6" s="1"/>
  <c r="S1186" i="6" s="1"/>
  <c r="Q1187" i="6"/>
  <c r="N1187" i="6"/>
  <c r="O1188" i="6"/>
  <c r="P1188" i="6" s="1"/>
  <c r="F256" i="6"/>
  <c r="G256" i="6"/>
  <c r="I256" i="6"/>
  <c r="E256" i="6"/>
  <c r="D256" i="6"/>
  <c r="R1187" i="6" l="1"/>
  <c r="M1187" i="6" s="1"/>
  <c r="S1187" i="6" s="1"/>
  <c r="Q1188" i="6"/>
  <c r="N1188" i="6"/>
  <c r="O1189" i="6"/>
  <c r="P1189" i="6" s="1"/>
  <c r="AE256" i="6"/>
  <c r="AF256" i="6"/>
  <c r="H256" i="6"/>
  <c r="R1188" i="6" l="1"/>
  <c r="M1188" i="6" s="1"/>
  <c r="S1188" i="6" s="1"/>
  <c r="Q1189" i="6"/>
  <c r="N1189" i="6"/>
  <c r="O1190" i="6"/>
  <c r="P1190" i="6" s="1"/>
  <c r="D257" i="6"/>
  <c r="I257" i="6"/>
  <c r="F257" i="6"/>
  <c r="E257" i="6"/>
  <c r="G257" i="6"/>
  <c r="R1189" i="6" l="1"/>
  <c r="M1189" i="6" s="1"/>
  <c r="S1189" i="6" s="1"/>
  <c r="Q1190" i="6"/>
  <c r="N1190" i="6"/>
  <c r="O1191" i="6"/>
  <c r="P1191" i="6" s="1"/>
  <c r="AE257" i="6"/>
  <c r="AF257" i="6"/>
  <c r="H257" i="6"/>
  <c r="R1190" i="6" l="1"/>
  <c r="M1190" i="6" s="1"/>
  <c r="S1190" i="6" s="1"/>
  <c r="Q1191" i="6"/>
  <c r="O1192" i="6"/>
  <c r="P1192" i="6" s="1"/>
  <c r="N1191" i="6"/>
  <c r="D258" i="6"/>
  <c r="E258" i="6"/>
  <c r="G258" i="6"/>
  <c r="I258" i="6"/>
  <c r="F258" i="6"/>
  <c r="R1191" i="6" l="1"/>
  <c r="M1191" i="6" s="1"/>
  <c r="S1191" i="6" s="1"/>
  <c r="Q1192" i="6"/>
  <c r="N1192" i="6"/>
  <c r="O1193" i="6"/>
  <c r="P1193" i="6" s="1"/>
  <c r="AE258" i="6"/>
  <c r="AF258" i="6"/>
  <c r="H258" i="6"/>
  <c r="R1192" i="6" l="1"/>
  <c r="M1192" i="6" s="1"/>
  <c r="S1192" i="6" s="1"/>
  <c r="Q1193" i="6"/>
  <c r="N1193" i="6"/>
  <c r="O1194" i="6"/>
  <c r="P1194" i="6" s="1"/>
  <c r="D259" i="6"/>
  <c r="E259" i="6"/>
  <c r="F259" i="6"/>
  <c r="G259" i="6"/>
  <c r="I259" i="6"/>
  <c r="R1193" i="6" l="1"/>
  <c r="M1193" i="6" s="1"/>
  <c r="S1193" i="6" s="1"/>
  <c r="Q1194" i="6"/>
  <c r="N1194" i="6"/>
  <c r="O1195" i="6"/>
  <c r="P1195" i="6" s="1"/>
  <c r="AE259" i="6"/>
  <c r="AF259" i="6"/>
  <c r="H259" i="6"/>
  <c r="I260" i="6" s="1"/>
  <c r="R1194" i="6" l="1"/>
  <c r="M1194" i="6" s="1"/>
  <c r="S1194" i="6" s="1"/>
  <c r="Q1195" i="6"/>
  <c r="N1195" i="6"/>
  <c r="O1196" i="6"/>
  <c r="P1196" i="6" s="1"/>
  <c r="E260" i="6"/>
  <c r="G260" i="6"/>
  <c r="D260" i="6"/>
  <c r="F260" i="6"/>
  <c r="R1195" i="6" l="1"/>
  <c r="M1195" i="6" s="1"/>
  <c r="S1195" i="6" s="1"/>
  <c r="Q1196" i="6"/>
  <c r="N1196" i="6"/>
  <c r="O1197" i="6"/>
  <c r="P1197" i="6" s="1"/>
  <c r="AE260" i="6"/>
  <c r="AF260" i="6"/>
  <c r="H260" i="6"/>
  <c r="R1196" i="6" l="1"/>
  <c r="M1196" i="6" s="1"/>
  <c r="S1196" i="6" s="1"/>
  <c r="Q1197" i="6"/>
  <c r="N1197" i="6"/>
  <c r="O1198" i="6"/>
  <c r="P1198" i="6" s="1"/>
  <c r="F261" i="6"/>
  <c r="D261" i="6"/>
  <c r="G261" i="6"/>
  <c r="I261" i="6"/>
  <c r="E261" i="6"/>
  <c r="R1197" i="6" l="1"/>
  <c r="M1197" i="6" s="1"/>
  <c r="S1197" i="6" s="1"/>
  <c r="Q1198" i="6"/>
  <c r="N1198" i="6"/>
  <c r="O1199" i="6"/>
  <c r="P1199" i="6" s="1"/>
  <c r="AE261" i="6"/>
  <c r="AF261" i="6"/>
  <c r="H261" i="6"/>
  <c r="G262" i="6" s="1"/>
  <c r="F262" i="6"/>
  <c r="I262" i="6"/>
  <c r="E262" i="6"/>
  <c r="D262" i="6"/>
  <c r="R1198" i="6" l="1"/>
  <c r="M1198" i="6" s="1"/>
  <c r="S1198" i="6" s="1"/>
  <c r="Q1199" i="6"/>
  <c r="N1199" i="6"/>
  <c r="O1200" i="6"/>
  <c r="P1200" i="6" s="1"/>
  <c r="AE262" i="6"/>
  <c r="AF262" i="6"/>
  <c r="H262" i="6"/>
  <c r="I263" i="6" s="1"/>
  <c r="G263" i="6"/>
  <c r="F263" i="6"/>
  <c r="D263" i="6"/>
  <c r="H263" i="6" s="1"/>
  <c r="E263" i="6"/>
  <c r="R1199" i="6" l="1"/>
  <c r="M1199" i="6" s="1"/>
  <c r="S1199" i="6" s="1"/>
  <c r="Q1200" i="6"/>
  <c r="N1200" i="6"/>
  <c r="O1201" i="6"/>
  <c r="P1201" i="6" s="1"/>
  <c r="AE263" i="6"/>
  <c r="AF263" i="6"/>
  <c r="I264" i="6"/>
  <c r="F264" i="6"/>
  <c r="G264" i="6"/>
  <c r="D264" i="6"/>
  <c r="H264" i="6" s="1"/>
  <c r="E264" i="6"/>
  <c r="R1200" i="6" l="1"/>
  <c r="M1200" i="6" s="1"/>
  <c r="S1200" i="6" s="1"/>
  <c r="Q1201" i="6"/>
  <c r="O1202" i="6"/>
  <c r="P1202" i="6" s="1"/>
  <c r="N1201" i="6"/>
  <c r="AE264" i="6"/>
  <c r="AF264" i="6"/>
  <c r="I265" i="6"/>
  <c r="G265" i="6"/>
  <c r="F265" i="6"/>
  <c r="D265" i="6"/>
  <c r="E265" i="6"/>
  <c r="R1201" i="6" l="1"/>
  <c r="M1201" i="6" s="1"/>
  <c r="S1201" i="6" s="1"/>
  <c r="Q1202" i="6"/>
  <c r="O1203" i="6"/>
  <c r="P1203" i="6" s="1"/>
  <c r="N1202" i="6"/>
  <c r="AE265" i="6"/>
  <c r="AF265" i="6"/>
  <c r="H265" i="6"/>
  <c r="R1202" i="6" l="1"/>
  <c r="M1202" i="6" s="1"/>
  <c r="S1202" i="6" s="1"/>
  <c r="Q1203" i="6"/>
  <c r="O1204" i="6"/>
  <c r="P1204" i="6" s="1"/>
  <c r="N1203" i="6"/>
  <c r="D266" i="6"/>
  <c r="E266" i="6"/>
  <c r="G266" i="6"/>
  <c r="I266" i="6"/>
  <c r="F266" i="6"/>
  <c r="R1203" i="6" l="1"/>
  <c r="M1203" i="6" s="1"/>
  <c r="S1203" i="6" s="1"/>
  <c r="Q1204" i="6"/>
  <c r="N1204" i="6"/>
  <c r="O1205" i="6"/>
  <c r="P1205" i="6" s="1"/>
  <c r="AE266" i="6"/>
  <c r="AF266" i="6"/>
  <c r="H266" i="6"/>
  <c r="E267" i="6" s="1"/>
  <c r="G267" i="6"/>
  <c r="F267" i="6"/>
  <c r="D267" i="6"/>
  <c r="H267" i="6" s="1"/>
  <c r="I267" i="6"/>
  <c r="R1204" i="6" l="1"/>
  <c r="M1204" i="6" s="1"/>
  <c r="S1204" i="6" s="1"/>
  <c r="Q1205" i="6"/>
  <c r="N1205" i="6"/>
  <c r="O1206" i="6"/>
  <c r="P1206" i="6" s="1"/>
  <c r="AE267" i="6"/>
  <c r="AF267" i="6"/>
  <c r="G268" i="6"/>
  <c r="D268" i="6"/>
  <c r="H268" i="6" s="1"/>
  <c r="I268" i="6"/>
  <c r="F268" i="6"/>
  <c r="E268" i="6"/>
  <c r="R1205" i="6" l="1"/>
  <c r="M1205" i="6" s="1"/>
  <c r="S1205" i="6" s="1"/>
  <c r="Q1206" i="6"/>
  <c r="N1206" i="6"/>
  <c r="O1207" i="6"/>
  <c r="P1207" i="6" s="1"/>
  <c r="AE268" i="6"/>
  <c r="AF268" i="6"/>
  <c r="G269" i="6"/>
  <c r="F269" i="6"/>
  <c r="E269" i="6"/>
  <c r="I269" i="6"/>
  <c r="D269" i="6"/>
  <c r="H269" i="6" s="1"/>
  <c r="R1206" i="6" l="1"/>
  <c r="M1206" i="6" s="1"/>
  <c r="S1206" i="6" s="1"/>
  <c r="Q1207" i="6"/>
  <c r="N1207" i="6"/>
  <c r="O1208" i="6"/>
  <c r="P1208" i="6" s="1"/>
  <c r="AE269" i="6"/>
  <c r="AF269" i="6"/>
  <c r="I270" i="6"/>
  <c r="D270" i="6"/>
  <c r="G270" i="6"/>
  <c r="E270" i="6"/>
  <c r="F270" i="6"/>
  <c r="R1207" i="6" l="1"/>
  <c r="M1207" i="6" s="1"/>
  <c r="S1207" i="6" s="1"/>
  <c r="Q1208" i="6"/>
  <c r="N1208" i="6"/>
  <c r="O1209" i="6"/>
  <c r="P1209" i="6" s="1"/>
  <c r="AE270" i="6"/>
  <c r="AF270" i="6"/>
  <c r="H270" i="6"/>
  <c r="R1208" i="6" l="1"/>
  <c r="M1208" i="6" s="1"/>
  <c r="S1208" i="6" s="1"/>
  <c r="Q1209" i="6"/>
  <c r="N1209" i="6"/>
  <c r="O1210" i="6"/>
  <c r="P1210" i="6" s="1"/>
  <c r="I271" i="6"/>
  <c r="F271" i="6"/>
  <c r="D271" i="6"/>
  <c r="E271" i="6"/>
  <c r="G271" i="6"/>
  <c r="R1209" i="6" l="1"/>
  <c r="M1209" i="6" s="1"/>
  <c r="S1209" i="6" s="1"/>
  <c r="Q1210" i="6"/>
  <c r="O1211" i="6"/>
  <c r="P1211" i="6" s="1"/>
  <c r="N1210" i="6"/>
  <c r="AE271" i="6"/>
  <c r="AF271" i="6"/>
  <c r="H271" i="6"/>
  <c r="F272" i="6" s="1"/>
  <c r="G272" i="6"/>
  <c r="D272" i="6"/>
  <c r="I272" i="6"/>
  <c r="E272" i="6"/>
  <c r="R1210" i="6" l="1"/>
  <c r="M1210" i="6" s="1"/>
  <c r="S1210" i="6" s="1"/>
  <c r="Q1211" i="6"/>
  <c r="N1211" i="6"/>
  <c r="O1212" i="6"/>
  <c r="P1212" i="6" s="1"/>
  <c r="AE272" i="6"/>
  <c r="AF272" i="6"/>
  <c r="H272" i="6"/>
  <c r="F273" i="6" s="1"/>
  <c r="E273" i="6"/>
  <c r="I273" i="6"/>
  <c r="G273" i="6"/>
  <c r="D273" i="6"/>
  <c r="R1211" i="6" l="1"/>
  <c r="M1211" i="6" s="1"/>
  <c r="S1211" i="6" s="1"/>
  <c r="Q1212" i="6"/>
  <c r="N1212" i="6"/>
  <c r="O1213" i="6"/>
  <c r="P1213" i="6" s="1"/>
  <c r="AE273" i="6"/>
  <c r="AF273" i="6"/>
  <c r="H273" i="6"/>
  <c r="R1212" i="6" l="1"/>
  <c r="M1212" i="6" s="1"/>
  <c r="S1212" i="6" s="1"/>
  <c r="Q1213" i="6"/>
  <c r="O1214" i="6"/>
  <c r="P1214" i="6" s="1"/>
  <c r="N1213" i="6"/>
  <c r="I274" i="6"/>
  <c r="F274" i="6"/>
  <c r="D274" i="6"/>
  <c r="E274" i="6"/>
  <c r="G274" i="6"/>
  <c r="R1213" i="6" l="1"/>
  <c r="M1213" i="6" s="1"/>
  <c r="S1213" i="6" s="1"/>
  <c r="Q1214" i="6"/>
  <c r="N1214" i="6"/>
  <c r="O1215" i="6"/>
  <c r="P1215" i="6" s="1"/>
  <c r="AE274" i="6"/>
  <c r="AF274" i="6"/>
  <c r="H274" i="6"/>
  <c r="I275" i="6" s="1"/>
  <c r="F275" i="6"/>
  <c r="D275" i="6"/>
  <c r="G275" i="6"/>
  <c r="E275" i="6"/>
  <c r="R1214" i="6" l="1"/>
  <c r="M1214" i="6" s="1"/>
  <c r="S1214" i="6" s="1"/>
  <c r="Q1215" i="6"/>
  <c r="O1216" i="6"/>
  <c r="P1216" i="6" s="1"/>
  <c r="N1215" i="6"/>
  <c r="AE275" i="6"/>
  <c r="AF275" i="6"/>
  <c r="H275" i="6"/>
  <c r="R1215" i="6" l="1"/>
  <c r="M1215" i="6" s="1"/>
  <c r="S1215" i="6" s="1"/>
  <c r="Q1216" i="6"/>
  <c r="N1216" i="6"/>
  <c r="O1217" i="6"/>
  <c r="P1217" i="6" s="1"/>
  <c r="I276" i="6"/>
  <c r="D276" i="6"/>
  <c r="E276" i="6"/>
  <c r="F276" i="6"/>
  <c r="G276" i="6"/>
  <c r="R1216" i="6" l="1"/>
  <c r="M1216" i="6" s="1"/>
  <c r="S1216" i="6" s="1"/>
  <c r="Q1217" i="6"/>
  <c r="N1217" i="6"/>
  <c r="O1218" i="6"/>
  <c r="P1218" i="6" s="1"/>
  <c r="AE276" i="6"/>
  <c r="AF276" i="6"/>
  <c r="H276" i="6"/>
  <c r="D277" i="6" s="1"/>
  <c r="G277" i="6"/>
  <c r="E277" i="6"/>
  <c r="R1217" i="6" l="1"/>
  <c r="M1217" i="6" s="1"/>
  <c r="S1217" i="6" s="1"/>
  <c r="Q1218" i="6"/>
  <c r="N1218" i="6"/>
  <c r="O1219" i="6"/>
  <c r="P1219" i="6" s="1"/>
  <c r="AE277" i="6"/>
  <c r="AF277" i="6"/>
  <c r="F277" i="6"/>
  <c r="I277" i="6"/>
  <c r="H277" i="6"/>
  <c r="R1218" i="6" l="1"/>
  <c r="M1218" i="6" s="1"/>
  <c r="S1218" i="6" s="1"/>
  <c r="Q1219" i="6"/>
  <c r="O1220" i="6"/>
  <c r="P1220" i="6" s="1"/>
  <c r="N1219" i="6"/>
  <c r="G278" i="6"/>
  <c r="F278" i="6"/>
  <c r="D278" i="6"/>
  <c r="H278" i="6" s="1"/>
  <c r="I279" i="6" s="1"/>
  <c r="I278" i="6"/>
  <c r="E278" i="6"/>
  <c r="R1219" i="6" l="1"/>
  <c r="M1219" i="6" s="1"/>
  <c r="S1219" i="6" s="1"/>
  <c r="Q1220" i="6"/>
  <c r="N1220" i="6"/>
  <c r="O1221" i="6"/>
  <c r="P1221" i="6" s="1"/>
  <c r="AE278" i="6"/>
  <c r="AF278" i="6"/>
  <c r="F279" i="6"/>
  <c r="E279" i="6"/>
  <c r="G279" i="6"/>
  <c r="D279" i="6"/>
  <c r="R1220" i="6" l="1"/>
  <c r="M1220" i="6" s="1"/>
  <c r="S1220" i="6" s="1"/>
  <c r="Q1221" i="6"/>
  <c r="O1222" i="6"/>
  <c r="P1222" i="6" s="1"/>
  <c r="N1221" i="6"/>
  <c r="AE279" i="6"/>
  <c r="AF279" i="6"/>
  <c r="H279" i="6"/>
  <c r="G280" i="6" s="1"/>
  <c r="E280" i="6"/>
  <c r="I280" i="6"/>
  <c r="F280" i="6"/>
  <c r="R1221" i="6" l="1"/>
  <c r="M1221" i="6" s="1"/>
  <c r="S1221" i="6" s="1"/>
  <c r="Q1222" i="6"/>
  <c r="O1223" i="6"/>
  <c r="P1223" i="6" s="1"/>
  <c r="N1222" i="6"/>
  <c r="AE280" i="6"/>
  <c r="AF280" i="6"/>
  <c r="D280" i="6"/>
  <c r="H280" i="6" s="1"/>
  <c r="E281" i="6" s="1"/>
  <c r="R1222" i="6" l="1"/>
  <c r="M1222" i="6" s="1"/>
  <c r="S1222" i="6" s="1"/>
  <c r="Q1223" i="6"/>
  <c r="N1223" i="6"/>
  <c r="O1224" i="6"/>
  <c r="P1224" i="6" s="1"/>
  <c r="I281" i="6"/>
  <c r="F281" i="6"/>
  <c r="G281" i="6"/>
  <c r="D281" i="6"/>
  <c r="H281" i="6" s="1"/>
  <c r="E282" i="6" s="1"/>
  <c r="R1223" i="6" l="1"/>
  <c r="M1223" i="6" s="1"/>
  <c r="S1223" i="6" s="1"/>
  <c r="Q1224" i="6"/>
  <c r="N1224" i="6"/>
  <c r="O1225" i="6"/>
  <c r="P1225" i="6" s="1"/>
  <c r="AE281" i="6"/>
  <c r="AF281" i="6"/>
  <c r="G282" i="6"/>
  <c r="I282" i="6"/>
  <c r="F282" i="6"/>
  <c r="D282" i="6"/>
  <c r="H282" i="6" s="1"/>
  <c r="R1224" i="6" l="1"/>
  <c r="M1224" i="6" s="1"/>
  <c r="S1224" i="6" s="1"/>
  <c r="Q1225" i="6"/>
  <c r="O1226" i="6"/>
  <c r="P1226" i="6" s="1"/>
  <c r="N1225" i="6"/>
  <c r="AE282" i="6"/>
  <c r="AF282" i="6"/>
  <c r="D283" i="6"/>
  <c r="H283" i="6" s="1"/>
  <c r="E283" i="6"/>
  <c r="F283" i="6"/>
  <c r="I283" i="6"/>
  <c r="G283" i="6"/>
  <c r="R1225" i="6" l="1"/>
  <c r="M1225" i="6" s="1"/>
  <c r="S1225" i="6" s="1"/>
  <c r="Q1226" i="6"/>
  <c r="N1226" i="6"/>
  <c r="O1227" i="6"/>
  <c r="P1227" i="6" s="1"/>
  <c r="AE283" i="6"/>
  <c r="AF283" i="6"/>
  <c r="G284" i="6"/>
  <c r="D284" i="6"/>
  <c r="F284" i="6"/>
  <c r="I284" i="6"/>
  <c r="E284" i="6"/>
  <c r="R1226" i="6" l="1"/>
  <c r="M1226" i="6" s="1"/>
  <c r="S1226" i="6" s="1"/>
  <c r="Q1227" i="6"/>
  <c r="N1227" i="6"/>
  <c r="O1228" i="6"/>
  <c r="P1228" i="6" s="1"/>
  <c r="AE284" i="6"/>
  <c r="AF284" i="6"/>
  <c r="H284" i="6"/>
  <c r="R1227" i="6" l="1"/>
  <c r="M1227" i="6" s="1"/>
  <c r="S1227" i="6" s="1"/>
  <c r="Q1228" i="6"/>
  <c r="N1228" i="6"/>
  <c r="O1229" i="6"/>
  <c r="P1229" i="6" s="1"/>
  <c r="I285" i="6"/>
  <c r="D285" i="6"/>
  <c r="E285" i="6"/>
  <c r="F285" i="6"/>
  <c r="G285" i="6"/>
  <c r="R1228" i="6" l="1"/>
  <c r="M1228" i="6" s="1"/>
  <c r="S1228" i="6" s="1"/>
  <c r="Q1229" i="6"/>
  <c r="O1230" i="6"/>
  <c r="P1230" i="6" s="1"/>
  <c r="N1229" i="6"/>
  <c r="AE285" i="6"/>
  <c r="AF285" i="6"/>
  <c r="H285" i="6"/>
  <c r="R1229" i="6" l="1"/>
  <c r="M1229" i="6" s="1"/>
  <c r="S1229" i="6" s="1"/>
  <c r="Q1230" i="6"/>
  <c r="N1230" i="6"/>
  <c r="O1231" i="6"/>
  <c r="P1231" i="6" s="1"/>
  <c r="F286" i="6"/>
  <c r="D286" i="6"/>
  <c r="I286" i="6"/>
  <c r="G286" i="6"/>
  <c r="E286" i="6"/>
  <c r="R1230" i="6" l="1"/>
  <c r="M1230" i="6" s="1"/>
  <c r="S1230" i="6" s="1"/>
  <c r="Q1231" i="6"/>
  <c r="N1231" i="6"/>
  <c r="O1232" i="6"/>
  <c r="P1232" i="6" s="1"/>
  <c r="AE286" i="6"/>
  <c r="AF286" i="6"/>
  <c r="H286" i="6"/>
  <c r="I287" i="6"/>
  <c r="D287" i="6"/>
  <c r="F287" i="6"/>
  <c r="E287" i="6"/>
  <c r="G287" i="6"/>
  <c r="R1231" i="6" l="1"/>
  <c r="M1231" i="6" s="1"/>
  <c r="S1231" i="6" s="1"/>
  <c r="Q1232" i="6"/>
  <c r="N1232" i="6"/>
  <c r="O1233" i="6"/>
  <c r="P1233" i="6" s="1"/>
  <c r="AE287" i="6"/>
  <c r="AF287" i="6"/>
  <c r="H287" i="6"/>
  <c r="R1232" i="6" l="1"/>
  <c r="M1232" i="6" s="1"/>
  <c r="S1232" i="6" s="1"/>
  <c r="Q1233" i="6"/>
  <c r="N1233" i="6"/>
  <c r="O1234" i="6"/>
  <c r="P1234" i="6" s="1"/>
  <c r="D288" i="6"/>
  <c r="E288" i="6"/>
  <c r="F288" i="6"/>
  <c r="I288" i="6"/>
  <c r="G288" i="6"/>
  <c r="R1233" i="6" l="1"/>
  <c r="M1233" i="6" s="1"/>
  <c r="S1233" i="6" s="1"/>
  <c r="Q1234" i="6"/>
  <c r="N1234" i="6"/>
  <c r="O1235" i="6"/>
  <c r="P1235" i="6" s="1"/>
  <c r="AE288" i="6"/>
  <c r="AF288" i="6"/>
  <c r="H288" i="6"/>
  <c r="D289" i="6" s="1"/>
  <c r="E289" i="6"/>
  <c r="I289" i="6"/>
  <c r="F289" i="6"/>
  <c r="G289" i="6"/>
  <c r="R1234" i="6" l="1"/>
  <c r="M1234" i="6" s="1"/>
  <c r="S1234" i="6" s="1"/>
  <c r="Q1235" i="6"/>
  <c r="O1236" i="6"/>
  <c r="P1236" i="6" s="1"/>
  <c r="N1235" i="6"/>
  <c r="AE289" i="6"/>
  <c r="AF289" i="6"/>
  <c r="H289" i="6"/>
  <c r="D290" i="6" s="1"/>
  <c r="F290" i="6"/>
  <c r="G290" i="6"/>
  <c r="I290" i="6"/>
  <c r="E290" i="6"/>
  <c r="R1235" i="6" l="1"/>
  <c r="M1235" i="6" s="1"/>
  <c r="S1235" i="6" s="1"/>
  <c r="Q1236" i="6"/>
  <c r="N1236" i="6"/>
  <c r="O1237" i="6"/>
  <c r="P1237" i="6" s="1"/>
  <c r="AE290" i="6"/>
  <c r="AF290" i="6"/>
  <c r="H290" i="6"/>
  <c r="R1236" i="6" l="1"/>
  <c r="M1236" i="6" s="1"/>
  <c r="S1236" i="6" s="1"/>
  <c r="Q1237" i="6"/>
  <c r="N1237" i="6"/>
  <c r="O1238" i="6"/>
  <c r="P1238" i="6" s="1"/>
  <c r="D291" i="6"/>
  <c r="F291" i="6"/>
  <c r="G291" i="6"/>
  <c r="I291" i="6"/>
  <c r="E291" i="6"/>
  <c r="R1237" i="6" l="1"/>
  <c r="M1237" i="6" s="1"/>
  <c r="S1237" i="6" s="1"/>
  <c r="Q1238" i="6"/>
  <c r="O1239" i="6"/>
  <c r="P1239" i="6" s="1"/>
  <c r="N1238" i="6"/>
  <c r="AE291" i="6"/>
  <c r="AF291" i="6"/>
  <c r="H291" i="6"/>
  <c r="R1238" i="6" l="1"/>
  <c r="M1238" i="6" s="1"/>
  <c r="S1238" i="6" s="1"/>
  <c r="Q1239" i="6"/>
  <c r="O1240" i="6"/>
  <c r="P1240" i="6" s="1"/>
  <c r="N1239" i="6"/>
  <c r="D292" i="6"/>
  <c r="G292" i="6"/>
  <c r="F292" i="6"/>
  <c r="I292" i="6"/>
  <c r="E292" i="6"/>
  <c r="R1239" i="6" l="1"/>
  <c r="M1239" i="6" s="1"/>
  <c r="S1239" i="6" s="1"/>
  <c r="Q1240" i="6"/>
  <c r="N1240" i="6"/>
  <c r="O1241" i="6"/>
  <c r="P1241" i="6" s="1"/>
  <c r="AE292" i="6"/>
  <c r="AF292" i="6"/>
  <c r="H292" i="6"/>
  <c r="R1240" i="6" l="1"/>
  <c r="M1240" i="6" s="1"/>
  <c r="S1240" i="6" s="1"/>
  <c r="Q1241" i="6"/>
  <c r="O1242" i="6"/>
  <c r="P1242" i="6" s="1"/>
  <c r="N1241" i="6"/>
  <c r="D293" i="6"/>
  <c r="E293" i="6"/>
  <c r="G293" i="6"/>
  <c r="I293" i="6"/>
  <c r="F293" i="6"/>
  <c r="R1241" i="6" l="1"/>
  <c r="M1241" i="6" s="1"/>
  <c r="S1241" i="6" s="1"/>
  <c r="Q1242" i="6"/>
  <c r="N1242" i="6"/>
  <c r="O1243" i="6"/>
  <c r="P1243" i="6" s="1"/>
  <c r="AE293" i="6"/>
  <c r="AF293" i="6"/>
  <c r="H293" i="6"/>
  <c r="R1242" i="6" l="1"/>
  <c r="M1242" i="6" s="1"/>
  <c r="S1242" i="6" s="1"/>
  <c r="Q1243" i="6"/>
  <c r="N1243" i="6"/>
  <c r="O1244" i="6"/>
  <c r="P1244" i="6" s="1"/>
  <c r="D294" i="6"/>
  <c r="E294" i="6"/>
  <c r="F294" i="6"/>
  <c r="I294" i="6"/>
  <c r="G294" i="6"/>
  <c r="R1243" i="6" l="1"/>
  <c r="M1243" i="6" s="1"/>
  <c r="S1243" i="6" s="1"/>
  <c r="Q1244" i="6"/>
  <c r="N1244" i="6"/>
  <c r="O1245" i="6"/>
  <c r="P1245" i="6" s="1"/>
  <c r="AE294" i="6"/>
  <c r="AF294" i="6"/>
  <c r="H294" i="6"/>
  <c r="R1244" i="6" l="1"/>
  <c r="M1244" i="6" s="1"/>
  <c r="S1244" i="6" s="1"/>
  <c r="Q1245" i="6"/>
  <c r="O1246" i="6"/>
  <c r="P1246" i="6" s="1"/>
  <c r="N1245" i="6"/>
  <c r="D295" i="6"/>
  <c r="G295" i="6"/>
  <c r="F295" i="6"/>
  <c r="I295" i="6"/>
  <c r="E295" i="6"/>
  <c r="R1245" i="6" l="1"/>
  <c r="M1245" i="6" s="1"/>
  <c r="S1245" i="6" s="1"/>
  <c r="Q1246" i="6"/>
  <c r="N1246" i="6"/>
  <c r="O1247" i="6"/>
  <c r="P1247" i="6" s="1"/>
  <c r="AE295" i="6"/>
  <c r="AF295" i="6"/>
  <c r="H295" i="6"/>
  <c r="R1246" i="6" l="1"/>
  <c r="M1246" i="6" s="1"/>
  <c r="S1246" i="6" s="1"/>
  <c r="Q1247" i="6"/>
  <c r="O1248" i="6"/>
  <c r="P1248" i="6" s="1"/>
  <c r="N1247" i="6"/>
  <c r="I296" i="6"/>
  <c r="F296" i="6"/>
  <c r="G296" i="6"/>
  <c r="D296" i="6"/>
  <c r="E296" i="6"/>
  <c r="R1247" i="6" l="1"/>
  <c r="M1247" i="6" s="1"/>
  <c r="S1247" i="6" s="1"/>
  <c r="Q1248" i="6"/>
  <c r="N1248" i="6"/>
  <c r="O1249" i="6"/>
  <c r="P1249" i="6" s="1"/>
  <c r="AE296" i="6"/>
  <c r="AF296" i="6"/>
  <c r="H296" i="6"/>
  <c r="D297" i="6" s="1"/>
  <c r="F297" i="6"/>
  <c r="I297" i="6"/>
  <c r="G297" i="6"/>
  <c r="R1248" i="6" l="1"/>
  <c r="M1248" i="6" s="1"/>
  <c r="S1248" i="6" s="1"/>
  <c r="Q1249" i="6"/>
  <c r="N1249" i="6"/>
  <c r="O1250" i="6"/>
  <c r="P1250" i="6" s="1"/>
  <c r="AE297" i="6"/>
  <c r="AF297" i="6"/>
  <c r="E297" i="6"/>
  <c r="H297" i="6"/>
  <c r="R1249" i="6" l="1"/>
  <c r="M1249" i="6" s="1"/>
  <c r="S1249" i="6" s="1"/>
  <c r="Q1250" i="6"/>
  <c r="O1251" i="6"/>
  <c r="P1251" i="6" s="1"/>
  <c r="N1250" i="6"/>
  <c r="D298" i="6"/>
  <c r="F298" i="6"/>
  <c r="G298" i="6"/>
  <c r="I298" i="6"/>
  <c r="E298" i="6"/>
  <c r="R1250" i="6" l="1"/>
  <c r="M1250" i="6" s="1"/>
  <c r="S1250" i="6" s="1"/>
  <c r="Q1251" i="6"/>
  <c r="O1252" i="6"/>
  <c r="P1252" i="6" s="1"/>
  <c r="N1251" i="6"/>
  <c r="AE298" i="6"/>
  <c r="AF298" i="6"/>
  <c r="H298" i="6"/>
  <c r="D299" i="6" s="1"/>
  <c r="G299" i="6"/>
  <c r="F299" i="6"/>
  <c r="I299" i="6"/>
  <c r="E299" i="6"/>
  <c r="R1251" i="6" l="1"/>
  <c r="M1251" i="6" s="1"/>
  <c r="S1251" i="6" s="1"/>
  <c r="Q1252" i="6"/>
  <c r="N1252" i="6"/>
  <c r="O1253" i="6"/>
  <c r="P1253" i="6" s="1"/>
  <c r="AE299" i="6"/>
  <c r="AF299" i="6"/>
  <c r="H299" i="6"/>
  <c r="R1252" i="6" l="1"/>
  <c r="M1252" i="6" s="1"/>
  <c r="S1252" i="6" s="1"/>
  <c r="Q1253" i="6"/>
  <c r="O1254" i="6"/>
  <c r="P1254" i="6" s="1"/>
  <c r="N1253" i="6"/>
  <c r="I300" i="6"/>
  <c r="G300" i="6"/>
  <c r="F300" i="6"/>
  <c r="D300" i="6"/>
  <c r="E300" i="6"/>
  <c r="R1253" i="6" l="1"/>
  <c r="M1253" i="6" s="1"/>
  <c r="S1253" i="6" s="1"/>
  <c r="Q1254" i="6"/>
  <c r="O1255" i="6"/>
  <c r="P1255" i="6" s="1"/>
  <c r="N1254" i="6"/>
  <c r="AE300" i="6"/>
  <c r="AF300" i="6"/>
  <c r="H300" i="6"/>
  <c r="I301" i="6" s="1"/>
  <c r="R1254" i="6" l="1"/>
  <c r="M1254" i="6" s="1"/>
  <c r="S1254" i="6" s="1"/>
  <c r="Q1255" i="6"/>
  <c r="O1256" i="6"/>
  <c r="P1256" i="6" s="1"/>
  <c r="N1255" i="6"/>
  <c r="E301" i="6"/>
  <c r="D301" i="6"/>
  <c r="F301" i="6"/>
  <c r="G301" i="6"/>
  <c r="R1255" i="6" l="1"/>
  <c r="M1255" i="6" s="1"/>
  <c r="S1255" i="6" s="1"/>
  <c r="Q1256" i="6"/>
  <c r="N1256" i="6"/>
  <c r="O1257" i="6"/>
  <c r="P1257" i="6" s="1"/>
  <c r="AE301" i="6"/>
  <c r="AF301" i="6"/>
  <c r="H301" i="6"/>
  <c r="F302" i="6" s="1"/>
  <c r="R1256" i="6" l="1"/>
  <c r="M1256" i="6" s="1"/>
  <c r="S1256" i="6" s="1"/>
  <c r="Q1257" i="6"/>
  <c r="O1258" i="6"/>
  <c r="P1258" i="6" s="1"/>
  <c r="N1257" i="6"/>
  <c r="I302" i="6"/>
  <c r="E302" i="6"/>
  <c r="D302" i="6"/>
  <c r="G302" i="6"/>
  <c r="R1257" i="6" l="1"/>
  <c r="M1257" i="6" s="1"/>
  <c r="S1257" i="6" s="1"/>
  <c r="Q1258" i="6"/>
  <c r="O1259" i="6"/>
  <c r="P1259" i="6" s="1"/>
  <c r="N1258" i="6"/>
  <c r="AE302" i="6"/>
  <c r="AF302" i="6"/>
  <c r="H302" i="6"/>
  <c r="R1258" i="6" l="1"/>
  <c r="M1258" i="6" s="1"/>
  <c r="S1258" i="6" s="1"/>
  <c r="Q1259" i="6"/>
  <c r="O1260" i="6"/>
  <c r="P1260" i="6" s="1"/>
  <c r="N1259" i="6"/>
  <c r="E303" i="6"/>
  <c r="G303" i="6"/>
  <c r="I303" i="6"/>
  <c r="F303" i="6"/>
  <c r="D303" i="6"/>
  <c r="R1259" i="6" l="1"/>
  <c r="M1259" i="6" s="1"/>
  <c r="S1259" i="6" s="1"/>
  <c r="Q1260" i="6"/>
  <c r="N1260" i="6"/>
  <c r="O1261" i="6"/>
  <c r="P1261" i="6" s="1"/>
  <c r="AE303" i="6"/>
  <c r="AF303" i="6"/>
  <c r="H303" i="6"/>
  <c r="R1260" i="6" l="1"/>
  <c r="M1260" i="6" s="1"/>
  <c r="S1260" i="6" s="1"/>
  <c r="Q1261" i="6"/>
  <c r="O1262" i="6"/>
  <c r="P1262" i="6" s="1"/>
  <c r="N1261" i="6"/>
  <c r="F304" i="6"/>
  <c r="I304" i="6"/>
  <c r="D304" i="6"/>
  <c r="E304" i="6"/>
  <c r="G304" i="6"/>
  <c r="R1261" i="6" l="1"/>
  <c r="M1261" i="6" s="1"/>
  <c r="S1261" i="6" s="1"/>
  <c r="Q1262" i="6"/>
  <c r="N1262" i="6"/>
  <c r="O1263" i="6"/>
  <c r="P1263" i="6" s="1"/>
  <c r="AE304" i="6"/>
  <c r="AF304" i="6"/>
  <c r="H304" i="6"/>
  <c r="G305" i="6" s="1"/>
  <c r="I305" i="6"/>
  <c r="E305" i="6"/>
  <c r="F305" i="6"/>
  <c r="R1262" i="6" l="1"/>
  <c r="M1262" i="6" s="1"/>
  <c r="S1262" i="6" s="1"/>
  <c r="Q1263" i="6"/>
  <c r="O1264" i="6"/>
  <c r="P1264" i="6" s="1"/>
  <c r="N1263" i="6"/>
  <c r="AE305" i="6"/>
  <c r="AF305" i="6"/>
  <c r="D305" i="6"/>
  <c r="H305" i="6" s="1"/>
  <c r="R1263" i="6" l="1"/>
  <c r="M1263" i="6" s="1"/>
  <c r="S1263" i="6" s="1"/>
  <c r="Q1264" i="6"/>
  <c r="N1264" i="6"/>
  <c r="O1265" i="6"/>
  <c r="P1265" i="6" s="1"/>
  <c r="D306" i="6"/>
  <c r="I306" i="6"/>
  <c r="F306" i="6"/>
  <c r="G306" i="6"/>
  <c r="E306" i="6"/>
  <c r="R1264" i="6" l="1"/>
  <c r="M1264" i="6" s="1"/>
  <c r="S1264" i="6" s="1"/>
  <c r="Q1265" i="6"/>
  <c r="O1266" i="6"/>
  <c r="P1266" i="6" s="1"/>
  <c r="N1265" i="6"/>
  <c r="AE306" i="6"/>
  <c r="AF306" i="6"/>
  <c r="H306" i="6"/>
  <c r="R1265" i="6" l="1"/>
  <c r="M1265" i="6" s="1"/>
  <c r="S1265" i="6" s="1"/>
  <c r="Q1266" i="6"/>
  <c r="O1267" i="6"/>
  <c r="P1267" i="6" s="1"/>
  <c r="N1266" i="6"/>
  <c r="D307" i="6"/>
  <c r="F307" i="6"/>
  <c r="I307" i="6"/>
  <c r="E307" i="6"/>
  <c r="G307" i="6"/>
  <c r="R1266" i="6" l="1"/>
  <c r="M1266" i="6" s="1"/>
  <c r="S1266" i="6" s="1"/>
  <c r="Q1267" i="6"/>
  <c r="N1267" i="6"/>
  <c r="O1268" i="6"/>
  <c r="P1268" i="6" s="1"/>
  <c r="AE307" i="6"/>
  <c r="AF307" i="6"/>
  <c r="H307" i="6"/>
  <c r="R1267" i="6" l="1"/>
  <c r="M1267" i="6" s="1"/>
  <c r="S1267" i="6" s="1"/>
  <c r="Q1268" i="6"/>
  <c r="N1268" i="6"/>
  <c r="O1269" i="6"/>
  <c r="P1269" i="6" s="1"/>
  <c r="F308" i="6"/>
  <c r="D308" i="6"/>
  <c r="G308" i="6"/>
  <c r="E308" i="6"/>
  <c r="I308" i="6"/>
  <c r="R1268" i="6" l="1"/>
  <c r="M1268" i="6" s="1"/>
  <c r="S1268" i="6" s="1"/>
  <c r="Q1269" i="6"/>
  <c r="O1270" i="6"/>
  <c r="P1270" i="6" s="1"/>
  <c r="N1269" i="6"/>
  <c r="AE308" i="6"/>
  <c r="AF308" i="6"/>
  <c r="H308" i="6"/>
  <c r="R1269" i="6" l="1"/>
  <c r="M1269" i="6" s="1"/>
  <c r="S1269" i="6" s="1"/>
  <c r="Q1270" i="6"/>
  <c r="O1271" i="6"/>
  <c r="P1271" i="6" s="1"/>
  <c r="N1270" i="6"/>
  <c r="E309" i="6"/>
  <c r="G309" i="6"/>
  <c r="D309" i="6"/>
  <c r="H309" i="6" s="1"/>
  <c r="F309" i="6"/>
  <c r="I309" i="6"/>
  <c r="R1270" i="6" l="1"/>
  <c r="M1270" i="6" s="1"/>
  <c r="S1270" i="6" s="1"/>
  <c r="Q1271" i="6"/>
  <c r="O1272" i="6"/>
  <c r="P1272" i="6" s="1"/>
  <c r="N1271" i="6"/>
  <c r="AE309" i="6"/>
  <c r="AF309" i="6"/>
  <c r="F310" i="6"/>
  <c r="I310" i="6"/>
  <c r="E310" i="6"/>
  <c r="D310" i="6"/>
  <c r="G310" i="6"/>
  <c r="R1271" i="6" l="1"/>
  <c r="M1271" i="6" s="1"/>
  <c r="S1271" i="6" s="1"/>
  <c r="Q1272" i="6"/>
  <c r="N1272" i="6"/>
  <c r="O1273" i="6"/>
  <c r="P1273" i="6" s="1"/>
  <c r="AE310" i="6"/>
  <c r="AF310" i="6"/>
  <c r="H310" i="6"/>
  <c r="R1272" i="6" l="1"/>
  <c r="M1272" i="6" s="1"/>
  <c r="S1272" i="6" s="1"/>
  <c r="Q1273" i="6"/>
  <c r="N1273" i="6"/>
  <c r="O1274" i="6"/>
  <c r="P1274" i="6" s="1"/>
  <c r="I311" i="6"/>
  <c r="E311" i="6"/>
  <c r="G311" i="6"/>
  <c r="D311" i="6"/>
  <c r="F311" i="6"/>
  <c r="R1273" i="6" l="1"/>
  <c r="M1273" i="6" s="1"/>
  <c r="S1273" i="6" s="1"/>
  <c r="Q1274" i="6"/>
  <c r="N1274" i="6"/>
  <c r="O1275" i="6"/>
  <c r="P1275" i="6" s="1"/>
  <c r="AE311" i="6"/>
  <c r="AF311" i="6"/>
  <c r="H311" i="6"/>
  <c r="R1274" i="6" l="1"/>
  <c r="M1274" i="6" s="1"/>
  <c r="S1274" i="6" s="1"/>
  <c r="Q1275" i="6"/>
  <c r="N1275" i="6"/>
  <c r="O1276" i="6"/>
  <c r="P1276" i="6" s="1"/>
  <c r="D312" i="6"/>
  <c r="F312" i="6"/>
  <c r="I312" i="6"/>
  <c r="E312" i="6"/>
  <c r="G312" i="6"/>
  <c r="R1275" i="6" l="1"/>
  <c r="M1275" i="6" s="1"/>
  <c r="S1275" i="6" s="1"/>
  <c r="Q1276" i="6"/>
  <c r="N1276" i="6"/>
  <c r="O1277" i="6"/>
  <c r="P1277" i="6" s="1"/>
  <c r="AE312" i="6"/>
  <c r="AF312" i="6"/>
  <c r="H312" i="6"/>
  <c r="R1276" i="6" l="1"/>
  <c r="M1276" i="6" s="1"/>
  <c r="S1276" i="6" s="1"/>
  <c r="Q1277" i="6"/>
  <c r="N1277" i="6"/>
  <c r="O1278" i="6"/>
  <c r="P1278" i="6" s="1"/>
  <c r="I313" i="6"/>
  <c r="G313" i="6"/>
  <c r="F313" i="6"/>
  <c r="D313" i="6"/>
  <c r="E313" i="6"/>
  <c r="R1277" i="6" l="1"/>
  <c r="M1277" i="6" s="1"/>
  <c r="S1277" i="6" s="1"/>
  <c r="Q1278" i="6"/>
  <c r="N1278" i="6"/>
  <c r="O1279" i="6"/>
  <c r="P1279" i="6" s="1"/>
  <c r="AE313" i="6"/>
  <c r="AF313" i="6"/>
  <c r="H313" i="6"/>
  <c r="R1278" i="6" l="1"/>
  <c r="M1278" i="6" s="1"/>
  <c r="S1278" i="6" s="1"/>
  <c r="Q1279" i="6"/>
  <c r="N1279" i="6"/>
  <c r="O1280" i="6"/>
  <c r="P1280" i="6" s="1"/>
  <c r="I314" i="6"/>
  <c r="E314" i="6"/>
  <c r="F314" i="6"/>
  <c r="G314" i="6"/>
  <c r="D314" i="6"/>
  <c r="H314" i="6" s="1"/>
  <c r="R1279" i="6" l="1"/>
  <c r="M1279" i="6" s="1"/>
  <c r="S1279" i="6" s="1"/>
  <c r="Q1280" i="6"/>
  <c r="N1280" i="6"/>
  <c r="O1281" i="6"/>
  <c r="P1281" i="6" s="1"/>
  <c r="AE314" i="6"/>
  <c r="AF314" i="6"/>
  <c r="D315" i="6"/>
  <c r="H315" i="6" s="1"/>
  <c r="G315" i="6"/>
  <c r="F315" i="6"/>
  <c r="I315" i="6"/>
  <c r="E315" i="6"/>
  <c r="R1280" i="6" l="1"/>
  <c r="M1280" i="6" s="1"/>
  <c r="S1280" i="6" s="1"/>
  <c r="Q1281" i="6"/>
  <c r="N1281" i="6"/>
  <c r="O1282" i="6"/>
  <c r="P1282" i="6" s="1"/>
  <c r="AE315" i="6"/>
  <c r="AF315" i="6"/>
  <c r="D316" i="6"/>
  <c r="F316" i="6"/>
  <c r="I316" i="6"/>
  <c r="E316" i="6"/>
  <c r="G316" i="6"/>
  <c r="R1281" i="6" l="1"/>
  <c r="M1281" i="6" s="1"/>
  <c r="S1281" i="6" s="1"/>
  <c r="Q1282" i="6"/>
  <c r="O1283" i="6"/>
  <c r="P1283" i="6" s="1"/>
  <c r="N1282" i="6"/>
  <c r="AE316" i="6"/>
  <c r="AF316" i="6"/>
  <c r="H316" i="6"/>
  <c r="R1282" i="6" l="1"/>
  <c r="M1282" i="6" s="1"/>
  <c r="S1282" i="6" s="1"/>
  <c r="Q1283" i="6"/>
  <c r="O1284" i="6"/>
  <c r="P1284" i="6" s="1"/>
  <c r="N1283" i="6"/>
  <c r="D317" i="6"/>
  <c r="E317" i="6"/>
  <c r="G317" i="6"/>
  <c r="F317" i="6"/>
  <c r="I317" i="6"/>
  <c r="R1283" i="6" l="1"/>
  <c r="M1283" i="6" s="1"/>
  <c r="S1283" i="6" s="1"/>
  <c r="Q1284" i="6"/>
  <c r="O1285" i="6"/>
  <c r="P1285" i="6" s="1"/>
  <c r="N1284" i="6"/>
  <c r="AE317" i="6"/>
  <c r="AF317" i="6"/>
  <c r="H317" i="6"/>
  <c r="R1284" i="6" l="1"/>
  <c r="M1284" i="6" s="1"/>
  <c r="S1284" i="6" s="1"/>
  <c r="Q1285" i="6"/>
  <c r="N1285" i="6"/>
  <c r="O1286" i="6"/>
  <c r="P1286" i="6" s="1"/>
  <c r="D318" i="6"/>
  <c r="H318" i="6" s="1"/>
  <c r="G318" i="6"/>
  <c r="F318" i="6"/>
  <c r="I318" i="6"/>
  <c r="E318" i="6"/>
  <c r="R1285" i="6" l="1"/>
  <c r="M1285" i="6" s="1"/>
  <c r="S1285" i="6" s="1"/>
  <c r="Q1286" i="6"/>
  <c r="O1287" i="6"/>
  <c r="P1287" i="6" s="1"/>
  <c r="N1286" i="6"/>
  <c r="AE318" i="6"/>
  <c r="AF318" i="6"/>
  <c r="I319" i="6"/>
  <c r="F319" i="6"/>
  <c r="D319" i="6"/>
  <c r="E319" i="6"/>
  <c r="G319" i="6"/>
  <c r="R1286" i="6" l="1"/>
  <c r="M1286" i="6" s="1"/>
  <c r="S1286" i="6" s="1"/>
  <c r="Q1287" i="6"/>
  <c r="O1288" i="6"/>
  <c r="P1288" i="6" s="1"/>
  <c r="N1287" i="6"/>
  <c r="AE319" i="6"/>
  <c r="AF319" i="6"/>
  <c r="H319" i="6"/>
  <c r="R1287" i="6" l="1"/>
  <c r="M1287" i="6" s="1"/>
  <c r="S1287" i="6" s="1"/>
  <c r="Q1288" i="6"/>
  <c r="O1289" i="6"/>
  <c r="P1289" i="6" s="1"/>
  <c r="N1288" i="6"/>
  <c r="D320" i="6"/>
  <c r="E320" i="6"/>
  <c r="G320" i="6"/>
  <c r="I320" i="6"/>
  <c r="F320" i="6"/>
  <c r="R1288" i="6" l="1"/>
  <c r="M1288" i="6" s="1"/>
  <c r="S1288" i="6" s="1"/>
  <c r="Q1289" i="6"/>
  <c r="N1289" i="6"/>
  <c r="O1290" i="6"/>
  <c r="P1290" i="6" s="1"/>
  <c r="AE320" i="6"/>
  <c r="AF320" i="6"/>
  <c r="H320" i="6"/>
  <c r="R1289" i="6" l="1"/>
  <c r="M1289" i="6" s="1"/>
  <c r="S1289" i="6" s="1"/>
  <c r="Q1290" i="6"/>
  <c r="O1291" i="6"/>
  <c r="P1291" i="6" s="1"/>
  <c r="N1290" i="6"/>
  <c r="E321" i="6"/>
  <c r="F321" i="6"/>
  <c r="D321" i="6"/>
  <c r="H321" i="6" s="1"/>
  <c r="I321" i="6"/>
  <c r="G321" i="6"/>
  <c r="R1290" i="6" l="1"/>
  <c r="M1290" i="6" s="1"/>
  <c r="S1290" i="6" s="1"/>
  <c r="Q1291" i="6"/>
  <c r="N1291" i="6"/>
  <c r="O1292" i="6"/>
  <c r="P1292" i="6" s="1"/>
  <c r="AE321" i="6"/>
  <c r="AF321" i="6"/>
  <c r="I322" i="6"/>
  <c r="E322" i="6"/>
  <c r="G322" i="6"/>
  <c r="D322" i="6"/>
  <c r="H322" i="6" s="1"/>
  <c r="F322" i="6"/>
  <c r="R1291" i="6" l="1"/>
  <c r="M1291" i="6" s="1"/>
  <c r="S1291" i="6" s="1"/>
  <c r="Q1292" i="6"/>
  <c r="N1292" i="6"/>
  <c r="O1293" i="6"/>
  <c r="P1293" i="6" s="1"/>
  <c r="AE322" i="6"/>
  <c r="AF322" i="6"/>
  <c r="I323" i="6"/>
  <c r="G323" i="6"/>
  <c r="D323" i="6"/>
  <c r="H323" i="6" s="1"/>
  <c r="E323" i="6"/>
  <c r="F323" i="6"/>
  <c r="R1292" i="6" l="1"/>
  <c r="M1292" i="6" s="1"/>
  <c r="S1292" i="6" s="1"/>
  <c r="Q1293" i="6"/>
  <c r="N1293" i="6"/>
  <c r="O1294" i="6"/>
  <c r="P1294" i="6" s="1"/>
  <c r="AE323" i="6"/>
  <c r="AF323" i="6"/>
  <c r="G324" i="6"/>
  <c r="I324" i="6"/>
  <c r="D324" i="6"/>
  <c r="E324" i="6"/>
  <c r="F324" i="6"/>
  <c r="R1293" i="6" l="1"/>
  <c r="M1293" i="6" s="1"/>
  <c r="S1293" i="6" s="1"/>
  <c r="Q1294" i="6"/>
  <c r="O1295" i="6"/>
  <c r="P1295" i="6" s="1"/>
  <c r="N1294" i="6"/>
  <c r="AE324" i="6"/>
  <c r="AF324" i="6"/>
  <c r="H324" i="6"/>
  <c r="R1294" i="6" l="1"/>
  <c r="M1294" i="6" s="1"/>
  <c r="S1294" i="6" s="1"/>
  <c r="Q1295" i="6"/>
  <c r="N1295" i="6"/>
  <c r="O1296" i="6"/>
  <c r="P1296" i="6" s="1"/>
  <c r="I325" i="6"/>
  <c r="E325" i="6"/>
  <c r="G325" i="6"/>
  <c r="D325" i="6"/>
  <c r="H325" i="6" s="1"/>
  <c r="F325" i="6"/>
  <c r="R1295" i="6" l="1"/>
  <c r="M1295" i="6" s="1"/>
  <c r="S1295" i="6" s="1"/>
  <c r="Q1296" i="6"/>
  <c r="N1296" i="6"/>
  <c r="O1297" i="6"/>
  <c r="P1297" i="6" s="1"/>
  <c r="AE325" i="6"/>
  <c r="AF325" i="6"/>
  <c r="D326" i="6"/>
  <c r="H326" i="6" s="1"/>
  <c r="E326" i="6"/>
  <c r="F326" i="6"/>
  <c r="I326" i="6"/>
  <c r="G326" i="6"/>
  <c r="R1296" i="6" l="1"/>
  <c r="M1296" i="6" s="1"/>
  <c r="S1296" i="6" s="1"/>
  <c r="Q1297" i="6"/>
  <c r="N1297" i="6"/>
  <c r="O1298" i="6"/>
  <c r="P1298" i="6" s="1"/>
  <c r="AE326" i="6"/>
  <c r="AF326" i="6"/>
  <c r="E327" i="6"/>
  <c r="F327" i="6"/>
  <c r="G327" i="6"/>
  <c r="D327" i="6"/>
  <c r="I327" i="6"/>
  <c r="R1297" i="6" l="1"/>
  <c r="M1297" i="6" s="1"/>
  <c r="S1297" i="6" s="1"/>
  <c r="Q1298" i="6"/>
  <c r="N1298" i="6"/>
  <c r="O1299" i="6"/>
  <c r="P1299" i="6" s="1"/>
  <c r="AE327" i="6"/>
  <c r="AF327" i="6"/>
  <c r="H327" i="6"/>
  <c r="R1298" i="6" l="1"/>
  <c r="M1298" i="6" s="1"/>
  <c r="S1298" i="6" s="1"/>
  <c r="Q1299" i="6"/>
  <c r="O1300" i="6"/>
  <c r="P1300" i="6" s="1"/>
  <c r="N1299" i="6"/>
  <c r="I328" i="6"/>
  <c r="G328" i="6"/>
  <c r="F328" i="6"/>
  <c r="D328" i="6"/>
  <c r="H328" i="6" s="1"/>
  <c r="E328" i="6"/>
  <c r="R1299" i="6" l="1"/>
  <c r="M1299" i="6" s="1"/>
  <c r="S1299" i="6" s="1"/>
  <c r="Q1300" i="6"/>
  <c r="O1301" i="6"/>
  <c r="P1301" i="6" s="1"/>
  <c r="N1300" i="6"/>
  <c r="AE328" i="6"/>
  <c r="AF328" i="6"/>
  <c r="G329" i="6"/>
  <c r="F329" i="6"/>
  <c r="I329" i="6"/>
  <c r="E329" i="6"/>
  <c r="D329" i="6"/>
  <c r="H329" i="6" s="1"/>
  <c r="R1300" i="6" l="1"/>
  <c r="M1300" i="6" s="1"/>
  <c r="S1300" i="6" s="1"/>
  <c r="Q1301" i="6"/>
  <c r="N1301" i="6"/>
  <c r="O1302" i="6"/>
  <c r="P1302" i="6" s="1"/>
  <c r="AE329" i="6"/>
  <c r="AF329" i="6"/>
  <c r="D330" i="6"/>
  <c r="H330" i="6" s="1"/>
  <c r="F331" i="6" s="1"/>
  <c r="G330" i="6"/>
  <c r="F330" i="6"/>
  <c r="E330" i="6"/>
  <c r="I330" i="6"/>
  <c r="R1301" i="6" l="1"/>
  <c r="M1301" i="6" s="1"/>
  <c r="S1301" i="6" s="1"/>
  <c r="Q1302" i="6"/>
  <c r="N1302" i="6"/>
  <c r="O1303" i="6"/>
  <c r="P1303" i="6" s="1"/>
  <c r="AE330" i="6"/>
  <c r="AF330" i="6"/>
  <c r="E331" i="6"/>
  <c r="D331" i="6"/>
  <c r="I331" i="6"/>
  <c r="G331" i="6"/>
  <c r="R1302" i="6" l="1"/>
  <c r="M1302" i="6" s="1"/>
  <c r="S1302" i="6" s="1"/>
  <c r="Q1303" i="6"/>
  <c r="O1304" i="6"/>
  <c r="P1304" i="6" s="1"/>
  <c r="N1303" i="6"/>
  <c r="AE331" i="6"/>
  <c r="AF331" i="6"/>
  <c r="H331" i="6"/>
  <c r="R1303" i="6" l="1"/>
  <c r="M1303" i="6" s="1"/>
  <c r="S1303" i="6" s="1"/>
  <c r="Q1304" i="6"/>
  <c r="O1305" i="6"/>
  <c r="P1305" i="6" s="1"/>
  <c r="N1304" i="6"/>
  <c r="D332" i="6"/>
  <c r="I332" i="6"/>
  <c r="G332" i="6"/>
  <c r="F332" i="6"/>
  <c r="E332" i="6"/>
  <c r="R1304" i="6" l="1"/>
  <c r="M1304" i="6" s="1"/>
  <c r="S1304" i="6" s="1"/>
  <c r="Q1305" i="6"/>
  <c r="O1306" i="6"/>
  <c r="P1306" i="6" s="1"/>
  <c r="N1305" i="6"/>
  <c r="AE332" i="6"/>
  <c r="AF332" i="6"/>
  <c r="H332" i="6"/>
  <c r="R1305" i="6" l="1"/>
  <c r="M1305" i="6" s="1"/>
  <c r="S1305" i="6" s="1"/>
  <c r="Q1306" i="6"/>
  <c r="N1306" i="6"/>
  <c r="O1307" i="6"/>
  <c r="P1307" i="6" s="1"/>
  <c r="D333" i="6"/>
  <c r="I333" i="6"/>
  <c r="E333" i="6"/>
  <c r="F333" i="6"/>
  <c r="G333" i="6"/>
  <c r="R1306" i="6" l="1"/>
  <c r="M1306" i="6" s="1"/>
  <c r="S1306" i="6" s="1"/>
  <c r="Q1307" i="6"/>
  <c r="N1307" i="6"/>
  <c r="O1308" i="6"/>
  <c r="P1308" i="6" s="1"/>
  <c r="AE333" i="6"/>
  <c r="AF333" i="6"/>
  <c r="H333" i="6"/>
  <c r="R1307" i="6" l="1"/>
  <c r="M1307" i="6" s="1"/>
  <c r="S1307" i="6" s="1"/>
  <c r="Q1308" i="6"/>
  <c r="N1308" i="6"/>
  <c r="O1309" i="6"/>
  <c r="P1309" i="6" s="1"/>
  <c r="I334" i="6"/>
  <c r="E334" i="6"/>
  <c r="F334" i="6"/>
  <c r="D334" i="6"/>
  <c r="H334" i="6" s="1"/>
  <c r="G334" i="6"/>
  <c r="R1308" i="6" l="1"/>
  <c r="M1308" i="6" s="1"/>
  <c r="S1308" i="6" s="1"/>
  <c r="Q1309" i="6"/>
  <c r="O1310" i="6"/>
  <c r="P1310" i="6" s="1"/>
  <c r="N1309" i="6"/>
  <c r="AE334" i="6"/>
  <c r="AF334" i="6"/>
  <c r="I335" i="6"/>
  <c r="E335" i="6"/>
  <c r="F335" i="6"/>
  <c r="D335" i="6"/>
  <c r="H335" i="6" s="1"/>
  <c r="G335" i="6"/>
  <c r="R1309" i="6" l="1"/>
  <c r="M1309" i="6" s="1"/>
  <c r="S1309" i="6" s="1"/>
  <c r="Q1310" i="6"/>
  <c r="N1310" i="6"/>
  <c r="O1311" i="6"/>
  <c r="P1311" i="6" s="1"/>
  <c r="AE335" i="6"/>
  <c r="AF335" i="6"/>
  <c r="D336" i="6"/>
  <c r="F336" i="6"/>
  <c r="E336" i="6"/>
  <c r="I336" i="6"/>
  <c r="G336" i="6"/>
  <c r="R1310" i="6" l="1"/>
  <c r="M1310" i="6" s="1"/>
  <c r="S1310" i="6" s="1"/>
  <c r="Q1311" i="6"/>
  <c r="N1311" i="6"/>
  <c r="O1312" i="6"/>
  <c r="P1312" i="6" s="1"/>
  <c r="AE336" i="6"/>
  <c r="AF336" i="6"/>
  <c r="H336" i="6"/>
  <c r="R1311" i="6" l="1"/>
  <c r="M1311" i="6" s="1"/>
  <c r="S1311" i="6" s="1"/>
  <c r="Q1312" i="6"/>
  <c r="O1313" i="6"/>
  <c r="P1313" i="6" s="1"/>
  <c r="N1312" i="6"/>
  <c r="I337" i="6"/>
  <c r="E337" i="6"/>
  <c r="D337" i="6"/>
  <c r="H337" i="6" s="1"/>
  <c r="I338" i="6" s="1"/>
  <c r="G337" i="6"/>
  <c r="F337" i="6"/>
  <c r="R1312" i="6" l="1"/>
  <c r="M1312" i="6" s="1"/>
  <c r="S1312" i="6" s="1"/>
  <c r="Q1313" i="6"/>
  <c r="N1313" i="6"/>
  <c r="O1314" i="6"/>
  <c r="P1314" i="6" s="1"/>
  <c r="AE337" i="6"/>
  <c r="AF337" i="6"/>
  <c r="E338" i="6"/>
  <c r="D338" i="6"/>
  <c r="H338" i="6" s="1"/>
  <c r="I339" i="6" s="1"/>
  <c r="F338" i="6"/>
  <c r="G338" i="6"/>
  <c r="R1313" i="6" l="1"/>
  <c r="M1313" i="6" s="1"/>
  <c r="S1313" i="6" s="1"/>
  <c r="Q1314" i="6"/>
  <c r="N1314" i="6"/>
  <c r="O1315" i="6"/>
  <c r="P1315" i="6" s="1"/>
  <c r="AE338" i="6"/>
  <c r="AF338" i="6"/>
  <c r="G339" i="6"/>
  <c r="D339" i="6"/>
  <c r="H339" i="6" s="1"/>
  <c r="E340" i="6" s="1"/>
  <c r="E339" i="6"/>
  <c r="F339" i="6"/>
  <c r="R1314" i="6" l="1"/>
  <c r="M1314" i="6" s="1"/>
  <c r="S1314" i="6" s="1"/>
  <c r="Q1315" i="6"/>
  <c r="O1316" i="6"/>
  <c r="P1316" i="6" s="1"/>
  <c r="N1315" i="6"/>
  <c r="AE339" i="6"/>
  <c r="AF339" i="6"/>
  <c r="G340" i="6"/>
  <c r="D340" i="6"/>
  <c r="H340" i="6" s="1"/>
  <c r="D341" i="6" s="1"/>
  <c r="I340" i="6"/>
  <c r="F340" i="6"/>
  <c r="R1315" i="6" l="1"/>
  <c r="M1315" i="6" s="1"/>
  <c r="S1315" i="6" s="1"/>
  <c r="Q1316" i="6"/>
  <c r="N1316" i="6"/>
  <c r="O1317" i="6"/>
  <c r="P1317" i="6" s="1"/>
  <c r="AE340" i="6"/>
  <c r="AF340" i="6"/>
  <c r="E341" i="6"/>
  <c r="I341" i="6"/>
  <c r="G341" i="6"/>
  <c r="F341" i="6"/>
  <c r="R1316" i="6" l="1"/>
  <c r="M1316" i="6" s="1"/>
  <c r="S1316" i="6" s="1"/>
  <c r="Q1317" i="6"/>
  <c r="N1317" i="6"/>
  <c r="O1318" i="6"/>
  <c r="P1318" i="6" s="1"/>
  <c r="AE341" i="6"/>
  <c r="AF341" i="6"/>
  <c r="H341" i="6"/>
  <c r="I342" i="6" s="1"/>
  <c r="G342" i="6"/>
  <c r="D342" i="6"/>
  <c r="E342" i="6"/>
  <c r="R1317" i="6" l="1"/>
  <c r="M1317" i="6" s="1"/>
  <c r="S1317" i="6" s="1"/>
  <c r="Q1318" i="6"/>
  <c r="N1318" i="6"/>
  <c r="O1319" i="6"/>
  <c r="P1319" i="6" s="1"/>
  <c r="AE342" i="6"/>
  <c r="AF342" i="6"/>
  <c r="F342" i="6"/>
  <c r="H342" i="6"/>
  <c r="R1318" i="6" l="1"/>
  <c r="M1318" i="6" s="1"/>
  <c r="S1318" i="6" s="1"/>
  <c r="Q1319" i="6"/>
  <c r="O1320" i="6"/>
  <c r="P1320" i="6" s="1"/>
  <c r="N1319" i="6"/>
  <c r="I343" i="6"/>
  <c r="E343" i="6"/>
  <c r="D343" i="6"/>
  <c r="H343" i="6" s="1"/>
  <c r="F343" i="6"/>
  <c r="G343" i="6"/>
  <c r="R1319" i="6" l="1"/>
  <c r="M1319" i="6" s="1"/>
  <c r="S1319" i="6" s="1"/>
  <c r="Q1320" i="6"/>
  <c r="N1320" i="6"/>
  <c r="O1321" i="6"/>
  <c r="P1321" i="6" s="1"/>
  <c r="AE343" i="6"/>
  <c r="AF343" i="6"/>
  <c r="I344" i="6"/>
  <c r="G344" i="6"/>
  <c r="F344" i="6"/>
  <c r="D344" i="6"/>
  <c r="H344" i="6" s="1"/>
  <c r="E344" i="6"/>
  <c r="R1320" i="6" l="1"/>
  <c r="M1320" i="6" s="1"/>
  <c r="S1320" i="6" s="1"/>
  <c r="Q1321" i="6"/>
  <c r="O1322" i="6"/>
  <c r="P1322" i="6" s="1"/>
  <c r="N1321" i="6"/>
  <c r="AE344" i="6"/>
  <c r="AF344" i="6"/>
  <c r="D345" i="6"/>
  <c r="I345" i="6"/>
  <c r="G345" i="6"/>
  <c r="E345" i="6"/>
  <c r="F345" i="6"/>
  <c r="R1321" i="6" l="1"/>
  <c r="M1321" i="6" s="1"/>
  <c r="S1321" i="6" s="1"/>
  <c r="Q1322" i="6"/>
  <c r="N1322" i="6"/>
  <c r="O1323" i="6"/>
  <c r="P1323" i="6" s="1"/>
  <c r="AE345" i="6"/>
  <c r="AF345" i="6"/>
  <c r="H345" i="6"/>
  <c r="D346" i="6" s="1"/>
  <c r="H346" i="6" s="1"/>
  <c r="G346" i="6"/>
  <c r="I346" i="6"/>
  <c r="F346" i="6"/>
  <c r="E346" i="6"/>
  <c r="R1322" i="6" l="1"/>
  <c r="M1322" i="6" s="1"/>
  <c r="S1322" i="6" s="1"/>
  <c r="Q1323" i="6"/>
  <c r="N1323" i="6"/>
  <c r="O1324" i="6"/>
  <c r="P1324" i="6" s="1"/>
  <c r="AE346" i="6"/>
  <c r="AF346" i="6"/>
  <c r="D347" i="6"/>
  <c r="F347" i="6"/>
  <c r="G347" i="6"/>
  <c r="I347" i="6"/>
  <c r="E347" i="6"/>
  <c r="R1323" i="6" l="1"/>
  <c r="M1323" i="6" s="1"/>
  <c r="S1323" i="6" s="1"/>
  <c r="Q1324" i="6"/>
  <c r="N1324" i="6"/>
  <c r="O1325" i="6"/>
  <c r="P1325" i="6" s="1"/>
  <c r="AE347" i="6"/>
  <c r="AF347" i="6"/>
  <c r="H347" i="6"/>
  <c r="R1324" i="6" l="1"/>
  <c r="M1324" i="6" s="1"/>
  <c r="S1324" i="6" s="1"/>
  <c r="Q1325" i="6"/>
  <c r="O1326" i="6"/>
  <c r="P1326" i="6" s="1"/>
  <c r="N1325" i="6"/>
  <c r="E348" i="6"/>
  <c r="F348" i="6"/>
  <c r="G348" i="6"/>
  <c r="I348" i="6"/>
  <c r="D348" i="6"/>
  <c r="H348" i="6" s="1"/>
  <c r="R1325" i="6" l="1"/>
  <c r="M1325" i="6" s="1"/>
  <c r="S1325" i="6" s="1"/>
  <c r="Q1326" i="6"/>
  <c r="N1326" i="6"/>
  <c r="O1327" i="6"/>
  <c r="P1327" i="6" s="1"/>
  <c r="AE348" i="6"/>
  <c r="AF348" i="6"/>
  <c r="G349" i="6"/>
  <c r="D349" i="6"/>
  <c r="H349" i="6" s="1"/>
  <c r="E349" i="6"/>
  <c r="I349" i="6"/>
  <c r="F349" i="6"/>
  <c r="R1326" i="6" l="1"/>
  <c r="M1326" i="6" s="1"/>
  <c r="S1326" i="6" s="1"/>
  <c r="Q1327" i="6"/>
  <c r="O1328" i="6"/>
  <c r="P1328" i="6" s="1"/>
  <c r="N1327" i="6"/>
  <c r="AE349" i="6"/>
  <c r="AF349" i="6"/>
  <c r="I350" i="6"/>
  <c r="G350" i="6"/>
  <c r="D350" i="6"/>
  <c r="E350" i="6"/>
  <c r="F350" i="6"/>
  <c r="R1327" i="6" l="1"/>
  <c r="M1327" i="6" s="1"/>
  <c r="S1327" i="6" s="1"/>
  <c r="Q1328" i="6"/>
  <c r="O1329" i="6"/>
  <c r="P1329" i="6" s="1"/>
  <c r="N1328" i="6"/>
  <c r="AE350" i="6"/>
  <c r="AF350" i="6"/>
  <c r="H350" i="6"/>
  <c r="G351" i="6" s="1"/>
  <c r="E351" i="6"/>
  <c r="D351" i="6"/>
  <c r="F351" i="6"/>
  <c r="I351" i="6"/>
  <c r="R1328" i="6" l="1"/>
  <c r="M1328" i="6" s="1"/>
  <c r="S1328" i="6" s="1"/>
  <c r="Q1329" i="6"/>
  <c r="N1329" i="6"/>
  <c r="O1330" i="6"/>
  <c r="P1330" i="6" s="1"/>
  <c r="AE351" i="6"/>
  <c r="AF351" i="6"/>
  <c r="H351" i="6"/>
  <c r="D352" i="6" s="1"/>
  <c r="I352" i="6"/>
  <c r="F352" i="6"/>
  <c r="E352" i="6"/>
  <c r="R1329" i="6" l="1"/>
  <c r="M1329" i="6" s="1"/>
  <c r="S1329" i="6" s="1"/>
  <c r="Q1330" i="6"/>
  <c r="N1330" i="6"/>
  <c r="O1331" i="6"/>
  <c r="P1331" i="6" s="1"/>
  <c r="G352" i="6"/>
  <c r="R1330" i="6" l="1"/>
  <c r="M1330" i="6" s="1"/>
  <c r="S1330" i="6" s="1"/>
  <c r="Q1331" i="6"/>
  <c r="N1331" i="6"/>
  <c r="O1332" i="6"/>
  <c r="P1332" i="6" s="1"/>
  <c r="AE352" i="6"/>
  <c r="AF352" i="6"/>
  <c r="H352" i="6"/>
  <c r="R1331" i="6" l="1"/>
  <c r="M1331" i="6" s="1"/>
  <c r="S1331" i="6" s="1"/>
  <c r="Q1332" i="6"/>
  <c r="N1332" i="6"/>
  <c r="O1333" i="6"/>
  <c r="P1333" i="6" s="1"/>
  <c r="E353" i="6"/>
  <c r="F353" i="6"/>
  <c r="G353" i="6"/>
  <c r="D353" i="6"/>
  <c r="H353" i="6" s="1"/>
  <c r="D354" i="6" s="1"/>
  <c r="I353" i="6"/>
  <c r="R1332" i="6" l="1"/>
  <c r="M1332" i="6" s="1"/>
  <c r="S1332" i="6" s="1"/>
  <c r="Q1333" i="6"/>
  <c r="N1333" i="6"/>
  <c r="O1334" i="6"/>
  <c r="P1334" i="6" s="1"/>
  <c r="AE353" i="6"/>
  <c r="AF353" i="6"/>
  <c r="F354" i="6"/>
  <c r="I354" i="6"/>
  <c r="G354" i="6"/>
  <c r="E354" i="6"/>
  <c r="R1333" i="6" l="1"/>
  <c r="M1333" i="6" s="1"/>
  <c r="S1333" i="6" s="1"/>
  <c r="Q1334" i="6"/>
  <c r="N1334" i="6"/>
  <c r="O1335" i="6"/>
  <c r="P1335" i="6" s="1"/>
  <c r="AE354" i="6"/>
  <c r="AF354" i="6"/>
  <c r="H354" i="6"/>
  <c r="R1334" i="6" l="1"/>
  <c r="M1334" i="6" s="1"/>
  <c r="S1334" i="6" s="1"/>
  <c r="Q1335" i="6"/>
  <c r="N1335" i="6"/>
  <c r="O1336" i="6"/>
  <c r="P1336" i="6" s="1"/>
  <c r="D355" i="6"/>
  <c r="F355" i="6"/>
  <c r="G355" i="6"/>
  <c r="I355" i="6"/>
  <c r="E355" i="6"/>
  <c r="R1335" i="6" l="1"/>
  <c r="M1335" i="6" s="1"/>
  <c r="S1335" i="6" s="1"/>
  <c r="Q1336" i="6"/>
  <c r="N1336" i="6"/>
  <c r="O1337" i="6"/>
  <c r="P1337" i="6" s="1"/>
  <c r="AE355" i="6"/>
  <c r="AF355" i="6"/>
  <c r="H355" i="6"/>
  <c r="R1336" i="6" l="1"/>
  <c r="M1336" i="6" s="1"/>
  <c r="S1336" i="6" s="1"/>
  <c r="Q1337" i="6"/>
  <c r="N1337" i="6"/>
  <c r="O1338" i="6"/>
  <c r="P1338" i="6" s="1"/>
  <c r="I356" i="6"/>
  <c r="D356" i="6"/>
  <c r="F356" i="6"/>
  <c r="E356" i="6"/>
  <c r="G356" i="6"/>
  <c r="R1337" i="6" l="1"/>
  <c r="M1337" i="6" s="1"/>
  <c r="S1337" i="6" s="1"/>
  <c r="Q1338" i="6"/>
  <c r="O1339" i="6"/>
  <c r="P1339" i="6" s="1"/>
  <c r="N1338" i="6"/>
  <c r="AE356" i="6"/>
  <c r="AF356" i="6"/>
  <c r="H356" i="6"/>
  <c r="R1338" i="6" l="1"/>
  <c r="M1338" i="6" s="1"/>
  <c r="S1338" i="6" s="1"/>
  <c r="Q1339" i="6"/>
  <c r="N1339" i="6"/>
  <c r="O1340" i="6"/>
  <c r="P1340" i="6" s="1"/>
  <c r="D357" i="6"/>
  <c r="H357" i="6" s="1"/>
  <c r="G357" i="6"/>
  <c r="I357" i="6"/>
  <c r="E357" i="6"/>
  <c r="F357" i="6"/>
  <c r="R1339" i="6" l="1"/>
  <c r="M1339" i="6" s="1"/>
  <c r="S1339" i="6" s="1"/>
  <c r="Q1340" i="6"/>
  <c r="N1340" i="6"/>
  <c r="O1341" i="6"/>
  <c r="P1341" i="6" s="1"/>
  <c r="AE357" i="6"/>
  <c r="AF357" i="6"/>
  <c r="D358" i="6"/>
  <c r="I358" i="6"/>
  <c r="G358" i="6"/>
  <c r="F358" i="6"/>
  <c r="E358" i="6"/>
  <c r="R1340" i="6" l="1"/>
  <c r="M1340" i="6" s="1"/>
  <c r="S1340" i="6" s="1"/>
  <c r="Q1341" i="6"/>
  <c r="N1341" i="6"/>
  <c r="O1342" i="6"/>
  <c r="P1342" i="6" s="1"/>
  <c r="AE358" i="6"/>
  <c r="AF358" i="6"/>
  <c r="H358" i="6"/>
  <c r="R1341" i="6" l="1"/>
  <c r="M1341" i="6" s="1"/>
  <c r="S1341" i="6" s="1"/>
  <c r="Q1342" i="6"/>
  <c r="O1343" i="6"/>
  <c r="P1343" i="6" s="1"/>
  <c r="N1342" i="6"/>
  <c r="I359" i="6"/>
  <c r="D359" i="6"/>
  <c r="G359" i="6"/>
  <c r="E359" i="6"/>
  <c r="F359" i="6"/>
  <c r="R1342" i="6" l="1"/>
  <c r="M1342" i="6" s="1"/>
  <c r="S1342" i="6" s="1"/>
  <c r="Q1343" i="6"/>
  <c r="O1344" i="6"/>
  <c r="P1344" i="6" s="1"/>
  <c r="N1343" i="6"/>
  <c r="AE359" i="6"/>
  <c r="AF359" i="6"/>
  <c r="H359" i="6"/>
  <c r="R1343" i="6" l="1"/>
  <c r="M1343" i="6" s="1"/>
  <c r="S1343" i="6" s="1"/>
  <c r="Q1344" i="6"/>
  <c r="O1345" i="6"/>
  <c r="P1345" i="6" s="1"/>
  <c r="N1344" i="6"/>
  <c r="D360" i="6"/>
  <c r="H360" i="6" s="1"/>
  <c r="G360" i="6"/>
  <c r="F360" i="6"/>
  <c r="I360" i="6"/>
  <c r="E360" i="6"/>
  <c r="R1344" i="6" l="1"/>
  <c r="M1344" i="6" s="1"/>
  <c r="S1344" i="6" s="1"/>
  <c r="Q1345" i="6"/>
  <c r="N1345" i="6"/>
  <c r="O1346" i="6"/>
  <c r="P1346" i="6" s="1"/>
  <c r="AE360" i="6"/>
  <c r="AF360" i="6"/>
  <c r="G361" i="6"/>
  <c r="I361" i="6"/>
  <c r="E361" i="6"/>
  <c r="F361" i="6"/>
  <c r="D361" i="6"/>
  <c r="H361" i="6" s="1"/>
  <c r="R1345" i="6" l="1"/>
  <c r="M1345" i="6" s="1"/>
  <c r="S1345" i="6" s="1"/>
  <c r="Q1346" i="6"/>
  <c r="O1347" i="6"/>
  <c r="P1347" i="6" s="1"/>
  <c r="N1346" i="6"/>
  <c r="AE361" i="6"/>
  <c r="AF361" i="6"/>
  <c r="G362" i="6"/>
  <c r="D362" i="6"/>
  <c r="H362" i="6" s="1"/>
  <c r="E362" i="6"/>
  <c r="F362" i="6"/>
  <c r="I362" i="6"/>
  <c r="R1346" i="6" l="1"/>
  <c r="M1346" i="6" s="1"/>
  <c r="S1346" i="6" s="1"/>
  <c r="Q1347" i="6"/>
  <c r="N1347" i="6"/>
  <c r="O1348" i="6"/>
  <c r="P1348" i="6" s="1"/>
  <c r="AE362" i="6"/>
  <c r="AF362" i="6"/>
  <c r="D363" i="6"/>
  <c r="H363" i="6" s="1"/>
  <c r="D364" i="6" s="1"/>
  <c r="G363" i="6"/>
  <c r="F363" i="6"/>
  <c r="I363" i="6"/>
  <c r="E363" i="6"/>
  <c r="R1347" i="6" l="1"/>
  <c r="M1347" i="6" s="1"/>
  <c r="S1347" i="6" s="1"/>
  <c r="Q1348" i="6"/>
  <c r="O1349" i="6"/>
  <c r="P1349" i="6" s="1"/>
  <c r="N1348" i="6"/>
  <c r="AE363" i="6"/>
  <c r="AF363" i="6"/>
  <c r="G364" i="6"/>
  <c r="I364" i="6"/>
  <c r="E364" i="6"/>
  <c r="F364" i="6"/>
  <c r="R1348" i="6" l="1"/>
  <c r="M1348" i="6" s="1"/>
  <c r="S1348" i="6" s="1"/>
  <c r="Q1349" i="6"/>
  <c r="N1349" i="6"/>
  <c r="O1350" i="6"/>
  <c r="P1350" i="6" s="1"/>
  <c r="AE364" i="6"/>
  <c r="AF364" i="6"/>
  <c r="H364" i="6"/>
  <c r="R1349" i="6" l="1"/>
  <c r="M1349" i="6" s="1"/>
  <c r="S1349" i="6" s="1"/>
  <c r="Q1350" i="6"/>
  <c r="N1350" i="6"/>
  <c r="O1351" i="6"/>
  <c r="P1351" i="6" s="1"/>
  <c r="I365" i="6"/>
  <c r="E365" i="6"/>
  <c r="F365" i="6"/>
  <c r="D365" i="6"/>
  <c r="H365" i="6" s="1"/>
  <c r="G365" i="6"/>
  <c r="R1350" i="6" l="1"/>
  <c r="M1350" i="6" s="1"/>
  <c r="S1350" i="6" s="1"/>
  <c r="Q1351" i="6"/>
  <c r="N1351" i="6"/>
  <c r="O1352" i="6"/>
  <c r="P1352" i="6" s="1"/>
  <c r="AE365" i="6"/>
  <c r="AF365" i="6"/>
  <c r="F366" i="6"/>
  <c r="D366" i="6"/>
  <c r="G366" i="6"/>
  <c r="E366" i="6"/>
  <c r="I366" i="6"/>
  <c r="R1351" i="6" l="1"/>
  <c r="M1351" i="6" s="1"/>
  <c r="S1351" i="6" s="1"/>
  <c r="Q1352" i="6"/>
  <c r="N1352" i="6"/>
  <c r="O1353" i="6"/>
  <c r="P1353" i="6" s="1"/>
  <c r="AE366" i="6"/>
  <c r="AF366" i="6"/>
  <c r="H366" i="6"/>
  <c r="R1352" i="6" l="1"/>
  <c r="M1352" i="6" s="1"/>
  <c r="S1352" i="6" s="1"/>
  <c r="Q1353" i="6"/>
  <c r="N1353" i="6"/>
  <c r="O1354" i="6"/>
  <c r="P1354" i="6" s="1"/>
  <c r="I367" i="6"/>
  <c r="F367" i="6"/>
  <c r="D367" i="6"/>
  <c r="H367" i="6" s="1"/>
  <c r="I368" i="6" s="1"/>
  <c r="E367" i="6"/>
  <c r="G367" i="6"/>
  <c r="R1353" i="6" l="1"/>
  <c r="M1353" i="6" s="1"/>
  <c r="S1353" i="6" s="1"/>
  <c r="Q1354" i="6"/>
  <c r="O1355" i="6"/>
  <c r="P1355" i="6" s="1"/>
  <c r="N1354" i="6"/>
  <c r="AE367" i="6"/>
  <c r="AF367" i="6"/>
  <c r="G368" i="6"/>
  <c r="E368" i="6"/>
  <c r="F368" i="6"/>
  <c r="D368" i="6"/>
  <c r="H368" i="6" s="1"/>
  <c r="D369" i="6" s="1"/>
  <c r="R1354" i="6" l="1"/>
  <c r="M1354" i="6" s="1"/>
  <c r="S1354" i="6" s="1"/>
  <c r="Q1355" i="6"/>
  <c r="N1355" i="6"/>
  <c r="O1356" i="6"/>
  <c r="P1356" i="6" s="1"/>
  <c r="AE368" i="6"/>
  <c r="AF368" i="6"/>
  <c r="I369" i="6"/>
  <c r="G369" i="6"/>
  <c r="F369" i="6"/>
  <c r="E369" i="6"/>
  <c r="R1355" i="6" l="1"/>
  <c r="M1355" i="6" s="1"/>
  <c r="S1355" i="6" s="1"/>
  <c r="Q1356" i="6"/>
  <c r="O1357" i="6"/>
  <c r="P1357" i="6" s="1"/>
  <c r="N1356" i="6"/>
  <c r="AE369" i="6"/>
  <c r="AF369" i="6"/>
  <c r="H369" i="6"/>
  <c r="G370" i="6"/>
  <c r="I370" i="6"/>
  <c r="D370" i="6"/>
  <c r="H370" i="6" s="1"/>
  <c r="E370" i="6"/>
  <c r="F370" i="6"/>
  <c r="R1356" i="6" l="1"/>
  <c r="M1356" i="6" s="1"/>
  <c r="S1356" i="6" s="1"/>
  <c r="Q1357" i="6"/>
  <c r="N1357" i="6"/>
  <c r="O1358" i="6"/>
  <c r="P1358" i="6" s="1"/>
  <c r="AE370" i="6"/>
  <c r="AF370" i="6"/>
  <c r="I371" i="6"/>
  <c r="G371" i="6"/>
  <c r="E371" i="6"/>
  <c r="F371" i="6"/>
  <c r="D371" i="6"/>
  <c r="R1357" i="6" l="1"/>
  <c r="M1357" i="6" s="1"/>
  <c r="S1357" i="6" s="1"/>
  <c r="Q1358" i="6"/>
  <c r="O1359" i="6"/>
  <c r="P1359" i="6" s="1"/>
  <c r="N1358" i="6"/>
  <c r="AE371" i="6"/>
  <c r="AF371" i="6"/>
  <c r="H371" i="6"/>
  <c r="E372" i="6" s="1"/>
  <c r="D372" i="6"/>
  <c r="H372" i="6" s="1"/>
  <c r="F372" i="6"/>
  <c r="I372" i="6"/>
  <c r="G372" i="6"/>
  <c r="R1358" i="6" l="1"/>
  <c r="M1358" i="6" s="1"/>
  <c r="S1358" i="6" s="1"/>
  <c r="Q1359" i="6"/>
  <c r="O1360" i="6"/>
  <c r="P1360" i="6" s="1"/>
  <c r="N1359" i="6"/>
  <c r="AE372" i="6"/>
  <c r="AF372" i="6"/>
  <c r="I373" i="6"/>
  <c r="F373" i="6"/>
  <c r="G373" i="6"/>
  <c r="D373" i="6"/>
  <c r="E373" i="6"/>
  <c r="R1359" i="6" l="1"/>
  <c r="M1359" i="6" s="1"/>
  <c r="S1359" i="6" s="1"/>
  <c r="Q1360" i="6"/>
  <c r="O1361" i="6"/>
  <c r="P1361" i="6" s="1"/>
  <c r="N1360" i="6"/>
  <c r="AE373" i="6"/>
  <c r="AF373" i="6"/>
  <c r="H373" i="6"/>
  <c r="R1360" i="6" l="1"/>
  <c r="M1360" i="6" s="1"/>
  <c r="S1360" i="6" s="1"/>
  <c r="Q1361" i="6"/>
  <c r="N1361" i="6"/>
  <c r="O1362" i="6"/>
  <c r="P1362" i="6" s="1"/>
  <c r="F374" i="6"/>
  <c r="E374" i="6"/>
  <c r="D374" i="6"/>
  <c r="G374" i="6"/>
  <c r="I374" i="6"/>
  <c r="R1361" i="6" l="1"/>
  <c r="M1361" i="6" s="1"/>
  <c r="S1361" i="6" s="1"/>
  <c r="Q1362" i="6"/>
  <c r="N1362" i="6"/>
  <c r="O1363" i="6"/>
  <c r="P1363" i="6" s="1"/>
  <c r="AE374" i="6"/>
  <c r="AF374" i="6"/>
  <c r="H374" i="6"/>
  <c r="D375" i="6" s="1"/>
  <c r="I375" i="6"/>
  <c r="E375" i="6"/>
  <c r="R1362" i="6" l="1"/>
  <c r="M1362" i="6" s="1"/>
  <c r="S1362" i="6" s="1"/>
  <c r="Q1363" i="6"/>
  <c r="N1363" i="6"/>
  <c r="O1364" i="6"/>
  <c r="P1364" i="6" s="1"/>
  <c r="G375" i="6"/>
  <c r="F375" i="6"/>
  <c r="R1363" i="6" l="1"/>
  <c r="M1363" i="6" s="1"/>
  <c r="S1363" i="6" s="1"/>
  <c r="Q1364" i="6"/>
  <c r="O1365" i="6"/>
  <c r="P1365" i="6" s="1"/>
  <c r="N1364" i="6"/>
  <c r="AE375" i="6"/>
  <c r="AF375" i="6"/>
  <c r="H375" i="6"/>
  <c r="I376" i="6"/>
  <c r="E376" i="6"/>
  <c r="F376" i="6"/>
  <c r="G376" i="6"/>
  <c r="D376" i="6"/>
  <c r="R1364" i="6" l="1"/>
  <c r="M1364" i="6" s="1"/>
  <c r="S1364" i="6" s="1"/>
  <c r="Q1365" i="6"/>
  <c r="N1365" i="6"/>
  <c r="O1366" i="6"/>
  <c r="P1366" i="6" s="1"/>
  <c r="AE376" i="6"/>
  <c r="AF376" i="6"/>
  <c r="H376" i="6"/>
  <c r="R1365" i="6" l="1"/>
  <c r="M1365" i="6" s="1"/>
  <c r="S1365" i="6" s="1"/>
  <c r="Q1366" i="6"/>
  <c r="N1366" i="6"/>
  <c r="O1367" i="6"/>
  <c r="P1367" i="6" s="1"/>
  <c r="D377" i="6"/>
  <c r="F377" i="6"/>
  <c r="G377" i="6"/>
  <c r="I377" i="6"/>
  <c r="E377" i="6"/>
  <c r="R1366" i="6" l="1"/>
  <c r="M1366" i="6" s="1"/>
  <c r="S1366" i="6" s="1"/>
  <c r="Q1367" i="6"/>
  <c r="N1367" i="6"/>
  <c r="O1368" i="6"/>
  <c r="P1368" i="6" s="1"/>
  <c r="AE377" i="6"/>
  <c r="AF377" i="6"/>
  <c r="H377" i="6"/>
  <c r="R1367" i="6" l="1"/>
  <c r="M1367" i="6" s="1"/>
  <c r="S1367" i="6" s="1"/>
  <c r="Q1368" i="6"/>
  <c r="O1369" i="6"/>
  <c r="P1369" i="6" s="1"/>
  <c r="N1368" i="6"/>
  <c r="I378" i="6"/>
  <c r="F378" i="6"/>
  <c r="D378" i="6"/>
  <c r="E378" i="6"/>
  <c r="G378" i="6"/>
  <c r="R1368" i="6" l="1"/>
  <c r="M1368" i="6" s="1"/>
  <c r="S1368" i="6" s="1"/>
  <c r="Q1369" i="6"/>
  <c r="N1369" i="6"/>
  <c r="O1370" i="6"/>
  <c r="P1370" i="6" s="1"/>
  <c r="AE378" i="6"/>
  <c r="AF378" i="6"/>
  <c r="H378" i="6"/>
  <c r="I379" i="6" s="1"/>
  <c r="E379" i="6"/>
  <c r="D379" i="6"/>
  <c r="F379" i="6"/>
  <c r="R1369" i="6" l="1"/>
  <c r="M1369" i="6" s="1"/>
  <c r="S1369" i="6" s="1"/>
  <c r="Q1370" i="6"/>
  <c r="O1371" i="6"/>
  <c r="P1371" i="6" s="1"/>
  <c r="N1370" i="6"/>
  <c r="G379" i="6"/>
  <c r="R1370" i="6" l="1"/>
  <c r="M1370" i="6" s="1"/>
  <c r="S1370" i="6" s="1"/>
  <c r="Q1371" i="6"/>
  <c r="N1371" i="6"/>
  <c r="O1372" i="6"/>
  <c r="P1372" i="6" s="1"/>
  <c r="AE379" i="6"/>
  <c r="AF379" i="6"/>
  <c r="H379" i="6"/>
  <c r="I380" i="6" s="1"/>
  <c r="D380" i="6"/>
  <c r="G380" i="6"/>
  <c r="E380" i="6"/>
  <c r="R1371" i="6" l="1"/>
  <c r="M1371" i="6" s="1"/>
  <c r="S1371" i="6" s="1"/>
  <c r="Q1372" i="6"/>
  <c r="N1372" i="6"/>
  <c r="O1373" i="6"/>
  <c r="P1373" i="6" s="1"/>
  <c r="AE380" i="6"/>
  <c r="AF380" i="6"/>
  <c r="F380" i="6"/>
  <c r="H380" i="6"/>
  <c r="R1372" i="6" l="1"/>
  <c r="M1372" i="6" s="1"/>
  <c r="S1372" i="6" s="1"/>
  <c r="Q1373" i="6"/>
  <c r="N1373" i="6"/>
  <c r="O1374" i="6"/>
  <c r="P1374" i="6" s="1"/>
  <c r="I381" i="6"/>
  <c r="G381" i="6"/>
  <c r="F381" i="6"/>
  <c r="D381" i="6"/>
  <c r="E381" i="6"/>
  <c r="R1373" i="6" l="1"/>
  <c r="M1373" i="6" s="1"/>
  <c r="S1373" i="6" s="1"/>
  <c r="Q1374" i="6"/>
  <c r="N1374" i="6"/>
  <c r="O1375" i="6"/>
  <c r="P1375" i="6" s="1"/>
  <c r="AE381" i="6"/>
  <c r="AF381" i="6"/>
  <c r="H381" i="6"/>
  <c r="E382" i="6"/>
  <c r="D382" i="6"/>
  <c r="H382" i="6" s="1"/>
  <c r="F382" i="6"/>
  <c r="I382" i="6"/>
  <c r="G382" i="6"/>
  <c r="R1374" i="6" l="1"/>
  <c r="M1374" i="6" s="1"/>
  <c r="S1374" i="6" s="1"/>
  <c r="Q1375" i="6"/>
  <c r="O1376" i="6"/>
  <c r="P1376" i="6" s="1"/>
  <c r="N1375" i="6"/>
  <c r="AE382" i="6"/>
  <c r="AF382" i="6"/>
  <c r="D383" i="6"/>
  <c r="E383" i="6"/>
  <c r="I383" i="6"/>
  <c r="F383" i="6"/>
  <c r="G383" i="6"/>
  <c r="R1375" i="6" l="1"/>
  <c r="M1375" i="6" s="1"/>
  <c r="S1375" i="6" s="1"/>
  <c r="Q1376" i="6"/>
  <c r="N1376" i="6"/>
  <c r="O1377" i="6"/>
  <c r="P1377" i="6" s="1"/>
  <c r="AE383" i="6"/>
  <c r="AF383" i="6"/>
  <c r="H383" i="6"/>
  <c r="I384" i="6"/>
  <c r="E384" i="6"/>
  <c r="D384" i="6"/>
  <c r="G384" i="6"/>
  <c r="F384" i="6"/>
  <c r="R1376" i="6" l="1"/>
  <c r="M1376" i="6" s="1"/>
  <c r="S1376" i="6" s="1"/>
  <c r="Q1377" i="6"/>
  <c r="N1377" i="6"/>
  <c r="O1378" i="6"/>
  <c r="P1378" i="6" s="1"/>
  <c r="AE384" i="6"/>
  <c r="AF384" i="6"/>
  <c r="H384" i="6"/>
  <c r="R1377" i="6" l="1"/>
  <c r="M1377" i="6" s="1"/>
  <c r="S1377" i="6" s="1"/>
  <c r="Q1378" i="6"/>
  <c r="O1379" i="6"/>
  <c r="P1379" i="6" s="1"/>
  <c r="N1378" i="6"/>
  <c r="F385" i="6"/>
  <c r="E385" i="6"/>
  <c r="D385" i="6"/>
  <c r="I385" i="6"/>
  <c r="G385" i="6"/>
  <c r="R1378" i="6" l="1"/>
  <c r="M1378" i="6" s="1"/>
  <c r="S1378" i="6" s="1"/>
  <c r="Q1379" i="6"/>
  <c r="N1379" i="6"/>
  <c r="O1380" i="6"/>
  <c r="P1380" i="6" s="1"/>
  <c r="AE385" i="6"/>
  <c r="AF385" i="6"/>
  <c r="H385" i="6"/>
  <c r="I386" i="6" s="1"/>
  <c r="E386" i="6"/>
  <c r="D386" i="6"/>
  <c r="F386" i="6"/>
  <c r="R1379" i="6" l="1"/>
  <c r="M1379" i="6" s="1"/>
  <c r="S1379" i="6" s="1"/>
  <c r="Q1380" i="6"/>
  <c r="O1381" i="6"/>
  <c r="P1381" i="6" s="1"/>
  <c r="N1380" i="6"/>
  <c r="G386" i="6"/>
  <c r="R1380" i="6" l="1"/>
  <c r="M1380" i="6" s="1"/>
  <c r="S1380" i="6" s="1"/>
  <c r="Q1381" i="6"/>
  <c r="N1381" i="6"/>
  <c r="O1382" i="6"/>
  <c r="P1382" i="6" s="1"/>
  <c r="AE386" i="6"/>
  <c r="AF386" i="6"/>
  <c r="H386" i="6"/>
  <c r="R1381" i="6" l="1"/>
  <c r="M1381" i="6" s="1"/>
  <c r="S1381" i="6" s="1"/>
  <c r="Q1382" i="6"/>
  <c r="O1383" i="6"/>
  <c r="P1383" i="6" s="1"/>
  <c r="N1382" i="6"/>
  <c r="I387" i="6"/>
  <c r="F387" i="6"/>
  <c r="G387" i="6"/>
  <c r="D387" i="6"/>
  <c r="E387" i="6"/>
  <c r="R1382" i="6" l="1"/>
  <c r="M1382" i="6" s="1"/>
  <c r="S1382" i="6" s="1"/>
  <c r="Q1383" i="6"/>
  <c r="N1383" i="6"/>
  <c r="O1384" i="6"/>
  <c r="P1384" i="6" s="1"/>
  <c r="AE387" i="6"/>
  <c r="AF387" i="6"/>
  <c r="H387" i="6"/>
  <c r="R1383" i="6" l="1"/>
  <c r="M1383" i="6" s="1"/>
  <c r="S1383" i="6" s="1"/>
  <c r="Q1384" i="6"/>
  <c r="O1385" i="6"/>
  <c r="P1385" i="6" s="1"/>
  <c r="N1384" i="6"/>
  <c r="G388" i="6"/>
  <c r="D388" i="6"/>
  <c r="H388" i="6" s="1"/>
  <c r="F388" i="6"/>
  <c r="I388" i="6"/>
  <c r="E388" i="6"/>
  <c r="R1384" i="6" l="1"/>
  <c r="M1384" i="6" s="1"/>
  <c r="S1384" i="6" s="1"/>
  <c r="Q1385" i="6"/>
  <c r="N1385" i="6"/>
  <c r="O1386" i="6"/>
  <c r="P1386" i="6" s="1"/>
  <c r="AE388" i="6"/>
  <c r="AF388" i="6"/>
  <c r="I389" i="6"/>
  <c r="E389" i="6"/>
  <c r="F389" i="6"/>
  <c r="D389" i="6"/>
  <c r="H389" i="6" s="1"/>
  <c r="G389" i="6"/>
  <c r="R1385" i="6" l="1"/>
  <c r="M1385" i="6" s="1"/>
  <c r="S1385" i="6" s="1"/>
  <c r="Q1386" i="6"/>
  <c r="O1387" i="6"/>
  <c r="P1387" i="6" s="1"/>
  <c r="N1386" i="6"/>
  <c r="AE389" i="6"/>
  <c r="AF389" i="6"/>
  <c r="D390" i="6"/>
  <c r="H390" i="6" s="1"/>
  <c r="I390" i="6"/>
  <c r="E390" i="6"/>
  <c r="F390" i="6"/>
  <c r="G390" i="6"/>
  <c r="R1386" i="6" l="1"/>
  <c r="M1386" i="6" s="1"/>
  <c r="S1386" i="6" s="1"/>
  <c r="Q1387" i="6"/>
  <c r="N1387" i="6"/>
  <c r="O1388" i="6"/>
  <c r="P1388" i="6" s="1"/>
  <c r="AE390" i="6"/>
  <c r="AF390" i="6"/>
  <c r="F391" i="6"/>
  <c r="D391" i="6"/>
  <c r="H391" i="6" s="1"/>
  <c r="G391" i="6"/>
  <c r="I391" i="6"/>
  <c r="E391" i="6"/>
  <c r="R1387" i="6" l="1"/>
  <c r="M1387" i="6" s="1"/>
  <c r="S1387" i="6" s="1"/>
  <c r="Q1388" i="6"/>
  <c r="O1389" i="6"/>
  <c r="P1389" i="6" s="1"/>
  <c r="N1388" i="6"/>
  <c r="AE391" i="6"/>
  <c r="AF391" i="6"/>
  <c r="F392" i="6"/>
  <c r="D392" i="6"/>
  <c r="E392" i="6"/>
  <c r="I392" i="6"/>
  <c r="G392" i="6"/>
  <c r="R1388" i="6" l="1"/>
  <c r="M1388" i="6" s="1"/>
  <c r="S1388" i="6" s="1"/>
  <c r="Q1389" i="6"/>
  <c r="N1389" i="6"/>
  <c r="O1390" i="6"/>
  <c r="P1390" i="6" s="1"/>
  <c r="AE392" i="6"/>
  <c r="AF392" i="6"/>
  <c r="H392" i="6"/>
  <c r="I393" i="6" s="1"/>
  <c r="E393" i="6"/>
  <c r="D393" i="6"/>
  <c r="F393" i="6"/>
  <c r="R1389" i="6" l="1"/>
  <c r="M1389" i="6" s="1"/>
  <c r="S1389" i="6" s="1"/>
  <c r="Q1390" i="6"/>
  <c r="O1391" i="6"/>
  <c r="P1391" i="6" s="1"/>
  <c r="N1390" i="6"/>
  <c r="G393" i="6"/>
  <c r="R1390" i="6" l="1"/>
  <c r="M1390" i="6" s="1"/>
  <c r="S1390" i="6" s="1"/>
  <c r="Q1391" i="6"/>
  <c r="O1392" i="6"/>
  <c r="P1392" i="6" s="1"/>
  <c r="N1391" i="6"/>
  <c r="AE393" i="6"/>
  <c r="AF393" i="6"/>
  <c r="H393" i="6"/>
  <c r="E394" i="6" s="1"/>
  <c r="F394" i="6"/>
  <c r="G394" i="6"/>
  <c r="I394" i="6"/>
  <c r="D394" i="6"/>
  <c r="R1391" i="6" l="1"/>
  <c r="M1391" i="6" s="1"/>
  <c r="S1391" i="6" s="1"/>
  <c r="Q1392" i="6"/>
  <c r="N1392" i="6"/>
  <c r="O1393" i="6"/>
  <c r="P1393" i="6" s="1"/>
  <c r="AE394" i="6"/>
  <c r="AF394" i="6"/>
  <c r="H394" i="6"/>
  <c r="R1392" i="6" l="1"/>
  <c r="M1392" i="6" s="1"/>
  <c r="S1392" i="6" s="1"/>
  <c r="Q1393" i="6"/>
  <c r="N1393" i="6"/>
  <c r="O1394" i="6"/>
  <c r="P1394" i="6" s="1"/>
  <c r="F395" i="6"/>
  <c r="G395" i="6"/>
  <c r="E395" i="6"/>
  <c r="D395" i="6"/>
  <c r="I395" i="6"/>
  <c r="R1393" i="6" l="1"/>
  <c r="M1393" i="6" s="1"/>
  <c r="S1393" i="6" s="1"/>
  <c r="Q1394" i="6"/>
  <c r="N1394" i="6"/>
  <c r="O1395" i="6"/>
  <c r="P1395" i="6" s="1"/>
  <c r="AE395" i="6"/>
  <c r="AF395" i="6"/>
  <c r="H395" i="6"/>
  <c r="R1394" i="6" l="1"/>
  <c r="M1394" i="6" s="1"/>
  <c r="S1394" i="6" s="1"/>
  <c r="Q1395" i="6"/>
  <c r="N1395" i="6"/>
  <c r="O1396" i="6"/>
  <c r="P1396" i="6" s="1"/>
  <c r="G396" i="6"/>
  <c r="D396" i="6"/>
  <c r="H396" i="6" s="1"/>
  <c r="F396" i="6"/>
  <c r="E396" i="6"/>
  <c r="I396" i="6"/>
  <c r="R1395" i="6" l="1"/>
  <c r="M1395" i="6" s="1"/>
  <c r="S1395" i="6" s="1"/>
  <c r="Q1396" i="6"/>
  <c r="N1396" i="6"/>
  <c r="O1397" i="6"/>
  <c r="P1397" i="6" s="1"/>
  <c r="AE396" i="6"/>
  <c r="AF396" i="6"/>
  <c r="I397" i="6"/>
  <c r="G397" i="6"/>
  <c r="F397" i="6"/>
  <c r="E397" i="6"/>
  <c r="D397" i="6"/>
  <c r="R1396" i="6" l="1"/>
  <c r="M1396" i="6" s="1"/>
  <c r="S1396" i="6" s="1"/>
  <c r="Q1397" i="6"/>
  <c r="N1397" i="6"/>
  <c r="O1398" i="6"/>
  <c r="P1398" i="6" s="1"/>
  <c r="AE397" i="6"/>
  <c r="AF397" i="6"/>
  <c r="H397" i="6"/>
  <c r="R1397" i="6" l="1"/>
  <c r="M1397" i="6" s="1"/>
  <c r="S1397" i="6" s="1"/>
  <c r="Q1398" i="6"/>
  <c r="N1398" i="6"/>
  <c r="O1399" i="6"/>
  <c r="P1399" i="6" s="1"/>
  <c r="I398" i="6"/>
  <c r="E398" i="6"/>
  <c r="F398" i="6"/>
  <c r="D398" i="6"/>
  <c r="H398" i="6" s="1"/>
  <c r="G398" i="6"/>
  <c r="R1398" i="6" l="1"/>
  <c r="M1398" i="6" s="1"/>
  <c r="S1398" i="6" s="1"/>
  <c r="Q1399" i="6"/>
  <c r="N1399" i="6"/>
  <c r="O1400" i="6"/>
  <c r="P1400" i="6" s="1"/>
  <c r="AE398" i="6"/>
  <c r="AF398" i="6"/>
  <c r="D399" i="6"/>
  <c r="H399" i="6" s="1"/>
  <c r="E399" i="6"/>
  <c r="F399" i="6"/>
  <c r="G399" i="6"/>
  <c r="I399" i="6"/>
  <c r="R1399" i="6" l="1"/>
  <c r="M1399" i="6" s="1"/>
  <c r="S1399" i="6" s="1"/>
  <c r="Q1400" i="6"/>
  <c r="O1401" i="6"/>
  <c r="P1401" i="6" s="1"/>
  <c r="N1400" i="6"/>
  <c r="AE399" i="6"/>
  <c r="AF399" i="6"/>
  <c r="I400" i="6"/>
  <c r="E400" i="6"/>
  <c r="F400" i="6"/>
  <c r="D400" i="6"/>
  <c r="H400" i="6" s="1"/>
  <c r="G400" i="6"/>
  <c r="R1400" i="6" l="1"/>
  <c r="M1400" i="6" s="1"/>
  <c r="S1400" i="6" s="1"/>
  <c r="Q1401" i="6"/>
  <c r="N1401" i="6"/>
  <c r="O1402" i="6"/>
  <c r="P1402" i="6" s="1"/>
  <c r="AE400" i="6"/>
  <c r="AF400" i="6"/>
  <c r="D401" i="6"/>
  <c r="I401" i="6"/>
  <c r="F401" i="6"/>
  <c r="E401" i="6"/>
  <c r="G401" i="6"/>
  <c r="R1401" i="6" l="1"/>
  <c r="M1401" i="6" s="1"/>
  <c r="S1401" i="6" s="1"/>
  <c r="Q1402" i="6"/>
  <c r="N1402" i="6"/>
  <c r="O1403" i="6"/>
  <c r="P1403" i="6" s="1"/>
  <c r="AE401" i="6"/>
  <c r="AF401" i="6"/>
  <c r="H401" i="6"/>
  <c r="I402" i="6" s="1"/>
  <c r="F402" i="6"/>
  <c r="G402" i="6"/>
  <c r="D402" i="6"/>
  <c r="H402" i="6" s="1"/>
  <c r="E402" i="6"/>
  <c r="R1402" i="6" l="1"/>
  <c r="M1402" i="6" s="1"/>
  <c r="S1402" i="6" s="1"/>
  <c r="Q1403" i="6"/>
  <c r="N1403" i="6"/>
  <c r="O1404" i="6"/>
  <c r="P1404" i="6" s="1"/>
  <c r="AE402" i="6"/>
  <c r="AF402" i="6"/>
  <c r="E403" i="6"/>
  <c r="D403" i="6"/>
  <c r="F403" i="6"/>
  <c r="I403" i="6"/>
  <c r="G403" i="6"/>
  <c r="R1403" i="6" l="1"/>
  <c r="M1403" i="6" s="1"/>
  <c r="S1403" i="6" s="1"/>
  <c r="Q1404" i="6"/>
  <c r="N1404" i="6"/>
  <c r="O1405" i="6"/>
  <c r="P1405" i="6" s="1"/>
  <c r="AE403" i="6"/>
  <c r="AF403" i="6"/>
  <c r="H403" i="6"/>
  <c r="R1404" i="6" l="1"/>
  <c r="M1404" i="6" s="1"/>
  <c r="S1404" i="6" s="1"/>
  <c r="Q1405" i="6"/>
  <c r="N1405" i="6"/>
  <c r="O1406" i="6"/>
  <c r="P1406" i="6" s="1"/>
  <c r="F404" i="6"/>
  <c r="I404" i="6"/>
  <c r="E404" i="6"/>
  <c r="G404" i="6"/>
  <c r="D404" i="6"/>
  <c r="R1405" i="6" l="1"/>
  <c r="M1405" i="6" s="1"/>
  <c r="S1405" i="6" s="1"/>
  <c r="Q1406" i="6"/>
  <c r="O1407" i="6"/>
  <c r="P1407" i="6" s="1"/>
  <c r="N1406" i="6"/>
  <c r="AE404" i="6"/>
  <c r="AF404" i="6"/>
  <c r="H404" i="6"/>
  <c r="R1406" i="6" l="1"/>
  <c r="M1406" i="6" s="1"/>
  <c r="S1406" i="6" s="1"/>
  <c r="Q1407" i="6"/>
  <c r="O1408" i="6"/>
  <c r="P1408" i="6" s="1"/>
  <c r="N1407" i="6"/>
  <c r="I405" i="6"/>
  <c r="G405" i="6"/>
  <c r="F405" i="6"/>
  <c r="E405" i="6"/>
  <c r="D405" i="6"/>
  <c r="H405" i="6" s="1"/>
  <c r="R1407" i="6" l="1"/>
  <c r="M1407" i="6" s="1"/>
  <c r="S1407" i="6" s="1"/>
  <c r="Q1408" i="6"/>
  <c r="O1409" i="6"/>
  <c r="P1409" i="6" s="1"/>
  <c r="N1408" i="6"/>
  <c r="AE405" i="6"/>
  <c r="AF405" i="6"/>
  <c r="D406" i="6"/>
  <c r="G406" i="6"/>
  <c r="I406" i="6"/>
  <c r="E406" i="6"/>
  <c r="F406" i="6"/>
  <c r="R1408" i="6" l="1"/>
  <c r="M1408" i="6" s="1"/>
  <c r="S1408" i="6" s="1"/>
  <c r="Q1409" i="6"/>
  <c r="N1409" i="6"/>
  <c r="O1410" i="6"/>
  <c r="P1410" i="6" s="1"/>
  <c r="AE406" i="6"/>
  <c r="AF406" i="6"/>
  <c r="H406" i="6"/>
  <c r="R1409" i="6" l="1"/>
  <c r="M1409" i="6" s="1"/>
  <c r="S1409" i="6" s="1"/>
  <c r="Q1410" i="6"/>
  <c r="N1410" i="6"/>
  <c r="O1411" i="6"/>
  <c r="P1411" i="6" s="1"/>
  <c r="F407" i="6"/>
  <c r="E407" i="6"/>
  <c r="G407" i="6"/>
  <c r="D407" i="6"/>
  <c r="H407" i="6" s="1"/>
  <c r="I407" i="6"/>
  <c r="R1410" i="6" l="1"/>
  <c r="M1410" i="6" s="1"/>
  <c r="S1410" i="6" s="1"/>
  <c r="Q1411" i="6"/>
  <c r="N1411" i="6"/>
  <c r="O1412" i="6"/>
  <c r="P1412" i="6" s="1"/>
  <c r="AE407" i="6"/>
  <c r="AF407" i="6"/>
  <c r="D408" i="6"/>
  <c r="H408" i="6" s="1"/>
  <c r="I408" i="6"/>
  <c r="F408" i="6"/>
  <c r="E408" i="6"/>
  <c r="G408" i="6"/>
  <c r="R1411" i="6" l="1"/>
  <c r="M1411" i="6" s="1"/>
  <c r="S1411" i="6" s="1"/>
  <c r="Q1412" i="6"/>
  <c r="O1413" i="6"/>
  <c r="P1413" i="6" s="1"/>
  <c r="N1412" i="6"/>
  <c r="AE408" i="6"/>
  <c r="AF408" i="6"/>
  <c r="D409" i="6"/>
  <c r="H409" i="6" s="1"/>
  <c r="I410" i="6" s="1"/>
  <c r="G409" i="6"/>
  <c r="I409" i="6"/>
  <c r="E409" i="6"/>
  <c r="F409" i="6"/>
  <c r="R1412" i="6" l="1"/>
  <c r="M1412" i="6" s="1"/>
  <c r="S1412" i="6" s="1"/>
  <c r="Q1413" i="6"/>
  <c r="O1414" i="6"/>
  <c r="P1414" i="6" s="1"/>
  <c r="N1413" i="6"/>
  <c r="AE409" i="6"/>
  <c r="AF409" i="6"/>
  <c r="F410" i="6"/>
  <c r="D410" i="6"/>
  <c r="H410" i="6" s="1"/>
  <c r="G410" i="6"/>
  <c r="E410" i="6"/>
  <c r="R1413" i="6" l="1"/>
  <c r="M1413" i="6" s="1"/>
  <c r="S1413" i="6" s="1"/>
  <c r="Q1414" i="6"/>
  <c r="N1414" i="6"/>
  <c r="O1415" i="6"/>
  <c r="P1415" i="6" s="1"/>
  <c r="AE410" i="6"/>
  <c r="AF410" i="6"/>
  <c r="E411" i="6"/>
  <c r="I411" i="6"/>
  <c r="D411" i="6"/>
  <c r="G411" i="6"/>
  <c r="F411" i="6"/>
  <c r="R1414" i="6" l="1"/>
  <c r="M1414" i="6" s="1"/>
  <c r="S1414" i="6" s="1"/>
  <c r="Q1415" i="6"/>
  <c r="O1416" i="6"/>
  <c r="P1416" i="6" s="1"/>
  <c r="N1415" i="6"/>
  <c r="AE411" i="6"/>
  <c r="AF411" i="6"/>
  <c r="H411" i="6"/>
  <c r="R1415" i="6" l="1"/>
  <c r="M1415" i="6" s="1"/>
  <c r="S1415" i="6" s="1"/>
  <c r="Q1416" i="6"/>
  <c r="O1417" i="6"/>
  <c r="P1417" i="6" s="1"/>
  <c r="N1416" i="6"/>
  <c r="I412" i="6"/>
  <c r="D412" i="6"/>
  <c r="E412" i="6"/>
  <c r="G412" i="6"/>
  <c r="F412" i="6"/>
  <c r="R1416" i="6" l="1"/>
  <c r="M1416" i="6" s="1"/>
  <c r="S1416" i="6" s="1"/>
  <c r="Q1417" i="6"/>
  <c r="N1417" i="6"/>
  <c r="O1418" i="6"/>
  <c r="P1418" i="6" s="1"/>
  <c r="AE412" i="6"/>
  <c r="AF412" i="6"/>
  <c r="H412" i="6"/>
  <c r="R1417" i="6" l="1"/>
  <c r="M1417" i="6" s="1"/>
  <c r="S1417" i="6" s="1"/>
  <c r="Q1418" i="6"/>
  <c r="N1418" i="6"/>
  <c r="O1419" i="6"/>
  <c r="P1419" i="6" s="1"/>
  <c r="I413" i="6"/>
  <c r="G413" i="6"/>
  <c r="F413" i="6"/>
  <c r="E413" i="6"/>
  <c r="D413" i="6"/>
  <c r="H413" i="6" s="1"/>
  <c r="R1418" i="6" l="1"/>
  <c r="M1418" i="6" s="1"/>
  <c r="S1418" i="6" s="1"/>
  <c r="Q1419" i="6"/>
  <c r="N1419" i="6"/>
  <c r="O1420" i="6"/>
  <c r="P1420" i="6" s="1"/>
  <c r="AE413" i="6"/>
  <c r="AF413" i="6"/>
  <c r="F414" i="6"/>
  <c r="I414" i="6"/>
  <c r="D414" i="6"/>
  <c r="H414" i="6" s="1"/>
  <c r="E414" i="6"/>
  <c r="G414" i="6"/>
  <c r="R1419" i="6" l="1"/>
  <c r="M1419" i="6" s="1"/>
  <c r="S1419" i="6" s="1"/>
  <c r="Q1420" i="6"/>
  <c r="N1420" i="6"/>
  <c r="O1421" i="6"/>
  <c r="P1421" i="6" s="1"/>
  <c r="AE414" i="6"/>
  <c r="AF414" i="6"/>
  <c r="I415" i="6"/>
  <c r="G415" i="6"/>
  <c r="E415" i="6"/>
  <c r="F415" i="6"/>
  <c r="D415" i="6"/>
  <c r="H415" i="6" s="1"/>
  <c r="R1420" i="6" l="1"/>
  <c r="M1420" i="6" s="1"/>
  <c r="S1420" i="6" s="1"/>
  <c r="Q1421" i="6"/>
  <c r="N1421" i="6"/>
  <c r="O1422" i="6"/>
  <c r="P1422" i="6" s="1"/>
  <c r="AE415" i="6"/>
  <c r="AF415" i="6"/>
  <c r="F416" i="6"/>
  <c r="E416" i="6"/>
  <c r="I416" i="6"/>
  <c r="G416" i="6"/>
  <c r="D416" i="6"/>
  <c r="R1421" i="6" l="1"/>
  <c r="M1421" i="6" s="1"/>
  <c r="S1421" i="6" s="1"/>
  <c r="Q1422" i="6"/>
  <c r="O1423" i="6"/>
  <c r="P1423" i="6" s="1"/>
  <c r="N1422" i="6"/>
  <c r="AE416" i="6"/>
  <c r="AF416" i="6"/>
  <c r="H416" i="6"/>
  <c r="R1422" i="6" l="1"/>
  <c r="M1422" i="6" s="1"/>
  <c r="S1422" i="6" s="1"/>
  <c r="Q1423" i="6"/>
  <c r="O1424" i="6"/>
  <c r="P1424" i="6" s="1"/>
  <c r="N1423" i="6"/>
  <c r="I417" i="6"/>
  <c r="E417" i="6"/>
  <c r="F417" i="6"/>
  <c r="D417" i="6"/>
  <c r="H417" i="6" s="1"/>
  <c r="G417" i="6"/>
  <c r="R1423" i="6" l="1"/>
  <c r="M1423" i="6" s="1"/>
  <c r="S1423" i="6" s="1"/>
  <c r="Q1424" i="6"/>
  <c r="O1425" i="6"/>
  <c r="P1425" i="6" s="1"/>
  <c r="N1424" i="6"/>
  <c r="AE417" i="6"/>
  <c r="AF417" i="6"/>
  <c r="E418" i="6"/>
  <c r="D418" i="6"/>
  <c r="H418" i="6" s="1"/>
  <c r="G418" i="6"/>
  <c r="I418" i="6"/>
  <c r="F418" i="6"/>
  <c r="R1424" i="6" l="1"/>
  <c r="M1424" i="6" s="1"/>
  <c r="S1424" i="6" s="1"/>
  <c r="Q1425" i="6"/>
  <c r="N1425" i="6"/>
  <c r="O1426" i="6"/>
  <c r="P1426" i="6" s="1"/>
  <c r="AE418" i="6"/>
  <c r="AF418" i="6"/>
  <c r="I419" i="6"/>
  <c r="G419" i="6"/>
  <c r="D419" i="6"/>
  <c r="H419" i="6" s="1"/>
  <c r="E419" i="6"/>
  <c r="F419" i="6"/>
  <c r="R1425" i="6" l="1"/>
  <c r="M1425" i="6" s="1"/>
  <c r="S1425" i="6" s="1"/>
  <c r="Q1426" i="6"/>
  <c r="N1426" i="6"/>
  <c r="O1427" i="6"/>
  <c r="P1427" i="6" s="1"/>
  <c r="AE419" i="6"/>
  <c r="AF419" i="6"/>
  <c r="F420" i="6"/>
  <c r="D420" i="6"/>
  <c r="H420" i="6" s="1"/>
  <c r="G420" i="6"/>
  <c r="I420" i="6"/>
  <c r="E420" i="6"/>
  <c r="R1426" i="6" l="1"/>
  <c r="M1426" i="6" s="1"/>
  <c r="S1426" i="6" s="1"/>
  <c r="Q1427" i="6"/>
  <c r="N1427" i="6"/>
  <c r="O1428" i="6"/>
  <c r="P1428" i="6" s="1"/>
  <c r="AE420" i="6"/>
  <c r="AF420" i="6"/>
  <c r="D421" i="6"/>
  <c r="H421" i="6" s="1"/>
  <c r="G421" i="6"/>
  <c r="I421" i="6"/>
  <c r="E421" i="6"/>
  <c r="F421" i="6"/>
  <c r="R1427" i="6" l="1"/>
  <c r="M1427" i="6" s="1"/>
  <c r="S1427" i="6" s="1"/>
  <c r="Q1428" i="6"/>
  <c r="O1429" i="6"/>
  <c r="P1429" i="6" s="1"/>
  <c r="N1428" i="6"/>
  <c r="AE421" i="6"/>
  <c r="AF421" i="6"/>
  <c r="G422" i="6"/>
  <c r="I422" i="6"/>
  <c r="E422" i="6"/>
  <c r="D422" i="6"/>
  <c r="H422" i="6" s="1"/>
  <c r="F422" i="6"/>
  <c r="R1428" i="6" l="1"/>
  <c r="M1428" i="6" s="1"/>
  <c r="S1428" i="6" s="1"/>
  <c r="Q1429" i="6"/>
  <c r="N1429" i="6"/>
  <c r="O1430" i="6"/>
  <c r="P1430" i="6" s="1"/>
  <c r="AE422" i="6"/>
  <c r="AF422" i="6"/>
  <c r="I423" i="6"/>
  <c r="E423" i="6"/>
  <c r="G423" i="6"/>
  <c r="AF423" i="6" s="1"/>
  <c r="D423" i="6"/>
  <c r="H423" i="6" s="1"/>
  <c r="F423" i="6"/>
  <c r="R1429" i="6" l="1"/>
  <c r="M1429" i="6" s="1"/>
  <c r="S1429" i="6" s="1"/>
  <c r="Q1430" i="6"/>
  <c r="O1431" i="6"/>
  <c r="P1431" i="6" s="1"/>
  <c r="N1430" i="6"/>
  <c r="AE423" i="6"/>
  <c r="I424" i="6"/>
  <c r="E424" i="6"/>
  <c r="F424" i="6"/>
  <c r="G424" i="6"/>
  <c r="AF424" i="6" s="1"/>
  <c r="D424" i="6"/>
  <c r="R1430" i="6" l="1"/>
  <c r="M1430" i="6" s="1"/>
  <c r="S1430" i="6" s="1"/>
  <c r="Q1431" i="6"/>
  <c r="N1431" i="6"/>
  <c r="O1432" i="6"/>
  <c r="P1432" i="6" s="1"/>
  <c r="H424" i="6"/>
  <c r="AE424" i="6"/>
  <c r="R1431" i="6" l="1"/>
  <c r="M1431" i="6" s="1"/>
  <c r="S1431" i="6" s="1"/>
  <c r="Q1432" i="6"/>
  <c r="N1432" i="6"/>
  <c r="O1433" i="6"/>
  <c r="P1433" i="6" s="1"/>
  <c r="E425" i="6"/>
  <c r="I425" i="6"/>
  <c r="D425" i="6"/>
  <c r="H425" i="6" s="1"/>
  <c r="F425" i="6"/>
  <c r="G425" i="6"/>
  <c r="R1432" i="6" l="1"/>
  <c r="M1432" i="6" s="1"/>
  <c r="S1432" i="6" s="1"/>
  <c r="Q1433" i="6"/>
  <c r="N1433" i="6"/>
  <c r="O1434" i="6"/>
  <c r="P1434" i="6" s="1"/>
  <c r="AE425" i="6"/>
  <c r="AF425" i="6"/>
  <c r="E426" i="6"/>
  <c r="F426" i="6"/>
  <c r="G426" i="6"/>
  <c r="I426" i="6"/>
  <c r="D426" i="6"/>
  <c r="H426" i="6" s="1"/>
  <c r="R1433" i="6" l="1"/>
  <c r="M1433" i="6" s="1"/>
  <c r="S1433" i="6" s="1"/>
  <c r="Q1434" i="6"/>
  <c r="O1435" i="6"/>
  <c r="P1435" i="6" s="1"/>
  <c r="N1434" i="6"/>
  <c r="AE426" i="6"/>
  <c r="AF426" i="6"/>
  <c r="D427" i="6"/>
  <c r="F427" i="6"/>
  <c r="E427" i="6"/>
  <c r="G427" i="6"/>
  <c r="I427" i="6"/>
  <c r="R1434" i="6" l="1"/>
  <c r="M1434" i="6" s="1"/>
  <c r="S1434" i="6" s="1"/>
  <c r="Q1435" i="6"/>
  <c r="N1435" i="6"/>
  <c r="O1436" i="6"/>
  <c r="P1436" i="6" s="1"/>
  <c r="AE427" i="6"/>
  <c r="AF427" i="6"/>
  <c r="H427" i="6"/>
  <c r="R1435" i="6" l="1"/>
  <c r="M1435" i="6" s="1"/>
  <c r="S1435" i="6" s="1"/>
  <c r="Q1436" i="6"/>
  <c r="N1436" i="6"/>
  <c r="O1437" i="6"/>
  <c r="P1437" i="6" s="1"/>
  <c r="E428" i="6"/>
  <c r="F428" i="6"/>
  <c r="D428" i="6"/>
  <c r="H428" i="6" s="1"/>
  <c r="I428" i="6"/>
  <c r="G428" i="6"/>
  <c r="R1436" i="6" l="1"/>
  <c r="M1436" i="6" s="1"/>
  <c r="S1436" i="6" s="1"/>
  <c r="Q1437" i="6"/>
  <c r="N1437" i="6"/>
  <c r="O1438" i="6"/>
  <c r="P1438" i="6" s="1"/>
  <c r="AE428" i="6"/>
  <c r="AF428" i="6"/>
  <c r="D429" i="6"/>
  <c r="H429" i="6" s="1"/>
  <c r="I429" i="6"/>
  <c r="F429" i="6"/>
  <c r="E429" i="6"/>
  <c r="G429" i="6"/>
  <c r="R1437" i="6" l="1"/>
  <c r="M1437" i="6" s="1"/>
  <c r="S1437" i="6" s="1"/>
  <c r="Q1438" i="6"/>
  <c r="O1439" i="6"/>
  <c r="P1439" i="6" s="1"/>
  <c r="N1438" i="6"/>
  <c r="AE429" i="6"/>
  <c r="AF429" i="6"/>
  <c r="F430" i="6"/>
  <c r="I430" i="6"/>
  <c r="E430" i="6"/>
  <c r="G430" i="6"/>
  <c r="D430" i="6"/>
  <c r="R1438" i="6" l="1"/>
  <c r="M1438" i="6" s="1"/>
  <c r="S1438" i="6" s="1"/>
  <c r="Q1439" i="6"/>
  <c r="O1440" i="6"/>
  <c r="P1440" i="6" s="1"/>
  <c r="N1439" i="6"/>
  <c r="AE430" i="6"/>
  <c r="AF430" i="6"/>
  <c r="H430" i="6"/>
  <c r="R1439" i="6" l="1"/>
  <c r="M1439" i="6" s="1"/>
  <c r="S1439" i="6" s="1"/>
  <c r="Q1440" i="6"/>
  <c r="N1440" i="6"/>
  <c r="O1441" i="6"/>
  <c r="P1441" i="6" s="1"/>
  <c r="G431" i="6"/>
  <c r="F431" i="6"/>
  <c r="I431" i="6"/>
  <c r="D431" i="6"/>
  <c r="H431" i="6" s="1"/>
  <c r="E431" i="6"/>
  <c r="R1440" i="6" l="1"/>
  <c r="M1440" i="6" s="1"/>
  <c r="S1440" i="6" s="1"/>
  <c r="Q1441" i="6"/>
  <c r="O1442" i="6"/>
  <c r="P1442" i="6" s="1"/>
  <c r="N1441" i="6"/>
  <c r="AE431" i="6"/>
  <c r="AF431" i="6"/>
  <c r="D432" i="6"/>
  <c r="F432" i="6"/>
  <c r="I432" i="6"/>
  <c r="E432" i="6"/>
  <c r="G432" i="6"/>
  <c r="R1441" i="6" l="1"/>
  <c r="M1441" i="6" s="1"/>
  <c r="S1441" i="6" s="1"/>
  <c r="Q1442" i="6"/>
  <c r="N1442" i="6"/>
  <c r="O1443" i="6"/>
  <c r="P1443" i="6" s="1"/>
  <c r="AE432" i="6"/>
  <c r="AF432" i="6"/>
  <c r="H432" i="6"/>
  <c r="R1442" i="6" l="1"/>
  <c r="M1442" i="6" s="1"/>
  <c r="S1442" i="6" s="1"/>
  <c r="Q1443" i="6"/>
  <c r="N1443" i="6"/>
  <c r="O1444" i="6"/>
  <c r="P1444" i="6" s="1"/>
  <c r="G433" i="6"/>
  <c r="E433" i="6"/>
  <c r="D433" i="6"/>
  <c r="H433" i="6" s="1"/>
  <c r="F433" i="6"/>
  <c r="I433" i="6"/>
  <c r="R1443" i="6" l="1"/>
  <c r="M1443" i="6" s="1"/>
  <c r="S1443" i="6" s="1"/>
  <c r="Q1444" i="6"/>
  <c r="O1445" i="6"/>
  <c r="P1445" i="6" s="1"/>
  <c r="N1444" i="6"/>
  <c r="AE433" i="6"/>
  <c r="AF433" i="6"/>
  <c r="G434" i="6"/>
  <c r="F434" i="6"/>
  <c r="D434" i="6"/>
  <c r="H434" i="6" s="1"/>
  <c r="I434" i="6"/>
  <c r="E434" i="6"/>
  <c r="R1444" i="6" l="1"/>
  <c r="M1444" i="6" s="1"/>
  <c r="S1444" i="6" s="1"/>
  <c r="Q1445" i="6"/>
  <c r="N1445" i="6"/>
  <c r="O1446" i="6"/>
  <c r="P1446" i="6" s="1"/>
  <c r="AE434" i="6"/>
  <c r="AF434" i="6"/>
  <c r="F435" i="6"/>
  <c r="D435" i="6"/>
  <c r="H435" i="6" s="1"/>
  <c r="G435" i="6"/>
  <c r="I435" i="6"/>
  <c r="E435" i="6"/>
  <c r="R1445" i="6" l="1"/>
  <c r="M1445" i="6" s="1"/>
  <c r="S1445" i="6" s="1"/>
  <c r="Q1446" i="6"/>
  <c r="N1446" i="6"/>
  <c r="O1447" i="6"/>
  <c r="P1447" i="6" s="1"/>
  <c r="AE435" i="6"/>
  <c r="AF435" i="6"/>
  <c r="E436" i="6"/>
  <c r="G436" i="6"/>
  <c r="F436" i="6"/>
  <c r="I436" i="6"/>
  <c r="D436" i="6"/>
  <c r="H436" i="6" s="1"/>
  <c r="R1446" i="6" l="1"/>
  <c r="M1446" i="6" s="1"/>
  <c r="S1446" i="6" s="1"/>
  <c r="Q1447" i="6"/>
  <c r="N1447" i="6"/>
  <c r="O1448" i="6"/>
  <c r="P1448" i="6" s="1"/>
  <c r="AE436" i="6"/>
  <c r="AF436" i="6"/>
  <c r="E437" i="6"/>
  <c r="I437" i="6"/>
  <c r="G437" i="6"/>
  <c r="D437" i="6"/>
  <c r="F437" i="6"/>
  <c r="R1447" i="6" l="1"/>
  <c r="M1447" i="6" s="1"/>
  <c r="S1447" i="6" s="1"/>
  <c r="Q1448" i="6"/>
  <c r="N1448" i="6"/>
  <c r="O1449" i="6"/>
  <c r="P1449" i="6" s="1"/>
  <c r="AE437" i="6"/>
  <c r="AF437" i="6"/>
  <c r="H437" i="6"/>
  <c r="R1448" i="6" l="1"/>
  <c r="M1448" i="6" s="1"/>
  <c r="S1448" i="6" s="1"/>
  <c r="Q1449" i="6"/>
  <c r="O1450" i="6"/>
  <c r="P1450" i="6" s="1"/>
  <c r="N1449" i="6"/>
  <c r="E438" i="6"/>
  <c r="I438" i="6"/>
  <c r="D438" i="6"/>
  <c r="H438" i="6" s="1"/>
  <c r="F438" i="6"/>
  <c r="G438" i="6"/>
  <c r="R1449" i="6" l="1"/>
  <c r="M1449" i="6" s="1"/>
  <c r="S1449" i="6" s="1"/>
  <c r="Q1450" i="6"/>
  <c r="O1451" i="6"/>
  <c r="P1451" i="6" s="1"/>
  <c r="N1450" i="6"/>
  <c r="AE438" i="6"/>
  <c r="AF438" i="6"/>
  <c r="F439" i="6"/>
  <c r="G439" i="6"/>
  <c r="D439" i="6"/>
  <c r="H439" i="6" s="1"/>
  <c r="E439" i="6"/>
  <c r="I439" i="6"/>
  <c r="R1450" i="6" l="1"/>
  <c r="M1450" i="6" s="1"/>
  <c r="S1450" i="6" s="1"/>
  <c r="Q1451" i="6"/>
  <c r="N1451" i="6"/>
  <c r="O1452" i="6"/>
  <c r="P1452" i="6" s="1"/>
  <c r="AE439" i="6"/>
  <c r="AF439" i="6"/>
  <c r="I440" i="6"/>
  <c r="F440" i="6"/>
  <c r="D440" i="6"/>
  <c r="H440" i="6" s="1"/>
  <c r="G440" i="6"/>
  <c r="E440" i="6"/>
  <c r="R1451" i="6" l="1"/>
  <c r="M1451" i="6" s="1"/>
  <c r="S1451" i="6" s="1"/>
  <c r="Q1452" i="6"/>
  <c r="O1453" i="6"/>
  <c r="P1453" i="6" s="1"/>
  <c r="N1452" i="6"/>
  <c r="AE440" i="6"/>
  <c r="AF440" i="6"/>
  <c r="I441" i="6"/>
  <c r="G441" i="6"/>
  <c r="D441" i="6"/>
  <c r="H441" i="6" s="1"/>
  <c r="E441" i="6"/>
  <c r="F441" i="6"/>
  <c r="R1452" i="6" l="1"/>
  <c r="M1452" i="6" s="1"/>
  <c r="S1452" i="6" s="1"/>
  <c r="Q1453" i="6"/>
  <c r="N1453" i="6"/>
  <c r="O1454" i="6"/>
  <c r="P1454" i="6" s="1"/>
  <c r="AE441" i="6"/>
  <c r="AF441" i="6"/>
  <c r="F442" i="6"/>
  <c r="E442" i="6"/>
  <c r="D442" i="6"/>
  <c r="H442" i="6" s="1"/>
  <c r="I442" i="6"/>
  <c r="G442" i="6"/>
  <c r="R1453" i="6" l="1"/>
  <c r="M1453" i="6" s="1"/>
  <c r="S1453" i="6" s="1"/>
  <c r="Q1454" i="6"/>
  <c r="O1455" i="6"/>
  <c r="P1455" i="6" s="1"/>
  <c r="N1454" i="6"/>
  <c r="AE442" i="6"/>
  <c r="AF442" i="6"/>
  <c r="I443" i="6"/>
  <c r="F443" i="6"/>
  <c r="E443" i="6"/>
  <c r="G443" i="6"/>
  <c r="D443" i="6"/>
  <c r="R1454" i="6" l="1"/>
  <c r="M1454" i="6" s="1"/>
  <c r="S1454" i="6" s="1"/>
  <c r="Q1455" i="6"/>
  <c r="N1455" i="6"/>
  <c r="O1456" i="6"/>
  <c r="P1456" i="6" s="1"/>
  <c r="AE443" i="6"/>
  <c r="AF443" i="6"/>
  <c r="H443" i="6"/>
  <c r="R1455" i="6" l="1"/>
  <c r="M1455" i="6" s="1"/>
  <c r="S1455" i="6" s="1"/>
  <c r="Q1456" i="6"/>
  <c r="N1456" i="6"/>
  <c r="O1457" i="6"/>
  <c r="P1457" i="6" s="1"/>
  <c r="E444" i="6"/>
  <c r="I444" i="6"/>
  <c r="F444" i="6"/>
  <c r="G444" i="6"/>
  <c r="D444" i="6"/>
  <c r="R1456" i="6" l="1"/>
  <c r="M1456" i="6" s="1"/>
  <c r="S1456" i="6" s="1"/>
  <c r="Q1457" i="6"/>
  <c r="N1457" i="6"/>
  <c r="O1458" i="6"/>
  <c r="P1458" i="6" s="1"/>
  <c r="AE444" i="6"/>
  <c r="AF444" i="6"/>
  <c r="H444" i="6"/>
  <c r="R1457" i="6" l="1"/>
  <c r="M1457" i="6" s="1"/>
  <c r="S1457" i="6" s="1"/>
  <c r="Q1458" i="6"/>
  <c r="N1458" i="6"/>
  <c r="O1459" i="6"/>
  <c r="P1459" i="6" s="1"/>
  <c r="I445" i="6"/>
  <c r="F445" i="6"/>
  <c r="E445" i="6"/>
  <c r="D445" i="6"/>
  <c r="G445" i="6"/>
  <c r="R1458" i="6" l="1"/>
  <c r="M1458" i="6" s="1"/>
  <c r="S1458" i="6" s="1"/>
  <c r="Q1459" i="6"/>
  <c r="N1459" i="6"/>
  <c r="O1460" i="6"/>
  <c r="P1460" i="6" s="1"/>
  <c r="AE445" i="6"/>
  <c r="AF445" i="6"/>
  <c r="H445" i="6"/>
  <c r="R1459" i="6" l="1"/>
  <c r="M1459" i="6" s="1"/>
  <c r="S1459" i="6" s="1"/>
  <c r="Q1460" i="6"/>
  <c r="N1460" i="6"/>
  <c r="O1461" i="6"/>
  <c r="P1461" i="6" s="1"/>
  <c r="F446" i="6"/>
  <c r="E446" i="6"/>
  <c r="G446" i="6"/>
  <c r="D446" i="6"/>
  <c r="H446" i="6" s="1"/>
  <c r="I446" i="6"/>
  <c r="R1460" i="6" l="1"/>
  <c r="M1460" i="6" s="1"/>
  <c r="S1460" i="6" s="1"/>
  <c r="Q1461" i="6"/>
  <c r="O1462" i="6"/>
  <c r="P1462" i="6" s="1"/>
  <c r="N1461" i="6"/>
  <c r="AE446" i="6"/>
  <c r="AF446" i="6"/>
  <c r="G447" i="6"/>
  <c r="I447" i="6"/>
  <c r="F447" i="6"/>
  <c r="D447" i="6"/>
  <c r="H447" i="6" s="1"/>
  <c r="E447" i="6"/>
  <c r="R1461" i="6" l="1"/>
  <c r="M1461" i="6" s="1"/>
  <c r="S1461" i="6" s="1"/>
  <c r="Q1462" i="6"/>
  <c r="N1462" i="6"/>
  <c r="O1463" i="6"/>
  <c r="P1463" i="6" s="1"/>
  <c r="AE447" i="6"/>
  <c r="AF447" i="6"/>
  <c r="G448" i="6"/>
  <c r="E448" i="6"/>
  <c r="I448" i="6"/>
  <c r="F448" i="6"/>
  <c r="D448" i="6"/>
  <c r="H448" i="6" s="1"/>
  <c r="R1462" i="6" l="1"/>
  <c r="M1462" i="6" s="1"/>
  <c r="S1462" i="6" s="1"/>
  <c r="Q1463" i="6"/>
  <c r="N1463" i="6"/>
  <c r="O1464" i="6"/>
  <c r="P1464" i="6" s="1"/>
  <c r="AE448" i="6"/>
  <c r="AF448" i="6"/>
  <c r="D449" i="6"/>
  <c r="F449" i="6"/>
  <c r="I449" i="6"/>
  <c r="E449" i="6"/>
  <c r="G449" i="6"/>
  <c r="R1463" i="6" l="1"/>
  <c r="M1463" i="6" s="1"/>
  <c r="S1463" i="6" s="1"/>
  <c r="Q1464" i="6"/>
  <c r="N1464" i="6"/>
  <c r="O1465" i="6"/>
  <c r="P1465" i="6" s="1"/>
  <c r="AE449" i="6"/>
  <c r="AF449" i="6"/>
  <c r="H449" i="6"/>
  <c r="R1464" i="6" l="1"/>
  <c r="M1464" i="6" s="1"/>
  <c r="S1464" i="6" s="1"/>
  <c r="Q1465" i="6"/>
  <c r="N1465" i="6"/>
  <c r="O1466" i="6"/>
  <c r="P1466" i="6" s="1"/>
  <c r="G450" i="6"/>
  <c r="F450" i="6"/>
  <c r="E450" i="6"/>
  <c r="I450" i="6"/>
  <c r="D450" i="6"/>
  <c r="H450" i="6" s="1"/>
  <c r="R1465" i="6" l="1"/>
  <c r="M1465" i="6" s="1"/>
  <c r="S1465" i="6" s="1"/>
  <c r="Q1466" i="6"/>
  <c r="O1467" i="6"/>
  <c r="P1467" i="6" s="1"/>
  <c r="N1466" i="6"/>
  <c r="AE450" i="6"/>
  <c r="AF450" i="6"/>
  <c r="F451" i="6"/>
  <c r="G451" i="6"/>
  <c r="E451" i="6"/>
  <c r="I451" i="6"/>
  <c r="D451" i="6"/>
  <c r="R1466" i="6" l="1"/>
  <c r="M1466" i="6" s="1"/>
  <c r="S1466" i="6" s="1"/>
  <c r="Q1467" i="6"/>
  <c r="O1468" i="6"/>
  <c r="P1468" i="6" s="1"/>
  <c r="N1467" i="6"/>
  <c r="AE451" i="6"/>
  <c r="AF451" i="6"/>
  <c r="H451" i="6"/>
  <c r="R1467" i="6" l="1"/>
  <c r="M1467" i="6" s="1"/>
  <c r="S1467" i="6" s="1"/>
  <c r="Q1468" i="6"/>
  <c r="N1468" i="6"/>
  <c r="O1469" i="6"/>
  <c r="P1469" i="6" s="1"/>
  <c r="E452" i="6"/>
  <c r="G452" i="6"/>
  <c r="F452" i="6"/>
  <c r="D452" i="6"/>
  <c r="I452" i="6"/>
  <c r="R1468" i="6" l="1"/>
  <c r="M1468" i="6" s="1"/>
  <c r="S1468" i="6" s="1"/>
  <c r="Q1469" i="6"/>
  <c r="O1470" i="6"/>
  <c r="P1470" i="6" s="1"/>
  <c r="N1469" i="6"/>
  <c r="AE452" i="6"/>
  <c r="AF452" i="6"/>
  <c r="H452" i="6"/>
  <c r="R1469" i="6" l="1"/>
  <c r="M1469" i="6" s="1"/>
  <c r="S1469" i="6" s="1"/>
  <c r="Q1470" i="6"/>
  <c r="O1471" i="6"/>
  <c r="P1471" i="6" s="1"/>
  <c r="N1470" i="6"/>
  <c r="F453" i="6"/>
  <c r="I453" i="6"/>
  <c r="D453" i="6"/>
  <c r="H453" i="6" s="1"/>
  <c r="E453" i="6"/>
  <c r="G453" i="6"/>
  <c r="R1470" i="6" l="1"/>
  <c r="M1470" i="6" s="1"/>
  <c r="S1470" i="6" s="1"/>
  <c r="Q1471" i="6"/>
  <c r="N1471" i="6"/>
  <c r="O1472" i="6"/>
  <c r="P1472" i="6" s="1"/>
  <c r="AE453" i="6"/>
  <c r="AF453" i="6"/>
  <c r="D454" i="6"/>
  <c r="H454" i="6" s="1"/>
  <c r="I454" i="6"/>
  <c r="E454" i="6"/>
  <c r="G454" i="6"/>
  <c r="F454" i="6"/>
  <c r="R1471" i="6" l="1"/>
  <c r="M1471" i="6" s="1"/>
  <c r="S1471" i="6" s="1"/>
  <c r="Q1472" i="6"/>
  <c r="N1472" i="6"/>
  <c r="O1473" i="6"/>
  <c r="P1473" i="6" s="1"/>
  <c r="AE454" i="6"/>
  <c r="AF454" i="6"/>
  <c r="E455" i="6"/>
  <c r="G455" i="6"/>
  <c r="D455" i="6"/>
  <c r="I455" i="6"/>
  <c r="F455" i="6"/>
  <c r="R1472" i="6" l="1"/>
  <c r="M1472" i="6" s="1"/>
  <c r="S1472" i="6" s="1"/>
  <c r="Q1473" i="6"/>
  <c r="O1474" i="6"/>
  <c r="P1474" i="6" s="1"/>
  <c r="N1473" i="6"/>
  <c r="AE455" i="6"/>
  <c r="AF455" i="6"/>
  <c r="H455" i="6"/>
  <c r="R1473" i="6" l="1"/>
  <c r="M1473" i="6" s="1"/>
  <c r="S1473" i="6" s="1"/>
  <c r="Q1474" i="6"/>
  <c r="O1475" i="6"/>
  <c r="P1475" i="6" s="1"/>
  <c r="N1474" i="6"/>
  <c r="I456" i="6"/>
  <c r="E456" i="6"/>
  <c r="G456" i="6"/>
  <c r="D456" i="6"/>
  <c r="H456" i="6" s="1"/>
  <c r="F456" i="6"/>
  <c r="R1474" i="6" l="1"/>
  <c r="M1474" i="6" s="1"/>
  <c r="S1474" i="6" s="1"/>
  <c r="Q1475" i="6"/>
  <c r="N1475" i="6"/>
  <c r="O1476" i="6"/>
  <c r="P1476" i="6" s="1"/>
  <c r="AE456" i="6"/>
  <c r="AF456" i="6"/>
  <c r="G457" i="6"/>
  <c r="I457" i="6"/>
  <c r="F457" i="6"/>
  <c r="D457" i="6"/>
  <c r="H457" i="6" s="1"/>
  <c r="E457" i="6"/>
  <c r="R1475" i="6" l="1"/>
  <c r="M1475" i="6" s="1"/>
  <c r="S1475" i="6" s="1"/>
  <c r="Q1476" i="6"/>
  <c r="N1476" i="6"/>
  <c r="O1477" i="6"/>
  <c r="P1477" i="6" s="1"/>
  <c r="AE457" i="6"/>
  <c r="AF457" i="6"/>
  <c r="E458" i="6"/>
  <c r="F458" i="6"/>
  <c r="G458" i="6"/>
  <c r="I458" i="6"/>
  <c r="D458" i="6"/>
  <c r="R1476" i="6" l="1"/>
  <c r="M1476" i="6" s="1"/>
  <c r="S1476" i="6" s="1"/>
  <c r="Q1477" i="6"/>
  <c r="N1477" i="6"/>
  <c r="O1478" i="6"/>
  <c r="P1478" i="6" s="1"/>
  <c r="H458" i="6"/>
  <c r="R1477" i="6" l="1"/>
  <c r="M1477" i="6" s="1"/>
  <c r="S1477" i="6" s="1"/>
  <c r="Q1478" i="6"/>
  <c r="N1478" i="6"/>
  <c r="O1479" i="6"/>
  <c r="P1479" i="6" s="1"/>
  <c r="F459" i="6"/>
  <c r="G459" i="6"/>
  <c r="I459" i="6"/>
  <c r="D459" i="6"/>
  <c r="E459" i="6"/>
  <c r="R1478" i="6" l="1"/>
  <c r="M1478" i="6" s="1"/>
  <c r="S1478" i="6" s="1"/>
  <c r="Q1479" i="6"/>
  <c r="N1479" i="6"/>
  <c r="O1480" i="6"/>
  <c r="P1480" i="6" s="1"/>
  <c r="H459" i="6"/>
  <c r="R1479" i="6" l="1"/>
  <c r="M1479" i="6" s="1"/>
  <c r="S1479" i="6" s="1"/>
  <c r="Q1480" i="6"/>
  <c r="N1480" i="6"/>
  <c r="O1481" i="6"/>
  <c r="P1481" i="6" s="1"/>
  <c r="D460" i="6"/>
  <c r="G460" i="6"/>
  <c r="E460" i="6"/>
  <c r="F460" i="6"/>
  <c r="I460" i="6"/>
  <c r="R1480" i="6" l="1"/>
  <c r="M1480" i="6" s="1"/>
  <c r="S1480" i="6" s="1"/>
  <c r="Q1481" i="6"/>
  <c r="O1482" i="6"/>
  <c r="P1482" i="6" s="1"/>
  <c r="N1481" i="6"/>
  <c r="H460" i="6"/>
  <c r="R1481" i="6" l="1"/>
  <c r="M1481" i="6" s="1"/>
  <c r="S1481" i="6" s="1"/>
  <c r="Q1482" i="6"/>
  <c r="O1483" i="6"/>
  <c r="P1483" i="6" s="1"/>
  <c r="N1482" i="6"/>
  <c r="E461" i="6"/>
  <c r="I461" i="6"/>
  <c r="D461" i="6"/>
  <c r="H461" i="6" s="1"/>
  <c r="G461" i="6"/>
  <c r="F461" i="6"/>
  <c r="R1482" i="6" l="1"/>
  <c r="M1482" i="6" s="1"/>
  <c r="S1482" i="6" s="1"/>
  <c r="Q1483" i="6"/>
  <c r="N1483" i="6"/>
  <c r="O1484" i="6"/>
  <c r="P1484" i="6" s="1"/>
  <c r="D462" i="6"/>
  <c r="F462" i="6"/>
  <c r="G462" i="6"/>
  <c r="I462" i="6"/>
  <c r="E462" i="6"/>
  <c r="R1483" i="6" l="1"/>
  <c r="M1483" i="6" s="1"/>
  <c r="S1483" i="6" s="1"/>
  <c r="Q1484" i="6"/>
  <c r="N1484" i="6"/>
  <c r="O1485" i="6"/>
  <c r="P1485" i="6" s="1"/>
  <c r="H462" i="6"/>
  <c r="R1484" i="6" l="1"/>
  <c r="M1484" i="6" s="1"/>
  <c r="S1484" i="6" s="1"/>
  <c r="Q1485" i="6"/>
  <c r="O1486" i="6"/>
  <c r="P1486" i="6" s="1"/>
  <c r="N1485" i="6"/>
  <c r="F463" i="6"/>
  <c r="D463" i="6"/>
  <c r="H463" i="6" s="1"/>
  <c r="E463" i="6"/>
  <c r="G463" i="6"/>
  <c r="I463" i="6"/>
  <c r="R1485" i="6" l="1"/>
  <c r="M1485" i="6" s="1"/>
  <c r="S1485" i="6" s="1"/>
  <c r="Q1486" i="6"/>
  <c r="N1486" i="6"/>
  <c r="O1487" i="6"/>
  <c r="P1487" i="6" s="1"/>
  <c r="I464" i="6"/>
  <c r="G464" i="6"/>
  <c r="F464" i="6"/>
  <c r="E464" i="6"/>
  <c r="D464" i="6"/>
  <c r="H464" i="6" s="1"/>
  <c r="R1486" i="6" l="1"/>
  <c r="M1486" i="6" s="1"/>
  <c r="S1486" i="6" s="1"/>
  <c r="Q1487" i="6"/>
  <c r="N1487" i="6"/>
  <c r="O1488" i="6"/>
  <c r="P1488" i="6" s="1"/>
  <c r="I465" i="6"/>
  <c r="D465" i="6"/>
  <c r="H465" i="6" s="1"/>
  <c r="F465" i="6"/>
  <c r="E465" i="6"/>
  <c r="G465" i="6"/>
  <c r="R1487" i="6" l="1"/>
  <c r="M1487" i="6" s="1"/>
  <c r="S1487" i="6" s="1"/>
  <c r="Q1488" i="6"/>
  <c r="N1488" i="6"/>
  <c r="O1489" i="6"/>
  <c r="P1489" i="6" s="1"/>
  <c r="G466" i="6"/>
  <c r="I466" i="6"/>
  <c r="F466" i="6"/>
  <c r="D466" i="6"/>
  <c r="H466" i="6" s="1"/>
  <c r="E466" i="6"/>
  <c r="R1488" i="6" l="1"/>
  <c r="M1488" i="6" s="1"/>
  <c r="S1488" i="6" s="1"/>
  <c r="Q1489" i="6"/>
  <c r="N1489" i="6"/>
  <c r="O1490" i="6"/>
  <c r="P1490" i="6" s="1"/>
  <c r="E467" i="6"/>
  <c r="D467" i="6"/>
  <c r="H467" i="6" s="1"/>
  <c r="I467" i="6"/>
  <c r="F467" i="6"/>
  <c r="G467" i="6"/>
  <c r="R1489" i="6" l="1"/>
  <c r="M1489" i="6" s="1"/>
  <c r="S1489" i="6" s="1"/>
  <c r="Q1490" i="6"/>
  <c r="O1491" i="6"/>
  <c r="P1491" i="6" s="1"/>
  <c r="N1490" i="6"/>
  <c r="I468" i="6"/>
  <c r="D468" i="6"/>
  <c r="E468" i="6"/>
  <c r="F468" i="6"/>
  <c r="G468" i="6"/>
  <c r="R1490" i="6" l="1"/>
  <c r="M1490" i="6" s="1"/>
  <c r="S1490" i="6" s="1"/>
  <c r="Q1491" i="6"/>
  <c r="N1491" i="6"/>
  <c r="O1492" i="6"/>
  <c r="P1492" i="6" s="1"/>
  <c r="H468" i="6"/>
  <c r="R1491" i="6" l="1"/>
  <c r="M1491" i="6" s="1"/>
  <c r="S1491" i="6" s="1"/>
  <c r="Q1492" i="6"/>
  <c r="N1492" i="6"/>
  <c r="O1493" i="6"/>
  <c r="P1493" i="6" s="1"/>
  <c r="E469" i="6"/>
  <c r="F469" i="6"/>
  <c r="I469" i="6"/>
  <c r="D469" i="6"/>
  <c r="G469" i="6"/>
  <c r="R1492" i="6" l="1"/>
  <c r="M1492" i="6" s="1"/>
  <c r="S1492" i="6" s="1"/>
  <c r="Q1493" i="6"/>
  <c r="O1494" i="6"/>
  <c r="P1494" i="6" s="1"/>
  <c r="N1493" i="6"/>
  <c r="H469" i="6"/>
  <c r="R1493" i="6" l="1"/>
  <c r="M1493" i="6" s="1"/>
  <c r="S1493" i="6" s="1"/>
  <c r="Q1494" i="6"/>
  <c r="N1494" i="6"/>
  <c r="O1495" i="6"/>
  <c r="P1495" i="6" s="1"/>
  <c r="I470" i="6"/>
  <c r="D470" i="6"/>
  <c r="G470" i="6"/>
  <c r="E470" i="6"/>
  <c r="F470" i="6"/>
  <c r="R1494" i="6" l="1"/>
  <c r="M1494" i="6" s="1"/>
  <c r="S1494" i="6" s="1"/>
  <c r="Q1495" i="6"/>
  <c r="N1495" i="6"/>
  <c r="O1496" i="6"/>
  <c r="P1496" i="6" s="1"/>
  <c r="H470" i="6"/>
  <c r="R1495" i="6" l="1"/>
  <c r="M1495" i="6" s="1"/>
  <c r="S1495" i="6" s="1"/>
  <c r="Q1496" i="6"/>
  <c r="N1496" i="6"/>
  <c r="O1497" i="6"/>
  <c r="P1497" i="6" s="1"/>
  <c r="I471" i="6"/>
  <c r="D471" i="6"/>
  <c r="E471" i="6"/>
  <c r="G471" i="6"/>
  <c r="F471" i="6"/>
  <c r="R1496" i="6" l="1"/>
  <c r="M1496" i="6" s="1"/>
  <c r="S1496" i="6" s="1"/>
  <c r="Q1497" i="6"/>
  <c r="N1497" i="6"/>
  <c r="O1498" i="6"/>
  <c r="P1498" i="6" s="1"/>
  <c r="H471" i="6"/>
  <c r="R1497" i="6" l="1"/>
  <c r="M1497" i="6" s="1"/>
  <c r="S1497" i="6" s="1"/>
  <c r="Q1498" i="6"/>
  <c r="N1498" i="6"/>
  <c r="O1499" i="6"/>
  <c r="P1499" i="6" s="1"/>
  <c r="I472" i="6"/>
  <c r="E472" i="6"/>
  <c r="D472" i="6"/>
  <c r="G472" i="6"/>
  <c r="F472" i="6"/>
  <c r="R1498" i="6" l="1"/>
  <c r="M1498" i="6" s="1"/>
  <c r="S1498" i="6" s="1"/>
  <c r="Q1499" i="6"/>
  <c r="N1499" i="6"/>
  <c r="O1500" i="6"/>
  <c r="P1500" i="6" s="1"/>
  <c r="H472" i="6"/>
  <c r="R1499" i="6" l="1"/>
  <c r="M1499" i="6" s="1"/>
  <c r="S1499" i="6" s="1"/>
  <c r="Q1500" i="6"/>
  <c r="N1500" i="6"/>
  <c r="O1501" i="6"/>
  <c r="P1501" i="6" s="1"/>
  <c r="D473" i="6"/>
  <c r="I473" i="6"/>
  <c r="E473" i="6"/>
  <c r="F473" i="6"/>
  <c r="G473" i="6"/>
  <c r="R1500" i="6" l="1"/>
  <c r="M1500" i="6" s="1"/>
  <c r="S1500" i="6" s="1"/>
  <c r="Q1501" i="6"/>
  <c r="N1501" i="6"/>
  <c r="O1502" i="6"/>
  <c r="P1502" i="6" s="1"/>
  <c r="H473" i="6"/>
  <c r="R1501" i="6" l="1"/>
  <c r="M1501" i="6" s="1"/>
  <c r="S1501" i="6" s="1"/>
  <c r="Q1502" i="6"/>
  <c r="N1502" i="6"/>
  <c r="O1503" i="6"/>
  <c r="P1503" i="6" s="1"/>
  <c r="G474" i="6"/>
  <c r="E474" i="6"/>
  <c r="F474" i="6"/>
  <c r="I474" i="6"/>
  <c r="D474" i="6"/>
  <c r="H474" i="6" s="1"/>
  <c r="R1502" i="6" l="1"/>
  <c r="M1502" i="6" s="1"/>
  <c r="S1502" i="6" s="1"/>
  <c r="Q1503" i="6"/>
  <c r="O1504" i="6"/>
  <c r="P1504" i="6" s="1"/>
  <c r="N1503" i="6"/>
  <c r="F475" i="6"/>
  <c r="G475" i="6"/>
  <c r="I475" i="6"/>
  <c r="D475" i="6"/>
  <c r="H475" i="6" s="1"/>
  <c r="E475" i="6"/>
  <c r="R1503" i="6" l="1"/>
  <c r="M1503" i="6" s="1"/>
  <c r="S1503" i="6" s="1"/>
  <c r="Q1504" i="6"/>
  <c r="N1504" i="6"/>
  <c r="O1505" i="6"/>
  <c r="P1505" i="6" s="1"/>
  <c r="D476" i="6"/>
  <c r="E476" i="6"/>
  <c r="F476" i="6"/>
  <c r="G476" i="6"/>
  <c r="I476" i="6"/>
  <c r="R1504" i="6" l="1"/>
  <c r="M1504" i="6" s="1"/>
  <c r="S1504" i="6" s="1"/>
  <c r="Q1505" i="6"/>
  <c r="N1505" i="6"/>
  <c r="O1506" i="6"/>
  <c r="P1506" i="6" s="1"/>
  <c r="H476" i="6"/>
  <c r="R1505" i="6" l="1"/>
  <c r="M1505" i="6" s="1"/>
  <c r="S1505" i="6" s="1"/>
  <c r="Q1506" i="6"/>
  <c r="O1507" i="6"/>
  <c r="P1507" i="6" s="1"/>
  <c r="N1506" i="6"/>
  <c r="D477" i="6"/>
  <c r="E477" i="6"/>
  <c r="I477" i="6"/>
  <c r="F477" i="6"/>
  <c r="G477" i="6"/>
  <c r="R1506" i="6" l="1"/>
  <c r="M1506" i="6" s="1"/>
  <c r="S1506" i="6" s="1"/>
  <c r="Q1507" i="6"/>
  <c r="O1508" i="6"/>
  <c r="P1508" i="6" s="1"/>
  <c r="N1507" i="6"/>
  <c r="H477" i="6"/>
  <c r="R1507" i="6" l="1"/>
  <c r="M1507" i="6" s="1"/>
  <c r="S1507" i="6" s="1"/>
  <c r="Q1508" i="6"/>
  <c r="N1508" i="6"/>
  <c r="O1509" i="6"/>
  <c r="P1509" i="6" s="1"/>
  <c r="I478" i="6"/>
  <c r="F478" i="6"/>
  <c r="D478" i="6"/>
  <c r="E478" i="6"/>
  <c r="G478" i="6"/>
  <c r="R1508" i="6" l="1"/>
  <c r="M1508" i="6" s="1"/>
  <c r="S1508" i="6" s="1"/>
  <c r="Q1509" i="6"/>
  <c r="O1510" i="6"/>
  <c r="P1510" i="6" s="1"/>
  <c r="N1509" i="6"/>
  <c r="H478" i="6"/>
  <c r="R1509" i="6" l="1"/>
  <c r="M1509" i="6" s="1"/>
  <c r="S1509" i="6" s="1"/>
  <c r="Q1510" i="6"/>
  <c r="O1511" i="6"/>
  <c r="P1511" i="6" s="1"/>
  <c r="N1510" i="6"/>
  <c r="G479" i="6"/>
  <c r="I479" i="6"/>
  <c r="D479" i="6"/>
  <c r="H479" i="6" s="1"/>
  <c r="E479" i="6"/>
  <c r="F479" i="6"/>
  <c r="R1510" i="6" l="1"/>
  <c r="M1510" i="6" s="1"/>
  <c r="S1510" i="6" s="1"/>
  <c r="Q1511" i="6"/>
  <c r="N1511" i="6"/>
  <c r="O1512" i="6"/>
  <c r="P1512" i="6" s="1"/>
  <c r="F480" i="6"/>
  <c r="I480" i="6"/>
  <c r="G480" i="6"/>
  <c r="D480" i="6"/>
  <c r="H480" i="6" s="1"/>
  <c r="E480" i="6"/>
  <c r="R1511" i="6" l="1"/>
  <c r="M1511" i="6" s="1"/>
  <c r="S1511" i="6" s="1"/>
  <c r="Q1512" i="6"/>
  <c r="N1512" i="6"/>
  <c r="O1513" i="6"/>
  <c r="P1513" i="6" s="1"/>
  <c r="G481" i="6"/>
  <c r="D481" i="6"/>
  <c r="H481" i="6" s="1"/>
  <c r="F481" i="6"/>
  <c r="E481" i="6"/>
  <c r="I481" i="6"/>
  <c r="R1512" i="6" l="1"/>
  <c r="M1512" i="6" s="1"/>
  <c r="S1512" i="6" s="1"/>
  <c r="Q1513" i="6"/>
  <c r="O1514" i="6"/>
  <c r="P1514" i="6" s="1"/>
  <c r="N1513" i="6"/>
  <c r="E482" i="6"/>
  <c r="F482" i="6"/>
  <c r="D482" i="6"/>
  <c r="G482" i="6"/>
  <c r="I482" i="6"/>
  <c r="R1513" i="6" l="1"/>
  <c r="M1513" i="6" s="1"/>
  <c r="S1513" i="6" s="1"/>
  <c r="Q1514" i="6"/>
  <c r="N1514" i="6"/>
  <c r="O1515" i="6"/>
  <c r="P1515" i="6" s="1"/>
  <c r="H482" i="6"/>
  <c r="R1514" i="6" l="1"/>
  <c r="M1514" i="6" s="1"/>
  <c r="S1514" i="6" s="1"/>
  <c r="Q1515" i="6"/>
  <c r="N1515" i="6"/>
  <c r="O1516" i="6"/>
  <c r="P1516" i="6" s="1"/>
  <c r="F483" i="6"/>
  <c r="G483" i="6"/>
  <c r="I483" i="6"/>
  <c r="D483" i="6"/>
  <c r="H483" i="6" s="1"/>
  <c r="E483" i="6"/>
  <c r="R1515" i="6" l="1"/>
  <c r="M1515" i="6" s="1"/>
  <c r="S1515" i="6" s="1"/>
  <c r="Q1516" i="6"/>
  <c r="N1516" i="6"/>
  <c r="O1517" i="6"/>
  <c r="P1517" i="6" s="1"/>
  <c r="G484" i="6"/>
  <c r="D484" i="6"/>
  <c r="H484" i="6" s="1"/>
  <c r="F484" i="6"/>
  <c r="E484" i="6"/>
  <c r="I484" i="6"/>
  <c r="R1516" i="6" l="1"/>
  <c r="M1516" i="6" s="1"/>
  <c r="S1516" i="6" s="1"/>
  <c r="Q1517" i="6"/>
  <c r="N1517" i="6"/>
  <c r="O1518" i="6"/>
  <c r="P1518" i="6" s="1"/>
  <c r="D485" i="6"/>
  <c r="I485" i="6"/>
  <c r="G485" i="6"/>
  <c r="F485" i="6"/>
  <c r="E485" i="6"/>
  <c r="R1517" i="6" l="1"/>
  <c r="M1517" i="6" s="1"/>
  <c r="S1517" i="6" s="1"/>
  <c r="Q1518" i="6"/>
  <c r="N1518" i="6"/>
  <c r="O1519" i="6"/>
  <c r="P1519" i="6" s="1"/>
  <c r="H485" i="6"/>
  <c r="F246" i="6"/>
  <c r="R86" i="6"/>
  <c r="M86" i="6" s="1"/>
  <c r="S86" i="6" s="1"/>
  <c r="R154" i="6"/>
  <c r="M154" i="6" s="1"/>
  <c r="S154" i="6" s="1"/>
  <c r="R170" i="6"/>
  <c r="M170" i="6" s="1"/>
  <c r="S170" i="6" s="1"/>
  <c r="R186" i="6"/>
  <c r="M186" i="6" s="1"/>
  <c r="S186" i="6" s="1"/>
  <c r="R89" i="6"/>
  <c r="M89" i="6" s="1"/>
  <c r="S89" i="6" s="1"/>
  <c r="R145" i="6"/>
  <c r="M145" i="6" s="1"/>
  <c r="S145" i="6" s="1"/>
  <c r="R162" i="6"/>
  <c r="M162" i="6" s="1"/>
  <c r="S162" i="6" s="1"/>
  <c r="R178" i="6"/>
  <c r="M178" i="6" s="1"/>
  <c r="S178" i="6" s="1"/>
  <c r="R194" i="6"/>
  <c r="M194" i="6" s="1"/>
  <c r="S194" i="6" s="1"/>
  <c r="R84" i="6"/>
  <c r="M84" i="6" s="1"/>
  <c r="S84" i="6" s="1"/>
  <c r="R94" i="6"/>
  <c r="M94" i="6" s="1"/>
  <c r="S94" i="6" s="1"/>
  <c r="R98" i="6"/>
  <c r="M98" i="6" s="1"/>
  <c r="S98" i="6" s="1"/>
  <c r="R102" i="6"/>
  <c r="M102" i="6" s="1"/>
  <c r="S102" i="6" s="1"/>
  <c r="R106" i="6"/>
  <c r="M106" i="6" s="1"/>
  <c r="S106" i="6" s="1"/>
  <c r="R110" i="6"/>
  <c r="M110" i="6" s="1"/>
  <c r="S110" i="6" s="1"/>
  <c r="R114" i="6"/>
  <c r="M114" i="6" s="1"/>
  <c r="S114" i="6" s="1"/>
  <c r="R118" i="6"/>
  <c r="M118" i="6" s="1"/>
  <c r="S118" i="6" s="1"/>
  <c r="R122" i="6"/>
  <c r="M122" i="6" s="1"/>
  <c r="S122" i="6" s="1"/>
  <c r="R126" i="6"/>
  <c r="M126" i="6" s="1"/>
  <c r="S126" i="6" s="1"/>
  <c r="R130" i="6"/>
  <c r="M130" i="6" s="1"/>
  <c r="S130" i="6" s="1"/>
  <c r="R134" i="6"/>
  <c r="M134" i="6" s="1"/>
  <c r="S134" i="6" s="1"/>
  <c r="R138" i="6"/>
  <c r="M138" i="6" s="1"/>
  <c r="S138" i="6" s="1"/>
  <c r="R142" i="6"/>
  <c r="M142" i="6" s="1"/>
  <c r="S142" i="6" s="1"/>
  <c r="R156" i="6"/>
  <c r="M156" i="6" s="1"/>
  <c r="S156" i="6" s="1"/>
  <c r="R159" i="6"/>
  <c r="M159" i="6" s="1"/>
  <c r="S159" i="6" s="1"/>
  <c r="R172" i="6"/>
  <c r="M172" i="6" s="1"/>
  <c r="S172" i="6" s="1"/>
  <c r="R175" i="6"/>
  <c r="M175" i="6" s="1"/>
  <c r="S175" i="6" s="1"/>
  <c r="R188" i="6"/>
  <c r="M188" i="6" s="1"/>
  <c r="S188" i="6" s="1"/>
  <c r="R191" i="6"/>
  <c r="M191" i="6" s="1"/>
  <c r="S191" i="6" s="1"/>
  <c r="R197" i="6"/>
  <c r="M197" i="6" s="1"/>
  <c r="S197" i="6" s="1"/>
  <c r="R91" i="6"/>
  <c r="M91" i="6" s="1"/>
  <c r="S91" i="6" s="1"/>
  <c r="R95" i="6"/>
  <c r="M95" i="6" s="1"/>
  <c r="S95" i="6" s="1"/>
  <c r="R99" i="6"/>
  <c r="M99" i="6" s="1"/>
  <c r="S99" i="6" s="1"/>
  <c r="R103" i="6"/>
  <c r="M103" i="6" s="1"/>
  <c r="S103" i="6" s="1"/>
  <c r="R107" i="6"/>
  <c r="M107" i="6" s="1"/>
  <c r="S107" i="6" s="1"/>
  <c r="R111" i="6"/>
  <c r="M111" i="6" s="1"/>
  <c r="S111" i="6" s="1"/>
  <c r="R115" i="6"/>
  <c r="M115" i="6" s="1"/>
  <c r="S115" i="6" s="1"/>
  <c r="R119" i="6"/>
  <c r="M119" i="6" s="1"/>
  <c r="S119" i="6" s="1"/>
  <c r="R123" i="6"/>
  <c r="M123" i="6" s="1"/>
  <c r="S123" i="6" s="1"/>
  <c r="R127" i="6"/>
  <c r="M127" i="6" s="1"/>
  <c r="S127" i="6" s="1"/>
  <c r="R131" i="6"/>
  <c r="M131" i="6" s="1"/>
  <c r="S131" i="6" s="1"/>
  <c r="R135" i="6"/>
  <c r="M135" i="6" s="1"/>
  <c r="S135" i="6" s="1"/>
  <c r="R139" i="6"/>
  <c r="M139" i="6" s="1"/>
  <c r="S139" i="6" s="1"/>
  <c r="R143" i="6"/>
  <c r="M143" i="6" s="1"/>
  <c r="S143" i="6" s="1"/>
  <c r="R157" i="6"/>
  <c r="M157" i="6" s="1"/>
  <c r="S157" i="6" s="1"/>
  <c r="R160" i="6"/>
  <c r="M160" i="6" s="1"/>
  <c r="S160" i="6" s="1"/>
  <c r="R173" i="6"/>
  <c r="M173" i="6" s="1"/>
  <c r="S173" i="6" s="1"/>
  <c r="R176" i="6"/>
  <c r="M176" i="6" s="1"/>
  <c r="S176" i="6" s="1"/>
  <c r="R189" i="6"/>
  <c r="M189" i="6" s="1"/>
  <c r="S189" i="6" s="1"/>
  <c r="R192" i="6"/>
  <c r="M192" i="6" s="1"/>
  <c r="S192" i="6" s="1"/>
  <c r="R198" i="6"/>
  <c r="M198" i="6" s="1"/>
  <c r="S198" i="6" s="1"/>
  <c r="R206" i="6"/>
  <c r="M206" i="6" s="1"/>
  <c r="S206" i="6" s="1"/>
  <c r="R105" i="6"/>
  <c r="M105" i="6" s="1"/>
  <c r="S105" i="6" s="1"/>
  <c r="R116" i="6"/>
  <c r="M116" i="6" s="1"/>
  <c r="S116" i="6" s="1"/>
  <c r="R137" i="6"/>
  <c r="M137" i="6" s="1"/>
  <c r="S137" i="6" s="1"/>
  <c r="R146" i="6"/>
  <c r="M146" i="6" s="1"/>
  <c r="S146" i="6" s="1"/>
  <c r="R153" i="6"/>
  <c r="M153" i="6" s="1"/>
  <c r="S153" i="6" s="1"/>
  <c r="R166" i="6"/>
  <c r="M166" i="6" s="1"/>
  <c r="S166" i="6" s="1"/>
  <c r="R179" i="6"/>
  <c r="M179" i="6" s="1"/>
  <c r="S179" i="6" s="1"/>
  <c r="R185" i="6"/>
  <c r="M185" i="6" s="1"/>
  <c r="S185" i="6" s="1"/>
  <c r="R211" i="6"/>
  <c r="M211" i="6" s="1"/>
  <c r="S211" i="6" s="1"/>
  <c r="R96" i="6"/>
  <c r="M96" i="6" s="1"/>
  <c r="S96" i="6" s="1"/>
  <c r="R117" i="6"/>
  <c r="M117" i="6" s="1"/>
  <c r="S117" i="6" s="1"/>
  <c r="R128" i="6"/>
  <c r="M128" i="6" s="1"/>
  <c r="S128" i="6" s="1"/>
  <c r="R147" i="6"/>
  <c r="M147" i="6" s="1"/>
  <c r="S147" i="6" s="1"/>
  <c r="R167" i="6"/>
  <c r="M167" i="6" s="1"/>
  <c r="S167" i="6" s="1"/>
  <c r="R180" i="6"/>
  <c r="M180" i="6" s="1"/>
  <c r="S180" i="6" s="1"/>
  <c r="R203" i="6"/>
  <c r="M203" i="6" s="1"/>
  <c r="S203" i="6" s="1"/>
  <c r="R207" i="6"/>
  <c r="M207" i="6" s="1"/>
  <c r="S207" i="6" s="1"/>
  <c r="R85" i="6"/>
  <c r="M85" i="6" s="1"/>
  <c r="S85" i="6" s="1"/>
  <c r="R97" i="6"/>
  <c r="M97" i="6" s="1"/>
  <c r="S97" i="6" s="1"/>
  <c r="R108" i="6"/>
  <c r="M108" i="6" s="1"/>
  <c r="S108" i="6" s="1"/>
  <c r="R129" i="6"/>
  <c r="M129" i="6" s="1"/>
  <c r="S129" i="6" s="1"/>
  <c r="R140" i="6"/>
  <c r="M140" i="6" s="1"/>
  <c r="S140" i="6" s="1"/>
  <c r="R161" i="6"/>
  <c r="M161" i="6" s="1"/>
  <c r="S161" i="6" s="1"/>
  <c r="R174" i="6"/>
  <c r="M174" i="6" s="1"/>
  <c r="S174" i="6" s="1"/>
  <c r="R193" i="6"/>
  <c r="M193" i="6" s="1"/>
  <c r="S193" i="6" s="1"/>
  <c r="R221" i="6"/>
  <c r="M221" i="6" s="1"/>
  <c r="S221" i="6" s="1"/>
  <c r="R224" i="6"/>
  <c r="M224" i="6" s="1"/>
  <c r="S224" i="6" s="1"/>
  <c r="R227" i="6"/>
  <c r="M227" i="6" s="1"/>
  <c r="S227" i="6" s="1"/>
  <c r="R230" i="6"/>
  <c r="M230" i="6" s="1"/>
  <c r="S230" i="6" s="1"/>
  <c r="R88" i="6"/>
  <c r="M88" i="6" s="1"/>
  <c r="S88" i="6" s="1"/>
  <c r="R100" i="6"/>
  <c r="M100" i="6" s="1"/>
  <c r="S100" i="6" s="1"/>
  <c r="R121" i="6"/>
  <c r="M121" i="6" s="1"/>
  <c r="S121" i="6" s="1"/>
  <c r="R132" i="6"/>
  <c r="M132" i="6" s="1"/>
  <c r="S132" i="6" s="1"/>
  <c r="R149" i="6"/>
  <c r="M149" i="6" s="1"/>
  <c r="S149" i="6" s="1"/>
  <c r="R163" i="6"/>
  <c r="M163" i="6" s="1"/>
  <c r="S163" i="6" s="1"/>
  <c r="R169" i="6"/>
  <c r="M169" i="6" s="1"/>
  <c r="S169" i="6" s="1"/>
  <c r="R182" i="6"/>
  <c r="M182" i="6" s="1"/>
  <c r="S182" i="6" s="1"/>
  <c r="R195" i="6"/>
  <c r="M195" i="6" s="1"/>
  <c r="S195" i="6" s="1"/>
  <c r="R200" i="6"/>
  <c r="M200" i="6" s="1"/>
  <c r="S200" i="6" s="1"/>
  <c r="R209" i="6"/>
  <c r="M209" i="6" s="1"/>
  <c r="S209" i="6" s="1"/>
  <c r="R93" i="6"/>
  <c r="M93" i="6" s="1"/>
  <c r="S93" i="6" s="1"/>
  <c r="R104" i="6"/>
  <c r="M104" i="6" s="1"/>
  <c r="S104" i="6" s="1"/>
  <c r="R125" i="6"/>
  <c r="M125" i="6" s="1"/>
  <c r="S125" i="6" s="1"/>
  <c r="R136" i="6"/>
  <c r="M136" i="6" s="1"/>
  <c r="S136" i="6" s="1"/>
  <c r="R152" i="6"/>
  <c r="M152" i="6" s="1"/>
  <c r="S152" i="6" s="1"/>
  <c r="R165" i="6"/>
  <c r="M165" i="6" s="1"/>
  <c r="S165" i="6" s="1"/>
  <c r="R184" i="6"/>
  <c r="M184" i="6" s="1"/>
  <c r="S184" i="6" s="1"/>
  <c r="R202" i="6"/>
  <c r="M202" i="6" s="1"/>
  <c r="S202" i="6" s="1"/>
  <c r="R214" i="6"/>
  <c r="M214" i="6" s="1"/>
  <c r="S214" i="6" s="1"/>
  <c r="R217" i="6"/>
  <c r="M217" i="6" s="1"/>
  <c r="S217" i="6" s="1"/>
  <c r="R220" i="6"/>
  <c r="M220" i="6" s="1"/>
  <c r="S220" i="6" s="1"/>
  <c r="R223" i="6"/>
  <c r="M223" i="6" s="1"/>
  <c r="S223" i="6" s="1"/>
  <c r="R226" i="6"/>
  <c r="M226" i="6" s="1"/>
  <c r="S226" i="6" s="1"/>
  <c r="R229" i="6"/>
  <c r="M229" i="6" s="1"/>
  <c r="S229" i="6" s="1"/>
  <c r="R232" i="6"/>
  <c r="M232" i="6" s="1"/>
  <c r="S232" i="6" s="1"/>
  <c r="R87" i="6"/>
  <c r="M87" i="6" s="1"/>
  <c r="S87" i="6" s="1"/>
  <c r="R113" i="6"/>
  <c r="M113" i="6" s="1"/>
  <c r="S113" i="6" s="1"/>
  <c r="R208" i="6"/>
  <c r="M208" i="6" s="1"/>
  <c r="S208" i="6" s="1"/>
  <c r="R225" i="6"/>
  <c r="M225" i="6" s="1"/>
  <c r="S225" i="6" s="1"/>
  <c r="R90" i="6"/>
  <c r="M90" i="6" s="1"/>
  <c r="S90" i="6" s="1"/>
  <c r="R120" i="6"/>
  <c r="M120" i="6" s="1"/>
  <c r="S120" i="6" s="1"/>
  <c r="R144" i="6"/>
  <c r="M144" i="6" s="1"/>
  <c r="S144" i="6" s="1"/>
  <c r="R164" i="6"/>
  <c r="M164" i="6" s="1"/>
  <c r="S164" i="6" s="1"/>
  <c r="R181" i="6"/>
  <c r="M181" i="6" s="1"/>
  <c r="S181" i="6" s="1"/>
  <c r="R196" i="6"/>
  <c r="M196" i="6" s="1"/>
  <c r="S196" i="6" s="1"/>
  <c r="R218" i="6"/>
  <c r="M218" i="6" s="1"/>
  <c r="S218" i="6" s="1"/>
  <c r="R92" i="6"/>
  <c r="M92" i="6" s="1"/>
  <c r="S92" i="6" s="1"/>
  <c r="R148" i="6"/>
  <c r="M148" i="6" s="1"/>
  <c r="S148" i="6" s="1"/>
  <c r="R183" i="6"/>
  <c r="M183" i="6" s="1"/>
  <c r="S183" i="6" s="1"/>
  <c r="R199" i="6"/>
  <c r="M199" i="6" s="1"/>
  <c r="S199" i="6" s="1"/>
  <c r="R210" i="6"/>
  <c r="M210" i="6" s="1"/>
  <c r="S210" i="6" s="1"/>
  <c r="R219" i="6"/>
  <c r="M219" i="6" s="1"/>
  <c r="S219" i="6" s="1"/>
  <c r="R101" i="6"/>
  <c r="M101" i="6" s="1"/>
  <c r="S101" i="6" s="1"/>
  <c r="R187" i="6"/>
  <c r="M187" i="6" s="1"/>
  <c r="S187" i="6" s="1"/>
  <c r="R213" i="6"/>
  <c r="M213" i="6" s="1"/>
  <c r="S213" i="6" s="1"/>
  <c r="R112" i="6"/>
  <c r="M112" i="6" s="1"/>
  <c r="S112" i="6" s="1"/>
  <c r="R141" i="6"/>
  <c r="M141" i="6" s="1"/>
  <c r="S141" i="6" s="1"/>
  <c r="R158" i="6"/>
  <c r="M158" i="6" s="1"/>
  <c r="S158" i="6" s="1"/>
  <c r="R177" i="6"/>
  <c r="M177" i="6" s="1"/>
  <c r="S177" i="6" s="1"/>
  <c r="R216" i="6"/>
  <c r="M216" i="6" s="1"/>
  <c r="S216" i="6" s="1"/>
  <c r="R204" i="6"/>
  <c r="M204" i="6" s="1"/>
  <c r="S204" i="6" s="1"/>
  <c r="R228" i="6"/>
  <c r="M228" i="6" s="1"/>
  <c r="S228" i="6" s="1"/>
  <c r="R168" i="6"/>
  <c r="M168" i="6" s="1"/>
  <c r="S168" i="6" s="1"/>
  <c r="R205" i="6"/>
  <c r="M205" i="6" s="1"/>
  <c r="S205" i="6" s="1"/>
  <c r="R109" i="6"/>
  <c r="M109" i="6" s="1"/>
  <c r="S109" i="6" s="1"/>
  <c r="R171" i="6"/>
  <c r="M171" i="6" s="1"/>
  <c r="S171" i="6" s="1"/>
  <c r="R212" i="6"/>
  <c r="M212" i="6" s="1"/>
  <c r="S212" i="6" s="1"/>
  <c r="R231" i="6"/>
  <c r="M231" i="6" s="1"/>
  <c r="S231" i="6" s="1"/>
  <c r="R133" i="6"/>
  <c r="M133" i="6" s="1"/>
  <c r="S133" i="6" s="1"/>
  <c r="R215" i="6"/>
  <c r="M215" i="6" s="1"/>
  <c r="S215" i="6" s="1"/>
  <c r="R155" i="6"/>
  <c r="M155" i="6" s="1"/>
  <c r="S155" i="6" s="1"/>
  <c r="R201" i="6"/>
  <c r="M201" i="6" s="1"/>
  <c r="S201" i="6" s="1"/>
  <c r="R124" i="6"/>
  <c r="M124" i="6" s="1"/>
  <c r="S124" i="6" s="1"/>
  <c r="R222" i="6"/>
  <c r="M222" i="6" s="1"/>
  <c r="S222" i="6" s="1"/>
  <c r="R151" i="6"/>
  <c r="M151" i="6" s="1"/>
  <c r="S151" i="6" s="1"/>
  <c r="R190" i="6"/>
  <c r="M190" i="6" s="1"/>
  <c r="S190" i="6" s="1"/>
  <c r="R150" i="6"/>
  <c r="M150" i="6" s="1"/>
  <c r="R1518" i="6" l="1"/>
  <c r="M1518" i="6" s="1"/>
  <c r="S1518" i="6" s="1"/>
  <c r="Q1519" i="6"/>
  <c r="O1520" i="6"/>
  <c r="P1520" i="6" s="1"/>
  <c r="N1519" i="6"/>
  <c r="S150" i="6"/>
  <c r="R1519" i="6" l="1"/>
  <c r="M1519" i="6" s="1"/>
  <c r="S1519" i="6" s="1"/>
  <c r="Q1520" i="6"/>
  <c r="N1520" i="6"/>
  <c r="O1521" i="6"/>
  <c r="P1521" i="6" s="1"/>
  <c r="R1520" i="6" l="1"/>
  <c r="M1520" i="6" s="1"/>
  <c r="S1520" i="6" s="1"/>
  <c r="Q1521" i="6"/>
  <c r="O1522" i="6"/>
  <c r="P1522" i="6" s="1"/>
  <c r="N1521" i="6"/>
  <c r="R1521" i="6" l="1"/>
  <c r="M1521" i="6" s="1"/>
  <c r="S1521" i="6" s="1"/>
  <c r="Q1522" i="6"/>
  <c r="O1523" i="6"/>
  <c r="P1523" i="6" s="1"/>
  <c r="N1522" i="6"/>
  <c r="R1522" i="6" l="1"/>
  <c r="M1522" i="6" s="1"/>
  <c r="S1522" i="6" s="1"/>
  <c r="Q1523" i="6"/>
  <c r="N1523" i="6"/>
  <c r="O1524" i="6"/>
  <c r="P1524" i="6" s="1"/>
  <c r="R1523" i="6" l="1"/>
  <c r="M1523" i="6" s="1"/>
  <c r="S1523" i="6" s="1"/>
  <c r="Q1524" i="6"/>
  <c r="N1524" i="6"/>
  <c r="O1525" i="6"/>
  <c r="P1525" i="6" s="1"/>
  <c r="R1524" i="6" l="1"/>
  <c r="M1524" i="6" s="1"/>
  <c r="S1524" i="6" s="1"/>
  <c r="Q1525" i="6"/>
  <c r="N1525" i="6"/>
  <c r="O1526" i="6"/>
  <c r="P1526" i="6" s="1"/>
  <c r="R81" i="6"/>
  <c r="M81" i="6" s="1"/>
  <c r="R83" i="6"/>
  <c r="M83" i="6" s="1"/>
  <c r="S83" i="6" s="1"/>
  <c r="R82" i="6"/>
  <c r="M82" i="6" s="1"/>
  <c r="S82" i="6" s="1"/>
  <c r="R1525" i="6" l="1"/>
  <c r="M1525" i="6" s="1"/>
  <c r="S1525" i="6" s="1"/>
  <c r="Q1526" i="6"/>
  <c r="O1527" i="6"/>
  <c r="P1527" i="6" s="1"/>
  <c r="N1526" i="6"/>
  <c r="S81" i="6"/>
  <c r="R1526" i="6" l="1"/>
  <c r="M1526" i="6" s="1"/>
  <c r="S1526" i="6" s="1"/>
  <c r="Q1527" i="6"/>
  <c r="N1527" i="6"/>
  <c r="O1528" i="6"/>
  <c r="P1528" i="6" s="1"/>
  <c r="R1527" i="6" l="1"/>
  <c r="M1527" i="6" s="1"/>
  <c r="S1527" i="6" s="1"/>
  <c r="Q1528" i="6"/>
  <c r="O1529" i="6"/>
  <c r="P1529" i="6" s="1"/>
  <c r="N1528" i="6"/>
  <c r="R1528" i="6" l="1"/>
  <c r="M1528" i="6" s="1"/>
  <c r="S1528" i="6" s="1"/>
  <c r="Q1529" i="6"/>
  <c r="N1529" i="6"/>
  <c r="O1530" i="6"/>
  <c r="P1530" i="6" s="1"/>
  <c r="R1529" i="6" l="1"/>
  <c r="M1529" i="6" s="1"/>
  <c r="S1529" i="6" s="1"/>
  <c r="Q1530" i="6"/>
  <c r="O1531" i="6"/>
  <c r="P1531" i="6" s="1"/>
  <c r="N1530" i="6"/>
  <c r="R1530" i="6" l="1"/>
  <c r="M1530" i="6" s="1"/>
  <c r="S1530" i="6" s="1"/>
  <c r="Q1531" i="6"/>
  <c r="N1531" i="6"/>
  <c r="O1532" i="6"/>
  <c r="P1532" i="6" s="1"/>
  <c r="R1531" i="6" l="1"/>
  <c r="M1531" i="6" s="1"/>
  <c r="S1531" i="6" s="1"/>
  <c r="Q1532" i="6"/>
  <c r="N1532" i="6"/>
  <c r="O1533" i="6"/>
  <c r="P1533" i="6" s="1"/>
  <c r="R1532" i="6" l="1"/>
  <c r="M1532" i="6" s="1"/>
  <c r="S1532" i="6" s="1"/>
  <c r="Q1533" i="6"/>
  <c r="N1533" i="6"/>
  <c r="O1534" i="6"/>
  <c r="P1534" i="6" s="1"/>
  <c r="R1533" i="6" l="1"/>
  <c r="M1533" i="6" s="1"/>
  <c r="S1533" i="6" s="1"/>
  <c r="Q1534" i="6"/>
  <c r="O1535" i="6"/>
  <c r="P1535" i="6" s="1"/>
  <c r="N1534" i="6"/>
  <c r="R1534" i="6" l="1"/>
  <c r="M1534" i="6" s="1"/>
  <c r="S1534" i="6" s="1"/>
  <c r="Q1535" i="6"/>
  <c r="N1535" i="6"/>
  <c r="O1536" i="6"/>
  <c r="P1536" i="6" s="1"/>
  <c r="R1535" i="6" l="1"/>
  <c r="M1535" i="6" s="1"/>
  <c r="S1535" i="6" s="1"/>
  <c r="Q1536" i="6"/>
  <c r="O1537" i="6"/>
  <c r="P1537" i="6" s="1"/>
  <c r="N1536" i="6"/>
  <c r="R1536" i="6" l="1"/>
  <c r="M1536" i="6" s="1"/>
  <c r="S1536" i="6" s="1"/>
  <c r="Q1537" i="6"/>
  <c r="O1538" i="6"/>
  <c r="P1538" i="6" s="1"/>
  <c r="N1537" i="6"/>
  <c r="R1537" i="6" l="1"/>
  <c r="M1537" i="6" s="1"/>
  <c r="S1537" i="6" s="1"/>
  <c r="Q1538" i="6"/>
  <c r="O1539" i="6"/>
  <c r="P1539" i="6" s="1"/>
  <c r="N1538" i="6"/>
  <c r="R1538" i="6" l="1"/>
  <c r="M1538" i="6" s="1"/>
  <c r="S1538" i="6" s="1"/>
  <c r="Q1539" i="6"/>
  <c r="N1539" i="6"/>
  <c r="O1540" i="6"/>
  <c r="P1540" i="6" s="1"/>
  <c r="R1539" i="6" l="1"/>
  <c r="M1539" i="6" s="1"/>
  <c r="S1539" i="6" s="1"/>
  <c r="Q1540" i="6"/>
  <c r="N1540" i="6"/>
  <c r="O1541" i="6"/>
  <c r="P1541" i="6" s="1"/>
  <c r="R1540" i="6" l="1"/>
  <c r="M1540" i="6" s="1"/>
  <c r="S1540" i="6" s="1"/>
  <c r="Q1541" i="6"/>
  <c r="N1541" i="6"/>
  <c r="O1542" i="6"/>
  <c r="P1542" i="6" s="1"/>
  <c r="R1541" i="6" l="1"/>
  <c r="M1541" i="6" s="1"/>
  <c r="S1541" i="6" s="1"/>
  <c r="Q1542" i="6"/>
  <c r="N1542" i="6"/>
  <c r="O1543" i="6"/>
  <c r="P1543" i="6" s="1"/>
  <c r="R1542" i="6" l="1"/>
  <c r="M1542" i="6" s="1"/>
  <c r="S1542" i="6" s="1"/>
  <c r="Q1543" i="6"/>
  <c r="N1543" i="6"/>
  <c r="O1544" i="6"/>
  <c r="P1544" i="6" s="1"/>
  <c r="R1543" i="6" l="1"/>
  <c r="M1543" i="6" s="1"/>
  <c r="S1543" i="6" s="1"/>
  <c r="Q1544" i="6"/>
  <c r="O1545" i="6"/>
  <c r="P1545" i="6" s="1"/>
  <c r="N1544" i="6"/>
  <c r="R1544" i="6" l="1"/>
  <c r="M1544" i="6" s="1"/>
  <c r="S1544" i="6" s="1"/>
  <c r="Q1545" i="6"/>
  <c r="N1545" i="6"/>
  <c r="O1546" i="6"/>
  <c r="P1546" i="6" s="1"/>
  <c r="R1545" i="6" l="1"/>
  <c r="M1545" i="6" s="1"/>
  <c r="S1545" i="6" s="1"/>
  <c r="Q1546" i="6"/>
  <c r="N1546" i="6"/>
  <c r="O1547" i="6"/>
  <c r="P1547" i="6" s="1"/>
  <c r="R1546" i="6" l="1"/>
  <c r="M1546" i="6" s="1"/>
  <c r="S1546" i="6" s="1"/>
  <c r="Q1547" i="6"/>
  <c r="O1548" i="6"/>
  <c r="P1548" i="6" s="1"/>
  <c r="N1547" i="6"/>
  <c r="R1547" i="6" l="1"/>
  <c r="M1547" i="6" s="1"/>
  <c r="S1547" i="6" s="1"/>
  <c r="Q1548" i="6"/>
  <c r="O1549" i="6"/>
  <c r="P1549" i="6" s="1"/>
  <c r="N1548" i="6"/>
  <c r="R1548" i="6" l="1"/>
  <c r="M1548" i="6" s="1"/>
  <c r="S1548" i="6" s="1"/>
  <c r="Q1549" i="6"/>
  <c r="O1550" i="6"/>
  <c r="P1550" i="6" s="1"/>
  <c r="N1549" i="6"/>
  <c r="R1549" i="6" l="1"/>
  <c r="M1549" i="6" s="1"/>
  <c r="S1549" i="6" s="1"/>
  <c r="Q1550" i="6"/>
  <c r="O1551" i="6"/>
  <c r="P1551" i="6" s="1"/>
  <c r="N1550" i="6"/>
  <c r="R1550" i="6" l="1"/>
  <c r="M1550" i="6" s="1"/>
  <c r="S1550" i="6" s="1"/>
  <c r="Q1551" i="6"/>
  <c r="O1552" i="6"/>
  <c r="P1552" i="6" s="1"/>
  <c r="N1551" i="6"/>
  <c r="R1551" i="6" l="1"/>
  <c r="M1551" i="6" s="1"/>
  <c r="S1551" i="6" s="1"/>
  <c r="Q1552" i="6"/>
  <c r="N1552" i="6"/>
  <c r="O1553" i="6"/>
  <c r="P1553" i="6" s="1"/>
  <c r="R1552" i="6" l="1"/>
  <c r="M1552" i="6" s="1"/>
  <c r="S1552" i="6" s="1"/>
  <c r="Q1553" i="6"/>
  <c r="N1553" i="6"/>
  <c r="O1554" i="6"/>
  <c r="P1554" i="6" s="1"/>
  <c r="R1553" i="6" l="1"/>
  <c r="M1553" i="6" s="1"/>
  <c r="S1553" i="6" s="1"/>
  <c r="Q1554" i="6"/>
  <c r="O1555" i="6"/>
  <c r="P1555" i="6" s="1"/>
  <c r="N1554" i="6"/>
  <c r="R1554" i="6" l="1"/>
  <c r="M1554" i="6" s="1"/>
  <c r="S1554" i="6" s="1"/>
  <c r="Q1555" i="6"/>
  <c r="N1555" i="6"/>
  <c r="O1556" i="6"/>
  <c r="P1556" i="6" s="1"/>
  <c r="R1555" i="6" l="1"/>
  <c r="M1555" i="6" s="1"/>
  <c r="S1555" i="6" s="1"/>
  <c r="Q1556" i="6"/>
  <c r="O1557" i="6"/>
  <c r="P1557" i="6" s="1"/>
  <c r="N1556" i="6"/>
  <c r="R1556" i="6" l="1"/>
  <c r="M1556" i="6" s="1"/>
  <c r="S1556" i="6" s="1"/>
  <c r="Q1557" i="6"/>
  <c r="N1557" i="6"/>
  <c r="O1558" i="6"/>
  <c r="P1558" i="6" s="1"/>
  <c r="R1557" i="6" l="1"/>
  <c r="M1557" i="6" s="1"/>
  <c r="S1557" i="6" s="1"/>
  <c r="Q1558" i="6"/>
  <c r="O1559" i="6"/>
  <c r="P1559" i="6" s="1"/>
  <c r="N1558" i="6"/>
  <c r="R1558" i="6" l="1"/>
  <c r="M1558" i="6" s="1"/>
  <c r="S1558" i="6" s="1"/>
  <c r="Q1559" i="6"/>
  <c r="N1559" i="6"/>
  <c r="O1560" i="6"/>
  <c r="P1560" i="6" s="1"/>
  <c r="R1559" i="6" l="1"/>
  <c r="M1559" i="6" s="1"/>
  <c r="S1559" i="6" s="1"/>
  <c r="Q1560" i="6"/>
  <c r="N1560" i="6"/>
  <c r="O1561" i="6"/>
  <c r="P1561" i="6" s="1"/>
  <c r="R1560" i="6" l="1"/>
  <c r="M1560" i="6" s="1"/>
  <c r="S1560" i="6" s="1"/>
  <c r="Q1561" i="6"/>
  <c r="N1561" i="6"/>
  <c r="O1562" i="6"/>
  <c r="P1562" i="6" s="1"/>
  <c r="R1561" i="6" l="1"/>
  <c r="M1561" i="6" s="1"/>
  <c r="S1561" i="6" s="1"/>
  <c r="Q1562" i="6"/>
  <c r="N1562" i="6"/>
  <c r="O1563" i="6"/>
  <c r="P1563" i="6" s="1"/>
  <c r="R1562" i="6" l="1"/>
  <c r="M1562" i="6" s="1"/>
  <c r="S1562" i="6" s="1"/>
  <c r="Q1563" i="6"/>
  <c r="N1563" i="6"/>
  <c r="O1564" i="6"/>
  <c r="P1564" i="6" s="1"/>
  <c r="R1563" i="6" l="1"/>
  <c r="M1563" i="6" s="1"/>
  <c r="S1563" i="6" s="1"/>
  <c r="Q1564" i="6"/>
  <c r="N1564" i="6"/>
  <c r="O1565" i="6"/>
  <c r="P1565" i="6" s="1"/>
  <c r="R1564" i="6" l="1"/>
  <c r="M1564" i="6" s="1"/>
  <c r="S1564" i="6" s="1"/>
  <c r="Q1565" i="6"/>
  <c r="N1565" i="6"/>
  <c r="O1566" i="6"/>
  <c r="P1566" i="6" s="1"/>
  <c r="R1565" i="6" l="1"/>
  <c r="M1565" i="6" s="1"/>
  <c r="S1565" i="6" s="1"/>
  <c r="Q1566" i="6"/>
  <c r="N1566" i="6"/>
  <c r="O1567" i="6"/>
  <c r="P1567" i="6" s="1"/>
  <c r="R1566" i="6" l="1"/>
  <c r="M1566" i="6" s="1"/>
  <c r="S1566" i="6" s="1"/>
  <c r="Q1567" i="6"/>
  <c r="O1568" i="6"/>
  <c r="P1568" i="6" s="1"/>
  <c r="N1567" i="6"/>
  <c r="R1567" i="6" l="1"/>
  <c r="M1567" i="6" s="1"/>
  <c r="S1567" i="6" s="1"/>
  <c r="Q1568" i="6"/>
  <c r="N1568" i="6"/>
  <c r="O1569" i="6"/>
  <c r="P1569" i="6" s="1"/>
  <c r="R1568" i="6" l="1"/>
  <c r="M1568" i="6" s="1"/>
  <c r="S1568" i="6" s="1"/>
  <c r="Q1569" i="6"/>
  <c r="N1569" i="6"/>
  <c r="O1570" i="6"/>
  <c r="P1570" i="6" s="1"/>
  <c r="R1569" i="6" l="1"/>
  <c r="M1569" i="6" s="1"/>
  <c r="S1569" i="6" s="1"/>
  <c r="Q1570" i="6"/>
  <c r="O1571" i="6"/>
  <c r="P1571" i="6" s="1"/>
  <c r="N1570" i="6"/>
  <c r="R1570" i="6" l="1"/>
  <c r="M1570" i="6" s="1"/>
  <c r="S1570" i="6" s="1"/>
  <c r="Q1571" i="6"/>
  <c r="N1571" i="6"/>
  <c r="O1572" i="6"/>
  <c r="P1572" i="6" s="1"/>
  <c r="R1571" i="6" l="1"/>
  <c r="M1571" i="6" s="1"/>
  <c r="S1571" i="6" s="1"/>
  <c r="Q1572" i="6"/>
  <c r="O1573" i="6"/>
  <c r="P1573" i="6" s="1"/>
  <c r="N1572" i="6"/>
  <c r="R1572" i="6" l="1"/>
  <c r="M1572" i="6" s="1"/>
  <c r="S1572" i="6" s="1"/>
  <c r="Q1573" i="6"/>
  <c r="N1573" i="6"/>
  <c r="O1574" i="6"/>
  <c r="P1574" i="6" s="1"/>
  <c r="R1573" i="6" l="1"/>
  <c r="M1573" i="6" s="1"/>
  <c r="S1573" i="6" s="1"/>
  <c r="Q1574" i="6"/>
  <c r="O1575" i="6"/>
  <c r="P1575" i="6" s="1"/>
  <c r="N1574" i="6"/>
  <c r="R1574" i="6" l="1"/>
  <c r="M1574" i="6" s="1"/>
  <c r="S1574" i="6" s="1"/>
  <c r="Q1575" i="6"/>
  <c r="N1575" i="6"/>
  <c r="O1576" i="6"/>
  <c r="P1576" i="6" s="1"/>
  <c r="R1575" i="6" l="1"/>
  <c r="M1575" i="6" s="1"/>
  <c r="S1575" i="6" s="1"/>
  <c r="Q1576" i="6"/>
  <c r="N1576" i="6"/>
  <c r="O1577" i="6"/>
  <c r="P1577" i="6" s="1"/>
  <c r="R1576" i="6" l="1"/>
  <c r="M1576" i="6" s="1"/>
  <c r="S1576" i="6" s="1"/>
  <c r="Q1577" i="6"/>
  <c r="N1577" i="6"/>
  <c r="O1578" i="6"/>
  <c r="P1578" i="6" s="1"/>
  <c r="R1577" i="6" l="1"/>
  <c r="M1577" i="6" s="1"/>
  <c r="S1577" i="6" s="1"/>
  <c r="Q1578" i="6"/>
  <c r="N1578" i="6"/>
  <c r="O1579" i="6"/>
  <c r="P1579" i="6" s="1"/>
  <c r="R1578" i="6" l="1"/>
  <c r="M1578" i="6" s="1"/>
  <c r="S1578" i="6" s="1"/>
  <c r="Q1579" i="6"/>
  <c r="N1579" i="6"/>
  <c r="O1580" i="6"/>
  <c r="P1580" i="6" s="1"/>
  <c r="R1579" i="6" l="1"/>
  <c r="M1579" i="6" s="1"/>
  <c r="S1579" i="6" s="1"/>
  <c r="Q1580" i="6"/>
  <c r="N1580" i="6"/>
  <c r="O1581" i="6"/>
  <c r="P1581" i="6" s="1"/>
  <c r="R1580" i="6" l="1"/>
  <c r="M1580" i="6" s="1"/>
  <c r="S1580" i="6" s="1"/>
  <c r="Q1581" i="6"/>
  <c r="N1581" i="6"/>
  <c r="O1582" i="6"/>
  <c r="P1582" i="6" s="1"/>
  <c r="R1581" i="6" l="1"/>
  <c r="M1581" i="6" s="1"/>
  <c r="S1581" i="6" s="1"/>
  <c r="Q1582" i="6"/>
  <c r="N1582" i="6"/>
  <c r="O1583" i="6"/>
  <c r="P1583" i="6" s="1"/>
  <c r="R1582" i="6" l="1"/>
  <c r="M1582" i="6" s="1"/>
  <c r="S1582" i="6" s="1"/>
  <c r="Q1583" i="6"/>
  <c r="O1584" i="6"/>
  <c r="P1584" i="6" s="1"/>
  <c r="N1583" i="6"/>
  <c r="R1583" i="6" l="1"/>
  <c r="M1583" i="6" s="1"/>
  <c r="S1583" i="6" s="1"/>
  <c r="Q1584" i="6"/>
  <c r="N1584" i="6"/>
  <c r="O1585" i="6"/>
  <c r="P1585" i="6" s="1"/>
  <c r="R1584" i="6" l="1"/>
  <c r="M1584" i="6" s="1"/>
  <c r="S1584" i="6" s="1"/>
  <c r="Q1585" i="6"/>
  <c r="N1585" i="6"/>
  <c r="O1586" i="6"/>
  <c r="P1586" i="6" s="1"/>
  <c r="R1585" i="6" l="1"/>
  <c r="M1585" i="6" s="1"/>
  <c r="S1585" i="6" s="1"/>
  <c r="Q1586" i="6"/>
  <c r="O1587" i="6"/>
  <c r="P1587" i="6" s="1"/>
  <c r="N1586" i="6"/>
  <c r="R1586" i="6" l="1"/>
  <c r="M1586" i="6" s="1"/>
  <c r="S1586" i="6" s="1"/>
  <c r="Q1587" i="6"/>
  <c r="N1587" i="6"/>
  <c r="O1588" i="6"/>
  <c r="P1588" i="6" s="1"/>
  <c r="R1587" i="6" l="1"/>
  <c r="M1587" i="6" s="1"/>
  <c r="S1587" i="6" s="1"/>
  <c r="Q1588" i="6"/>
  <c r="O1589" i="6"/>
  <c r="P1589" i="6" s="1"/>
  <c r="N1588" i="6"/>
  <c r="R1588" i="6" l="1"/>
  <c r="M1588" i="6" s="1"/>
  <c r="S1588" i="6" s="1"/>
  <c r="Q1589" i="6"/>
  <c r="N1589" i="6"/>
  <c r="O1590" i="6"/>
  <c r="P1590" i="6" s="1"/>
  <c r="R1589" i="6" l="1"/>
  <c r="M1589" i="6" s="1"/>
  <c r="S1589" i="6" s="1"/>
  <c r="Q1590" i="6"/>
  <c r="N1590" i="6"/>
  <c r="O1591" i="6"/>
  <c r="P1591" i="6" s="1"/>
  <c r="R1590" i="6" l="1"/>
  <c r="M1590" i="6" s="1"/>
  <c r="S1590" i="6" s="1"/>
  <c r="Q1591" i="6"/>
  <c r="N1591" i="6"/>
  <c r="O1592" i="6"/>
  <c r="P1592" i="6" s="1"/>
  <c r="R1591" i="6" l="1"/>
  <c r="M1591" i="6" s="1"/>
  <c r="S1591" i="6" s="1"/>
  <c r="Q1592" i="6"/>
  <c r="N1592" i="6"/>
  <c r="O1593" i="6"/>
  <c r="P1593" i="6" s="1"/>
  <c r="R1592" i="6" l="1"/>
  <c r="M1592" i="6" s="1"/>
  <c r="S1592" i="6" s="1"/>
  <c r="Q1593" i="6"/>
  <c r="N1593" i="6"/>
  <c r="O1594" i="6"/>
  <c r="P1594" i="6" s="1"/>
  <c r="R1593" i="6" l="1"/>
  <c r="M1593" i="6" s="1"/>
  <c r="S1593" i="6" s="1"/>
  <c r="Q1594" i="6"/>
  <c r="N1594" i="6"/>
  <c r="O1595" i="6"/>
  <c r="P1595" i="6" s="1"/>
  <c r="R1594" i="6" l="1"/>
  <c r="M1594" i="6" s="1"/>
  <c r="S1594" i="6" s="1"/>
  <c r="Q1595" i="6"/>
  <c r="N1595" i="6"/>
  <c r="O1596" i="6"/>
  <c r="P1596" i="6" s="1"/>
  <c r="R1595" i="6" l="1"/>
  <c r="M1595" i="6" s="1"/>
  <c r="S1595" i="6" s="1"/>
  <c r="Q1596" i="6"/>
  <c r="N1596" i="6"/>
  <c r="O1597" i="6"/>
  <c r="P1597" i="6" s="1"/>
  <c r="R1596" i="6" l="1"/>
  <c r="M1596" i="6" s="1"/>
  <c r="S1596" i="6" s="1"/>
  <c r="Q1597" i="6"/>
  <c r="N1597" i="6"/>
  <c r="O1598" i="6"/>
  <c r="P1598" i="6" s="1"/>
  <c r="R1597" i="6" l="1"/>
  <c r="M1597" i="6" s="1"/>
  <c r="S1597" i="6" s="1"/>
  <c r="Q1598" i="6"/>
  <c r="O1599" i="6"/>
  <c r="P1599" i="6" s="1"/>
  <c r="N1598" i="6"/>
  <c r="R1598" i="6" l="1"/>
  <c r="M1598" i="6" s="1"/>
  <c r="S1598" i="6" s="1"/>
  <c r="Q1599" i="6"/>
  <c r="N1599" i="6"/>
  <c r="O1600" i="6"/>
  <c r="P1600" i="6" s="1"/>
  <c r="R1599" i="6" l="1"/>
  <c r="M1599" i="6" s="1"/>
  <c r="S1599" i="6" s="1"/>
  <c r="Q1600" i="6"/>
  <c r="O1601" i="6"/>
  <c r="P1601" i="6" s="1"/>
  <c r="N1600" i="6"/>
  <c r="R1600" i="6" l="1"/>
  <c r="M1600" i="6" s="1"/>
  <c r="S1600" i="6" s="1"/>
  <c r="Q1601" i="6"/>
  <c r="O1602" i="6"/>
  <c r="P1602" i="6" s="1"/>
  <c r="N1601" i="6"/>
  <c r="R1601" i="6" l="1"/>
  <c r="M1601" i="6" s="1"/>
  <c r="S1601" i="6" s="1"/>
  <c r="Q1602" i="6"/>
  <c r="N1602" i="6"/>
  <c r="O1603" i="6"/>
  <c r="P1603" i="6" s="1"/>
  <c r="R1602" i="6" l="1"/>
  <c r="M1602" i="6" s="1"/>
  <c r="S1602" i="6" s="1"/>
  <c r="Q1603" i="6"/>
  <c r="O1604" i="6"/>
  <c r="P1604" i="6" s="1"/>
  <c r="N1603" i="6"/>
  <c r="R1603" i="6" l="1"/>
  <c r="M1603" i="6" s="1"/>
  <c r="S1603" i="6" s="1"/>
  <c r="Q1604" i="6"/>
  <c r="N1604" i="6"/>
  <c r="O1605" i="6"/>
  <c r="P1605" i="6" s="1"/>
  <c r="R1604" i="6" l="1"/>
  <c r="M1604" i="6" s="1"/>
  <c r="S1604" i="6" s="1"/>
  <c r="Q1605" i="6"/>
  <c r="N1605" i="6"/>
  <c r="O1606" i="6"/>
  <c r="P1606" i="6" s="1"/>
  <c r="R1605" i="6" l="1"/>
  <c r="M1605" i="6" s="1"/>
  <c r="S1605" i="6" s="1"/>
  <c r="Q1606" i="6"/>
  <c r="O1607" i="6"/>
  <c r="P1607" i="6" s="1"/>
  <c r="N1606" i="6"/>
  <c r="R1606" i="6" l="1"/>
  <c r="M1606" i="6" s="1"/>
  <c r="S1606" i="6" s="1"/>
  <c r="Q1607" i="6"/>
  <c r="N1607" i="6"/>
  <c r="O1608" i="6"/>
  <c r="P1608" i="6" s="1"/>
  <c r="R1607" i="6" l="1"/>
  <c r="M1607" i="6" s="1"/>
  <c r="S1607" i="6" s="1"/>
  <c r="Q1608" i="6"/>
  <c r="N1608" i="6"/>
  <c r="O1609" i="6"/>
  <c r="P1609" i="6" s="1"/>
  <c r="R1608" i="6" l="1"/>
  <c r="M1608" i="6" s="1"/>
  <c r="S1608" i="6" s="1"/>
  <c r="Q1609" i="6"/>
  <c r="N1609" i="6"/>
  <c r="O1610" i="6"/>
  <c r="P1610" i="6" s="1"/>
  <c r="R1609" i="6" l="1"/>
  <c r="M1609" i="6" s="1"/>
  <c r="S1609" i="6" s="1"/>
  <c r="Q1610" i="6"/>
  <c r="N1610" i="6"/>
  <c r="O1611" i="6"/>
  <c r="P1611" i="6" s="1"/>
  <c r="R1610" i="6" l="1"/>
  <c r="M1610" i="6" s="1"/>
  <c r="S1610" i="6" s="1"/>
  <c r="Q1611" i="6"/>
  <c r="N1611" i="6"/>
  <c r="O1612" i="6"/>
  <c r="P1612" i="6" s="1"/>
  <c r="R1611" i="6" l="1"/>
  <c r="M1611" i="6" s="1"/>
  <c r="S1611" i="6" s="1"/>
  <c r="Q1612" i="6"/>
  <c r="N1612" i="6"/>
  <c r="O1613" i="6"/>
  <c r="P1613" i="6" s="1"/>
  <c r="R1612" i="6" l="1"/>
  <c r="M1612" i="6" s="1"/>
  <c r="S1612" i="6" s="1"/>
  <c r="Q1613" i="6"/>
  <c r="N1613" i="6"/>
  <c r="O1614" i="6"/>
  <c r="P1614" i="6" s="1"/>
  <c r="R1613" i="6" l="1"/>
  <c r="M1613" i="6" s="1"/>
  <c r="S1613" i="6" s="1"/>
  <c r="Q1614" i="6"/>
  <c r="N1614" i="6"/>
  <c r="O1615" i="6"/>
  <c r="P1615" i="6" s="1"/>
  <c r="R1614" i="6" l="1"/>
  <c r="M1614" i="6" s="1"/>
  <c r="S1614" i="6" s="1"/>
  <c r="Q1615" i="6"/>
  <c r="O1616" i="6"/>
  <c r="P1616" i="6" s="1"/>
  <c r="N1615" i="6"/>
  <c r="R1615" i="6" l="1"/>
  <c r="M1615" i="6" s="1"/>
  <c r="S1615" i="6" s="1"/>
  <c r="Q1616" i="6"/>
  <c r="N1616" i="6"/>
  <c r="O1617" i="6"/>
  <c r="P1617" i="6" s="1"/>
  <c r="R1616" i="6" l="1"/>
  <c r="M1616" i="6" s="1"/>
  <c r="S1616" i="6" s="1"/>
  <c r="Q1617" i="6"/>
  <c r="N1617" i="6"/>
  <c r="O1618" i="6"/>
  <c r="P1618" i="6" s="1"/>
  <c r="R1617" i="6" l="1"/>
  <c r="M1617" i="6" s="1"/>
  <c r="S1617" i="6" s="1"/>
  <c r="Q1618" i="6"/>
  <c r="O1619" i="6"/>
  <c r="P1619" i="6" s="1"/>
  <c r="N1618" i="6"/>
  <c r="R1618" i="6" l="1"/>
  <c r="M1618" i="6" s="1"/>
  <c r="S1618" i="6" s="1"/>
  <c r="Q1619" i="6"/>
  <c r="N1619" i="6"/>
  <c r="O1620" i="6"/>
  <c r="P1620" i="6" s="1"/>
  <c r="R1619" i="6" l="1"/>
  <c r="M1619" i="6" s="1"/>
  <c r="S1619" i="6" s="1"/>
  <c r="Q1620" i="6"/>
  <c r="O1621" i="6"/>
  <c r="P1621" i="6" s="1"/>
  <c r="N1620" i="6"/>
  <c r="R1620" i="6" l="1"/>
  <c r="M1620" i="6" s="1"/>
  <c r="S1620" i="6" s="1"/>
  <c r="Q1621" i="6"/>
  <c r="N1621" i="6"/>
  <c r="O1622" i="6"/>
  <c r="P1622" i="6" s="1"/>
  <c r="R1621" i="6" l="1"/>
  <c r="M1621" i="6" s="1"/>
  <c r="S1621" i="6" s="1"/>
  <c r="Q1622" i="6"/>
  <c r="O1623" i="6"/>
  <c r="P1623" i="6" s="1"/>
  <c r="N1622" i="6"/>
  <c r="R1622" i="6" l="1"/>
  <c r="M1622" i="6" s="1"/>
  <c r="S1622" i="6" s="1"/>
  <c r="Q1623" i="6"/>
  <c r="N1623" i="6"/>
  <c r="O1624" i="6"/>
  <c r="P1624" i="6" s="1"/>
  <c r="R1623" i="6" l="1"/>
  <c r="M1623" i="6" s="1"/>
  <c r="S1623" i="6" s="1"/>
  <c r="Q1624" i="6"/>
  <c r="N1624" i="6"/>
  <c r="O1625" i="6"/>
  <c r="P1625" i="6" s="1"/>
  <c r="R1624" i="6" l="1"/>
  <c r="M1624" i="6" s="1"/>
  <c r="S1624" i="6" s="1"/>
  <c r="Q1625" i="6"/>
  <c r="N1625" i="6"/>
  <c r="O1626" i="6"/>
  <c r="P1626" i="6" s="1"/>
  <c r="R1625" i="6" l="1"/>
  <c r="M1625" i="6" s="1"/>
  <c r="S1625" i="6" s="1"/>
  <c r="Q1626" i="6"/>
  <c r="N1626" i="6"/>
  <c r="O1627" i="6"/>
  <c r="P1627" i="6" s="1"/>
  <c r="R1626" i="6" l="1"/>
  <c r="M1626" i="6" s="1"/>
  <c r="S1626" i="6" s="1"/>
  <c r="Q1627" i="6"/>
  <c r="N1627" i="6"/>
  <c r="O1628" i="6"/>
  <c r="P1628" i="6" s="1"/>
  <c r="R1627" i="6" l="1"/>
  <c r="M1627" i="6" s="1"/>
  <c r="S1627" i="6" s="1"/>
  <c r="Q1628" i="6"/>
  <c r="N1628" i="6"/>
  <c r="O1629" i="6"/>
  <c r="P1629" i="6" s="1"/>
  <c r="R1628" i="6" l="1"/>
  <c r="M1628" i="6" s="1"/>
  <c r="S1628" i="6" s="1"/>
  <c r="Q1629" i="6"/>
  <c r="N1629" i="6"/>
  <c r="O1630" i="6"/>
  <c r="P1630" i="6" s="1"/>
  <c r="R1629" i="6" l="1"/>
  <c r="M1629" i="6" s="1"/>
  <c r="S1629" i="6" s="1"/>
  <c r="Q1630" i="6"/>
  <c r="N1630" i="6"/>
  <c r="O1631" i="6"/>
  <c r="P1631" i="6" s="1"/>
  <c r="R1630" i="6" l="1"/>
  <c r="M1630" i="6" s="1"/>
  <c r="S1630" i="6" s="1"/>
  <c r="Q1631" i="6"/>
  <c r="O1632" i="6"/>
  <c r="P1632" i="6" s="1"/>
  <c r="N1631" i="6"/>
  <c r="R1631" i="6" l="1"/>
  <c r="M1631" i="6" s="1"/>
  <c r="S1631" i="6" s="1"/>
  <c r="Q1632" i="6"/>
  <c r="N1632" i="6"/>
  <c r="O1633" i="6"/>
  <c r="P1633" i="6" s="1"/>
  <c r="R1632" i="6" l="1"/>
  <c r="M1632" i="6" s="1"/>
  <c r="S1632" i="6" s="1"/>
  <c r="Q1633" i="6"/>
  <c r="N1633" i="6"/>
  <c r="O1634" i="6"/>
  <c r="P1634" i="6" s="1"/>
  <c r="R1633" i="6" l="1"/>
  <c r="M1633" i="6" s="1"/>
  <c r="S1633" i="6" s="1"/>
  <c r="Q1634" i="6"/>
  <c r="O1635" i="6"/>
  <c r="P1635" i="6" s="1"/>
  <c r="N1634" i="6"/>
  <c r="R1634" i="6" l="1"/>
  <c r="M1634" i="6" s="1"/>
  <c r="S1634" i="6" s="1"/>
  <c r="Q1635" i="6"/>
  <c r="N1635" i="6"/>
  <c r="O1636" i="6"/>
  <c r="P1636" i="6" s="1"/>
  <c r="R1635" i="6" l="1"/>
  <c r="M1635" i="6" s="1"/>
  <c r="S1635" i="6" s="1"/>
  <c r="Q1636" i="6"/>
  <c r="O1637" i="6"/>
  <c r="P1637" i="6" s="1"/>
  <c r="N1636" i="6"/>
  <c r="R1636" i="6" l="1"/>
  <c r="M1636" i="6" s="1"/>
  <c r="S1636" i="6" s="1"/>
  <c r="Q1637" i="6"/>
  <c r="N1637" i="6"/>
  <c r="O1638" i="6"/>
  <c r="P1638" i="6" s="1"/>
  <c r="R1637" i="6" l="1"/>
  <c r="M1637" i="6" s="1"/>
  <c r="S1637" i="6" s="1"/>
  <c r="Q1638" i="6"/>
  <c r="O1639" i="6"/>
  <c r="P1639" i="6" s="1"/>
  <c r="N1638" i="6"/>
  <c r="R1638" i="6" l="1"/>
  <c r="M1638" i="6" s="1"/>
  <c r="S1638" i="6" s="1"/>
  <c r="Q1639" i="6"/>
  <c r="N1639" i="6"/>
  <c r="O1640" i="6"/>
  <c r="P1640" i="6" s="1"/>
  <c r="R1639" i="6" l="1"/>
  <c r="M1639" i="6" s="1"/>
  <c r="S1639" i="6" s="1"/>
  <c r="Q1640" i="6"/>
  <c r="N1640" i="6"/>
  <c r="O1641" i="6"/>
  <c r="P1641" i="6" s="1"/>
  <c r="R1640" i="6" l="1"/>
  <c r="M1640" i="6" s="1"/>
  <c r="S1640" i="6" s="1"/>
  <c r="Q1641" i="6"/>
  <c r="N1641" i="6"/>
  <c r="O1642" i="6"/>
  <c r="P1642" i="6" s="1"/>
  <c r="R1641" i="6" l="1"/>
  <c r="M1641" i="6" s="1"/>
  <c r="S1641" i="6" s="1"/>
  <c r="Q1642" i="6"/>
  <c r="O1643" i="6"/>
  <c r="P1643" i="6" s="1"/>
  <c r="N1642" i="6"/>
  <c r="R1642" i="6" l="1"/>
  <c r="M1642" i="6" s="1"/>
  <c r="S1642" i="6" s="1"/>
  <c r="Q1643" i="6"/>
  <c r="N1643" i="6"/>
  <c r="O1644" i="6"/>
  <c r="P1644" i="6" s="1"/>
  <c r="R1643" i="6" l="1"/>
  <c r="M1643" i="6" s="1"/>
  <c r="S1643" i="6" s="1"/>
  <c r="Q1644" i="6"/>
  <c r="O1645" i="6"/>
  <c r="P1645" i="6" s="1"/>
  <c r="N1644" i="6"/>
  <c r="R1644" i="6" l="1"/>
  <c r="M1644" i="6" s="1"/>
  <c r="S1644" i="6" s="1"/>
  <c r="Q1645" i="6"/>
  <c r="N1645" i="6"/>
  <c r="O1646" i="6"/>
  <c r="P1646" i="6" s="1"/>
  <c r="R1645" i="6" l="1"/>
  <c r="M1645" i="6" s="1"/>
  <c r="S1645" i="6" s="1"/>
  <c r="Q1646" i="6"/>
  <c r="N1646" i="6"/>
  <c r="O1647" i="6"/>
  <c r="P1647" i="6" s="1"/>
  <c r="R1646" i="6" l="1"/>
  <c r="M1646" i="6" s="1"/>
  <c r="S1646" i="6" s="1"/>
  <c r="Q1647" i="6"/>
  <c r="O1648" i="6"/>
  <c r="P1648" i="6" s="1"/>
  <c r="N1647" i="6"/>
  <c r="R1647" i="6" l="1"/>
  <c r="M1647" i="6" s="1"/>
  <c r="S1647" i="6" s="1"/>
  <c r="Q1648" i="6"/>
  <c r="O1649" i="6"/>
  <c r="P1649" i="6" s="1"/>
  <c r="N1648" i="6"/>
  <c r="R1648" i="6" l="1"/>
  <c r="M1648" i="6" s="1"/>
  <c r="S1648" i="6" s="1"/>
  <c r="Q1649" i="6"/>
  <c r="N1649" i="6"/>
  <c r="O1650" i="6"/>
  <c r="P1650" i="6" s="1"/>
  <c r="R1649" i="6" l="1"/>
  <c r="M1649" i="6" s="1"/>
  <c r="S1649" i="6" s="1"/>
  <c r="Q1650" i="6"/>
  <c r="N1650" i="6"/>
  <c r="O1651" i="6"/>
  <c r="P1651" i="6" s="1"/>
  <c r="R1650" i="6" l="1"/>
  <c r="M1650" i="6" s="1"/>
  <c r="S1650" i="6" s="1"/>
  <c r="Q1651" i="6"/>
  <c r="N1651" i="6"/>
  <c r="O1652" i="6"/>
  <c r="P1652" i="6" s="1"/>
  <c r="R1651" i="6" l="1"/>
  <c r="M1651" i="6" s="1"/>
  <c r="S1651" i="6" s="1"/>
  <c r="Q1652" i="6"/>
  <c r="N1652" i="6"/>
  <c r="O1653" i="6"/>
  <c r="P1653" i="6" s="1"/>
  <c r="R1652" i="6" l="1"/>
  <c r="M1652" i="6" s="1"/>
  <c r="S1652" i="6" s="1"/>
  <c r="Q1653" i="6"/>
  <c r="N1653" i="6"/>
  <c r="O1654" i="6"/>
  <c r="P1654" i="6" s="1"/>
  <c r="R1653" i="6" l="1"/>
  <c r="M1653" i="6" s="1"/>
  <c r="S1653" i="6" s="1"/>
  <c r="Q1654" i="6"/>
  <c r="O1655" i="6"/>
  <c r="P1655" i="6" s="1"/>
  <c r="N1654" i="6"/>
  <c r="R1654" i="6" l="1"/>
  <c r="M1654" i="6" s="1"/>
  <c r="S1654" i="6" s="1"/>
  <c r="Q1655" i="6"/>
  <c r="N1655" i="6"/>
  <c r="O1656" i="6"/>
  <c r="P1656" i="6" s="1"/>
  <c r="R1655" i="6" l="1"/>
  <c r="M1655" i="6" s="1"/>
  <c r="S1655" i="6" s="1"/>
  <c r="Q1656" i="6"/>
  <c r="N1656" i="6"/>
  <c r="O1657" i="6"/>
  <c r="P1657" i="6" s="1"/>
  <c r="R1656" i="6" l="1"/>
  <c r="M1656" i="6" s="1"/>
  <c r="S1656" i="6" s="1"/>
  <c r="Q1657" i="6"/>
  <c r="N1657" i="6"/>
  <c r="O1658" i="6"/>
  <c r="P1658" i="6" s="1"/>
  <c r="R1657" i="6" l="1"/>
  <c r="M1657" i="6" s="1"/>
  <c r="S1657" i="6" s="1"/>
  <c r="Q1658" i="6"/>
  <c r="O1659" i="6"/>
  <c r="P1659" i="6" s="1"/>
  <c r="N1658" i="6"/>
  <c r="R1658" i="6" l="1"/>
  <c r="M1658" i="6" s="1"/>
  <c r="S1658" i="6" s="1"/>
  <c r="Q1659" i="6"/>
  <c r="N1659" i="6"/>
  <c r="O1660" i="6"/>
  <c r="P1660" i="6" s="1"/>
  <c r="R1659" i="6" l="1"/>
  <c r="M1659" i="6" s="1"/>
  <c r="S1659" i="6" s="1"/>
  <c r="Q1660" i="6"/>
  <c r="N1660" i="6"/>
  <c r="O1661" i="6"/>
  <c r="P1661" i="6" s="1"/>
  <c r="R1660" i="6" l="1"/>
  <c r="M1660" i="6" s="1"/>
  <c r="S1660" i="6" s="1"/>
  <c r="Q1661" i="6"/>
  <c r="N1661" i="6"/>
  <c r="O1662" i="6"/>
  <c r="P1662" i="6" s="1"/>
  <c r="R1661" i="6" l="1"/>
  <c r="M1661" i="6" s="1"/>
  <c r="S1661" i="6" s="1"/>
  <c r="Q1662" i="6"/>
  <c r="N1662" i="6"/>
  <c r="O1663" i="6"/>
  <c r="P1663" i="6" s="1"/>
  <c r="R1662" i="6" l="1"/>
  <c r="M1662" i="6" s="1"/>
  <c r="S1662" i="6" s="1"/>
  <c r="Q1663" i="6"/>
  <c r="N1663" i="6"/>
  <c r="O1664" i="6"/>
  <c r="P1664" i="6" s="1"/>
  <c r="R1663" i="6" l="1"/>
  <c r="M1663" i="6" s="1"/>
  <c r="S1663" i="6" s="1"/>
  <c r="Q1664" i="6"/>
  <c r="O1665" i="6"/>
  <c r="P1665" i="6" s="1"/>
  <c r="N1664" i="6"/>
  <c r="R1664" i="6" l="1"/>
  <c r="M1664" i="6" s="1"/>
  <c r="S1664" i="6" s="1"/>
  <c r="Q1665" i="6"/>
  <c r="O1666" i="6"/>
  <c r="P1666" i="6" s="1"/>
  <c r="N1665" i="6"/>
  <c r="R1665" i="6" l="1"/>
  <c r="M1665" i="6" s="1"/>
  <c r="S1665" i="6" s="1"/>
  <c r="Q1666" i="6"/>
  <c r="N1666" i="6"/>
  <c r="O1667" i="6"/>
  <c r="P1667" i="6" s="1"/>
  <c r="R1666" i="6" l="1"/>
  <c r="M1666" i="6" s="1"/>
  <c r="S1666" i="6" s="1"/>
  <c r="Q1667" i="6"/>
  <c r="N1667" i="6"/>
  <c r="O1668" i="6"/>
  <c r="P1668" i="6" s="1"/>
  <c r="R1667" i="6" l="1"/>
  <c r="M1667" i="6" s="1"/>
  <c r="S1667" i="6" s="1"/>
  <c r="Q1668" i="6"/>
  <c r="O1669" i="6"/>
  <c r="P1669" i="6" s="1"/>
  <c r="N1668" i="6"/>
  <c r="R1668" i="6" l="1"/>
  <c r="M1668" i="6" s="1"/>
  <c r="S1668" i="6" s="1"/>
  <c r="Q1669" i="6"/>
  <c r="N1669" i="6"/>
  <c r="O1670" i="6"/>
  <c r="P1670" i="6" s="1"/>
  <c r="R1669" i="6" l="1"/>
  <c r="M1669" i="6" s="1"/>
  <c r="S1669" i="6" s="1"/>
  <c r="Q1670" i="6"/>
  <c r="O1671" i="6"/>
  <c r="P1671" i="6" s="1"/>
  <c r="N1670" i="6"/>
  <c r="R1670" i="6" l="1"/>
  <c r="M1670" i="6" s="1"/>
  <c r="S1670" i="6" s="1"/>
  <c r="Q1671" i="6"/>
  <c r="O1672" i="6"/>
  <c r="P1672" i="6" s="1"/>
  <c r="N1671" i="6"/>
  <c r="R1671" i="6" l="1"/>
  <c r="M1671" i="6" s="1"/>
  <c r="S1671" i="6" s="1"/>
  <c r="Q1672" i="6"/>
  <c r="N1672" i="6"/>
  <c r="O1673" i="6"/>
  <c r="P1673" i="6" s="1"/>
  <c r="R1672" i="6" l="1"/>
  <c r="M1672" i="6" s="1"/>
  <c r="S1672" i="6" s="1"/>
  <c r="Q1673" i="6"/>
  <c r="O1674" i="6"/>
  <c r="P1674" i="6" s="1"/>
  <c r="N1673" i="6"/>
  <c r="R1673" i="6" l="1"/>
  <c r="M1673" i="6" s="1"/>
  <c r="S1673" i="6" s="1"/>
  <c r="Q1674" i="6"/>
  <c r="O1675" i="6"/>
  <c r="P1675" i="6" s="1"/>
  <c r="N1674" i="6"/>
  <c r="R1674" i="6" l="1"/>
  <c r="M1674" i="6" s="1"/>
  <c r="S1674" i="6" s="1"/>
  <c r="Q1675" i="6"/>
  <c r="N1675" i="6"/>
  <c r="O1676" i="6"/>
  <c r="P1676" i="6" s="1"/>
  <c r="R1675" i="6" l="1"/>
  <c r="M1675" i="6" s="1"/>
  <c r="S1675" i="6" s="1"/>
  <c r="Q1676" i="6"/>
  <c r="O1677" i="6"/>
  <c r="P1677" i="6" s="1"/>
  <c r="N1676" i="6"/>
  <c r="R1676" i="6" l="1"/>
  <c r="M1676" i="6" s="1"/>
  <c r="S1676" i="6" s="1"/>
  <c r="Q1677" i="6"/>
  <c r="N1677" i="6"/>
  <c r="O1678" i="6"/>
  <c r="P1678" i="6" s="1"/>
  <c r="R1677" i="6" l="1"/>
  <c r="M1677" i="6" s="1"/>
  <c r="S1677" i="6" s="1"/>
  <c r="Q1678" i="6"/>
  <c r="O1679" i="6"/>
  <c r="P1679" i="6" s="1"/>
  <c r="N1678" i="6"/>
  <c r="R1678" i="6" l="1"/>
  <c r="M1678" i="6" s="1"/>
  <c r="S1678" i="6" s="1"/>
  <c r="Q1679" i="6"/>
  <c r="N1679" i="6"/>
  <c r="O1680" i="6"/>
  <c r="P1680" i="6" s="1"/>
  <c r="R1679" i="6" l="1"/>
  <c r="M1679" i="6" s="1"/>
  <c r="S1679" i="6" s="1"/>
  <c r="Q1680" i="6"/>
  <c r="O1681" i="6"/>
  <c r="P1681" i="6" s="1"/>
  <c r="N1680" i="6"/>
  <c r="R1680" i="6" l="1"/>
  <c r="M1680" i="6" s="1"/>
  <c r="S1680" i="6" s="1"/>
  <c r="Q1681" i="6"/>
  <c r="N1681" i="6"/>
  <c r="O1682" i="6"/>
  <c r="P1682" i="6" s="1"/>
  <c r="R1681" i="6" l="1"/>
  <c r="M1681" i="6" s="1"/>
  <c r="S1681" i="6" s="1"/>
  <c r="Q1682" i="6"/>
  <c r="O1683" i="6"/>
  <c r="P1683" i="6" s="1"/>
  <c r="N1682" i="6"/>
  <c r="R1682" i="6" l="1"/>
  <c r="M1682" i="6" s="1"/>
  <c r="S1682" i="6" s="1"/>
  <c r="Q1683" i="6"/>
  <c r="N1683" i="6"/>
  <c r="O1684" i="6"/>
  <c r="P1684" i="6" s="1"/>
  <c r="R1683" i="6" l="1"/>
  <c r="M1683" i="6" s="1"/>
  <c r="S1683" i="6" s="1"/>
  <c r="Q1684" i="6"/>
  <c r="O1685" i="6"/>
  <c r="P1685" i="6" s="1"/>
  <c r="N1684" i="6"/>
  <c r="R1684" i="6" l="1"/>
  <c r="M1684" i="6" s="1"/>
  <c r="S1684" i="6" s="1"/>
  <c r="Q1685" i="6"/>
  <c r="N1685" i="6"/>
  <c r="O1686" i="6"/>
  <c r="P1686" i="6" s="1"/>
  <c r="R1685" i="6" l="1"/>
  <c r="M1685" i="6" s="1"/>
  <c r="S1685" i="6" s="1"/>
  <c r="Q1686" i="6"/>
  <c r="N1686" i="6"/>
  <c r="O1687" i="6"/>
  <c r="P1687" i="6" s="1"/>
  <c r="R1686" i="6" l="1"/>
  <c r="M1686" i="6" s="1"/>
  <c r="S1686" i="6" s="1"/>
  <c r="Q1687" i="6"/>
  <c r="N1687" i="6"/>
  <c r="O1688" i="6"/>
  <c r="P1688" i="6" s="1"/>
  <c r="R1687" i="6" l="1"/>
  <c r="M1687" i="6" s="1"/>
  <c r="S1687" i="6" s="1"/>
  <c r="Q1688" i="6"/>
  <c r="N1688" i="6"/>
  <c r="O1689" i="6"/>
  <c r="P1689" i="6" s="1"/>
  <c r="R1688" i="6" l="1"/>
  <c r="M1688" i="6" s="1"/>
  <c r="S1688" i="6" s="1"/>
  <c r="Q1689" i="6"/>
  <c r="N1689" i="6"/>
  <c r="O1690" i="6"/>
  <c r="P1690" i="6" s="1"/>
  <c r="R1689" i="6" l="1"/>
  <c r="M1689" i="6" s="1"/>
  <c r="S1689" i="6" s="1"/>
  <c r="Q1690" i="6"/>
  <c r="O1691" i="6"/>
  <c r="P1691" i="6" s="1"/>
  <c r="N1690" i="6"/>
  <c r="R1690" i="6" l="1"/>
  <c r="M1690" i="6" s="1"/>
  <c r="S1690" i="6" s="1"/>
  <c r="Q1691" i="6"/>
  <c r="N1691" i="6"/>
  <c r="O1692" i="6"/>
  <c r="P1692" i="6" s="1"/>
  <c r="R1691" i="6" l="1"/>
  <c r="M1691" i="6" s="1"/>
  <c r="S1691" i="6" s="1"/>
  <c r="Q1692" i="6"/>
  <c r="O1693" i="6"/>
  <c r="P1693" i="6" s="1"/>
  <c r="N1692" i="6"/>
  <c r="R1692" i="6" l="1"/>
  <c r="M1692" i="6" s="1"/>
  <c r="S1692" i="6" s="1"/>
  <c r="Q1693" i="6"/>
  <c r="N1693" i="6"/>
  <c r="O1694" i="6"/>
  <c r="P1694" i="6" s="1"/>
  <c r="R1693" i="6" l="1"/>
  <c r="M1693" i="6" s="1"/>
  <c r="S1693" i="6" s="1"/>
  <c r="Q1694" i="6"/>
  <c r="O1695" i="6"/>
  <c r="P1695" i="6" s="1"/>
  <c r="N1694" i="6"/>
  <c r="R1694" i="6" l="1"/>
  <c r="M1694" i="6" s="1"/>
  <c r="S1694" i="6" s="1"/>
  <c r="Q1695" i="6"/>
  <c r="N1695" i="6"/>
  <c r="O1696" i="6"/>
  <c r="P1696" i="6" s="1"/>
  <c r="R1695" i="6" l="1"/>
  <c r="M1695" i="6" s="1"/>
  <c r="S1695" i="6" s="1"/>
  <c r="Q1696" i="6"/>
  <c r="O1697" i="6"/>
  <c r="P1697" i="6" s="1"/>
  <c r="N1696" i="6"/>
  <c r="R1696" i="6" l="1"/>
  <c r="M1696" i="6" s="1"/>
  <c r="S1696" i="6" s="1"/>
  <c r="Q1697" i="6"/>
  <c r="N1697" i="6"/>
  <c r="O1698" i="6"/>
  <c r="P1698" i="6" s="1"/>
  <c r="R1697" i="6" l="1"/>
  <c r="M1697" i="6" s="1"/>
  <c r="S1697" i="6" s="1"/>
  <c r="Q1698" i="6"/>
  <c r="N1698" i="6"/>
  <c r="O1699" i="6"/>
  <c r="P1699" i="6" s="1"/>
  <c r="R1698" i="6" l="1"/>
  <c r="M1698" i="6" s="1"/>
  <c r="S1698" i="6" s="1"/>
  <c r="Q1699" i="6"/>
  <c r="N1699" i="6"/>
  <c r="O1700" i="6"/>
  <c r="P1700" i="6" s="1"/>
  <c r="R1699" i="6" l="1"/>
  <c r="M1699" i="6" s="1"/>
  <c r="S1699" i="6" s="1"/>
  <c r="Q1700" i="6"/>
  <c r="N1700" i="6"/>
  <c r="O1701" i="6"/>
  <c r="P1701" i="6" s="1"/>
  <c r="R1700" i="6" l="1"/>
  <c r="M1700" i="6" s="1"/>
  <c r="S1700" i="6" s="1"/>
  <c r="Q1701" i="6"/>
  <c r="N1701" i="6"/>
  <c r="O1702" i="6"/>
  <c r="P1702" i="6" s="1"/>
  <c r="R1701" i="6" l="1"/>
  <c r="M1701" i="6" s="1"/>
  <c r="S1701" i="6" s="1"/>
  <c r="Q1702" i="6"/>
  <c r="N1702" i="6"/>
  <c r="O1703" i="6"/>
  <c r="P1703" i="6" s="1"/>
  <c r="R1702" i="6" l="1"/>
  <c r="M1702" i="6" s="1"/>
  <c r="S1702" i="6" s="1"/>
  <c r="Q1703" i="6"/>
  <c r="N1703" i="6"/>
  <c r="O1704" i="6"/>
  <c r="P1704" i="6" s="1"/>
  <c r="R1703" i="6" l="1"/>
  <c r="M1703" i="6" s="1"/>
  <c r="S1703" i="6" s="1"/>
  <c r="Q1704" i="6"/>
  <c r="N1704" i="6"/>
  <c r="O1705" i="6"/>
  <c r="P1705" i="6" s="1"/>
  <c r="R1704" i="6" l="1"/>
  <c r="M1704" i="6" s="1"/>
  <c r="S1704" i="6" s="1"/>
  <c r="Q1705" i="6"/>
  <c r="N1705" i="6"/>
  <c r="O1706" i="6"/>
  <c r="P1706" i="6" s="1"/>
  <c r="R1705" i="6" l="1"/>
  <c r="M1705" i="6" s="1"/>
  <c r="S1705" i="6" s="1"/>
  <c r="Q1706" i="6"/>
  <c r="N1706" i="6"/>
  <c r="O1707" i="6"/>
  <c r="P1707" i="6" s="1"/>
  <c r="R1706" i="6" l="1"/>
  <c r="M1706" i="6" s="1"/>
  <c r="S1706" i="6" s="1"/>
  <c r="Q1707" i="6"/>
  <c r="N1707" i="6"/>
  <c r="O1708" i="6"/>
  <c r="P1708" i="6" s="1"/>
  <c r="R1707" i="6" l="1"/>
  <c r="M1707" i="6" s="1"/>
  <c r="S1707" i="6" s="1"/>
  <c r="Q1708" i="6"/>
  <c r="N1708" i="6"/>
  <c r="O1709" i="6"/>
  <c r="P1709" i="6" s="1"/>
  <c r="R1708" i="6" l="1"/>
  <c r="M1708" i="6" s="1"/>
  <c r="S1708" i="6" s="1"/>
  <c r="Q1709" i="6"/>
  <c r="N1709" i="6"/>
  <c r="O1710" i="6"/>
  <c r="P1710" i="6" s="1"/>
  <c r="R1709" i="6" l="1"/>
  <c r="M1709" i="6" s="1"/>
  <c r="S1709" i="6" s="1"/>
  <c r="Q1710" i="6"/>
  <c r="O1711" i="6"/>
  <c r="P1711" i="6" s="1"/>
  <c r="N1710" i="6"/>
  <c r="R1710" i="6" l="1"/>
  <c r="M1710" i="6" s="1"/>
  <c r="S1710" i="6" s="1"/>
  <c r="Q1711" i="6"/>
  <c r="O1712" i="6"/>
  <c r="P1712" i="6" s="1"/>
  <c r="N1711" i="6"/>
  <c r="R1711" i="6" l="1"/>
  <c r="M1711" i="6" s="1"/>
  <c r="S1711" i="6" s="1"/>
  <c r="Q1712" i="6"/>
  <c r="N1712" i="6"/>
  <c r="O1713" i="6"/>
  <c r="P1713" i="6" s="1"/>
  <c r="R1712" i="6" l="1"/>
  <c r="M1712" i="6" s="1"/>
  <c r="S1712" i="6" s="1"/>
  <c r="Q1713" i="6"/>
  <c r="O1714" i="6"/>
  <c r="P1714" i="6" s="1"/>
  <c r="N1713" i="6"/>
  <c r="R1713" i="6" l="1"/>
  <c r="M1713" i="6" s="1"/>
  <c r="S1713" i="6" s="1"/>
  <c r="Q1714" i="6"/>
  <c r="O1715" i="6"/>
  <c r="P1715" i="6" s="1"/>
  <c r="N1714" i="6"/>
  <c r="R1714" i="6" l="1"/>
  <c r="M1714" i="6" s="1"/>
  <c r="S1714" i="6" s="1"/>
  <c r="Q1715" i="6"/>
  <c r="N1715" i="6"/>
  <c r="O1716" i="6"/>
  <c r="P1716" i="6" s="1"/>
  <c r="R1715" i="6" l="1"/>
  <c r="M1715" i="6" s="1"/>
  <c r="S1715" i="6" s="1"/>
  <c r="Q1716" i="6"/>
  <c r="N1716" i="6"/>
  <c r="O1717" i="6"/>
  <c r="P1717" i="6" s="1"/>
  <c r="R1716" i="6" l="1"/>
  <c r="M1716" i="6" s="1"/>
  <c r="S1716" i="6" s="1"/>
  <c r="Q1717" i="6"/>
  <c r="N1717" i="6"/>
  <c r="O1718" i="6"/>
  <c r="P1718" i="6" s="1"/>
  <c r="R1717" i="6" l="1"/>
  <c r="M1717" i="6" s="1"/>
  <c r="S1717" i="6" s="1"/>
  <c r="Q1718" i="6"/>
  <c r="N1718" i="6"/>
  <c r="O1719" i="6"/>
  <c r="P1719" i="6" s="1"/>
  <c r="R1718" i="6" l="1"/>
  <c r="M1718" i="6" s="1"/>
  <c r="S1718" i="6" s="1"/>
  <c r="Q1719" i="6"/>
  <c r="N1719" i="6"/>
  <c r="O1720" i="6"/>
  <c r="P1720" i="6" s="1"/>
  <c r="R1719" i="6" l="1"/>
  <c r="M1719" i="6" s="1"/>
  <c r="S1719" i="6" s="1"/>
  <c r="Q1720" i="6"/>
  <c r="N1720" i="6"/>
  <c r="O1721" i="6"/>
  <c r="P1721" i="6" s="1"/>
  <c r="R1720" i="6" l="1"/>
  <c r="M1720" i="6" s="1"/>
  <c r="S1720" i="6" s="1"/>
  <c r="Q1721" i="6"/>
  <c r="N1721" i="6"/>
  <c r="O1722" i="6"/>
  <c r="P1722" i="6" s="1"/>
  <c r="R1721" i="6" l="1"/>
  <c r="M1721" i="6" s="1"/>
  <c r="S1721" i="6" s="1"/>
  <c r="Q1722" i="6"/>
  <c r="N1722" i="6"/>
  <c r="O1723" i="6"/>
  <c r="P1723" i="6" s="1"/>
  <c r="R1722" i="6" l="1"/>
  <c r="M1722" i="6" s="1"/>
  <c r="S1722" i="6" s="1"/>
  <c r="Q1723" i="6"/>
  <c r="N1723" i="6"/>
  <c r="O1724" i="6"/>
  <c r="P1724" i="6" s="1"/>
  <c r="R1723" i="6" l="1"/>
  <c r="M1723" i="6" s="1"/>
  <c r="S1723" i="6" s="1"/>
  <c r="Q1724" i="6"/>
  <c r="N1724" i="6"/>
  <c r="O1725" i="6"/>
  <c r="P1725" i="6" s="1"/>
  <c r="R1724" i="6" l="1"/>
  <c r="M1724" i="6" s="1"/>
  <c r="S1724" i="6" s="1"/>
  <c r="Q1725" i="6"/>
  <c r="N1725" i="6"/>
  <c r="O1726" i="6"/>
  <c r="P1726" i="6" s="1"/>
  <c r="R1725" i="6" l="1"/>
  <c r="M1725" i="6" s="1"/>
  <c r="S1725" i="6" s="1"/>
  <c r="Q1726" i="6"/>
  <c r="O1727" i="6"/>
  <c r="P1727" i="6" s="1"/>
  <c r="N1726" i="6"/>
  <c r="R1726" i="6" l="1"/>
  <c r="M1726" i="6" s="1"/>
  <c r="S1726" i="6" s="1"/>
  <c r="Q1727" i="6"/>
  <c r="O1728" i="6"/>
  <c r="P1728" i="6" s="1"/>
  <c r="N1727" i="6"/>
  <c r="R1727" i="6" l="1"/>
  <c r="M1727" i="6" s="1"/>
  <c r="S1727" i="6" s="1"/>
  <c r="Q1728" i="6"/>
  <c r="N1728" i="6"/>
  <c r="O1729" i="6"/>
  <c r="P1729" i="6" s="1"/>
  <c r="R1728" i="6" l="1"/>
  <c r="M1728" i="6" s="1"/>
  <c r="S1728" i="6" s="1"/>
  <c r="Q1729" i="6"/>
  <c r="O1730" i="6"/>
  <c r="P1730" i="6" s="1"/>
  <c r="N1729" i="6"/>
  <c r="R1729" i="6" l="1"/>
  <c r="M1729" i="6" s="1"/>
  <c r="S1729" i="6" s="1"/>
  <c r="Q1730" i="6"/>
  <c r="N1730" i="6"/>
  <c r="O1731" i="6"/>
  <c r="P1731" i="6" s="1"/>
  <c r="R1730" i="6" l="1"/>
  <c r="M1730" i="6" s="1"/>
  <c r="S1730" i="6" s="1"/>
  <c r="Q1731" i="6"/>
  <c r="N1731" i="6"/>
  <c r="O1732" i="6"/>
  <c r="P1732" i="6" s="1"/>
  <c r="R1731" i="6" l="1"/>
  <c r="M1731" i="6" s="1"/>
  <c r="S1731" i="6" s="1"/>
  <c r="Q1732" i="6"/>
  <c r="N1732" i="6"/>
  <c r="O1733" i="6"/>
  <c r="P1733" i="6" s="1"/>
  <c r="R1732" i="6" l="1"/>
  <c r="M1732" i="6" s="1"/>
  <c r="S1732" i="6" s="1"/>
  <c r="Q1733" i="6"/>
  <c r="N1733" i="6"/>
  <c r="O1734" i="6"/>
  <c r="P1734" i="6" s="1"/>
  <c r="R1733" i="6" l="1"/>
  <c r="M1733" i="6" s="1"/>
  <c r="S1733" i="6" s="1"/>
  <c r="Q1734" i="6"/>
  <c r="N1734" i="6"/>
  <c r="O1735" i="6"/>
  <c r="P1735" i="6" s="1"/>
  <c r="R1734" i="6" l="1"/>
  <c r="M1734" i="6" s="1"/>
  <c r="S1734" i="6" s="1"/>
  <c r="Q1735" i="6"/>
  <c r="N1735" i="6"/>
  <c r="O1736" i="6"/>
  <c r="P1736" i="6" s="1"/>
  <c r="R1735" i="6" l="1"/>
  <c r="M1735" i="6" s="1"/>
  <c r="S1735" i="6" s="1"/>
  <c r="Q1736" i="6"/>
  <c r="N1736" i="6"/>
  <c r="O1737" i="6"/>
  <c r="P1737" i="6" s="1"/>
  <c r="R1736" i="6" l="1"/>
  <c r="M1736" i="6" s="1"/>
  <c r="S1736" i="6" s="1"/>
  <c r="Q1737" i="6"/>
  <c r="N1737" i="6"/>
  <c r="O1738" i="6"/>
  <c r="P1738" i="6" s="1"/>
  <c r="R1737" i="6" l="1"/>
  <c r="M1737" i="6" s="1"/>
  <c r="S1737" i="6" s="1"/>
  <c r="Q1738" i="6"/>
  <c r="N1738" i="6"/>
  <c r="O1739" i="6"/>
  <c r="P1739" i="6" s="1"/>
  <c r="R1738" i="6" l="1"/>
  <c r="M1738" i="6" s="1"/>
  <c r="S1738" i="6" s="1"/>
  <c r="Q1739" i="6"/>
  <c r="N1739" i="6"/>
  <c r="O1740" i="6"/>
  <c r="P1740" i="6" s="1"/>
  <c r="R1739" i="6" l="1"/>
  <c r="M1739" i="6" s="1"/>
  <c r="S1739" i="6" s="1"/>
  <c r="Q1740" i="6"/>
  <c r="N1740" i="6"/>
  <c r="O1741" i="6"/>
  <c r="P1741" i="6" s="1"/>
  <c r="R1740" i="6" l="1"/>
  <c r="M1740" i="6" s="1"/>
  <c r="S1740" i="6" s="1"/>
  <c r="Q1741" i="6"/>
  <c r="N1741" i="6"/>
  <c r="O1742" i="6"/>
  <c r="P1742" i="6" s="1"/>
  <c r="R1741" i="6" l="1"/>
  <c r="M1741" i="6" s="1"/>
  <c r="S1741" i="6" s="1"/>
  <c r="Q1742" i="6"/>
  <c r="O1743" i="6"/>
  <c r="P1743" i="6" s="1"/>
  <c r="N1742" i="6"/>
  <c r="R1742" i="6" l="1"/>
  <c r="M1742" i="6" s="1"/>
  <c r="S1742" i="6" s="1"/>
  <c r="Q1743" i="6"/>
  <c r="O1744" i="6"/>
  <c r="P1744" i="6" s="1"/>
  <c r="N1743" i="6"/>
  <c r="R1743" i="6" l="1"/>
  <c r="M1743" i="6" s="1"/>
  <c r="S1743" i="6" s="1"/>
  <c r="Q1744" i="6"/>
  <c r="N1744" i="6"/>
  <c r="O1745" i="6"/>
  <c r="P1745" i="6" s="1"/>
  <c r="R1744" i="6" l="1"/>
  <c r="M1744" i="6" s="1"/>
  <c r="S1744" i="6" s="1"/>
  <c r="Q1745" i="6"/>
  <c r="O1746" i="6"/>
  <c r="P1746" i="6" s="1"/>
  <c r="N1745" i="6"/>
  <c r="R1745" i="6" l="1"/>
  <c r="M1745" i="6" s="1"/>
  <c r="S1745" i="6" s="1"/>
  <c r="Q1746" i="6"/>
  <c r="O1747" i="6"/>
  <c r="P1747" i="6" s="1"/>
  <c r="N1746" i="6"/>
  <c r="R1746" i="6" l="1"/>
  <c r="M1746" i="6" s="1"/>
  <c r="S1746" i="6" s="1"/>
  <c r="Q1747" i="6"/>
  <c r="N1747" i="6"/>
  <c r="O1748" i="6"/>
  <c r="P1748" i="6" s="1"/>
  <c r="R1747" i="6" l="1"/>
  <c r="M1747" i="6" s="1"/>
  <c r="S1747" i="6" s="1"/>
  <c r="Q1748" i="6"/>
  <c r="N1748" i="6"/>
  <c r="O1749" i="6"/>
  <c r="P1749" i="6" s="1"/>
  <c r="R1748" i="6" l="1"/>
  <c r="M1748" i="6" s="1"/>
  <c r="S1748" i="6" s="1"/>
  <c r="Q1749" i="6"/>
  <c r="N1749" i="6"/>
  <c r="O1750" i="6"/>
  <c r="P1750" i="6" s="1"/>
  <c r="R1749" i="6" l="1"/>
  <c r="M1749" i="6" s="1"/>
  <c r="S1749" i="6" s="1"/>
  <c r="Q1750" i="6"/>
  <c r="N1750" i="6"/>
  <c r="O1751" i="6"/>
  <c r="P1751" i="6" s="1"/>
  <c r="R1750" i="6" l="1"/>
  <c r="M1750" i="6" s="1"/>
  <c r="S1750" i="6" s="1"/>
  <c r="Q1751" i="6"/>
  <c r="N1751" i="6"/>
  <c r="O1752" i="6"/>
  <c r="P1752" i="6" s="1"/>
  <c r="R1751" i="6" l="1"/>
  <c r="M1751" i="6" s="1"/>
  <c r="S1751" i="6" s="1"/>
  <c r="Q1752" i="6"/>
  <c r="N1752" i="6"/>
  <c r="O1753" i="6"/>
  <c r="P1753" i="6" s="1"/>
  <c r="R1752" i="6" l="1"/>
  <c r="M1752" i="6" s="1"/>
  <c r="S1752" i="6" s="1"/>
  <c r="Q1753" i="6"/>
  <c r="N1753" i="6"/>
  <c r="O1754" i="6"/>
  <c r="P1754" i="6" s="1"/>
  <c r="R1753" i="6" l="1"/>
  <c r="M1753" i="6" s="1"/>
  <c r="S1753" i="6" s="1"/>
  <c r="Q1754" i="6"/>
  <c r="N1754" i="6"/>
  <c r="O1755" i="6"/>
  <c r="P1755" i="6" s="1"/>
  <c r="R1754" i="6" l="1"/>
  <c r="M1754" i="6" s="1"/>
  <c r="S1754" i="6" s="1"/>
  <c r="Q1755" i="6"/>
  <c r="N1755" i="6"/>
  <c r="O1756" i="6"/>
  <c r="P1756" i="6" s="1"/>
  <c r="R1755" i="6" l="1"/>
  <c r="M1755" i="6" s="1"/>
  <c r="S1755" i="6" s="1"/>
  <c r="Q1756" i="6"/>
  <c r="N1756" i="6"/>
  <c r="O1757" i="6"/>
  <c r="P1757" i="6" s="1"/>
  <c r="R1756" i="6" l="1"/>
  <c r="M1756" i="6" s="1"/>
  <c r="S1756" i="6" s="1"/>
  <c r="Q1757" i="6"/>
  <c r="N1757" i="6"/>
  <c r="O1758" i="6"/>
  <c r="P1758" i="6" s="1"/>
  <c r="R1757" i="6" l="1"/>
  <c r="M1757" i="6" s="1"/>
  <c r="S1757" i="6" s="1"/>
  <c r="Q1758" i="6"/>
  <c r="O1759" i="6"/>
  <c r="P1759" i="6" s="1"/>
  <c r="N1758" i="6"/>
  <c r="R1758" i="6" l="1"/>
  <c r="M1758" i="6" s="1"/>
  <c r="S1758" i="6" s="1"/>
  <c r="Q1759" i="6"/>
  <c r="O1760" i="6"/>
  <c r="P1760" i="6" s="1"/>
  <c r="N1759" i="6"/>
  <c r="R1759" i="6" l="1"/>
  <c r="M1759" i="6" s="1"/>
  <c r="S1759" i="6" s="1"/>
  <c r="Q1760" i="6"/>
  <c r="N1760" i="6"/>
  <c r="O1761" i="6"/>
  <c r="P1761" i="6" s="1"/>
  <c r="R1760" i="6" l="1"/>
  <c r="M1760" i="6" s="1"/>
  <c r="S1760" i="6" s="1"/>
  <c r="Q1761" i="6"/>
  <c r="O1762" i="6"/>
  <c r="P1762" i="6" s="1"/>
  <c r="N1761" i="6"/>
  <c r="R1761" i="6" l="1"/>
  <c r="M1761" i="6" s="1"/>
  <c r="S1761" i="6" s="1"/>
  <c r="Q1762" i="6"/>
  <c r="O1763" i="6"/>
  <c r="P1763" i="6" s="1"/>
  <c r="N1762" i="6"/>
  <c r="R1762" i="6" l="1"/>
  <c r="M1762" i="6" s="1"/>
  <c r="S1762" i="6" s="1"/>
  <c r="Q1763" i="6"/>
  <c r="N1763" i="6"/>
  <c r="O1764" i="6"/>
  <c r="P1764" i="6" s="1"/>
  <c r="R1763" i="6" l="1"/>
  <c r="M1763" i="6" s="1"/>
  <c r="S1763" i="6" s="1"/>
  <c r="Q1764" i="6"/>
  <c r="N1764" i="6"/>
  <c r="O1765" i="6"/>
  <c r="P1765" i="6" s="1"/>
  <c r="R1764" i="6" l="1"/>
  <c r="M1764" i="6" s="1"/>
  <c r="S1764" i="6" s="1"/>
  <c r="Q1765" i="6"/>
  <c r="N1765" i="6"/>
  <c r="O1766" i="6"/>
  <c r="P1766" i="6" s="1"/>
  <c r="R1765" i="6" l="1"/>
  <c r="M1765" i="6" s="1"/>
  <c r="S1765" i="6" s="1"/>
  <c r="Q1766" i="6"/>
  <c r="N1766" i="6"/>
  <c r="O1767" i="6"/>
  <c r="P1767" i="6" s="1"/>
  <c r="R1766" i="6" l="1"/>
  <c r="M1766" i="6" s="1"/>
  <c r="S1766" i="6" s="1"/>
  <c r="Q1767" i="6"/>
  <c r="N1767" i="6"/>
  <c r="O1768" i="6"/>
  <c r="P1768" i="6" s="1"/>
  <c r="R1767" i="6" l="1"/>
  <c r="M1767" i="6" s="1"/>
  <c r="S1767" i="6" s="1"/>
  <c r="Q1768" i="6"/>
  <c r="N1768" i="6"/>
  <c r="O1769" i="6"/>
  <c r="P1769" i="6" s="1"/>
  <c r="R1768" i="6" l="1"/>
  <c r="M1768" i="6" s="1"/>
  <c r="S1768" i="6" s="1"/>
  <c r="Q1769" i="6"/>
  <c r="N1769" i="6"/>
  <c r="O1770" i="6"/>
  <c r="P1770" i="6" s="1"/>
  <c r="R1769" i="6" l="1"/>
  <c r="M1769" i="6" s="1"/>
  <c r="S1769" i="6" s="1"/>
  <c r="Q1770" i="6"/>
  <c r="N1770" i="6"/>
  <c r="O1771" i="6"/>
  <c r="P1771" i="6" s="1"/>
  <c r="R1770" i="6" l="1"/>
  <c r="M1770" i="6" s="1"/>
  <c r="S1770" i="6" s="1"/>
  <c r="Q1771" i="6"/>
  <c r="N1771" i="6"/>
  <c r="O1772" i="6"/>
  <c r="P1772" i="6" s="1"/>
  <c r="R1771" i="6" l="1"/>
  <c r="M1771" i="6" s="1"/>
  <c r="S1771" i="6" s="1"/>
  <c r="Q1772" i="6"/>
  <c r="N1772" i="6"/>
  <c r="O1773" i="6"/>
  <c r="P1773" i="6" s="1"/>
  <c r="R1772" i="6" l="1"/>
  <c r="M1772" i="6" s="1"/>
  <c r="S1772" i="6" s="1"/>
  <c r="Q1773" i="6"/>
  <c r="N1773" i="6"/>
  <c r="O1774" i="6"/>
  <c r="P1774" i="6" s="1"/>
  <c r="R1773" i="6" l="1"/>
  <c r="M1773" i="6" s="1"/>
  <c r="S1773" i="6" s="1"/>
  <c r="Q1774" i="6"/>
  <c r="O1775" i="6"/>
  <c r="P1775" i="6" s="1"/>
  <c r="N1774" i="6"/>
  <c r="R1774" i="6" l="1"/>
  <c r="M1774" i="6" s="1"/>
  <c r="S1774" i="6" s="1"/>
  <c r="Q1775" i="6"/>
  <c r="O1776" i="6"/>
  <c r="P1776" i="6" s="1"/>
  <c r="N1775" i="6"/>
  <c r="R1775" i="6" l="1"/>
  <c r="M1775" i="6" s="1"/>
  <c r="S1775" i="6" s="1"/>
  <c r="Q1776" i="6"/>
  <c r="N1776" i="6"/>
  <c r="O1777" i="6"/>
  <c r="P1777" i="6" s="1"/>
  <c r="R1776" i="6" l="1"/>
  <c r="M1776" i="6" s="1"/>
  <c r="S1776" i="6" s="1"/>
  <c r="Q1777" i="6"/>
  <c r="O1778" i="6"/>
  <c r="P1778" i="6" s="1"/>
  <c r="N1777" i="6"/>
  <c r="R1777" i="6" l="1"/>
  <c r="M1777" i="6" s="1"/>
  <c r="S1777" i="6" s="1"/>
  <c r="Q1778" i="6"/>
  <c r="O1779" i="6"/>
  <c r="P1779" i="6" s="1"/>
  <c r="N1778" i="6"/>
  <c r="R1778" i="6" l="1"/>
  <c r="M1778" i="6" s="1"/>
  <c r="S1778" i="6" s="1"/>
  <c r="Q1779" i="6"/>
  <c r="O1780" i="6"/>
  <c r="P1780" i="6" s="1"/>
  <c r="N1779" i="6"/>
  <c r="R1779" i="6" l="1"/>
  <c r="M1779" i="6" s="1"/>
  <c r="S1779" i="6" s="1"/>
  <c r="Q1780" i="6"/>
  <c r="O1781" i="6"/>
  <c r="P1781" i="6" s="1"/>
  <c r="N1780" i="6"/>
  <c r="R1780" i="6" l="1"/>
  <c r="M1780" i="6" s="1"/>
  <c r="S1780" i="6" s="1"/>
  <c r="Q1781" i="6"/>
  <c r="O1782" i="6"/>
  <c r="P1782" i="6" s="1"/>
  <c r="N1781" i="6"/>
  <c r="R1781" i="6" l="1"/>
  <c r="M1781" i="6" s="1"/>
  <c r="S1781" i="6" s="1"/>
  <c r="Q1782" i="6"/>
  <c r="N1782" i="6"/>
  <c r="O1783" i="6"/>
  <c r="P1783" i="6" s="1"/>
  <c r="R1782" i="6" l="1"/>
  <c r="M1782" i="6" s="1"/>
  <c r="S1782" i="6" s="1"/>
  <c r="Q1783" i="6"/>
  <c r="N1783" i="6"/>
  <c r="O1784" i="6"/>
  <c r="P1784" i="6" s="1"/>
  <c r="R1783" i="6" l="1"/>
  <c r="M1783" i="6" s="1"/>
  <c r="S1783" i="6" s="1"/>
  <c r="Q1784" i="6"/>
  <c r="N1784" i="6"/>
  <c r="O1785" i="6"/>
  <c r="P1785" i="6" s="1"/>
  <c r="R1784" i="6" l="1"/>
  <c r="M1784" i="6" s="1"/>
  <c r="S1784" i="6" s="1"/>
  <c r="Q1785" i="6"/>
  <c r="N1785" i="6"/>
  <c r="O1786" i="6"/>
  <c r="P1786" i="6" s="1"/>
  <c r="R1785" i="6" l="1"/>
  <c r="M1785" i="6" s="1"/>
  <c r="S1785" i="6" s="1"/>
  <c r="Q1786" i="6"/>
  <c r="N1786" i="6"/>
  <c r="O1787" i="6"/>
  <c r="P1787" i="6" s="1"/>
  <c r="R1786" i="6" l="1"/>
  <c r="M1786" i="6" s="1"/>
  <c r="S1786" i="6" s="1"/>
  <c r="Q1787" i="6"/>
  <c r="N1787" i="6"/>
  <c r="O1788" i="6"/>
  <c r="P1788" i="6" s="1"/>
  <c r="R1787" i="6" l="1"/>
  <c r="M1787" i="6" s="1"/>
  <c r="S1787" i="6" s="1"/>
  <c r="Q1788" i="6"/>
  <c r="N1788" i="6"/>
  <c r="O1789" i="6"/>
  <c r="P1789" i="6" s="1"/>
  <c r="R1788" i="6" l="1"/>
  <c r="M1788" i="6" s="1"/>
  <c r="S1788" i="6" s="1"/>
  <c r="Q1789" i="6"/>
  <c r="N1789" i="6"/>
  <c r="O1790" i="6"/>
  <c r="P1790" i="6" s="1"/>
  <c r="R1789" i="6" l="1"/>
  <c r="M1789" i="6" s="1"/>
  <c r="S1789" i="6" s="1"/>
  <c r="Q1790" i="6"/>
  <c r="O1791" i="6"/>
  <c r="P1791" i="6" s="1"/>
  <c r="N1790" i="6"/>
  <c r="R1790" i="6" l="1"/>
  <c r="M1790" i="6" s="1"/>
  <c r="S1790" i="6" s="1"/>
  <c r="Q1791" i="6"/>
  <c r="O1792" i="6"/>
  <c r="P1792" i="6" s="1"/>
  <c r="N1791" i="6"/>
  <c r="R1791" i="6" l="1"/>
  <c r="M1791" i="6" s="1"/>
  <c r="S1791" i="6" s="1"/>
  <c r="Q1792" i="6"/>
  <c r="N1792" i="6"/>
  <c r="O1793" i="6"/>
  <c r="P1793" i="6" s="1"/>
  <c r="R1792" i="6" l="1"/>
  <c r="M1792" i="6" s="1"/>
  <c r="S1792" i="6" s="1"/>
  <c r="Q1793" i="6"/>
  <c r="O1794" i="6"/>
  <c r="P1794" i="6" s="1"/>
  <c r="N1793" i="6"/>
  <c r="R1793" i="6" l="1"/>
  <c r="M1793" i="6" s="1"/>
  <c r="S1793" i="6" s="1"/>
  <c r="Q1794" i="6"/>
  <c r="O1795" i="6"/>
  <c r="P1795" i="6" s="1"/>
  <c r="N1794" i="6"/>
  <c r="R1794" i="6" l="1"/>
  <c r="M1794" i="6" s="1"/>
  <c r="S1794" i="6" s="1"/>
  <c r="Q1795" i="6"/>
  <c r="N1795" i="6"/>
  <c r="O1796" i="6"/>
  <c r="P1796" i="6" s="1"/>
  <c r="R1795" i="6" l="1"/>
  <c r="M1795" i="6" s="1"/>
  <c r="S1795" i="6" s="1"/>
  <c r="Q1796" i="6"/>
  <c r="N1796" i="6"/>
  <c r="O1797" i="6"/>
  <c r="P1797" i="6" s="1"/>
  <c r="R1796" i="6" l="1"/>
  <c r="M1796" i="6" s="1"/>
  <c r="S1796" i="6" s="1"/>
  <c r="Q1797" i="6"/>
  <c r="N1797" i="6"/>
  <c r="O1798" i="6"/>
  <c r="P1798" i="6" s="1"/>
  <c r="R1797" i="6" l="1"/>
  <c r="M1797" i="6" s="1"/>
  <c r="S1797" i="6" s="1"/>
  <c r="Q1798" i="6"/>
  <c r="N1798" i="6"/>
  <c r="O1799" i="6"/>
  <c r="P1799" i="6" s="1"/>
  <c r="R1798" i="6" l="1"/>
  <c r="M1798" i="6" s="1"/>
  <c r="S1798" i="6" s="1"/>
  <c r="Q1799" i="6"/>
  <c r="N1799" i="6"/>
  <c r="O1800" i="6"/>
  <c r="P1800" i="6" s="1"/>
  <c r="R1799" i="6" l="1"/>
  <c r="M1799" i="6" s="1"/>
  <c r="S1799" i="6" s="1"/>
  <c r="Q1800" i="6"/>
  <c r="N1800" i="6"/>
  <c r="O1801" i="6"/>
  <c r="P1801" i="6" s="1"/>
  <c r="R1800" i="6" l="1"/>
  <c r="M1800" i="6" s="1"/>
  <c r="S1800" i="6" s="1"/>
  <c r="Q1801" i="6"/>
  <c r="O1802" i="6"/>
  <c r="P1802" i="6" s="1"/>
  <c r="N1801" i="6"/>
  <c r="R1801" i="6" l="1"/>
  <c r="M1801" i="6" s="1"/>
  <c r="S1801" i="6" s="1"/>
  <c r="Q1802" i="6"/>
  <c r="N1802" i="6"/>
  <c r="O1803" i="6"/>
  <c r="P1803" i="6" s="1"/>
  <c r="R1802" i="6" l="1"/>
  <c r="M1802" i="6" s="1"/>
  <c r="S1802" i="6" s="1"/>
  <c r="Q1803" i="6"/>
  <c r="N1803" i="6"/>
  <c r="O1804" i="6"/>
  <c r="P1804" i="6" s="1"/>
  <c r="R1803" i="6" l="1"/>
  <c r="M1803" i="6" s="1"/>
  <c r="S1803" i="6" s="1"/>
  <c r="Q1804" i="6"/>
  <c r="N1804" i="6"/>
  <c r="O1805" i="6"/>
  <c r="P1805" i="6" s="1"/>
  <c r="R1804" i="6" l="1"/>
  <c r="M1804" i="6" s="1"/>
  <c r="S1804" i="6" s="1"/>
  <c r="Q1805" i="6"/>
  <c r="N1805" i="6"/>
  <c r="O1806" i="6"/>
  <c r="P1806" i="6" s="1"/>
  <c r="R1805" i="6" l="1"/>
  <c r="M1805" i="6" s="1"/>
  <c r="S1805" i="6" s="1"/>
  <c r="Q1806" i="6"/>
  <c r="O1807" i="6"/>
  <c r="P1807" i="6" s="1"/>
  <c r="N1806" i="6"/>
  <c r="R1806" i="6" l="1"/>
  <c r="M1806" i="6" s="1"/>
  <c r="S1806" i="6" s="1"/>
  <c r="Q1807" i="6"/>
  <c r="O1808" i="6"/>
  <c r="P1808" i="6" s="1"/>
  <c r="N1807" i="6"/>
  <c r="R1807" i="6" l="1"/>
  <c r="M1807" i="6" s="1"/>
  <c r="S1807" i="6" s="1"/>
  <c r="Q1808" i="6"/>
  <c r="N1808" i="6"/>
  <c r="O1809" i="6"/>
  <c r="P1809" i="6" s="1"/>
  <c r="R1808" i="6" l="1"/>
  <c r="M1808" i="6" s="1"/>
  <c r="S1808" i="6" s="1"/>
  <c r="Q1809" i="6"/>
  <c r="O1810" i="6"/>
  <c r="P1810" i="6" s="1"/>
  <c r="N1809" i="6"/>
  <c r="R1809" i="6" l="1"/>
  <c r="M1809" i="6" s="1"/>
  <c r="S1809" i="6" s="1"/>
  <c r="Q1810" i="6"/>
  <c r="O1811" i="6"/>
  <c r="P1811" i="6" s="1"/>
  <c r="N1810" i="6"/>
  <c r="R1810" i="6" l="1"/>
  <c r="M1810" i="6" s="1"/>
  <c r="S1810" i="6" s="1"/>
  <c r="Q1811" i="6"/>
  <c r="N1811" i="6"/>
  <c r="O1812" i="6"/>
  <c r="P1812" i="6" s="1"/>
  <c r="R1811" i="6" l="1"/>
  <c r="M1811" i="6" s="1"/>
  <c r="S1811" i="6" s="1"/>
  <c r="Q1812" i="6"/>
  <c r="N1812" i="6"/>
  <c r="O1813" i="6"/>
  <c r="P1813" i="6" s="1"/>
  <c r="R1812" i="6" l="1"/>
  <c r="M1812" i="6" s="1"/>
  <c r="S1812" i="6" s="1"/>
  <c r="Q1813" i="6"/>
  <c r="N1813" i="6"/>
  <c r="O1814" i="6"/>
  <c r="P1814" i="6" s="1"/>
  <c r="R1813" i="6" l="1"/>
  <c r="M1813" i="6" s="1"/>
  <c r="S1813" i="6" s="1"/>
  <c r="Q1814" i="6"/>
  <c r="N1814" i="6"/>
  <c r="O1815" i="6"/>
  <c r="P1815" i="6" s="1"/>
  <c r="R1814" i="6" l="1"/>
  <c r="M1814" i="6" s="1"/>
  <c r="S1814" i="6" s="1"/>
  <c r="Q1815" i="6"/>
  <c r="N1815" i="6"/>
  <c r="O1816" i="6"/>
  <c r="P1816" i="6" s="1"/>
  <c r="R1815" i="6" l="1"/>
  <c r="M1815" i="6" s="1"/>
  <c r="S1815" i="6" s="1"/>
  <c r="Q1816" i="6"/>
  <c r="N1816" i="6"/>
  <c r="O1817" i="6"/>
  <c r="P1817" i="6" s="1"/>
  <c r="R1816" i="6" l="1"/>
  <c r="M1816" i="6" s="1"/>
  <c r="S1816" i="6" s="1"/>
  <c r="Q1817" i="6"/>
  <c r="N1817" i="6"/>
  <c r="O1818" i="6"/>
  <c r="P1818" i="6" s="1"/>
  <c r="R1817" i="6" l="1"/>
  <c r="M1817" i="6" s="1"/>
  <c r="S1817" i="6" s="1"/>
  <c r="Q1818" i="6"/>
  <c r="O1819" i="6"/>
  <c r="P1819" i="6" s="1"/>
  <c r="N1818" i="6"/>
  <c r="R1818" i="6" l="1"/>
  <c r="M1818" i="6" s="1"/>
  <c r="S1818" i="6" s="1"/>
  <c r="Q1819" i="6"/>
  <c r="N1819" i="6"/>
  <c r="O1820" i="6"/>
  <c r="P1820" i="6" s="1"/>
  <c r="R1819" i="6" l="1"/>
  <c r="M1819" i="6" s="1"/>
  <c r="S1819" i="6" s="1"/>
  <c r="Q1820" i="6"/>
  <c r="N1820" i="6"/>
  <c r="O1821" i="6"/>
  <c r="P1821" i="6" s="1"/>
  <c r="R1820" i="6" l="1"/>
  <c r="M1820" i="6" s="1"/>
  <c r="S1820" i="6" s="1"/>
  <c r="Q1821" i="6"/>
  <c r="O1822" i="6"/>
  <c r="P1822" i="6" s="1"/>
  <c r="N1821" i="6"/>
  <c r="R1821" i="6" l="1"/>
  <c r="M1821" i="6" s="1"/>
  <c r="S1821" i="6" s="1"/>
  <c r="Q1822" i="6"/>
  <c r="O1823" i="6"/>
  <c r="P1823" i="6" s="1"/>
  <c r="N1822" i="6"/>
  <c r="R1822" i="6" l="1"/>
  <c r="M1822" i="6" s="1"/>
  <c r="S1822" i="6" s="1"/>
  <c r="Q1823" i="6"/>
  <c r="O1824" i="6"/>
  <c r="P1824" i="6" s="1"/>
  <c r="N1823" i="6"/>
  <c r="R1823" i="6" l="1"/>
  <c r="M1823" i="6" s="1"/>
  <c r="S1823" i="6" s="1"/>
  <c r="Q1824" i="6"/>
  <c r="N1824" i="6"/>
  <c r="O1825" i="6"/>
  <c r="P1825" i="6" s="1"/>
  <c r="R1824" i="6" l="1"/>
  <c r="M1824" i="6" s="1"/>
  <c r="S1824" i="6" s="1"/>
  <c r="Q1825" i="6"/>
  <c r="N1825" i="6"/>
  <c r="O1826" i="6"/>
  <c r="P1826" i="6" s="1"/>
  <c r="R1825" i="6" l="1"/>
  <c r="M1825" i="6" s="1"/>
  <c r="S1825" i="6" s="1"/>
  <c r="Q1826" i="6"/>
  <c r="N1826" i="6"/>
  <c r="O1827" i="6"/>
  <c r="P1827" i="6" s="1"/>
  <c r="R1826" i="6" l="1"/>
  <c r="M1826" i="6" s="1"/>
  <c r="S1826" i="6" s="1"/>
  <c r="Q1827" i="6"/>
  <c r="O1828" i="6"/>
  <c r="P1828" i="6" s="1"/>
  <c r="N1827" i="6"/>
  <c r="R1827" i="6" l="1"/>
  <c r="M1827" i="6" s="1"/>
  <c r="S1827" i="6" s="1"/>
  <c r="Q1828" i="6"/>
  <c r="N1828" i="6"/>
  <c r="O1829" i="6"/>
  <c r="P1829" i="6" s="1"/>
  <c r="R1828" i="6" l="1"/>
  <c r="M1828" i="6" s="1"/>
  <c r="S1828" i="6" s="1"/>
  <c r="Q1829" i="6"/>
  <c r="N1829" i="6"/>
  <c r="O1830" i="6"/>
  <c r="P1830" i="6" s="1"/>
  <c r="R1829" i="6" l="1"/>
  <c r="M1829" i="6" s="1"/>
  <c r="S1829" i="6" s="1"/>
  <c r="Q1830" i="6"/>
  <c r="O1831" i="6"/>
  <c r="P1831" i="6" s="1"/>
  <c r="N1830" i="6"/>
  <c r="R1830" i="6" l="1"/>
  <c r="M1830" i="6" s="1"/>
  <c r="S1830" i="6" s="1"/>
  <c r="Q1831" i="6"/>
  <c r="O1832" i="6"/>
  <c r="P1832" i="6" s="1"/>
  <c r="N1831" i="6"/>
  <c r="R1831" i="6" l="1"/>
  <c r="M1831" i="6" s="1"/>
  <c r="S1831" i="6" s="1"/>
  <c r="Q1832" i="6"/>
  <c r="N1832" i="6"/>
  <c r="O1833" i="6"/>
  <c r="P1833" i="6" s="1"/>
  <c r="R1832" i="6" l="1"/>
  <c r="M1832" i="6" s="1"/>
  <c r="S1832" i="6" s="1"/>
  <c r="Q1833" i="6"/>
  <c r="O1834" i="6"/>
  <c r="P1834" i="6" s="1"/>
  <c r="N1833" i="6"/>
  <c r="R1833" i="6" l="1"/>
  <c r="M1833" i="6" s="1"/>
  <c r="S1833" i="6" s="1"/>
  <c r="Q1834" i="6"/>
  <c r="N1834" i="6"/>
  <c r="O1835" i="6"/>
  <c r="P1835" i="6" s="1"/>
  <c r="R1834" i="6" l="1"/>
  <c r="M1834" i="6" s="1"/>
  <c r="S1834" i="6" s="1"/>
  <c r="Q1835" i="6"/>
  <c r="N1835" i="6"/>
  <c r="O1836" i="6"/>
  <c r="P1836" i="6" s="1"/>
  <c r="R1835" i="6" l="1"/>
  <c r="M1835" i="6" s="1"/>
  <c r="S1835" i="6" s="1"/>
  <c r="Q1836" i="6"/>
  <c r="N1836" i="6"/>
  <c r="O1837" i="6"/>
  <c r="P1837" i="6" s="1"/>
  <c r="R1836" i="6" l="1"/>
  <c r="M1836" i="6" s="1"/>
  <c r="S1836" i="6" s="1"/>
  <c r="Q1837" i="6"/>
  <c r="N1837" i="6"/>
  <c r="O1838" i="6"/>
  <c r="P1838" i="6" s="1"/>
  <c r="R1837" i="6" l="1"/>
  <c r="M1837" i="6" s="1"/>
  <c r="S1837" i="6" s="1"/>
  <c r="Q1838" i="6"/>
  <c r="N1838" i="6"/>
  <c r="O1839" i="6"/>
  <c r="P1839" i="6" s="1"/>
  <c r="R1838" i="6" l="1"/>
  <c r="M1838" i="6" s="1"/>
  <c r="S1838" i="6" s="1"/>
  <c r="Q1839" i="6"/>
  <c r="N1839" i="6"/>
  <c r="O1840" i="6"/>
  <c r="P1840" i="6" s="1"/>
  <c r="R1839" i="6" l="1"/>
  <c r="M1839" i="6" s="1"/>
  <c r="S1839" i="6" s="1"/>
  <c r="Q1840" i="6"/>
  <c r="N1840" i="6"/>
  <c r="O1841" i="6"/>
  <c r="P1841" i="6" s="1"/>
  <c r="R1840" i="6" l="1"/>
  <c r="M1840" i="6" s="1"/>
  <c r="S1840" i="6" s="1"/>
  <c r="Q1841" i="6"/>
  <c r="O1842" i="6"/>
  <c r="P1842" i="6" s="1"/>
  <c r="N1841" i="6"/>
  <c r="R1841" i="6" l="1"/>
  <c r="M1841" i="6" s="1"/>
  <c r="S1841" i="6" s="1"/>
  <c r="Q1842" i="6"/>
  <c r="N1842" i="6"/>
  <c r="O1843" i="6"/>
  <c r="P1843" i="6" s="1"/>
  <c r="R1842" i="6" l="1"/>
  <c r="M1842" i="6" s="1"/>
  <c r="S1842" i="6" s="1"/>
  <c r="Q1843" i="6"/>
  <c r="N1843" i="6"/>
  <c r="O1844" i="6"/>
  <c r="P1844" i="6" s="1"/>
  <c r="R1843" i="6" l="1"/>
  <c r="M1843" i="6" s="1"/>
  <c r="S1843" i="6" s="1"/>
  <c r="Q1844" i="6"/>
  <c r="N1844" i="6"/>
  <c r="O1845" i="6"/>
  <c r="P1845" i="6" s="1"/>
  <c r="R1844" i="6" l="1"/>
  <c r="M1844" i="6" s="1"/>
  <c r="S1844" i="6" s="1"/>
  <c r="Q1845" i="6"/>
  <c r="N1845" i="6"/>
  <c r="O1846" i="6"/>
  <c r="P1846" i="6" s="1"/>
  <c r="R1845" i="6" l="1"/>
  <c r="M1845" i="6" s="1"/>
  <c r="S1845" i="6" s="1"/>
  <c r="Q1846" i="6"/>
  <c r="O1847" i="6"/>
  <c r="P1847" i="6" s="1"/>
  <c r="N1846" i="6"/>
  <c r="R1846" i="6" l="1"/>
  <c r="M1846" i="6" s="1"/>
  <c r="S1846" i="6" s="1"/>
  <c r="Q1847" i="6"/>
  <c r="O1848" i="6"/>
  <c r="P1848" i="6" s="1"/>
  <c r="N1847" i="6"/>
  <c r="R1847" i="6" l="1"/>
  <c r="M1847" i="6" s="1"/>
  <c r="S1847" i="6" s="1"/>
  <c r="Q1848" i="6"/>
  <c r="N1848" i="6"/>
  <c r="O1849" i="6"/>
  <c r="P1849" i="6" s="1"/>
  <c r="R1848" i="6" l="1"/>
  <c r="M1848" i="6" s="1"/>
  <c r="S1848" i="6" s="1"/>
  <c r="Q1849" i="6"/>
  <c r="N1849" i="6"/>
  <c r="O1850" i="6"/>
  <c r="P1850" i="6" s="1"/>
  <c r="R1849" i="6" l="1"/>
  <c r="M1849" i="6" s="1"/>
  <c r="S1849" i="6" s="1"/>
  <c r="Q1850" i="6"/>
  <c r="O1851" i="6"/>
  <c r="P1851" i="6" s="1"/>
  <c r="N1850" i="6"/>
  <c r="R1850" i="6" l="1"/>
  <c r="M1850" i="6" s="1"/>
  <c r="S1850" i="6" s="1"/>
  <c r="Q1851" i="6"/>
  <c r="N1851" i="6"/>
  <c r="O1852" i="6"/>
  <c r="P1852" i="6" s="1"/>
  <c r="R1851" i="6" l="1"/>
  <c r="M1851" i="6" s="1"/>
  <c r="S1851" i="6" s="1"/>
  <c r="Q1852" i="6"/>
  <c r="N1852" i="6"/>
  <c r="O1853" i="6"/>
  <c r="P1853" i="6" s="1"/>
  <c r="R1852" i="6" l="1"/>
  <c r="M1852" i="6" s="1"/>
  <c r="S1852" i="6" s="1"/>
  <c r="Q1853" i="6"/>
  <c r="N1853" i="6"/>
  <c r="O1854" i="6"/>
  <c r="P1854" i="6" s="1"/>
  <c r="R1853" i="6" l="1"/>
  <c r="M1853" i="6" s="1"/>
  <c r="S1853" i="6" s="1"/>
  <c r="Q1854" i="6"/>
  <c r="N1854" i="6"/>
  <c r="O1855" i="6"/>
  <c r="P1855" i="6" s="1"/>
  <c r="R1854" i="6" l="1"/>
  <c r="M1854" i="6" s="1"/>
  <c r="S1854" i="6" s="1"/>
  <c r="Q1855" i="6"/>
  <c r="O1856" i="6"/>
  <c r="P1856" i="6" s="1"/>
  <c r="N1855" i="6"/>
  <c r="R1855" i="6" l="1"/>
  <c r="M1855" i="6" s="1"/>
  <c r="S1855" i="6" s="1"/>
  <c r="Q1856" i="6"/>
  <c r="N1856" i="6"/>
  <c r="O1857" i="6"/>
  <c r="P1857" i="6" s="1"/>
  <c r="R1856" i="6" l="1"/>
  <c r="M1856" i="6" s="1"/>
  <c r="S1856" i="6" s="1"/>
  <c r="Q1857" i="6"/>
  <c r="O1858" i="6"/>
  <c r="P1858" i="6" s="1"/>
  <c r="N1857" i="6"/>
  <c r="R1857" i="6" l="1"/>
  <c r="M1857" i="6" s="1"/>
  <c r="S1857" i="6" s="1"/>
  <c r="Q1858" i="6"/>
  <c r="N1858" i="6"/>
  <c r="O1859" i="6"/>
  <c r="P1859" i="6" s="1"/>
  <c r="R1858" i="6" l="1"/>
  <c r="M1858" i="6" s="1"/>
  <c r="S1858" i="6" s="1"/>
  <c r="Q1859" i="6"/>
  <c r="N1859" i="6"/>
  <c r="O1860" i="6"/>
  <c r="P1860" i="6" s="1"/>
  <c r="R1859" i="6" l="1"/>
  <c r="M1859" i="6" s="1"/>
  <c r="S1859" i="6" s="1"/>
  <c r="Q1860" i="6"/>
  <c r="N1860" i="6"/>
  <c r="O1861" i="6"/>
  <c r="P1861" i="6" s="1"/>
  <c r="R1860" i="6" l="1"/>
  <c r="M1860" i="6" s="1"/>
  <c r="S1860" i="6" s="1"/>
  <c r="Q1861" i="6"/>
  <c r="N1861" i="6"/>
  <c r="O1862" i="6"/>
  <c r="P1862" i="6" s="1"/>
  <c r="R1861" i="6" l="1"/>
  <c r="M1861" i="6" s="1"/>
  <c r="S1861" i="6" s="1"/>
  <c r="Q1862" i="6"/>
  <c r="O1863" i="6"/>
  <c r="P1863" i="6" s="1"/>
  <c r="N1862" i="6"/>
  <c r="R1862" i="6" l="1"/>
  <c r="M1862" i="6" s="1"/>
  <c r="S1862" i="6" s="1"/>
  <c r="Q1863" i="6"/>
  <c r="O1864" i="6"/>
  <c r="P1864" i="6" s="1"/>
  <c r="N1863" i="6"/>
  <c r="R1863" i="6" l="1"/>
  <c r="M1863" i="6" s="1"/>
  <c r="S1863" i="6" s="1"/>
  <c r="Q1864" i="6"/>
  <c r="O1865" i="6"/>
  <c r="P1865" i="6" s="1"/>
  <c r="N1864" i="6"/>
  <c r="R1864" i="6" l="1"/>
  <c r="M1864" i="6" s="1"/>
  <c r="S1864" i="6" s="1"/>
  <c r="Q1865" i="6"/>
  <c r="N1865" i="6"/>
  <c r="O1866" i="6"/>
  <c r="P1866" i="6" s="1"/>
  <c r="R1865" i="6" l="1"/>
  <c r="M1865" i="6" s="1"/>
  <c r="S1865" i="6" s="1"/>
  <c r="Q1866" i="6"/>
  <c r="N1866" i="6"/>
  <c r="O1867" i="6"/>
  <c r="P1867" i="6" s="1"/>
  <c r="R1866" i="6" l="1"/>
  <c r="M1866" i="6" s="1"/>
  <c r="S1866" i="6" s="1"/>
  <c r="Q1867" i="6"/>
  <c r="O1868" i="6"/>
  <c r="P1868" i="6" s="1"/>
  <c r="N1867" i="6"/>
  <c r="R1867" i="6" l="1"/>
  <c r="M1867" i="6" s="1"/>
  <c r="S1867" i="6" s="1"/>
  <c r="Q1868" i="6"/>
  <c r="O1869" i="6"/>
  <c r="P1869" i="6" s="1"/>
  <c r="N1868" i="6"/>
  <c r="R1868" i="6" l="1"/>
  <c r="M1868" i="6" s="1"/>
  <c r="S1868" i="6" s="1"/>
  <c r="Q1869" i="6"/>
  <c r="N1869" i="6"/>
  <c r="O1870" i="6"/>
  <c r="P1870" i="6" s="1"/>
  <c r="R1869" i="6" l="1"/>
  <c r="M1869" i="6" s="1"/>
  <c r="S1869" i="6" s="1"/>
  <c r="Q1870" i="6"/>
  <c r="N1870" i="6"/>
  <c r="O1871" i="6"/>
  <c r="P1871" i="6" s="1"/>
  <c r="R1870" i="6" l="1"/>
  <c r="M1870" i="6" s="1"/>
  <c r="S1870" i="6" s="1"/>
  <c r="Q1871" i="6"/>
  <c r="O1872" i="6"/>
  <c r="P1872" i="6" s="1"/>
  <c r="N1871" i="6"/>
  <c r="R1871" i="6" l="1"/>
  <c r="M1871" i="6" s="1"/>
  <c r="S1871" i="6" s="1"/>
  <c r="Q1872" i="6"/>
  <c r="N1872" i="6"/>
  <c r="O1873" i="6"/>
  <c r="P1873" i="6" s="1"/>
  <c r="R1872" i="6" l="1"/>
  <c r="M1872" i="6" s="1"/>
  <c r="S1872" i="6" s="1"/>
  <c r="Q1873" i="6"/>
  <c r="N1873" i="6"/>
  <c r="O1874" i="6"/>
  <c r="P1874" i="6" s="1"/>
  <c r="R1873" i="6" l="1"/>
  <c r="M1873" i="6" s="1"/>
  <c r="S1873" i="6" s="1"/>
  <c r="Q1874" i="6"/>
  <c r="N1874" i="6"/>
  <c r="O1875" i="6"/>
  <c r="P1875" i="6" s="1"/>
  <c r="R1874" i="6" l="1"/>
  <c r="M1874" i="6" s="1"/>
  <c r="S1874" i="6" s="1"/>
  <c r="Q1875" i="6"/>
  <c r="O1876" i="6"/>
  <c r="P1876" i="6" s="1"/>
  <c r="N1875" i="6"/>
  <c r="R1875" i="6" l="1"/>
  <c r="M1875" i="6" s="1"/>
  <c r="S1875" i="6" s="1"/>
  <c r="Q1876" i="6"/>
  <c r="O1877" i="6"/>
  <c r="P1877" i="6" s="1"/>
  <c r="N1876" i="6"/>
  <c r="R1876" i="6" l="1"/>
  <c r="M1876" i="6" s="1"/>
  <c r="S1876" i="6" s="1"/>
  <c r="Q1877" i="6"/>
  <c r="N1877" i="6"/>
  <c r="O1878" i="6"/>
  <c r="P1878" i="6" s="1"/>
  <c r="R1877" i="6" l="1"/>
  <c r="M1877" i="6" s="1"/>
  <c r="S1877" i="6" s="1"/>
  <c r="Q1878" i="6"/>
  <c r="N1878" i="6"/>
  <c r="O1879" i="6"/>
  <c r="P1879" i="6" s="1"/>
  <c r="R1878" i="6" l="1"/>
  <c r="M1878" i="6" s="1"/>
  <c r="S1878" i="6" s="1"/>
  <c r="Q1879" i="6"/>
  <c r="O1880" i="6"/>
  <c r="P1880" i="6" s="1"/>
  <c r="N1879" i="6"/>
  <c r="R1879" i="6" l="1"/>
  <c r="M1879" i="6" s="1"/>
  <c r="S1879" i="6" s="1"/>
  <c r="Q1880" i="6"/>
  <c r="O1881" i="6"/>
  <c r="P1881" i="6" s="1"/>
  <c r="N1880" i="6"/>
  <c r="R1880" i="6" l="1"/>
  <c r="M1880" i="6" s="1"/>
  <c r="S1880" i="6" s="1"/>
  <c r="Q1881" i="6"/>
  <c r="N1881" i="6"/>
  <c r="O1882" i="6"/>
  <c r="P1882" i="6" s="1"/>
  <c r="R1881" i="6" l="1"/>
  <c r="M1881" i="6" s="1"/>
  <c r="S1881" i="6" s="1"/>
  <c r="Q1882" i="6"/>
  <c r="O1883" i="6"/>
  <c r="P1883" i="6" s="1"/>
  <c r="N1882" i="6"/>
  <c r="R1882" i="6" l="1"/>
  <c r="M1882" i="6" s="1"/>
  <c r="S1882" i="6" s="1"/>
  <c r="Q1883" i="6"/>
  <c r="O1884" i="6"/>
  <c r="P1884" i="6" s="1"/>
  <c r="N1883" i="6"/>
  <c r="R1883" i="6" l="1"/>
  <c r="M1883" i="6" s="1"/>
  <c r="S1883" i="6" s="1"/>
  <c r="Q1884" i="6"/>
  <c r="O1885" i="6"/>
  <c r="P1885" i="6" s="1"/>
  <c r="N1884" i="6"/>
  <c r="R1884" i="6" l="1"/>
  <c r="M1884" i="6" s="1"/>
  <c r="S1884" i="6" s="1"/>
  <c r="Q1885" i="6"/>
  <c r="O1886" i="6"/>
  <c r="P1886" i="6" s="1"/>
  <c r="N1885" i="6"/>
  <c r="R1885" i="6" l="1"/>
  <c r="M1885" i="6" s="1"/>
  <c r="S1885" i="6" s="1"/>
  <c r="Q1886" i="6"/>
  <c r="O1887" i="6"/>
  <c r="P1887" i="6" s="1"/>
  <c r="N1886" i="6"/>
  <c r="R1886" i="6" l="1"/>
  <c r="M1886" i="6" s="1"/>
  <c r="S1886" i="6" s="1"/>
  <c r="Q1887" i="6"/>
  <c r="O1888" i="6"/>
  <c r="P1888" i="6" s="1"/>
  <c r="N1887" i="6"/>
  <c r="R1887" i="6" l="1"/>
  <c r="M1887" i="6" s="1"/>
  <c r="S1887" i="6" s="1"/>
  <c r="Q1888" i="6"/>
  <c r="N1888" i="6"/>
  <c r="O1889" i="6"/>
  <c r="P1889" i="6" s="1"/>
  <c r="R1888" i="6" l="1"/>
  <c r="M1888" i="6" s="1"/>
  <c r="S1888" i="6" s="1"/>
  <c r="Q1889" i="6"/>
  <c r="O1890" i="6"/>
  <c r="P1890" i="6" s="1"/>
  <c r="N1889" i="6"/>
  <c r="G206" i="6"/>
  <c r="E206" i="6"/>
  <c r="F206" i="6"/>
  <c r="D206" i="6"/>
  <c r="R1889" i="6" l="1"/>
  <c r="M1889" i="6" s="1"/>
  <c r="S1889" i="6" s="1"/>
  <c r="Q1890" i="6"/>
  <c r="O1891" i="6"/>
  <c r="P1891" i="6" s="1"/>
  <c r="N1890" i="6"/>
  <c r="AE206" i="6"/>
  <c r="AF206" i="6"/>
  <c r="H206" i="6"/>
  <c r="I207" i="6" s="1"/>
  <c r="R1890" i="6" l="1"/>
  <c r="M1890" i="6" s="1"/>
  <c r="S1890" i="6" s="1"/>
  <c r="Q1891" i="6"/>
  <c r="N1891" i="6"/>
  <c r="O1892" i="6"/>
  <c r="P1892" i="6" s="1"/>
  <c r="G207" i="6"/>
  <c r="F207" i="6"/>
  <c r="D207" i="6"/>
  <c r="E207" i="6"/>
  <c r="R1891" i="6" l="1"/>
  <c r="M1891" i="6" s="1"/>
  <c r="S1891" i="6" s="1"/>
  <c r="Q1892" i="6"/>
  <c r="N1892" i="6"/>
  <c r="O1893" i="6"/>
  <c r="P1893" i="6" s="1"/>
  <c r="AE207" i="6"/>
  <c r="AF207" i="6"/>
  <c r="H207" i="6"/>
  <c r="F208" i="6" s="1"/>
  <c r="R1892" i="6" l="1"/>
  <c r="M1892" i="6" s="1"/>
  <c r="S1892" i="6" s="1"/>
  <c r="Q1893" i="6"/>
  <c r="O1894" i="6"/>
  <c r="P1894" i="6" s="1"/>
  <c r="N1893" i="6"/>
  <c r="E208" i="6"/>
  <c r="I208" i="6"/>
  <c r="D208" i="6"/>
  <c r="G208" i="6"/>
  <c r="R1893" i="6" l="1"/>
  <c r="M1893" i="6" s="1"/>
  <c r="S1893" i="6" s="1"/>
  <c r="Q1894" i="6"/>
  <c r="O1895" i="6"/>
  <c r="P1895" i="6" s="1"/>
  <c r="N1894" i="6"/>
  <c r="AE208" i="6"/>
  <c r="AF208" i="6"/>
  <c r="H208" i="6"/>
  <c r="D209" i="6" s="1"/>
  <c r="R1894" i="6" l="1"/>
  <c r="M1894" i="6" s="1"/>
  <c r="S1894" i="6" s="1"/>
  <c r="Q1895" i="6"/>
  <c r="O1896" i="6"/>
  <c r="P1896" i="6" s="1"/>
  <c r="N1895" i="6"/>
  <c r="G209" i="6"/>
  <c r="E209" i="6"/>
  <c r="I209" i="6"/>
  <c r="F209" i="6"/>
  <c r="R1895" i="6" l="1"/>
  <c r="M1895" i="6" s="1"/>
  <c r="S1895" i="6" s="1"/>
  <c r="Q1896" i="6"/>
  <c r="N1896" i="6"/>
  <c r="O1897" i="6"/>
  <c r="P1897" i="6" s="1"/>
  <c r="AE209" i="6"/>
  <c r="AF209" i="6"/>
  <c r="H209" i="6"/>
  <c r="F210" i="6" s="1"/>
  <c r="R1896" i="6" l="1"/>
  <c r="M1896" i="6" s="1"/>
  <c r="S1896" i="6" s="1"/>
  <c r="Q1897" i="6"/>
  <c r="N1897" i="6"/>
  <c r="O1898" i="6"/>
  <c r="P1898" i="6" s="1"/>
  <c r="D210" i="6"/>
  <c r="E210" i="6"/>
  <c r="I210" i="6"/>
  <c r="G210" i="6"/>
  <c r="R1897" i="6" l="1"/>
  <c r="M1897" i="6" s="1"/>
  <c r="S1897" i="6" s="1"/>
  <c r="Q1898" i="6"/>
  <c r="N1898" i="6"/>
  <c r="O1899" i="6"/>
  <c r="P1899" i="6" s="1"/>
  <c r="AE210" i="6"/>
  <c r="AF210" i="6"/>
  <c r="H210" i="6"/>
  <c r="F211" i="6" s="1"/>
  <c r="R1898" i="6" l="1"/>
  <c r="M1898" i="6" s="1"/>
  <c r="S1898" i="6" s="1"/>
  <c r="Q1899" i="6"/>
  <c r="N1899" i="6"/>
  <c r="O1900" i="6"/>
  <c r="P1900" i="6" s="1"/>
  <c r="I211" i="6"/>
  <c r="D211" i="6"/>
  <c r="E211" i="6"/>
  <c r="G211" i="6"/>
  <c r="R1899" i="6" l="1"/>
  <c r="M1899" i="6" s="1"/>
  <c r="S1899" i="6" s="1"/>
  <c r="Q1900" i="6"/>
  <c r="N1900" i="6"/>
  <c r="O1901" i="6"/>
  <c r="P1901" i="6" s="1"/>
  <c r="AE211" i="6"/>
  <c r="AF211" i="6"/>
  <c r="H211" i="6"/>
  <c r="G212" i="6" s="1"/>
  <c r="R1900" i="6" l="1"/>
  <c r="M1900" i="6" s="1"/>
  <c r="S1900" i="6" s="1"/>
  <c r="Q1901" i="6"/>
  <c r="N1901" i="6"/>
  <c r="O1902" i="6"/>
  <c r="P1902" i="6" s="1"/>
  <c r="AE212" i="6"/>
  <c r="AF212" i="6"/>
  <c r="F212" i="6"/>
  <c r="I212" i="6"/>
  <c r="E212" i="6"/>
  <c r="D212" i="6"/>
  <c r="H212" i="6" s="1"/>
  <c r="D213" i="6" s="1"/>
  <c r="R1901" i="6" l="1"/>
  <c r="M1901" i="6" s="1"/>
  <c r="S1901" i="6" s="1"/>
  <c r="Q1902" i="6"/>
  <c r="N1902" i="6"/>
  <c r="O1903" i="6"/>
  <c r="P1903" i="6" s="1"/>
  <c r="G213" i="6"/>
  <c r="F213" i="6"/>
  <c r="I213" i="6"/>
  <c r="E213" i="6"/>
  <c r="R1902" i="6" l="1"/>
  <c r="M1902" i="6" s="1"/>
  <c r="S1902" i="6" s="1"/>
  <c r="Q1903" i="6"/>
  <c r="N1903" i="6"/>
  <c r="O1904" i="6"/>
  <c r="P1904" i="6" s="1"/>
  <c r="AE213" i="6"/>
  <c r="AF213" i="6"/>
  <c r="H213" i="6"/>
  <c r="G214" i="6" s="1"/>
  <c r="R1903" i="6" l="1"/>
  <c r="M1903" i="6" s="1"/>
  <c r="S1903" i="6" s="1"/>
  <c r="Q1904" i="6"/>
  <c r="N1904" i="6"/>
  <c r="O1905" i="6"/>
  <c r="P1905" i="6" s="1"/>
  <c r="AE214" i="6"/>
  <c r="AF214" i="6"/>
  <c r="E214" i="6"/>
  <c r="D214" i="6"/>
  <c r="H214" i="6" s="1"/>
  <c r="F214" i="6"/>
  <c r="I214" i="6"/>
  <c r="R1904" i="6" l="1"/>
  <c r="M1904" i="6" s="1"/>
  <c r="S1904" i="6" s="1"/>
  <c r="Q1905" i="6"/>
  <c r="N1905" i="6"/>
  <c r="O1906" i="6"/>
  <c r="P1906" i="6" s="1"/>
  <c r="I215" i="6"/>
  <c r="E215" i="6"/>
  <c r="D215" i="6"/>
  <c r="G215" i="6"/>
  <c r="F215" i="6"/>
  <c r="R1905" i="6" l="1"/>
  <c r="M1905" i="6" s="1"/>
  <c r="S1905" i="6" s="1"/>
  <c r="Q1906" i="6"/>
  <c r="N1906" i="6"/>
  <c r="O1907" i="6"/>
  <c r="P1907" i="6" s="1"/>
  <c r="AE215" i="6"/>
  <c r="AF215" i="6"/>
  <c r="H215" i="6"/>
  <c r="D216" i="6" s="1"/>
  <c r="R1906" i="6" l="1"/>
  <c r="M1906" i="6" s="1"/>
  <c r="S1906" i="6" s="1"/>
  <c r="Q1907" i="6"/>
  <c r="N1907" i="6"/>
  <c r="O1908" i="6"/>
  <c r="P1908" i="6" s="1"/>
  <c r="G216" i="6"/>
  <c r="I216" i="6"/>
  <c r="E216" i="6"/>
  <c r="F216" i="6"/>
  <c r="R1907" i="6" l="1"/>
  <c r="M1907" i="6" s="1"/>
  <c r="S1907" i="6" s="1"/>
  <c r="Q1908" i="6"/>
  <c r="O1909" i="6"/>
  <c r="P1909" i="6" s="1"/>
  <c r="N1908" i="6"/>
  <c r="AE216" i="6"/>
  <c r="AF216" i="6"/>
  <c r="H216" i="6"/>
  <c r="D217" i="6" s="1"/>
  <c r="R1908" i="6" l="1"/>
  <c r="M1908" i="6" s="1"/>
  <c r="S1908" i="6" s="1"/>
  <c r="Q1909" i="6"/>
  <c r="O1910" i="6"/>
  <c r="P1910" i="6" s="1"/>
  <c r="N1909" i="6"/>
  <c r="G217" i="6"/>
  <c r="I217" i="6"/>
  <c r="E217" i="6"/>
  <c r="F217" i="6"/>
  <c r="R1909" i="6" l="1"/>
  <c r="M1909" i="6" s="1"/>
  <c r="S1909" i="6" s="1"/>
  <c r="Q1910" i="6"/>
  <c r="O1911" i="6"/>
  <c r="P1911" i="6" s="1"/>
  <c r="N1910" i="6"/>
  <c r="AE217" i="6"/>
  <c r="AF217" i="6"/>
  <c r="H217" i="6"/>
  <c r="E218" i="6" s="1"/>
  <c r="R1910" i="6" l="1"/>
  <c r="M1910" i="6" s="1"/>
  <c r="S1910" i="6" s="1"/>
  <c r="Q1911" i="6"/>
  <c r="N1911" i="6"/>
  <c r="O1912" i="6"/>
  <c r="P1912" i="6" s="1"/>
  <c r="G218" i="6"/>
  <c r="F218" i="6"/>
  <c r="I218" i="6"/>
  <c r="D218" i="6"/>
  <c r="R1911" i="6" l="1"/>
  <c r="M1911" i="6" s="1"/>
  <c r="S1911" i="6" s="1"/>
  <c r="Q1912" i="6"/>
  <c r="N1912" i="6"/>
  <c r="O1913" i="6"/>
  <c r="P1913" i="6" s="1"/>
  <c r="AE218" i="6"/>
  <c r="AF218" i="6"/>
  <c r="H218" i="6"/>
  <c r="I219" i="6" s="1"/>
  <c r="R1912" i="6" l="1"/>
  <c r="M1912" i="6" s="1"/>
  <c r="S1912" i="6" s="1"/>
  <c r="Q1913" i="6"/>
  <c r="N1913" i="6"/>
  <c r="O1914" i="6"/>
  <c r="P1914" i="6" s="1"/>
  <c r="D219" i="6"/>
  <c r="G219" i="6"/>
  <c r="F219" i="6"/>
  <c r="E219" i="6"/>
  <c r="R1913" i="6" l="1"/>
  <c r="M1913" i="6" s="1"/>
  <c r="S1913" i="6" s="1"/>
  <c r="Q1914" i="6"/>
  <c r="O1915" i="6"/>
  <c r="P1915" i="6" s="1"/>
  <c r="N1914" i="6"/>
  <c r="AE219" i="6"/>
  <c r="AF219" i="6"/>
  <c r="H219" i="6"/>
  <c r="E220" i="6" s="1"/>
  <c r="R1914" i="6" l="1"/>
  <c r="M1914" i="6" s="1"/>
  <c r="S1914" i="6" s="1"/>
  <c r="Q1915" i="6"/>
  <c r="O1916" i="6"/>
  <c r="P1916" i="6" s="1"/>
  <c r="N1915" i="6"/>
  <c r="D220" i="6"/>
  <c r="G220" i="6"/>
  <c r="F220" i="6"/>
  <c r="I220" i="6"/>
  <c r="R1915" i="6" l="1"/>
  <c r="M1915" i="6" s="1"/>
  <c r="S1915" i="6" s="1"/>
  <c r="Q1916" i="6"/>
  <c r="O1917" i="6"/>
  <c r="P1917" i="6" s="1"/>
  <c r="N1916" i="6"/>
  <c r="AE220" i="6"/>
  <c r="AF220" i="6"/>
  <c r="H220" i="6"/>
  <c r="F221" i="6" s="1"/>
  <c r="R1916" i="6" l="1"/>
  <c r="M1916" i="6" s="1"/>
  <c r="S1916" i="6" s="1"/>
  <c r="Q1917" i="6"/>
  <c r="N1917" i="6"/>
  <c r="O1918" i="6"/>
  <c r="P1918" i="6" s="1"/>
  <c r="G221" i="6"/>
  <c r="E221" i="6"/>
  <c r="I221" i="6"/>
  <c r="D221" i="6"/>
  <c r="R1917" i="6" l="1"/>
  <c r="M1917" i="6" s="1"/>
  <c r="S1917" i="6" s="1"/>
  <c r="Q1918" i="6"/>
  <c r="N1918" i="6"/>
  <c r="O1919" i="6"/>
  <c r="P1919" i="6" s="1"/>
  <c r="AE221" i="6"/>
  <c r="AF221" i="6"/>
  <c r="H221" i="6"/>
  <c r="G222" i="6" s="1"/>
  <c r="R1918" i="6" l="1"/>
  <c r="M1918" i="6" s="1"/>
  <c r="S1918" i="6" s="1"/>
  <c r="Q1919" i="6"/>
  <c r="O1920" i="6"/>
  <c r="P1920" i="6" s="1"/>
  <c r="N1919" i="6"/>
  <c r="AE222" i="6"/>
  <c r="AF222" i="6"/>
  <c r="I222" i="6"/>
  <c r="F222" i="6"/>
  <c r="E222" i="6"/>
  <c r="D222" i="6"/>
  <c r="H222" i="6" s="1"/>
  <c r="E223" i="6" s="1"/>
  <c r="R1919" i="6" l="1"/>
  <c r="M1919" i="6" s="1"/>
  <c r="S1919" i="6" s="1"/>
  <c r="Q1920" i="6"/>
  <c r="O1921" i="6"/>
  <c r="P1921" i="6" s="1"/>
  <c r="N1920" i="6"/>
  <c r="F223" i="6"/>
  <c r="G223" i="6"/>
  <c r="D223" i="6"/>
  <c r="I223" i="6"/>
  <c r="R1920" i="6" l="1"/>
  <c r="M1920" i="6" s="1"/>
  <c r="S1920" i="6" s="1"/>
  <c r="Q1921" i="6"/>
  <c r="N1921" i="6"/>
  <c r="O1922" i="6"/>
  <c r="P1922" i="6" s="1"/>
  <c r="AE223" i="6"/>
  <c r="AF223" i="6"/>
  <c r="H223" i="6"/>
  <c r="E224" i="6" s="1"/>
  <c r="R1921" i="6" l="1"/>
  <c r="M1921" i="6" s="1"/>
  <c r="S1921" i="6" s="1"/>
  <c r="Q1922" i="6"/>
  <c r="N1922" i="6"/>
  <c r="O1923" i="6"/>
  <c r="P1923" i="6" s="1"/>
  <c r="I224" i="6"/>
  <c r="F224" i="6"/>
  <c r="D224" i="6"/>
  <c r="G224" i="6"/>
  <c r="R1922" i="6" l="1"/>
  <c r="M1922" i="6" s="1"/>
  <c r="S1922" i="6" s="1"/>
  <c r="Q1923" i="6"/>
  <c r="O1924" i="6"/>
  <c r="P1924" i="6" s="1"/>
  <c r="N1923" i="6"/>
  <c r="AE224" i="6"/>
  <c r="AF224" i="6"/>
  <c r="H224" i="6"/>
  <c r="I225" i="6" s="1"/>
  <c r="R1923" i="6" l="1"/>
  <c r="M1923" i="6" s="1"/>
  <c r="S1923" i="6" s="1"/>
  <c r="Q1924" i="6"/>
  <c r="N1924" i="6"/>
  <c r="O1925" i="6"/>
  <c r="P1925" i="6" s="1"/>
  <c r="F225" i="6"/>
  <c r="D225" i="6"/>
  <c r="G225" i="6"/>
  <c r="E225" i="6"/>
  <c r="R1924" i="6" l="1"/>
  <c r="M1924" i="6" s="1"/>
  <c r="S1924" i="6" s="1"/>
  <c r="Q1925" i="6"/>
  <c r="O1926" i="6"/>
  <c r="P1926" i="6" s="1"/>
  <c r="N1925" i="6"/>
  <c r="AE225" i="6"/>
  <c r="AF225" i="6"/>
  <c r="H225" i="6"/>
  <c r="E226" i="6" s="1"/>
  <c r="R1925" i="6" l="1"/>
  <c r="M1925" i="6" s="1"/>
  <c r="S1925" i="6" s="1"/>
  <c r="Q1926" i="6"/>
  <c r="O1927" i="6"/>
  <c r="P1927" i="6" s="1"/>
  <c r="N1926" i="6"/>
  <c r="D226" i="6"/>
  <c r="F226" i="6"/>
  <c r="I226" i="6"/>
  <c r="G226" i="6"/>
  <c r="R1926" i="6" l="1"/>
  <c r="M1926" i="6" s="1"/>
  <c r="S1926" i="6" s="1"/>
  <c r="Q1927" i="6"/>
  <c r="N1927" i="6"/>
  <c r="O1928" i="6"/>
  <c r="P1928" i="6" s="1"/>
  <c r="AE226" i="6"/>
  <c r="AF226" i="6"/>
  <c r="H226" i="6"/>
  <c r="D227" i="6" s="1"/>
  <c r="R1927" i="6" l="1"/>
  <c r="M1927" i="6" s="1"/>
  <c r="S1927" i="6" s="1"/>
  <c r="Q1928" i="6"/>
  <c r="N1928" i="6"/>
  <c r="O1929" i="6"/>
  <c r="P1929" i="6" s="1"/>
  <c r="F227" i="6"/>
  <c r="E227" i="6"/>
  <c r="G227" i="6"/>
  <c r="I227" i="6"/>
  <c r="R1928" i="6" l="1"/>
  <c r="M1928" i="6" s="1"/>
  <c r="S1928" i="6" s="1"/>
  <c r="Q1929" i="6"/>
  <c r="O1930" i="6"/>
  <c r="P1930" i="6" s="1"/>
  <c r="N1929" i="6"/>
  <c r="AE227" i="6"/>
  <c r="AF227" i="6"/>
  <c r="H227" i="6"/>
  <c r="F228" i="6" s="1"/>
  <c r="R1929" i="6" l="1"/>
  <c r="M1929" i="6" s="1"/>
  <c r="S1929" i="6" s="1"/>
  <c r="Q1930" i="6"/>
  <c r="O1931" i="6"/>
  <c r="P1931" i="6" s="1"/>
  <c r="N1930" i="6"/>
  <c r="E228" i="6"/>
  <c r="D228" i="6"/>
  <c r="I228" i="6"/>
  <c r="G228" i="6"/>
  <c r="R1930" i="6" l="1"/>
  <c r="M1930" i="6" s="1"/>
  <c r="S1930" i="6" s="1"/>
  <c r="Q1931" i="6"/>
  <c r="N1931" i="6"/>
  <c r="O1932" i="6"/>
  <c r="P1932" i="6" s="1"/>
  <c r="AE228" i="6"/>
  <c r="AF228" i="6"/>
  <c r="H228" i="6"/>
  <c r="I229" i="6" s="1"/>
  <c r="R1931" i="6" l="1"/>
  <c r="M1931" i="6" s="1"/>
  <c r="S1931" i="6" s="1"/>
  <c r="Q1932" i="6"/>
  <c r="N1932" i="6"/>
  <c r="O1933" i="6"/>
  <c r="P1933" i="6" s="1"/>
  <c r="G229" i="6"/>
  <c r="F229" i="6"/>
  <c r="E229" i="6"/>
  <c r="D229" i="6"/>
  <c r="R1932" i="6" l="1"/>
  <c r="M1932" i="6" s="1"/>
  <c r="S1932" i="6" s="1"/>
  <c r="Q1933" i="6"/>
  <c r="N1933" i="6"/>
  <c r="O1934" i="6"/>
  <c r="P1934" i="6" s="1"/>
  <c r="AE229" i="6"/>
  <c r="AF229" i="6"/>
  <c r="H229" i="6"/>
  <c r="I230" i="6" s="1"/>
  <c r="R1933" i="6" l="1"/>
  <c r="M1933" i="6" s="1"/>
  <c r="S1933" i="6" s="1"/>
  <c r="Q1934" i="6"/>
  <c r="N1934" i="6"/>
  <c r="O1935" i="6"/>
  <c r="P1935" i="6" s="1"/>
  <c r="D230" i="6"/>
  <c r="F230" i="6"/>
  <c r="G230" i="6"/>
  <c r="E230" i="6"/>
  <c r="R1934" i="6" l="1"/>
  <c r="M1934" i="6" s="1"/>
  <c r="S1934" i="6" s="1"/>
  <c r="Q1935" i="6"/>
  <c r="N1935" i="6"/>
  <c r="O1936" i="6"/>
  <c r="P1936" i="6" s="1"/>
  <c r="AE230" i="6"/>
  <c r="AF230" i="6"/>
  <c r="H230" i="6"/>
  <c r="I231" i="6" s="1"/>
  <c r="R1935" i="6" l="1"/>
  <c r="M1935" i="6" s="1"/>
  <c r="S1935" i="6" s="1"/>
  <c r="Q1936" i="6"/>
  <c r="N1936" i="6"/>
  <c r="O1937" i="6"/>
  <c r="P1937" i="6" s="1"/>
  <c r="F231" i="6"/>
  <c r="E231" i="6"/>
  <c r="D231" i="6"/>
  <c r="G231" i="6"/>
  <c r="R1936" i="6" l="1"/>
  <c r="M1936" i="6" s="1"/>
  <c r="S1936" i="6" s="1"/>
  <c r="Q1937" i="6"/>
  <c r="N1937" i="6"/>
  <c r="O1938" i="6"/>
  <c r="P1938" i="6" s="1"/>
  <c r="AE231" i="6"/>
  <c r="AF231" i="6"/>
  <c r="H231" i="6"/>
  <c r="D232" i="6" s="1"/>
  <c r="R1937" i="6" l="1"/>
  <c r="M1937" i="6" s="1"/>
  <c r="S1937" i="6" s="1"/>
  <c r="Q1938" i="6"/>
  <c r="N1938" i="6"/>
  <c r="O1939" i="6"/>
  <c r="P1939" i="6" s="1"/>
  <c r="G232" i="6"/>
  <c r="I232" i="6"/>
  <c r="E232" i="6"/>
  <c r="F232" i="6"/>
  <c r="R1938" i="6" l="1"/>
  <c r="M1938" i="6" s="1"/>
  <c r="S1938" i="6" s="1"/>
  <c r="Q1939" i="6"/>
  <c r="N1939" i="6"/>
  <c r="O1940" i="6"/>
  <c r="P1940" i="6" s="1"/>
  <c r="AE232" i="6"/>
  <c r="AF232" i="6"/>
  <c r="H232" i="6"/>
  <c r="D233" i="6" s="1"/>
  <c r="R1939" i="6" l="1"/>
  <c r="M1939" i="6" s="1"/>
  <c r="S1939" i="6" s="1"/>
  <c r="Q1940" i="6"/>
  <c r="N1940" i="6"/>
  <c r="O1941" i="6"/>
  <c r="P1941" i="6" s="1"/>
  <c r="F233" i="6"/>
  <c r="I233" i="6"/>
  <c r="G233" i="6"/>
  <c r="E233" i="6"/>
  <c r="R1940" i="6" l="1"/>
  <c r="M1940" i="6" s="1"/>
  <c r="S1940" i="6" s="1"/>
  <c r="Q1941" i="6"/>
  <c r="O1942" i="6"/>
  <c r="P1942" i="6" s="1"/>
  <c r="N1941" i="6"/>
  <c r="AE233" i="6"/>
  <c r="AF233" i="6"/>
  <c r="H233" i="6"/>
  <c r="G234" i="6" s="1"/>
  <c r="R1941" i="6" l="1"/>
  <c r="M1941" i="6" s="1"/>
  <c r="S1941" i="6" s="1"/>
  <c r="Q1942" i="6"/>
  <c r="N1942" i="6"/>
  <c r="O1943" i="6"/>
  <c r="P1943" i="6" s="1"/>
  <c r="AE234" i="6"/>
  <c r="AF234" i="6"/>
  <c r="F234" i="6"/>
  <c r="I234" i="6"/>
  <c r="E234" i="6"/>
  <c r="D234" i="6"/>
  <c r="H234" i="6" s="1"/>
  <c r="F235" i="6" s="1"/>
  <c r="R1942" i="6" l="1"/>
  <c r="M1942" i="6" s="1"/>
  <c r="S1942" i="6" s="1"/>
  <c r="Q1943" i="6"/>
  <c r="O1944" i="6"/>
  <c r="P1944" i="6" s="1"/>
  <c r="N1943" i="6"/>
  <c r="I235" i="6"/>
  <c r="G235" i="6"/>
  <c r="E235" i="6"/>
  <c r="D235" i="6"/>
  <c r="R1943" i="6" l="1"/>
  <c r="M1943" i="6" s="1"/>
  <c r="S1943" i="6" s="1"/>
  <c r="Q1944" i="6"/>
  <c r="N1944" i="6"/>
  <c r="O1945" i="6"/>
  <c r="P1945" i="6" s="1"/>
  <c r="AE235" i="6"/>
  <c r="AF235" i="6"/>
  <c r="H235" i="6"/>
  <c r="I236" i="6" s="1"/>
  <c r="R1944" i="6" l="1"/>
  <c r="M1944" i="6" s="1"/>
  <c r="S1944" i="6" s="1"/>
  <c r="Q1945" i="6"/>
  <c r="O1946" i="6"/>
  <c r="P1946" i="6" s="1"/>
  <c r="N1945" i="6"/>
  <c r="D236" i="6"/>
  <c r="G236" i="6"/>
  <c r="F236" i="6"/>
  <c r="E236" i="6"/>
  <c r="R1945" i="6" l="1"/>
  <c r="M1945" i="6" s="1"/>
  <c r="S1945" i="6" s="1"/>
  <c r="Q1946" i="6"/>
  <c r="N1946" i="6"/>
  <c r="O1947" i="6"/>
  <c r="P1947" i="6" s="1"/>
  <c r="AE236" i="6"/>
  <c r="AF236" i="6"/>
  <c r="H236" i="6"/>
  <c r="G237" i="6" s="1"/>
  <c r="R1946" i="6" l="1"/>
  <c r="M1946" i="6" s="1"/>
  <c r="S1946" i="6" s="1"/>
  <c r="Q1947" i="6"/>
  <c r="O1948" i="6"/>
  <c r="P1948" i="6" s="1"/>
  <c r="N1947" i="6"/>
  <c r="AE237" i="6"/>
  <c r="AF237" i="6"/>
  <c r="D237" i="6"/>
  <c r="H237" i="6" s="1"/>
  <c r="I237" i="6"/>
  <c r="E237" i="6"/>
  <c r="F237" i="6"/>
  <c r="R1947" i="6" l="1"/>
  <c r="M1947" i="6" s="1"/>
  <c r="S1947" i="6" s="1"/>
  <c r="Q1948" i="6"/>
  <c r="N1948" i="6"/>
  <c r="O1949" i="6"/>
  <c r="P1949" i="6" s="1"/>
  <c r="D238" i="6"/>
  <c r="G238" i="6"/>
  <c r="F238" i="6"/>
  <c r="I238" i="6"/>
  <c r="E238" i="6"/>
  <c r="R1948" i="6" l="1"/>
  <c r="M1948" i="6" s="1"/>
  <c r="S1948" i="6" s="1"/>
  <c r="Q1949" i="6"/>
  <c r="O1950" i="6"/>
  <c r="P1950" i="6" s="1"/>
  <c r="N1949" i="6"/>
  <c r="AE238" i="6"/>
  <c r="AF238" i="6"/>
  <c r="H238" i="6"/>
  <c r="E239" i="6" s="1"/>
  <c r="R1949" i="6" l="1"/>
  <c r="M1949" i="6" s="1"/>
  <c r="S1949" i="6" s="1"/>
  <c r="Q1950" i="6"/>
  <c r="N1950" i="6"/>
  <c r="O1951" i="6"/>
  <c r="P1951" i="6" s="1"/>
  <c r="I239" i="6"/>
  <c r="G239" i="6"/>
  <c r="F239" i="6"/>
  <c r="D239" i="6"/>
  <c r="R1950" i="6" l="1"/>
  <c r="M1950" i="6" s="1"/>
  <c r="S1950" i="6" s="1"/>
  <c r="Q1951" i="6"/>
  <c r="N1951" i="6"/>
  <c r="O1952" i="6"/>
  <c r="P1952" i="6" s="1"/>
  <c r="AE239" i="6"/>
  <c r="AF239" i="6"/>
  <c r="H239" i="6"/>
  <c r="E240" i="6" s="1"/>
  <c r="R1951" i="6" l="1"/>
  <c r="M1951" i="6" s="1"/>
  <c r="S1951" i="6" s="1"/>
  <c r="Q1952" i="6"/>
  <c r="N1952" i="6"/>
  <c r="O1953" i="6"/>
  <c r="P1953" i="6" s="1"/>
  <c r="G240" i="6"/>
  <c r="I240" i="6"/>
  <c r="D240" i="6"/>
  <c r="F240" i="6"/>
  <c r="R1952" i="6" l="1"/>
  <c r="M1952" i="6" s="1"/>
  <c r="S1952" i="6" s="1"/>
  <c r="Q1953" i="6"/>
  <c r="O1954" i="6"/>
  <c r="P1954" i="6" s="1"/>
  <c r="N1953" i="6"/>
  <c r="AE240" i="6"/>
  <c r="AF240" i="6"/>
  <c r="H240" i="6"/>
  <c r="I241" i="6" s="1"/>
  <c r="R1953" i="6" l="1"/>
  <c r="M1953" i="6" s="1"/>
  <c r="S1953" i="6" s="1"/>
  <c r="Q1954" i="6"/>
  <c r="N1954" i="6"/>
  <c r="O1955" i="6"/>
  <c r="P1955" i="6" s="1"/>
  <c r="E241" i="6"/>
  <c r="D241" i="6"/>
  <c r="G241" i="6"/>
  <c r="F241" i="6"/>
  <c r="R1954" i="6" l="1"/>
  <c r="M1954" i="6" s="1"/>
  <c r="S1954" i="6" s="1"/>
  <c r="Q1955" i="6"/>
  <c r="N1955" i="6"/>
  <c r="O1956" i="6"/>
  <c r="P1956" i="6" s="1"/>
  <c r="AE241" i="6"/>
  <c r="AF241" i="6"/>
  <c r="H241" i="6"/>
  <c r="E242" i="6" s="1"/>
  <c r="R1955" i="6" l="1"/>
  <c r="M1955" i="6" s="1"/>
  <c r="S1955" i="6" s="1"/>
  <c r="Q1956" i="6"/>
  <c r="N1956" i="6"/>
  <c r="O1957" i="6"/>
  <c r="P1957" i="6" s="1"/>
  <c r="D242" i="6"/>
  <c r="G242" i="6"/>
  <c r="F242" i="6"/>
  <c r="I242" i="6"/>
  <c r="R1956" i="6" l="1"/>
  <c r="M1956" i="6" s="1"/>
  <c r="S1956" i="6" s="1"/>
  <c r="Q1957" i="6"/>
  <c r="O1958" i="6"/>
  <c r="P1958" i="6" s="1"/>
  <c r="N1957" i="6"/>
  <c r="AE242" i="6"/>
  <c r="AF242" i="6"/>
  <c r="H242" i="6"/>
  <c r="G243" i="6" s="1"/>
  <c r="R1957" i="6" l="1"/>
  <c r="M1957" i="6" s="1"/>
  <c r="S1957" i="6" s="1"/>
  <c r="Q1958" i="6"/>
  <c r="N1958" i="6"/>
  <c r="O1959" i="6"/>
  <c r="P1959" i="6" s="1"/>
  <c r="AE243" i="6"/>
  <c r="AF243" i="6"/>
  <c r="I243" i="6"/>
  <c r="D243" i="6"/>
  <c r="H243" i="6" s="1"/>
  <c r="I244" i="6" s="1"/>
  <c r="E243" i="6"/>
  <c r="F243" i="6"/>
  <c r="R1958" i="6" l="1"/>
  <c r="M1958" i="6" s="1"/>
  <c r="S1958" i="6" s="1"/>
  <c r="Q1959" i="6"/>
  <c r="O1960" i="6"/>
  <c r="P1960" i="6" s="1"/>
  <c r="N1959" i="6"/>
  <c r="G244" i="6"/>
  <c r="D244" i="6"/>
  <c r="F244" i="6"/>
  <c r="E244" i="6"/>
  <c r="R1959" i="6" l="1"/>
  <c r="M1959" i="6" s="1"/>
  <c r="S1959" i="6" s="1"/>
  <c r="Q1960" i="6"/>
  <c r="N1960" i="6"/>
  <c r="O1961" i="6"/>
  <c r="P1961" i="6" s="1"/>
  <c r="AE244" i="6"/>
  <c r="AF244" i="6"/>
  <c r="H244" i="6"/>
  <c r="E245" i="6" s="1"/>
  <c r="R1960" i="6" l="1"/>
  <c r="M1960" i="6" s="1"/>
  <c r="S1960" i="6" s="1"/>
  <c r="Q1961" i="6"/>
  <c r="N1961" i="6"/>
  <c r="O1962" i="6"/>
  <c r="P1962" i="6" s="1"/>
  <c r="I245" i="6"/>
  <c r="F245" i="6"/>
  <c r="D245" i="6"/>
  <c r="G245" i="6"/>
  <c r="R1961" i="6" l="1"/>
  <c r="M1961" i="6" s="1"/>
  <c r="S1961" i="6" s="1"/>
  <c r="Q1962" i="6"/>
  <c r="O1963" i="6"/>
  <c r="P1963" i="6" s="1"/>
  <c r="N1962" i="6"/>
  <c r="AF245" i="6"/>
  <c r="AE245" i="6"/>
  <c r="H245" i="6"/>
  <c r="R1962" i="6" l="1"/>
  <c r="M1962" i="6" s="1"/>
  <c r="S1962" i="6" s="1"/>
  <c r="Q1963" i="6"/>
  <c r="N1963" i="6"/>
  <c r="O1964" i="6"/>
  <c r="P1964" i="6" s="1"/>
  <c r="R1963" i="6" l="1"/>
  <c r="M1963" i="6" s="1"/>
  <c r="S1963" i="6" s="1"/>
  <c r="Q1964" i="6"/>
  <c r="N1964" i="6"/>
  <c r="O1965" i="6"/>
  <c r="P1965" i="6" s="1"/>
  <c r="R1964" i="6" l="1"/>
  <c r="M1964" i="6" s="1"/>
  <c r="S1964" i="6" s="1"/>
  <c r="Q1965" i="6"/>
  <c r="N1965" i="6"/>
  <c r="O1966" i="6"/>
  <c r="P1966" i="6" s="1"/>
  <c r="R1965" i="6" l="1"/>
  <c r="M1965" i="6" s="1"/>
  <c r="S1965" i="6" s="1"/>
  <c r="Q1966" i="6"/>
  <c r="N1966" i="6"/>
  <c r="O1967" i="6"/>
  <c r="P1967" i="6" s="1"/>
  <c r="R1966" i="6" l="1"/>
  <c r="M1966" i="6" s="1"/>
  <c r="S1966" i="6" s="1"/>
  <c r="Q1967" i="6"/>
  <c r="N1967" i="6"/>
  <c r="O1968" i="6"/>
  <c r="P1968" i="6" s="1"/>
  <c r="R1967" i="6" l="1"/>
  <c r="M1967" i="6" s="1"/>
  <c r="S1967" i="6" s="1"/>
  <c r="Q1968" i="6"/>
  <c r="N1968" i="6"/>
  <c r="O1969" i="6"/>
  <c r="P1969" i="6" s="1"/>
  <c r="R1968" i="6" l="1"/>
  <c r="M1968" i="6" s="1"/>
  <c r="S1968" i="6" s="1"/>
  <c r="Q1969" i="6"/>
  <c r="O1970" i="6"/>
  <c r="P1970" i="6" s="1"/>
  <c r="N1969" i="6"/>
  <c r="R1969" i="6" l="1"/>
  <c r="M1969" i="6" s="1"/>
  <c r="S1969" i="6" s="1"/>
  <c r="Q1970" i="6"/>
  <c r="N1970" i="6"/>
  <c r="O1971" i="6"/>
  <c r="P1971" i="6" s="1"/>
  <c r="R1970" i="6" l="1"/>
  <c r="M1970" i="6" s="1"/>
  <c r="S1970" i="6" s="1"/>
  <c r="Q1971" i="6"/>
  <c r="N1971" i="6"/>
  <c r="O1972" i="6"/>
  <c r="P1972" i="6" s="1"/>
  <c r="R1971" i="6" l="1"/>
  <c r="M1971" i="6" s="1"/>
  <c r="S1971" i="6" s="1"/>
  <c r="Q1972" i="6"/>
  <c r="N1972" i="6"/>
  <c r="O1973" i="6"/>
  <c r="P1973" i="6" s="1"/>
  <c r="R1972" i="6" l="1"/>
  <c r="M1972" i="6" s="1"/>
  <c r="S1972" i="6" s="1"/>
  <c r="Q1973" i="6"/>
  <c r="N1973" i="6"/>
  <c r="O1974" i="6"/>
  <c r="P1974" i="6" s="1"/>
  <c r="R1973" i="6" l="1"/>
  <c r="M1973" i="6" s="1"/>
  <c r="S1973" i="6" s="1"/>
  <c r="Q1974" i="6"/>
  <c r="N1974" i="6"/>
  <c r="O1975" i="6"/>
  <c r="P1975" i="6" s="1"/>
  <c r="R1974" i="6" l="1"/>
  <c r="M1974" i="6" s="1"/>
  <c r="S1974" i="6" s="1"/>
  <c r="Q1975" i="6"/>
  <c r="O1976" i="6"/>
  <c r="P1976" i="6" s="1"/>
  <c r="N1975" i="6"/>
  <c r="R1975" i="6" l="1"/>
  <c r="M1975" i="6" s="1"/>
  <c r="S1975" i="6" s="1"/>
  <c r="Q1976" i="6"/>
  <c r="N1976" i="6"/>
  <c r="O1977" i="6"/>
  <c r="P1977" i="6" s="1"/>
  <c r="R1976" i="6" l="1"/>
  <c r="M1976" i="6" s="1"/>
  <c r="S1976" i="6" s="1"/>
  <c r="Q1977" i="6"/>
  <c r="N1977" i="6"/>
  <c r="O1978" i="6"/>
  <c r="P1978" i="6" s="1"/>
  <c r="R1977" i="6" l="1"/>
  <c r="M1977" i="6" s="1"/>
  <c r="S1977" i="6" s="1"/>
  <c r="Q1978" i="6"/>
  <c r="O1979" i="6"/>
  <c r="P1979" i="6" s="1"/>
  <c r="N1978" i="6"/>
  <c r="R1978" i="6" l="1"/>
  <c r="M1978" i="6" s="1"/>
  <c r="S1978" i="6" s="1"/>
  <c r="Q1979" i="6"/>
  <c r="N1979" i="6"/>
  <c r="O1980" i="6"/>
  <c r="P1980" i="6" s="1"/>
  <c r="R1979" i="6" l="1"/>
  <c r="M1979" i="6" s="1"/>
  <c r="S1979" i="6" s="1"/>
  <c r="Q1980" i="6"/>
  <c r="N1980" i="6"/>
  <c r="O1981" i="6"/>
  <c r="P1981" i="6" s="1"/>
  <c r="R1980" i="6" l="1"/>
  <c r="M1980" i="6" s="1"/>
  <c r="S1980" i="6" s="1"/>
  <c r="Q1981" i="6"/>
  <c r="O1982" i="6"/>
  <c r="P1982" i="6" s="1"/>
  <c r="N1981" i="6"/>
  <c r="R1981" i="6" l="1"/>
  <c r="M1981" i="6" s="1"/>
  <c r="S1981" i="6" s="1"/>
  <c r="Q1982" i="6"/>
  <c r="N1982" i="6"/>
  <c r="O1983" i="6"/>
  <c r="P1983" i="6" s="1"/>
  <c r="R1982" i="6" l="1"/>
  <c r="M1982" i="6" s="1"/>
  <c r="S1982" i="6" s="1"/>
  <c r="Q1983" i="6"/>
  <c r="O1984" i="6"/>
  <c r="P1984" i="6" s="1"/>
  <c r="N1983" i="6"/>
  <c r="R1983" i="6" l="1"/>
  <c r="M1983" i="6" s="1"/>
  <c r="S1983" i="6" s="1"/>
  <c r="Q1984" i="6"/>
  <c r="N1984" i="6"/>
  <c r="O1985" i="6"/>
  <c r="P1985" i="6" s="1"/>
  <c r="R1984" i="6" l="1"/>
  <c r="M1984" i="6" s="1"/>
  <c r="S1984" i="6" s="1"/>
  <c r="Q1985" i="6"/>
  <c r="O1986" i="6"/>
  <c r="P1986" i="6" s="1"/>
  <c r="N1985" i="6"/>
  <c r="R1985" i="6" l="1"/>
  <c r="M1985" i="6" s="1"/>
  <c r="S1985" i="6" s="1"/>
  <c r="Q1986" i="6"/>
  <c r="N1986" i="6"/>
  <c r="O1987" i="6"/>
  <c r="P1987" i="6" s="1"/>
  <c r="R1986" i="6" l="1"/>
  <c r="M1986" i="6" s="1"/>
  <c r="S1986" i="6" s="1"/>
  <c r="Q1987" i="6"/>
  <c r="N1987" i="6"/>
  <c r="O1988" i="6"/>
  <c r="P1988" i="6" s="1"/>
  <c r="R1987" i="6" l="1"/>
  <c r="M1987" i="6" s="1"/>
  <c r="S1987" i="6" s="1"/>
  <c r="Q1988" i="6"/>
  <c r="N1988" i="6"/>
  <c r="O1989" i="6"/>
  <c r="P1989" i="6" s="1"/>
  <c r="R1988" i="6" l="1"/>
  <c r="M1988" i="6" s="1"/>
  <c r="S1988" i="6" s="1"/>
  <c r="Q1989" i="6"/>
  <c r="N1989" i="6"/>
  <c r="O1990" i="6"/>
  <c r="P1990" i="6" s="1"/>
  <c r="R1989" i="6" l="1"/>
  <c r="M1989" i="6" s="1"/>
  <c r="S1989" i="6" s="1"/>
  <c r="Q1990" i="6"/>
  <c r="N1990" i="6"/>
  <c r="O1991" i="6"/>
  <c r="P1991" i="6" s="1"/>
  <c r="R1990" i="6" l="1"/>
  <c r="M1990" i="6" s="1"/>
  <c r="S1990" i="6" s="1"/>
  <c r="Q1991" i="6"/>
  <c r="N1991" i="6"/>
  <c r="O1992" i="6"/>
  <c r="P1992" i="6" s="1"/>
  <c r="R1991" i="6" l="1"/>
  <c r="M1991" i="6" s="1"/>
  <c r="S1991" i="6" s="1"/>
  <c r="Q1992" i="6"/>
  <c r="N1992" i="6"/>
  <c r="O1993" i="6"/>
  <c r="P1993" i="6" s="1"/>
  <c r="R1992" i="6" l="1"/>
  <c r="M1992" i="6" s="1"/>
  <c r="S1992" i="6" s="1"/>
  <c r="Q1993" i="6"/>
  <c r="N1993" i="6"/>
  <c r="O1994" i="6"/>
  <c r="P1994" i="6" s="1"/>
  <c r="R1993" i="6" l="1"/>
  <c r="M1993" i="6" s="1"/>
  <c r="S1993" i="6" s="1"/>
  <c r="Q1994" i="6"/>
  <c r="O1995" i="6"/>
  <c r="P1995" i="6" s="1"/>
  <c r="N1994" i="6"/>
  <c r="R1994" i="6" l="1"/>
  <c r="M1994" i="6" s="1"/>
  <c r="S1994" i="6" s="1"/>
  <c r="Q1995" i="6"/>
  <c r="N1995" i="6"/>
  <c r="O1996" i="6"/>
  <c r="P1996" i="6" s="1"/>
  <c r="R1995" i="6" l="1"/>
  <c r="M1995" i="6" s="1"/>
  <c r="S1995" i="6" s="1"/>
  <c r="Q1996" i="6"/>
  <c r="N1996" i="6"/>
  <c r="O1997" i="6"/>
  <c r="P1997" i="6" s="1"/>
  <c r="R1996" i="6" l="1"/>
  <c r="M1996" i="6" s="1"/>
  <c r="S1996" i="6" s="1"/>
  <c r="Q1997" i="6"/>
  <c r="O1998" i="6"/>
  <c r="P1998" i="6" s="1"/>
  <c r="N1997" i="6"/>
  <c r="R1997" i="6" l="1"/>
  <c r="M1997" i="6" s="1"/>
  <c r="S1997" i="6" s="1"/>
  <c r="Q1998" i="6"/>
  <c r="N1998" i="6"/>
  <c r="O1999" i="6"/>
  <c r="P1999" i="6" s="1"/>
  <c r="R1998" i="6" l="1"/>
  <c r="M1998" i="6" s="1"/>
  <c r="S1998" i="6" s="1"/>
  <c r="Q1999" i="6"/>
  <c r="O2000" i="6"/>
  <c r="P2000" i="6" s="1"/>
  <c r="N1999" i="6"/>
  <c r="R1999" i="6" l="1"/>
  <c r="M1999" i="6" s="1"/>
  <c r="S1999" i="6" s="1"/>
  <c r="Q2000" i="6"/>
  <c r="N2000" i="6"/>
  <c r="O2001" i="6"/>
  <c r="P2001" i="6" s="1"/>
  <c r="R2000" i="6" l="1"/>
  <c r="M2000" i="6" s="1"/>
  <c r="S2000" i="6" s="1"/>
  <c r="Q2001" i="6"/>
  <c r="O2002" i="6"/>
  <c r="P2002" i="6" s="1"/>
  <c r="N2001" i="6"/>
  <c r="R2001" i="6" l="1"/>
  <c r="M2001" i="6" s="1"/>
  <c r="S2001" i="6" s="1"/>
  <c r="Q2002" i="6"/>
  <c r="N2002" i="6"/>
  <c r="O2003" i="6"/>
  <c r="P2003" i="6" s="1"/>
  <c r="R2002" i="6" l="1"/>
  <c r="M2002" i="6" s="1"/>
  <c r="S2002" i="6" s="1"/>
  <c r="Q2003" i="6"/>
  <c r="N2003" i="6"/>
  <c r="O2004" i="6"/>
  <c r="P2004" i="6" s="1"/>
  <c r="R2003" i="6" l="1"/>
  <c r="M2003" i="6" s="1"/>
  <c r="S2003" i="6" s="1"/>
  <c r="Q2004" i="6"/>
  <c r="N2004" i="6"/>
  <c r="O2005" i="6"/>
  <c r="P2005" i="6" s="1"/>
  <c r="R2004" i="6" l="1"/>
  <c r="M2004" i="6" s="1"/>
  <c r="S2004" i="6" s="1"/>
  <c r="Q2005" i="6"/>
  <c r="N2005" i="6"/>
  <c r="O2006" i="6"/>
  <c r="P2006" i="6" s="1"/>
  <c r="R2005" i="6" l="1"/>
  <c r="M2005" i="6" s="1"/>
  <c r="S2005" i="6" s="1"/>
  <c r="Q2006" i="6"/>
  <c r="N2006" i="6"/>
  <c r="O2007" i="6"/>
  <c r="P2007" i="6" s="1"/>
  <c r="R2006" i="6" l="1"/>
  <c r="M2006" i="6" s="1"/>
  <c r="S2006" i="6" s="1"/>
  <c r="Q2007" i="6"/>
  <c r="N2007" i="6"/>
  <c r="O2008" i="6"/>
  <c r="P2008" i="6" s="1"/>
  <c r="R2007" i="6" l="1"/>
  <c r="M2007" i="6" s="1"/>
  <c r="S2007" i="6" s="1"/>
  <c r="Q2008" i="6"/>
  <c r="N2008" i="6"/>
  <c r="O2009" i="6"/>
  <c r="P2009" i="6" s="1"/>
  <c r="R2008" i="6" l="1"/>
  <c r="M2008" i="6" s="1"/>
  <c r="S2008" i="6" s="1"/>
  <c r="Q2009" i="6"/>
  <c r="O2010" i="6"/>
  <c r="P2010" i="6" s="1"/>
  <c r="N2009" i="6"/>
  <c r="R2009" i="6" l="1"/>
  <c r="M2009" i="6" s="1"/>
  <c r="S2009" i="6" s="1"/>
  <c r="Q2010" i="6"/>
  <c r="O2011" i="6"/>
  <c r="P2011" i="6" s="1"/>
  <c r="N2010" i="6"/>
  <c r="R2010" i="6" l="1"/>
  <c r="M2010" i="6" s="1"/>
  <c r="S2010" i="6" s="1"/>
  <c r="Q2011" i="6"/>
  <c r="N2011" i="6"/>
  <c r="O2012" i="6"/>
  <c r="P2012" i="6" s="1"/>
  <c r="R2011" i="6" l="1"/>
  <c r="M2011" i="6" s="1"/>
  <c r="S2011" i="6" s="1"/>
  <c r="Q2012" i="6"/>
  <c r="N2012" i="6"/>
  <c r="O2013" i="6"/>
  <c r="P2013" i="6" s="1"/>
  <c r="R2012" i="6" l="1"/>
  <c r="M2012" i="6" s="1"/>
  <c r="S2012" i="6" s="1"/>
  <c r="Q2013" i="6"/>
  <c r="N2013" i="6"/>
  <c r="O2014" i="6"/>
  <c r="P2014" i="6" s="1"/>
  <c r="R2013" i="6" l="1"/>
  <c r="M2013" i="6" s="1"/>
  <c r="S2013" i="6" s="1"/>
  <c r="Q2014" i="6"/>
  <c r="N2014" i="6"/>
  <c r="O2015" i="6"/>
  <c r="P2015" i="6" s="1"/>
  <c r="R2014" i="6" l="1"/>
  <c r="M2014" i="6" s="1"/>
  <c r="S2014" i="6" s="1"/>
  <c r="Q2015" i="6"/>
  <c r="N2015" i="6"/>
  <c r="O2016" i="6"/>
  <c r="P2016" i="6" s="1"/>
  <c r="R2015" i="6" l="1"/>
  <c r="M2015" i="6" s="1"/>
  <c r="S2015" i="6" s="1"/>
  <c r="Q2016" i="6"/>
  <c r="O2017" i="6"/>
  <c r="P2017" i="6" s="1"/>
  <c r="N2016" i="6"/>
  <c r="R2016" i="6" l="1"/>
  <c r="M2016" i="6" s="1"/>
  <c r="S2016" i="6" s="1"/>
  <c r="Q2017" i="6"/>
  <c r="N2017" i="6"/>
  <c r="O2018" i="6"/>
  <c r="P2018" i="6" s="1"/>
  <c r="R2017" i="6" l="1"/>
  <c r="M2017" i="6" s="1"/>
  <c r="S2017" i="6" s="1"/>
  <c r="Q2018" i="6"/>
  <c r="O2019" i="6"/>
  <c r="P2019" i="6" s="1"/>
  <c r="N2018" i="6"/>
  <c r="R2018" i="6" l="1"/>
  <c r="M2018" i="6" s="1"/>
  <c r="S2018" i="6" s="1"/>
  <c r="Q2019" i="6"/>
  <c r="N2019" i="6"/>
  <c r="O2020" i="6"/>
  <c r="P2020" i="6" s="1"/>
  <c r="R2019" i="6" l="1"/>
  <c r="M2019" i="6" s="1"/>
  <c r="S2019" i="6" s="1"/>
  <c r="Q2020" i="6"/>
  <c r="O2021" i="6"/>
  <c r="P2021" i="6" s="1"/>
  <c r="N2020" i="6"/>
  <c r="R2020" i="6" l="1"/>
  <c r="M2020" i="6" s="1"/>
  <c r="S2020" i="6" s="1"/>
  <c r="Q2021" i="6"/>
  <c r="N2021" i="6"/>
  <c r="O2022" i="6"/>
  <c r="P2022" i="6" s="1"/>
  <c r="R2021" i="6" l="1"/>
  <c r="M2021" i="6" s="1"/>
  <c r="S2021" i="6" s="1"/>
  <c r="Q2022" i="6"/>
  <c r="N2022" i="6"/>
  <c r="O2023" i="6"/>
  <c r="P2023" i="6" s="1"/>
  <c r="R2022" i="6" l="1"/>
  <c r="M2022" i="6" s="1"/>
  <c r="S2022" i="6" s="1"/>
  <c r="Q2023" i="6"/>
  <c r="O2024" i="6"/>
  <c r="P2024" i="6" s="1"/>
  <c r="N2023" i="6"/>
  <c r="R2023" i="6" l="1"/>
  <c r="M2023" i="6" s="1"/>
  <c r="S2023" i="6" s="1"/>
  <c r="Q2024" i="6"/>
  <c r="N2024" i="6"/>
  <c r="O2025" i="6"/>
  <c r="P2025" i="6" s="1"/>
  <c r="R2024" i="6" l="1"/>
  <c r="M2024" i="6" s="1"/>
  <c r="S2024" i="6" s="1"/>
  <c r="Q2025" i="6"/>
  <c r="N2025" i="6"/>
  <c r="O2026" i="6"/>
  <c r="P2026" i="6" s="1"/>
  <c r="R2025" i="6" l="1"/>
  <c r="M2025" i="6" s="1"/>
  <c r="S2025" i="6" s="1"/>
  <c r="Q2026" i="6"/>
  <c r="O2027" i="6"/>
  <c r="P2027" i="6" s="1"/>
  <c r="N2026" i="6"/>
  <c r="R2026" i="6" l="1"/>
  <c r="M2026" i="6" s="1"/>
  <c r="S2026" i="6" s="1"/>
  <c r="Q2027" i="6"/>
  <c r="N2027" i="6"/>
  <c r="O2028" i="6"/>
  <c r="P2028" i="6" s="1"/>
  <c r="R2027" i="6" l="1"/>
  <c r="M2027" i="6" s="1"/>
  <c r="S2027" i="6" s="1"/>
  <c r="Q2028" i="6"/>
  <c r="N2028" i="6"/>
  <c r="O2029" i="6"/>
  <c r="P2029" i="6" s="1"/>
  <c r="R2028" i="6" l="1"/>
  <c r="M2028" i="6" s="1"/>
  <c r="S2028" i="6" s="1"/>
  <c r="Q2029" i="6"/>
  <c r="O2030" i="6"/>
  <c r="P2030" i="6" s="1"/>
  <c r="N2029" i="6"/>
  <c r="R2029" i="6" l="1"/>
  <c r="M2029" i="6" s="1"/>
  <c r="S2029" i="6" s="1"/>
  <c r="Q2030" i="6"/>
  <c r="N2030" i="6"/>
  <c r="O2031" i="6"/>
  <c r="P2031" i="6" s="1"/>
  <c r="R2030" i="6" l="1"/>
  <c r="M2030" i="6" s="1"/>
  <c r="S2030" i="6" s="1"/>
  <c r="Q2031" i="6"/>
  <c r="N2031" i="6"/>
  <c r="O2032" i="6"/>
  <c r="P2032" i="6" s="1"/>
  <c r="R2031" i="6" l="1"/>
  <c r="M2031" i="6" s="1"/>
  <c r="S2031" i="6" s="1"/>
  <c r="Q2032" i="6"/>
  <c r="N2032" i="6"/>
  <c r="O2033" i="6"/>
  <c r="P2033" i="6" s="1"/>
  <c r="R2032" i="6" l="1"/>
  <c r="M2032" i="6" s="1"/>
  <c r="S2032" i="6" s="1"/>
  <c r="Q2033" i="6"/>
  <c r="N2033" i="6"/>
  <c r="O2034" i="6"/>
  <c r="P2034" i="6" s="1"/>
  <c r="R2033" i="6" l="1"/>
  <c r="M2033" i="6" s="1"/>
  <c r="S2033" i="6" s="1"/>
  <c r="Q2034" i="6"/>
  <c r="N2034" i="6"/>
  <c r="O2035" i="6"/>
  <c r="P2035" i="6" s="1"/>
  <c r="R2034" i="6" l="1"/>
  <c r="M2034" i="6" s="1"/>
  <c r="S2034" i="6" s="1"/>
  <c r="Q2035" i="6"/>
  <c r="O2036" i="6"/>
  <c r="P2036" i="6" s="1"/>
  <c r="N2035" i="6"/>
  <c r="R2035" i="6" l="1"/>
  <c r="M2035" i="6" s="1"/>
  <c r="S2035" i="6" s="1"/>
  <c r="Q2036" i="6"/>
  <c r="O2037" i="6"/>
  <c r="P2037" i="6" s="1"/>
  <c r="N2036" i="6"/>
  <c r="R2036" i="6" l="1"/>
  <c r="M2036" i="6" s="1"/>
  <c r="S2036" i="6" s="1"/>
  <c r="Q2037" i="6"/>
  <c r="O2038" i="6"/>
  <c r="P2038" i="6" s="1"/>
  <c r="N2037" i="6"/>
  <c r="R2037" i="6" l="1"/>
  <c r="M2037" i="6" s="1"/>
  <c r="S2037" i="6" s="1"/>
  <c r="Q2038" i="6"/>
  <c r="N2038" i="6"/>
  <c r="O2039" i="6"/>
  <c r="P2039" i="6" s="1"/>
  <c r="R2038" i="6" l="1"/>
  <c r="M2038" i="6" s="1"/>
  <c r="S2038" i="6" s="1"/>
  <c r="Q2039" i="6"/>
  <c r="O2040" i="6"/>
  <c r="P2040" i="6" s="1"/>
  <c r="N2039" i="6"/>
  <c r="R2039" i="6" l="1"/>
  <c r="M2039" i="6" s="1"/>
  <c r="S2039" i="6" s="1"/>
  <c r="Q2040" i="6"/>
  <c r="N2040" i="6"/>
  <c r="O2041" i="6"/>
  <c r="P2041" i="6" s="1"/>
  <c r="R2040" i="6" l="1"/>
  <c r="M2040" i="6" s="1"/>
  <c r="S2040" i="6" s="1"/>
  <c r="Q2041" i="6"/>
  <c r="O2042" i="6"/>
  <c r="P2042" i="6" s="1"/>
  <c r="N2041" i="6"/>
  <c r="R2041" i="6" l="1"/>
  <c r="M2041" i="6" s="1"/>
  <c r="S2041" i="6" s="1"/>
  <c r="Q2042" i="6"/>
  <c r="O2043" i="6"/>
  <c r="P2043" i="6" s="1"/>
  <c r="N2042" i="6"/>
  <c r="R2042" i="6" l="1"/>
  <c r="M2042" i="6" s="1"/>
  <c r="S2042" i="6" s="1"/>
  <c r="Q2043" i="6"/>
  <c r="O2044" i="6"/>
  <c r="P2044" i="6" s="1"/>
  <c r="N2043" i="6"/>
  <c r="R2043" i="6" l="1"/>
  <c r="M2043" i="6" s="1"/>
  <c r="S2043" i="6" s="1"/>
  <c r="Q2044" i="6"/>
  <c r="N2044" i="6"/>
  <c r="O2045" i="6"/>
  <c r="P2045" i="6" s="1"/>
  <c r="R2044" i="6" l="1"/>
  <c r="M2044" i="6" s="1"/>
  <c r="S2044" i="6" s="1"/>
  <c r="Q2045" i="6"/>
  <c r="O2046" i="6"/>
  <c r="P2046" i="6" s="1"/>
  <c r="N2045" i="6"/>
  <c r="R2045" i="6" l="1"/>
  <c r="M2045" i="6" s="1"/>
  <c r="S2045" i="6" s="1"/>
  <c r="Q2046" i="6"/>
  <c r="N2046" i="6"/>
  <c r="O2047" i="6"/>
  <c r="P2047" i="6" s="1"/>
  <c r="R2046" i="6" l="1"/>
  <c r="M2046" i="6" s="1"/>
  <c r="S2046" i="6" s="1"/>
  <c r="Q2047" i="6"/>
  <c r="N2047" i="6"/>
  <c r="O2048" i="6"/>
  <c r="P2048" i="6" s="1"/>
  <c r="R2047" i="6" l="1"/>
  <c r="M2047" i="6" s="1"/>
  <c r="S2047" i="6" s="1"/>
  <c r="Q2048" i="6"/>
  <c r="N2048" i="6"/>
  <c r="O2049" i="6"/>
  <c r="P2049" i="6" s="1"/>
  <c r="R2048" i="6" l="1"/>
  <c r="M2048" i="6" s="1"/>
  <c r="S2048" i="6" s="1"/>
  <c r="Q2049" i="6"/>
  <c r="N2049" i="6"/>
  <c r="O2050" i="6"/>
  <c r="P2050" i="6" s="1"/>
  <c r="R2049" i="6" l="1"/>
  <c r="M2049" i="6" s="1"/>
  <c r="S2049" i="6" s="1"/>
  <c r="Q2050" i="6"/>
  <c r="N2050" i="6"/>
  <c r="O2051" i="6"/>
  <c r="P2051" i="6" s="1"/>
  <c r="R2050" i="6" l="1"/>
  <c r="M2050" i="6" s="1"/>
  <c r="S2050" i="6" s="1"/>
  <c r="Q2051" i="6"/>
  <c r="N2051" i="6"/>
  <c r="O2052" i="6"/>
  <c r="P2052" i="6" s="1"/>
  <c r="R2051" i="6" l="1"/>
  <c r="M2051" i="6" s="1"/>
  <c r="S2051" i="6" s="1"/>
  <c r="Q2052" i="6"/>
  <c r="O2053" i="6"/>
  <c r="P2053" i="6" s="1"/>
  <c r="N2052" i="6"/>
  <c r="R2052" i="6" l="1"/>
  <c r="M2052" i="6" s="1"/>
  <c r="S2052" i="6" s="1"/>
  <c r="Q2053" i="6"/>
  <c r="N2053" i="6"/>
  <c r="O2054" i="6"/>
  <c r="P2054" i="6" s="1"/>
  <c r="R2053" i="6" l="1"/>
  <c r="M2053" i="6" s="1"/>
  <c r="S2053" i="6" s="1"/>
  <c r="Q2054" i="6"/>
  <c r="N2054" i="6"/>
  <c r="O2055" i="6"/>
  <c r="P2055" i="6" s="1"/>
  <c r="R2054" i="6" l="1"/>
  <c r="M2054" i="6" s="1"/>
  <c r="S2054" i="6" s="1"/>
  <c r="Q2055" i="6"/>
  <c r="O2056" i="6"/>
  <c r="P2056" i="6" s="1"/>
  <c r="N2055" i="6"/>
  <c r="R2055" i="6" l="1"/>
  <c r="M2055" i="6" s="1"/>
  <c r="S2055" i="6" s="1"/>
  <c r="Q2056" i="6"/>
  <c r="N2056" i="6"/>
  <c r="O2057" i="6"/>
  <c r="P2057" i="6" s="1"/>
  <c r="R2056" i="6" l="1"/>
  <c r="M2056" i="6" s="1"/>
  <c r="S2056" i="6" s="1"/>
  <c r="Q2057" i="6"/>
  <c r="O2058" i="6"/>
  <c r="P2058" i="6" s="1"/>
  <c r="N2057" i="6"/>
  <c r="R2057" i="6" l="1"/>
  <c r="M2057" i="6" s="1"/>
  <c r="S2057" i="6" s="1"/>
  <c r="Q2058" i="6"/>
  <c r="O2059" i="6"/>
  <c r="P2059" i="6" s="1"/>
  <c r="N2058" i="6"/>
  <c r="R2058" i="6" l="1"/>
  <c r="M2058" i="6" s="1"/>
  <c r="S2058" i="6" s="1"/>
  <c r="Q2059" i="6"/>
  <c r="N2059" i="6"/>
  <c r="O2060" i="6"/>
  <c r="P2060" i="6" s="1"/>
  <c r="R2059" i="6" l="1"/>
  <c r="M2059" i="6" s="1"/>
  <c r="S2059" i="6" s="1"/>
  <c r="Q2060" i="6"/>
  <c r="N2060" i="6"/>
  <c r="O2061" i="6"/>
  <c r="P2061" i="6" s="1"/>
  <c r="R2060" i="6" l="1"/>
  <c r="M2060" i="6" s="1"/>
  <c r="S2060" i="6" s="1"/>
  <c r="Q2061" i="6"/>
  <c r="O2062" i="6"/>
  <c r="P2062" i="6" s="1"/>
  <c r="N2061" i="6"/>
  <c r="R2061" i="6" l="1"/>
  <c r="M2061" i="6" s="1"/>
  <c r="S2061" i="6" s="1"/>
  <c r="Q2062" i="6"/>
  <c r="N2062" i="6"/>
  <c r="O2063" i="6"/>
  <c r="P2063" i="6" s="1"/>
  <c r="R2062" i="6" l="1"/>
  <c r="M2062" i="6" s="1"/>
  <c r="S2062" i="6" s="1"/>
  <c r="Q2063" i="6"/>
  <c r="N2063" i="6"/>
  <c r="O2064" i="6"/>
  <c r="P2064" i="6" s="1"/>
  <c r="R2063" i="6" l="1"/>
  <c r="M2063" i="6" s="1"/>
  <c r="S2063" i="6" s="1"/>
  <c r="Q2064" i="6"/>
  <c r="N2064" i="6"/>
  <c r="O2065" i="6"/>
  <c r="P2065" i="6" s="1"/>
  <c r="R2064" i="6" l="1"/>
  <c r="M2064" i="6" s="1"/>
  <c r="S2064" i="6" s="1"/>
  <c r="Q2065" i="6"/>
  <c r="N2065" i="6"/>
  <c r="O2066" i="6"/>
  <c r="P2066" i="6" s="1"/>
  <c r="R2065" i="6" l="1"/>
  <c r="M2065" i="6" s="1"/>
  <c r="S2065" i="6" s="1"/>
  <c r="Q2066" i="6"/>
  <c r="N2066" i="6"/>
  <c r="O2067" i="6"/>
  <c r="P2067" i="6" s="1"/>
  <c r="R2066" i="6" l="1"/>
  <c r="M2066" i="6" s="1"/>
  <c r="S2066" i="6" s="1"/>
  <c r="Q2067" i="6"/>
  <c r="O2068" i="6"/>
  <c r="P2068" i="6" s="1"/>
  <c r="N2067" i="6"/>
  <c r="R2067" i="6" l="1"/>
  <c r="M2067" i="6" s="1"/>
  <c r="S2067" i="6" s="1"/>
  <c r="Q2068" i="6"/>
  <c r="O2069" i="6"/>
  <c r="P2069" i="6" s="1"/>
  <c r="N2068" i="6"/>
  <c r="R2068" i="6" l="1"/>
  <c r="M2068" i="6" s="1"/>
  <c r="S2068" i="6" s="1"/>
  <c r="Q2069" i="6"/>
  <c r="N2069" i="6"/>
  <c r="O2070" i="6"/>
  <c r="P2070" i="6" s="1"/>
  <c r="R2069" i="6" l="1"/>
  <c r="M2069" i="6" s="1"/>
  <c r="S2069" i="6" s="1"/>
  <c r="Q2070" i="6"/>
  <c r="N2070" i="6"/>
  <c r="O2071" i="6"/>
  <c r="P2071" i="6" s="1"/>
  <c r="R2070" i="6" l="1"/>
  <c r="M2070" i="6" s="1"/>
  <c r="S2070" i="6" s="1"/>
  <c r="Q2071" i="6"/>
  <c r="O2072" i="6"/>
  <c r="P2072" i="6" s="1"/>
  <c r="N2071" i="6"/>
  <c r="R2071" i="6" l="1"/>
  <c r="M2071" i="6" s="1"/>
  <c r="S2071" i="6" s="1"/>
  <c r="Q2072" i="6"/>
  <c r="N2072" i="6"/>
  <c r="O2073" i="6"/>
  <c r="P2073" i="6" s="1"/>
  <c r="R2072" i="6" l="1"/>
  <c r="M2072" i="6" s="1"/>
  <c r="S2072" i="6" s="1"/>
  <c r="Q2073" i="6"/>
  <c r="O2074" i="6"/>
  <c r="P2074" i="6" s="1"/>
  <c r="N2073" i="6"/>
  <c r="R2073" i="6" l="1"/>
  <c r="M2073" i="6" s="1"/>
  <c r="S2073" i="6" s="1"/>
  <c r="Q2074" i="6"/>
  <c r="O2075" i="6"/>
  <c r="P2075" i="6" s="1"/>
  <c r="N2074" i="6"/>
  <c r="R2074" i="6" l="1"/>
  <c r="M2074" i="6" s="1"/>
  <c r="S2074" i="6" s="1"/>
  <c r="Q2075" i="6"/>
  <c r="O2076" i="6"/>
  <c r="P2076" i="6" s="1"/>
  <c r="N2075" i="6"/>
  <c r="R2075" i="6" l="1"/>
  <c r="M2075" i="6" s="1"/>
  <c r="S2075" i="6" s="1"/>
  <c r="Q2076" i="6"/>
  <c r="N2076" i="6"/>
  <c r="O2077" i="6"/>
  <c r="P2077" i="6" s="1"/>
  <c r="R2076" i="6" l="1"/>
  <c r="M2076" i="6" s="1"/>
  <c r="S2076" i="6" s="1"/>
  <c r="Q2077" i="6"/>
  <c r="O2078" i="6"/>
  <c r="P2078" i="6" s="1"/>
  <c r="N2077" i="6"/>
  <c r="R2077" i="6" l="1"/>
  <c r="M2077" i="6" s="1"/>
  <c r="S2077" i="6" s="1"/>
  <c r="Q2078" i="6"/>
  <c r="N2078" i="6"/>
  <c r="O2079" i="6"/>
  <c r="P2079" i="6" s="1"/>
  <c r="R2078" i="6" l="1"/>
  <c r="M2078" i="6" s="1"/>
  <c r="S2078" i="6" s="1"/>
  <c r="Q2079" i="6"/>
  <c r="N2079" i="6"/>
  <c r="O2080" i="6"/>
  <c r="P2080" i="6" s="1"/>
  <c r="R2079" i="6" l="1"/>
  <c r="M2079" i="6" s="1"/>
  <c r="S2079" i="6" s="1"/>
  <c r="Q2080" i="6"/>
  <c r="N2080" i="6"/>
  <c r="O2081" i="6"/>
  <c r="P2081" i="6" s="1"/>
  <c r="R2080" i="6" l="1"/>
  <c r="M2080" i="6" s="1"/>
  <c r="S2080" i="6" s="1"/>
  <c r="Q2081" i="6"/>
  <c r="O2082" i="6"/>
  <c r="P2082" i="6" s="1"/>
  <c r="N2081" i="6"/>
  <c r="R2081" i="6" l="1"/>
  <c r="M2081" i="6" s="1"/>
  <c r="S2081" i="6" s="1"/>
  <c r="Q2082" i="6"/>
  <c r="N2082" i="6"/>
  <c r="O2083" i="6"/>
  <c r="P2083" i="6" s="1"/>
  <c r="R2082" i="6" l="1"/>
  <c r="M2082" i="6" s="1"/>
  <c r="S2082" i="6" s="1"/>
  <c r="Q2083" i="6"/>
  <c r="N2083" i="6"/>
  <c r="O2084" i="6"/>
  <c r="P2084" i="6" s="1"/>
  <c r="R2083" i="6" l="1"/>
  <c r="M2083" i="6" s="1"/>
  <c r="S2083" i="6" s="1"/>
  <c r="Q2084" i="6"/>
  <c r="O2085" i="6"/>
  <c r="P2085" i="6" s="1"/>
  <c r="N2084" i="6"/>
  <c r="R2084" i="6" l="1"/>
  <c r="M2084" i="6" s="1"/>
  <c r="S2084" i="6" s="1"/>
  <c r="Q2085" i="6"/>
  <c r="N2085" i="6"/>
  <c r="O2086" i="6"/>
  <c r="P2086" i="6" s="1"/>
  <c r="R2085" i="6" l="1"/>
  <c r="M2085" i="6" s="1"/>
  <c r="S2085" i="6" s="1"/>
  <c r="Q2086" i="6"/>
  <c r="N2086" i="6"/>
  <c r="O2087" i="6"/>
  <c r="P2087" i="6" s="1"/>
  <c r="R2086" i="6" l="1"/>
  <c r="M2086" i="6" s="1"/>
  <c r="S2086" i="6" s="1"/>
  <c r="Q2087" i="6"/>
  <c r="O2088" i="6"/>
  <c r="P2088" i="6" s="1"/>
  <c r="N2087" i="6"/>
  <c r="R2087" i="6" l="1"/>
  <c r="M2087" i="6" s="1"/>
  <c r="S2087" i="6" s="1"/>
  <c r="Q2088" i="6"/>
  <c r="N2088" i="6"/>
  <c r="O2089" i="6"/>
  <c r="P2089" i="6" s="1"/>
  <c r="R2088" i="6" l="1"/>
  <c r="M2088" i="6" s="1"/>
  <c r="S2088" i="6" s="1"/>
  <c r="Q2089" i="6"/>
  <c r="N2089" i="6"/>
  <c r="O2090" i="6"/>
  <c r="P2090" i="6" s="1"/>
  <c r="R2089" i="6" l="1"/>
  <c r="M2089" i="6" s="1"/>
  <c r="S2089" i="6" s="1"/>
  <c r="Q2090" i="6"/>
  <c r="O2091" i="6"/>
  <c r="P2091" i="6" s="1"/>
  <c r="N2090" i="6"/>
  <c r="R2090" i="6" l="1"/>
  <c r="M2090" i="6" s="1"/>
  <c r="S2090" i="6" s="1"/>
  <c r="Q2091" i="6"/>
  <c r="N2091" i="6"/>
  <c r="O2092" i="6"/>
  <c r="P2092" i="6" s="1"/>
  <c r="R2091" i="6" l="1"/>
  <c r="M2091" i="6" s="1"/>
  <c r="S2091" i="6" s="1"/>
  <c r="Q2092" i="6"/>
  <c r="N2092" i="6"/>
  <c r="O2093" i="6"/>
  <c r="P2093" i="6" s="1"/>
  <c r="R2092" i="6" l="1"/>
  <c r="M2092" i="6" s="1"/>
  <c r="S2092" i="6" s="1"/>
  <c r="Q2093" i="6"/>
  <c r="O2094" i="6"/>
  <c r="P2094" i="6" s="1"/>
  <c r="N2093" i="6"/>
  <c r="R2093" i="6" l="1"/>
  <c r="M2093" i="6" s="1"/>
  <c r="S2093" i="6" s="1"/>
  <c r="Q2094" i="6"/>
  <c r="N2094" i="6"/>
  <c r="O2095" i="6"/>
  <c r="P2095" i="6" s="1"/>
  <c r="R2094" i="6" l="1"/>
  <c r="M2094" i="6" s="1"/>
  <c r="S2094" i="6" s="1"/>
  <c r="Q2095" i="6"/>
  <c r="N2095" i="6"/>
  <c r="O2096" i="6"/>
  <c r="P2096" i="6" s="1"/>
  <c r="R2095" i="6" l="1"/>
  <c r="M2095" i="6" s="1"/>
  <c r="S2095" i="6" s="1"/>
  <c r="Q2096" i="6"/>
  <c r="N2096" i="6"/>
  <c r="O2097" i="6"/>
  <c r="P2097" i="6" s="1"/>
  <c r="R2096" i="6" l="1"/>
  <c r="M2096" i="6" s="1"/>
  <c r="S2096" i="6" s="1"/>
  <c r="Q2097" i="6"/>
  <c r="N2097" i="6"/>
  <c r="O2098" i="6"/>
  <c r="P2098" i="6" s="1"/>
  <c r="R2097" i="6" l="1"/>
  <c r="M2097" i="6" s="1"/>
  <c r="S2097" i="6" s="1"/>
  <c r="Q2098" i="6"/>
  <c r="N2098" i="6"/>
  <c r="O2099" i="6"/>
  <c r="P2099" i="6" s="1"/>
  <c r="R2098" i="6" l="1"/>
  <c r="M2098" i="6" s="1"/>
  <c r="S2098" i="6" s="1"/>
  <c r="Q2099" i="6"/>
  <c r="O2100" i="6"/>
  <c r="P2100" i="6" s="1"/>
  <c r="N2099" i="6"/>
  <c r="R2099" i="6" l="1"/>
  <c r="M2099" i="6" s="1"/>
  <c r="S2099" i="6" s="1"/>
  <c r="Q2100" i="6"/>
  <c r="O2101" i="6"/>
  <c r="P2101" i="6" s="1"/>
  <c r="N2100" i="6"/>
  <c r="R2100" i="6" l="1"/>
  <c r="M2100" i="6" s="1"/>
  <c r="S2100" i="6" s="1"/>
  <c r="Q2101" i="6"/>
  <c r="N2101" i="6"/>
  <c r="O2102" i="6"/>
  <c r="P2102" i="6" s="1"/>
  <c r="R2101" i="6" l="1"/>
  <c r="M2101" i="6" s="1"/>
  <c r="S2101" i="6" s="1"/>
  <c r="Q2102" i="6"/>
  <c r="N2102" i="6"/>
  <c r="O2103" i="6"/>
  <c r="P2103" i="6" s="1"/>
  <c r="R2102" i="6" l="1"/>
  <c r="M2102" i="6" s="1"/>
  <c r="S2102" i="6" s="1"/>
  <c r="Q2103" i="6"/>
  <c r="O2104" i="6"/>
  <c r="P2104" i="6" s="1"/>
  <c r="N2103" i="6"/>
  <c r="R2103" i="6" l="1"/>
  <c r="M2103" i="6" s="1"/>
  <c r="S2103" i="6" s="1"/>
  <c r="Q2104" i="6"/>
  <c r="N2104" i="6"/>
  <c r="O2105" i="6"/>
  <c r="P2105" i="6" s="1"/>
  <c r="R2104" i="6" l="1"/>
  <c r="M2104" i="6" s="1"/>
  <c r="S2104" i="6" s="1"/>
  <c r="Q2105" i="6"/>
  <c r="O2106" i="6"/>
  <c r="P2106" i="6" s="1"/>
  <c r="N2105" i="6"/>
  <c r="R2105" i="6" l="1"/>
  <c r="M2105" i="6" s="1"/>
  <c r="S2105" i="6" s="1"/>
  <c r="Q2106" i="6"/>
  <c r="O2107" i="6"/>
  <c r="P2107" i="6" s="1"/>
  <c r="N2106" i="6"/>
  <c r="R2106" i="6" l="1"/>
  <c r="M2106" i="6" s="1"/>
  <c r="S2106" i="6" s="1"/>
  <c r="Q2107" i="6"/>
  <c r="O2108" i="6"/>
  <c r="P2108" i="6" s="1"/>
  <c r="N2107" i="6"/>
  <c r="R2107" i="6" l="1"/>
  <c r="M2107" i="6" s="1"/>
  <c r="S2107" i="6" s="1"/>
  <c r="Q2108" i="6"/>
  <c r="N2108" i="6"/>
  <c r="O2109" i="6"/>
  <c r="P2109" i="6" s="1"/>
  <c r="R2108" i="6" l="1"/>
  <c r="M2108" i="6" s="1"/>
  <c r="S2108" i="6" s="1"/>
  <c r="Q2109" i="6"/>
  <c r="O2110" i="6"/>
  <c r="P2110" i="6" s="1"/>
  <c r="N2109" i="6"/>
  <c r="R2109" i="6" l="1"/>
  <c r="M2109" i="6" s="1"/>
  <c r="S2109" i="6" s="1"/>
  <c r="Q2110" i="6"/>
  <c r="N2110" i="6"/>
  <c r="O2111" i="6"/>
  <c r="P2111" i="6" s="1"/>
  <c r="R2110" i="6" l="1"/>
  <c r="M2110" i="6" s="1"/>
  <c r="S2110" i="6" s="1"/>
  <c r="Q2111" i="6"/>
  <c r="N2111" i="6"/>
  <c r="O2112" i="6"/>
  <c r="P2112" i="6" s="1"/>
  <c r="R2111" i="6" l="1"/>
  <c r="M2111" i="6" s="1"/>
  <c r="S2111" i="6" s="1"/>
  <c r="Q2112" i="6"/>
  <c r="N2112" i="6"/>
  <c r="O2113" i="6"/>
  <c r="P2113" i="6" s="1"/>
  <c r="R2112" i="6" l="1"/>
  <c r="M2112" i="6" s="1"/>
  <c r="S2112" i="6" s="1"/>
  <c r="Q2113" i="6"/>
  <c r="O2114" i="6"/>
  <c r="P2114" i="6" s="1"/>
  <c r="N2113" i="6"/>
  <c r="R2113" i="6" l="1"/>
  <c r="M2113" i="6" s="1"/>
  <c r="S2113" i="6" s="1"/>
  <c r="Q2114" i="6"/>
  <c r="N2114" i="6"/>
  <c r="O2115" i="6"/>
  <c r="P2115" i="6" s="1"/>
  <c r="R2114" i="6" l="1"/>
  <c r="M2114" i="6" s="1"/>
  <c r="S2114" i="6" s="1"/>
  <c r="Q2115" i="6"/>
  <c r="N2115" i="6"/>
  <c r="O2116" i="6"/>
  <c r="P2116" i="6" s="1"/>
  <c r="R2115" i="6" l="1"/>
  <c r="M2115" i="6" s="1"/>
  <c r="S2115" i="6" s="1"/>
  <c r="Q2116" i="6"/>
  <c r="N2116" i="6"/>
  <c r="O2117" i="6"/>
  <c r="P2117" i="6" s="1"/>
  <c r="R2116" i="6" l="1"/>
  <c r="M2116" i="6" s="1"/>
  <c r="S2116" i="6" s="1"/>
  <c r="Q2117" i="6"/>
  <c r="N2117" i="6"/>
  <c r="O2118" i="6"/>
  <c r="P2118" i="6" s="1"/>
  <c r="R2117" i="6" l="1"/>
  <c r="M2117" i="6" s="1"/>
  <c r="S2117" i="6" s="1"/>
  <c r="Q2118" i="6"/>
  <c r="N2118" i="6"/>
  <c r="O2119" i="6"/>
  <c r="P2119" i="6" s="1"/>
  <c r="R2118" i="6" l="1"/>
  <c r="M2118" i="6" s="1"/>
  <c r="S2118" i="6" s="1"/>
  <c r="Q2119" i="6"/>
  <c r="O2120" i="6"/>
  <c r="P2120" i="6" s="1"/>
  <c r="N2119" i="6"/>
  <c r="R2119" i="6" l="1"/>
  <c r="M2119" i="6" s="1"/>
  <c r="S2119" i="6" s="1"/>
  <c r="Q2120" i="6"/>
  <c r="N2120" i="6"/>
  <c r="O2121" i="6"/>
  <c r="P2121" i="6" s="1"/>
  <c r="R2120" i="6" l="1"/>
  <c r="M2120" i="6" s="1"/>
  <c r="S2120" i="6" s="1"/>
  <c r="Q2121" i="6"/>
  <c r="O2122" i="6"/>
  <c r="P2122" i="6" s="1"/>
  <c r="N2121" i="6"/>
  <c r="R2121" i="6" l="1"/>
  <c r="M2121" i="6" s="1"/>
  <c r="S2121" i="6" s="1"/>
  <c r="Q2122" i="6"/>
  <c r="N2122" i="6"/>
  <c r="O2123" i="6"/>
  <c r="P2123" i="6" s="1"/>
  <c r="R2122" i="6" l="1"/>
  <c r="M2122" i="6" s="1"/>
  <c r="S2122" i="6" s="1"/>
  <c r="Q2123" i="6"/>
  <c r="N2123" i="6"/>
  <c r="O2124" i="6"/>
  <c r="P2124" i="6" s="1"/>
  <c r="R2123" i="6" l="1"/>
  <c r="M2123" i="6" s="1"/>
  <c r="S2123" i="6" s="1"/>
  <c r="Q2124" i="6"/>
  <c r="O2125" i="6"/>
  <c r="P2125" i="6" s="1"/>
  <c r="N2124" i="6"/>
  <c r="R2124" i="6" l="1"/>
  <c r="M2124" i="6" s="1"/>
  <c r="S2124" i="6" s="1"/>
  <c r="Q2125" i="6"/>
  <c r="N2125" i="6"/>
  <c r="O2126" i="6"/>
  <c r="P2126" i="6" s="1"/>
  <c r="R2125" i="6" l="1"/>
  <c r="M2125" i="6" s="1"/>
  <c r="S2125" i="6" s="1"/>
  <c r="Q2126" i="6"/>
  <c r="N2126" i="6"/>
  <c r="O2127" i="6"/>
  <c r="P2127" i="6" s="1"/>
  <c r="R2126" i="6" l="1"/>
  <c r="M2126" i="6" s="1"/>
  <c r="S2126" i="6" s="1"/>
  <c r="Q2127" i="6"/>
  <c r="O2128" i="6"/>
  <c r="P2128" i="6" s="1"/>
  <c r="N2127" i="6"/>
  <c r="R2127" i="6" l="1"/>
  <c r="M2127" i="6" s="1"/>
  <c r="S2127" i="6" s="1"/>
  <c r="Q2128" i="6"/>
  <c r="O2129" i="6"/>
  <c r="P2129" i="6" s="1"/>
  <c r="N2128" i="6"/>
  <c r="R2128" i="6" l="1"/>
  <c r="M2128" i="6" s="1"/>
  <c r="S2128" i="6" s="1"/>
  <c r="Q2129" i="6"/>
  <c r="O2130" i="6"/>
  <c r="P2130" i="6" s="1"/>
  <c r="N2129" i="6"/>
  <c r="R2129" i="6" l="1"/>
  <c r="M2129" i="6" s="1"/>
  <c r="S2129" i="6" s="1"/>
  <c r="Q2130" i="6"/>
  <c r="N2130" i="6"/>
  <c r="O2131" i="6"/>
  <c r="P2131" i="6" s="1"/>
  <c r="R2130" i="6" l="1"/>
  <c r="M2130" i="6" s="1"/>
  <c r="S2130" i="6" s="1"/>
  <c r="Q2131" i="6"/>
  <c r="O2132" i="6"/>
  <c r="P2132" i="6" s="1"/>
  <c r="N2131" i="6"/>
  <c r="R2131" i="6" l="1"/>
  <c r="M2131" i="6" s="1"/>
  <c r="S2131" i="6" s="1"/>
  <c r="Q2132" i="6"/>
  <c r="N2132" i="6"/>
  <c r="O2133" i="6"/>
  <c r="P2133" i="6" s="1"/>
  <c r="R2132" i="6" l="1"/>
  <c r="M2132" i="6" s="1"/>
  <c r="S2132" i="6" s="1"/>
  <c r="Q2133" i="6"/>
  <c r="N2133" i="6"/>
  <c r="O2134" i="6"/>
  <c r="P2134" i="6" s="1"/>
  <c r="R2133" i="6" l="1"/>
  <c r="M2133" i="6" s="1"/>
  <c r="S2133" i="6" s="1"/>
  <c r="Q2134" i="6"/>
  <c r="N2134" i="6"/>
  <c r="O2135" i="6"/>
  <c r="P2135" i="6" s="1"/>
  <c r="R2134" i="6" l="1"/>
  <c r="M2134" i="6" s="1"/>
  <c r="S2134" i="6" s="1"/>
  <c r="Q2135" i="6"/>
  <c r="O2136" i="6"/>
  <c r="P2136" i="6" s="1"/>
  <c r="N2135" i="6"/>
  <c r="R2135" i="6" l="1"/>
  <c r="M2135" i="6" s="1"/>
  <c r="S2135" i="6" s="1"/>
  <c r="Q2136" i="6"/>
  <c r="O2137" i="6"/>
  <c r="P2137" i="6" s="1"/>
  <c r="N2136" i="6"/>
  <c r="R2136" i="6" l="1"/>
  <c r="M2136" i="6" s="1"/>
  <c r="S2136" i="6" s="1"/>
  <c r="Q2137" i="6"/>
  <c r="N2137" i="6"/>
  <c r="O2138" i="6"/>
  <c r="P2138" i="6" s="1"/>
  <c r="R2137" i="6" l="1"/>
  <c r="M2137" i="6" s="1"/>
  <c r="S2137" i="6" s="1"/>
  <c r="Q2138" i="6"/>
  <c r="N2138" i="6"/>
  <c r="O2139" i="6"/>
  <c r="P2139" i="6" s="1"/>
  <c r="R2138" i="6" l="1"/>
  <c r="M2138" i="6" s="1"/>
  <c r="S2138" i="6" s="1"/>
  <c r="Q2139" i="6"/>
  <c r="N2139" i="6"/>
  <c r="O2140" i="6"/>
  <c r="P2140" i="6" s="1"/>
  <c r="R2139" i="6" l="1"/>
  <c r="M2139" i="6" s="1"/>
  <c r="S2139" i="6" s="1"/>
  <c r="Q2140" i="6"/>
  <c r="N2140" i="6"/>
  <c r="O2141" i="6"/>
  <c r="P2141" i="6" s="1"/>
  <c r="R2140" i="6" l="1"/>
  <c r="M2140" i="6" s="1"/>
  <c r="S2140" i="6" s="1"/>
  <c r="Q2141" i="6"/>
  <c r="N2141" i="6"/>
  <c r="O2142" i="6"/>
  <c r="P2142" i="6" s="1"/>
  <c r="R2141" i="6" l="1"/>
  <c r="M2141" i="6" s="1"/>
  <c r="S2141" i="6" s="1"/>
  <c r="Q2142" i="6"/>
  <c r="N2142" i="6"/>
  <c r="O2143" i="6"/>
  <c r="P2143" i="6" s="1"/>
  <c r="R2142" i="6" l="1"/>
  <c r="M2142" i="6" s="1"/>
  <c r="S2142" i="6" s="1"/>
  <c r="Q2143" i="6"/>
  <c r="N2143" i="6"/>
  <c r="O2144" i="6"/>
  <c r="P2144" i="6" s="1"/>
  <c r="R2143" i="6" l="1"/>
  <c r="M2143" i="6" s="1"/>
  <c r="S2143" i="6" s="1"/>
  <c r="Q2144" i="6"/>
  <c r="O2145" i="6"/>
  <c r="P2145" i="6" s="1"/>
  <c r="N2144" i="6"/>
  <c r="R2144" i="6" l="1"/>
  <c r="M2144" i="6" s="1"/>
  <c r="S2144" i="6" s="1"/>
  <c r="Q2145" i="6"/>
  <c r="O2146" i="6"/>
  <c r="P2146" i="6" s="1"/>
  <c r="N2145" i="6"/>
  <c r="R2145" i="6" l="1"/>
  <c r="M2145" i="6" s="1"/>
  <c r="S2145" i="6" s="1"/>
  <c r="Q2146" i="6"/>
  <c r="N2146" i="6"/>
  <c r="O2147" i="6"/>
  <c r="P2147" i="6" s="1"/>
  <c r="R2146" i="6" l="1"/>
  <c r="M2146" i="6" s="1"/>
  <c r="S2146" i="6" s="1"/>
  <c r="Q2147" i="6"/>
  <c r="N2147" i="6"/>
  <c r="O2148" i="6"/>
  <c r="P2148" i="6" s="1"/>
  <c r="R2147" i="6" l="1"/>
  <c r="M2147" i="6" s="1"/>
  <c r="S2147" i="6" s="1"/>
  <c r="Q2148" i="6"/>
  <c r="O2149" i="6"/>
  <c r="P2149" i="6" s="1"/>
  <c r="N2148" i="6"/>
  <c r="R2148" i="6" l="1"/>
  <c r="M2148" i="6" s="1"/>
  <c r="S2148" i="6" s="1"/>
  <c r="Q2149" i="6"/>
  <c r="N2149" i="6"/>
  <c r="O2150" i="6"/>
  <c r="P2150" i="6" s="1"/>
  <c r="R2149" i="6" l="1"/>
  <c r="M2149" i="6" s="1"/>
  <c r="S2149" i="6" s="1"/>
  <c r="Q2150" i="6"/>
  <c r="N2150" i="6"/>
  <c r="O2151" i="6"/>
  <c r="P2151" i="6" s="1"/>
  <c r="R2150" i="6" l="1"/>
  <c r="M2150" i="6" s="1"/>
  <c r="S2150" i="6" s="1"/>
  <c r="Q2151" i="6"/>
  <c r="O2152" i="6"/>
  <c r="P2152" i="6" s="1"/>
  <c r="N2151" i="6"/>
  <c r="R2151" i="6" l="1"/>
  <c r="M2151" i="6" s="1"/>
  <c r="S2151" i="6" s="1"/>
  <c r="Q2152" i="6"/>
  <c r="N2152" i="6"/>
  <c r="O2153" i="6"/>
  <c r="P2153" i="6" s="1"/>
  <c r="R2152" i="6" l="1"/>
  <c r="M2152" i="6" s="1"/>
  <c r="S2152" i="6" s="1"/>
  <c r="Q2153" i="6"/>
  <c r="N2153" i="6"/>
  <c r="O2154" i="6"/>
  <c r="P2154" i="6" s="1"/>
  <c r="R2153" i="6" l="1"/>
  <c r="M2153" i="6" s="1"/>
  <c r="S2153" i="6" s="1"/>
  <c r="Q2154" i="6"/>
  <c r="N2154" i="6"/>
  <c r="O2155" i="6"/>
  <c r="P2155" i="6" s="1"/>
  <c r="R2154" i="6" l="1"/>
  <c r="M2154" i="6" s="1"/>
  <c r="S2154" i="6" s="1"/>
  <c r="Q2155" i="6"/>
  <c r="N2155" i="6"/>
  <c r="O2156" i="6"/>
  <c r="P2156" i="6" s="1"/>
  <c r="R2155" i="6" l="1"/>
  <c r="M2155" i="6" s="1"/>
  <c r="S2155" i="6" s="1"/>
  <c r="Q2156" i="6"/>
  <c r="N2156" i="6"/>
  <c r="O2157" i="6"/>
  <c r="P2157" i="6" s="1"/>
  <c r="R2156" i="6" l="1"/>
  <c r="M2156" i="6" s="1"/>
  <c r="S2156" i="6" s="1"/>
  <c r="Q2157" i="6"/>
  <c r="N2157" i="6"/>
  <c r="O2158" i="6"/>
  <c r="P2158" i="6" s="1"/>
  <c r="R2157" i="6" l="1"/>
  <c r="M2157" i="6" s="1"/>
  <c r="S2157" i="6" s="1"/>
  <c r="Q2158" i="6"/>
  <c r="N2158" i="6"/>
  <c r="O2159" i="6"/>
  <c r="P2159" i="6" s="1"/>
  <c r="R2158" i="6" l="1"/>
  <c r="M2158" i="6" s="1"/>
  <c r="S2158" i="6" s="1"/>
  <c r="Q2159" i="6"/>
  <c r="O2160" i="6"/>
  <c r="P2160" i="6" s="1"/>
  <c r="N2159" i="6"/>
  <c r="R2159" i="6" l="1"/>
  <c r="M2159" i="6" s="1"/>
  <c r="S2159" i="6" s="1"/>
  <c r="Q2160" i="6"/>
  <c r="O2161" i="6"/>
  <c r="P2161" i="6" s="1"/>
  <c r="N2160" i="6"/>
  <c r="R2160" i="6" l="1"/>
  <c r="M2160" i="6" s="1"/>
  <c r="S2160" i="6" s="1"/>
  <c r="Q2161" i="6"/>
  <c r="N2161" i="6"/>
  <c r="O2162" i="6"/>
  <c r="P2162" i="6" s="1"/>
  <c r="R2161" i="6" l="1"/>
  <c r="M2161" i="6" s="1"/>
  <c r="S2161" i="6" s="1"/>
  <c r="Q2162" i="6"/>
  <c r="O2163" i="6"/>
  <c r="P2163" i="6" s="1"/>
  <c r="N2162" i="6"/>
  <c r="R2162" i="6" l="1"/>
  <c r="M2162" i="6" s="1"/>
  <c r="S2162" i="6" s="1"/>
  <c r="Q2163" i="6"/>
  <c r="O2164" i="6"/>
  <c r="P2164" i="6" s="1"/>
  <c r="N2163" i="6"/>
  <c r="R2163" i="6" l="1"/>
  <c r="M2163" i="6" s="1"/>
  <c r="S2163" i="6" s="1"/>
  <c r="Q2164" i="6"/>
  <c r="O2165" i="6"/>
  <c r="P2165" i="6" s="1"/>
  <c r="N2164" i="6"/>
  <c r="R2164" i="6" l="1"/>
  <c r="M2164" i="6" s="1"/>
  <c r="S2164" i="6" s="1"/>
  <c r="Q2165" i="6"/>
  <c r="O2166" i="6"/>
  <c r="P2166" i="6" s="1"/>
  <c r="N2165" i="6"/>
  <c r="R2165" i="6" l="1"/>
  <c r="M2165" i="6" s="1"/>
  <c r="S2165" i="6" s="1"/>
  <c r="Q2166" i="6"/>
  <c r="N2166" i="6"/>
  <c r="O2167" i="6"/>
  <c r="P2167" i="6" s="1"/>
  <c r="R2166" i="6" l="1"/>
  <c r="M2166" i="6" s="1"/>
  <c r="S2166" i="6" s="1"/>
  <c r="Q2167" i="6"/>
  <c r="O2168" i="6"/>
  <c r="P2168" i="6" s="1"/>
  <c r="N2167" i="6"/>
  <c r="R2167" i="6" l="1"/>
  <c r="M2167" i="6" s="1"/>
  <c r="S2167" i="6" s="1"/>
  <c r="Q2168" i="6"/>
  <c r="N2168" i="6"/>
  <c r="O2169" i="6"/>
  <c r="P2169" i="6" s="1"/>
  <c r="R2168" i="6" l="1"/>
  <c r="M2168" i="6" s="1"/>
  <c r="S2168" i="6" s="1"/>
  <c r="Q2169" i="6"/>
  <c r="N2169" i="6"/>
  <c r="O2170" i="6"/>
  <c r="P2170" i="6" s="1"/>
  <c r="R2169" i="6" l="1"/>
  <c r="M2169" i="6" s="1"/>
  <c r="S2169" i="6" s="1"/>
  <c r="Q2170" i="6"/>
  <c r="N2170" i="6"/>
  <c r="O2171" i="6"/>
  <c r="P2171" i="6" s="1"/>
  <c r="R2170" i="6" l="1"/>
  <c r="M2170" i="6" s="1"/>
  <c r="S2170" i="6" s="1"/>
  <c r="Q2171" i="6"/>
  <c r="O2172" i="6"/>
  <c r="P2172" i="6" s="1"/>
  <c r="N2171" i="6"/>
  <c r="R2171" i="6" l="1"/>
  <c r="M2171" i="6" s="1"/>
  <c r="S2171" i="6" s="1"/>
  <c r="Q2172" i="6"/>
  <c r="N2172" i="6"/>
  <c r="O2173" i="6"/>
  <c r="P2173" i="6" s="1"/>
  <c r="R2172" i="6" l="1"/>
  <c r="M2172" i="6" s="1"/>
  <c r="S2172" i="6" s="1"/>
  <c r="Q2173" i="6"/>
  <c r="O2174" i="6"/>
  <c r="P2174" i="6" s="1"/>
  <c r="N2173" i="6"/>
  <c r="R2173" i="6" l="1"/>
  <c r="M2173" i="6" s="1"/>
  <c r="S2173" i="6" s="1"/>
  <c r="Q2174" i="6"/>
  <c r="N2174" i="6"/>
  <c r="O2175" i="6"/>
  <c r="P2175" i="6" s="1"/>
  <c r="R2174" i="6" l="1"/>
  <c r="M2174" i="6" s="1"/>
  <c r="S2174" i="6" s="1"/>
  <c r="Q2175" i="6"/>
  <c r="N2175" i="6"/>
  <c r="O2176" i="6"/>
  <c r="P2176" i="6" s="1"/>
  <c r="R2175" i="6" l="1"/>
  <c r="M2175" i="6" s="1"/>
  <c r="S2175" i="6" s="1"/>
  <c r="Q2176" i="6"/>
  <c r="N2176" i="6"/>
  <c r="O2177" i="6"/>
  <c r="P2177" i="6" s="1"/>
  <c r="R2176" i="6" l="1"/>
  <c r="M2176" i="6" s="1"/>
  <c r="S2176" i="6" s="1"/>
  <c r="Q2177" i="6"/>
  <c r="O2178" i="6"/>
  <c r="P2178" i="6" s="1"/>
  <c r="N2177" i="6"/>
  <c r="R2177" i="6" l="1"/>
  <c r="M2177" i="6" s="1"/>
  <c r="S2177" i="6" s="1"/>
  <c r="Q2178" i="6"/>
  <c r="N2178" i="6"/>
  <c r="O2179" i="6"/>
  <c r="P2179" i="6" s="1"/>
  <c r="R2178" i="6" l="1"/>
  <c r="M2178" i="6" s="1"/>
  <c r="S2178" i="6" s="1"/>
  <c r="Q2179" i="6"/>
  <c r="O2180" i="6"/>
  <c r="P2180" i="6" s="1"/>
  <c r="N2179" i="6"/>
  <c r="R2179" i="6" l="1"/>
  <c r="M2179" i="6" s="1"/>
  <c r="S2179" i="6" s="1"/>
  <c r="Q2180" i="6"/>
  <c r="O2181" i="6"/>
  <c r="P2181" i="6" s="1"/>
  <c r="N2180" i="6"/>
  <c r="R2180" i="6" l="1"/>
  <c r="M2180" i="6" s="1"/>
  <c r="S2180" i="6" s="1"/>
  <c r="Q2181" i="6"/>
  <c r="N2181" i="6"/>
  <c r="O2182" i="6"/>
  <c r="P2182" i="6" s="1"/>
  <c r="R2181" i="6" l="1"/>
  <c r="M2181" i="6" s="1"/>
  <c r="S2181" i="6" s="1"/>
  <c r="Q2182" i="6"/>
  <c r="O2183" i="6"/>
  <c r="P2183" i="6" s="1"/>
  <c r="N2182" i="6"/>
  <c r="R2182" i="6" l="1"/>
  <c r="M2182" i="6" s="1"/>
  <c r="S2182" i="6" s="1"/>
  <c r="Q2183" i="6"/>
  <c r="O2184" i="6"/>
  <c r="P2184" i="6" s="1"/>
  <c r="N2183" i="6"/>
  <c r="R2183" i="6" l="1"/>
  <c r="M2183" i="6" s="1"/>
  <c r="S2183" i="6" s="1"/>
  <c r="Q2184" i="6"/>
  <c r="N2184" i="6"/>
  <c r="O2185" i="6"/>
  <c r="P2185" i="6" s="1"/>
  <c r="R2184" i="6" l="1"/>
  <c r="M2184" i="6" s="1"/>
  <c r="S2184" i="6" s="1"/>
  <c r="Q2185" i="6"/>
  <c r="N2185" i="6"/>
  <c r="O2186" i="6"/>
  <c r="P2186" i="6" s="1"/>
  <c r="R2185" i="6" l="1"/>
  <c r="M2185" i="6" s="1"/>
  <c r="S2185" i="6" s="1"/>
  <c r="Q2186" i="6"/>
  <c r="N2186" i="6"/>
  <c r="O2187" i="6"/>
  <c r="P2187" i="6" s="1"/>
  <c r="R2186" i="6" l="1"/>
  <c r="M2186" i="6" s="1"/>
  <c r="S2186" i="6" s="1"/>
  <c r="Q2187" i="6"/>
  <c r="O2188" i="6"/>
  <c r="P2188" i="6" s="1"/>
  <c r="N2187" i="6"/>
  <c r="R2187" i="6" l="1"/>
  <c r="M2187" i="6" s="1"/>
  <c r="S2187" i="6" s="1"/>
  <c r="Q2188" i="6"/>
  <c r="O2189" i="6"/>
  <c r="P2189" i="6" s="1"/>
  <c r="N2188" i="6"/>
  <c r="R2188" i="6" l="1"/>
  <c r="M2188" i="6" s="1"/>
  <c r="S2188" i="6" s="1"/>
  <c r="Q2189" i="6"/>
  <c r="O2190" i="6"/>
  <c r="P2190" i="6" s="1"/>
  <c r="N2189" i="6"/>
  <c r="R2189" i="6" l="1"/>
  <c r="M2189" i="6" s="1"/>
  <c r="S2189" i="6" s="1"/>
  <c r="Q2190" i="6"/>
  <c r="N2190" i="6"/>
  <c r="O2191" i="6"/>
  <c r="P2191" i="6" s="1"/>
  <c r="R2190" i="6" l="1"/>
  <c r="M2190" i="6" s="1"/>
  <c r="S2190" i="6" s="1"/>
  <c r="Q2191" i="6"/>
  <c r="N2191" i="6"/>
  <c r="O2192" i="6"/>
  <c r="P2192" i="6" s="1"/>
  <c r="R2191" i="6" l="1"/>
  <c r="M2191" i="6" s="1"/>
  <c r="S2191" i="6" s="1"/>
  <c r="Q2192" i="6"/>
  <c r="O2193" i="6"/>
  <c r="P2193" i="6" s="1"/>
  <c r="N2192" i="6"/>
  <c r="R2192" i="6" l="1"/>
  <c r="M2192" i="6" s="1"/>
  <c r="S2192" i="6" s="1"/>
  <c r="Q2193" i="6"/>
  <c r="N2193" i="6"/>
  <c r="O2194" i="6"/>
  <c r="P2194" i="6" s="1"/>
  <c r="R2193" i="6" l="1"/>
  <c r="M2193" i="6" s="1"/>
  <c r="S2193" i="6" s="1"/>
  <c r="Q2194" i="6"/>
  <c r="N2194" i="6"/>
  <c r="O2195" i="6"/>
  <c r="P2195" i="6" s="1"/>
  <c r="R2194" i="6" l="1"/>
  <c r="M2194" i="6" s="1"/>
  <c r="S2194" i="6" s="1"/>
  <c r="Q2195" i="6"/>
  <c r="O2196" i="6"/>
  <c r="P2196" i="6" s="1"/>
  <c r="N2195" i="6"/>
  <c r="R2195" i="6" l="1"/>
  <c r="M2195" i="6" s="1"/>
  <c r="S2195" i="6" s="1"/>
  <c r="Q2196" i="6"/>
  <c r="O2197" i="6"/>
  <c r="P2197" i="6" s="1"/>
  <c r="N2196" i="6"/>
  <c r="R2196" i="6" l="1"/>
  <c r="M2196" i="6" s="1"/>
  <c r="S2196" i="6" s="1"/>
  <c r="Q2197" i="6"/>
  <c r="O2198" i="6"/>
  <c r="P2198" i="6" s="1"/>
  <c r="N2197" i="6"/>
  <c r="R2197" i="6" l="1"/>
  <c r="M2197" i="6" s="1"/>
  <c r="S2197" i="6" s="1"/>
  <c r="Q2198" i="6"/>
  <c r="N2198" i="6"/>
  <c r="O2199" i="6"/>
  <c r="P2199" i="6" s="1"/>
  <c r="R2198" i="6" l="1"/>
  <c r="M2198" i="6" s="1"/>
  <c r="S2198" i="6" s="1"/>
  <c r="Q2199" i="6"/>
  <c r="N2199" i="6"/>
  <c r="O2200" i="6"/>
  <c r="P2200" i="6" s="1"/>
  <c r="R2199" i="6" l="1"/>
  <c r="M2199" i="6" s="1"/>
  <c r="S2199" i="6" s="1"/>
  <c r="Q2200" i="6"/>
  <c r="N2200" i="6"/>
  <c r="O2201" i="6"/>
  <c r="P2201" i="6" s="1"/>
  <c r="R2200" i="6" l="1"/>
  <c r="M2200" i="6" s="1"/>
  <c r="S2200" i="6" s="1"/>
  <c r="Q2201" i="6"/>
  <c r="N2201" i="6"/>
  <c r="O2202" i="6"/>
  <c r="P2202" i="6" s="1"/>
  <c r="R2201" i="6" l="1"/>
  <c r="M2201" i="6" s="1"/>
  <c r="S2201" i="6" s="1"/>
  <c r="Q2202" i="6"/>
  <c r="N2202" i="6"/>
  <c r="O2203" i="6"/>
  <c r="P2203" i="6" s="1"/>
  <c r="R2202" i="6" l="1"/>
  <c r="M2202" i="6" s="1"/>
  <c r="S2202" i="6" s="1"/>
  <c r="Q2203" i="6"/>
  <c r="O2204" i="6"/>
  <c r="P2204" i="6" s="1"/>
  <c r="N2203" i="6"/>
  <c r="R2203" i="6" l="1"/>
  <c r="M2203" i="6" s="1"/>
  <c r="S2203" i="6" s="1"/>
  <c r="Q2204" i="6"/>
  <c r="N2204" i="6"/>
  <c r="O2205" i="6"/>
  <c r="P2205" i="6" s="1"/>
  <c r="R2204" i="6" l="1"/>
  <c r="M2204" i="6" s="1"/>
  <c r="S2204" i="6" s="1"/>
  <c r="Q2205" i="6"/>
  <c r="O2206" i="6"/>
  <c r="P2206" i="6" s="1"/>
  <c r="N2205" i="6"/>
  <c r="R2205" i="6" l="1"/>
  <c r="M2205" i="6" s="1"/>
  <c r="S2205" i="6" s="1"/>
  <c r="Q2206" i="6"/>
  <c r="N2206" i="6"/>
  <c r="O2207" i="6"/>
  <c r="P2207" i="6" s="1"/>
  <c r="R2206" i="6" l="1"/>
  <c r="M2206" i="6" s="1"/>
  <c r="S2206" i="6" s="1"/>
  <c r="Q2207" i="6"/>
  <c r="N2207" i="6"/>
  <c r="O2208" i="6"/>
  <c r="P2208" i="6" s="1"/>
  <c r="R2207" i="6" l="1"/>
  <c r="M2207" i="6" s="1"/>
  <c r="S2207" i="6" s="1"/>
  <c r="Q2208" i="6"/>
  <c r="N2208" i="6"/>
  <c r="O2209" i="6"/>
  <c r="P2209" i="6" s="1"/>
  <c r="R2208" i="6" l="1"/>
  <c r="M2208" i="6" s="1"/>
  <c r="S2208" i="6" s="1"/>
  <c r="Q2209" i="6"/>
  <c r="O2210" i="6"/>
  <c r="P2210" i="6" s="1"/>
  <c r="N2209" i="6"/>
  <c r="R2209" i="6" l="1"/>
  <c r="M2209" i="6" s="1"/>
  <c r="S2209" i="6" s="1"/>
  <c r="Q2210" i="6"/>
  <c r="O2211" i="6"/>
  <c r="P2211" i="6" s="1"/>
  <c r="N2210" i="6"/>
  <c r="R2210" i="6" l="1"/>
  <c r="M2210" i="6" s="1"/>
  <c r="S2210" i="6" s="1"/>
  <c r="Q2211" i="6"/>
  <c r="O2212" i="6"/>
  <c r="P2212" i="6" s="1"/>
  <c r="N2211" i="6"/>
  <c r="R2211" i="6" l="1"/>
  <c r="M2211" i="6" s="1"/>
  <c r="S2211" i="6" s="1"/>
  <c r="Q2212" i="6"/>
  <c r="O2213" i="6"/>
  <c r="P2213" i="6" s="1"/>
  <c r="N2212" i="6"/>
  <c r="R2212" i="6" l="1"/>
  <c r="M2212" i="6" s="1"/>
  <c r="S2212" i="6" s="1"/>
  <c r="Q2213" i="6"/>
  <c r="N2213" i="6"/>
  <c r="O2214" i="6"/>
  <c r="P2214" i="6" s="1"/>
  <c r="R2213" i="6" l="1"/>
  <c r="M2213" i="6" s="1"/>
  <c r="S2213" i="6" s="1"/>
  <c r="Q2214" i="6"/>
  <c r="N2214" i="6"/>
  <c r="O2215" i="6"/>
  <c r="P2215" i="6" s="1"/>
  <c r="R2214" i="6" l="1"/>
  <c r="M2214" i="6" s="1"/>
  <c r="S2214" i="6" s="1"/>
  <c r="Q2215" i="6"/>
  <c r="O2216" i="6"/>
  <c r="P2216" i="6" s="1"/>
  <c r="N2215" i="6"/>
  <c r="R2215" i="6" l="1"/>
  <c r="M2215" i="6" s="1"/>
  <c r="S2215" i="6" s="1"/>
  <c r="Q2216" i="6"/>
  <c r="N2216" i="6"/>
  <c r="O2217" i="6"/>
  <c r="P2217" i="6" s="1"/>
  <c r="R2216" i="6" l="1"/>
  <c r="M2216" i="6" s="1"/>
  <c r="S2216" i="6" s="1"/>
  <c r="Q2217" i="6"/>
  <c r="N2217" i="6"/>
  <c r="O2218" i="6"/>
  <c r="P2218" i="6" s="1"/>
  <c r="R2217" i="6" l="1"/>
  <c r="M2217" i="6" s="1"/>
  <c r="S2217" i="6" s="1"/>
  <c r="Q2218" i="6"/>
  <c r="N2218" i="6"/>
  <c r="O2219" i="6"/>
  <c r="P2219" i="6" s="1"/>
  <c r="R2218" i="6" l="1"/>
  <c r="M2218" i="6" s="1"/>
  <c r="S2218" i="6" s="1"/>
  <c r="Q2219" i="6"/>
  <c r="N2219" i="6"/>
  <c r="O2220" i="6"/>
  <c r="P2220" i="6" s="1"/>
  <c r="R2219" i="6" l="1"/>
  <c r="M2219" i="6" s="1"/>
  <c r="S2219" i="6" s="1"/>
  <c r="Q2220" i="6"/>
  <c r="N2220" i="6"/>
  <c r="O2221" i="6"/>
  <c r="P2221" i="6" s="1"/>
  <c r="R2220" i="6" l="1"/>
  <c r="M2220" i="6" s="1"/>
  <c r="S2220" i="6" s="1"/>
  <c r="Q2221" i="6"/>
  <c r="O2222" i="6"/>
  <c r="P2222" i="6" s="1"/>
  <c r="N2221" i="6"/>
  <c r="R2221" i="6" l="1"/>
  <c r="M2221" i="6" s="1"/>
  <c r="S2221" i="6" s="1"/>
  <c r="Q2222" i="6"/>
  <c r="N2222" i="6"/>
  <c r="O2223" i="6"/>
  <c r="P2223" i="6" s="1"/>
  <c r="R2222" i="6" l="1"/>
  <c r="M2222" i="6" s="1"/>
  <c r="S2222" i="6" s="1"/>
  <c r="Q2223" i="6"/>
  <c r="O2224" i="6"/>
  <c r="P2224" i="6" s="1"/>
  <c r="N2223" i="6"/>
  <c r="R2223" i="6" l="1"/>
  <c r="M2223" i="6" s="1"/>
  <c r="S2223" i="6" s="1"/>
  <c r="Q2224" i="6"/>
  <c r="O2225" i="6"/>
  <c r="P2225" i="6" s="1"/>
  <c r="N2224" i="6"/>
  <c r="R2224" i="6" l="1"/>
  <c r="M2224" i="6" s="1"/>
  <c r="S2224" i="6" s="1"/>
  <c r="Q2225" i="6"/>
  <c r="N2225" i="6"/>
  <c r="O2226" i="6"/>
  <c r="P2226" i="6" s="1"/>
  <c r="R2225" i="6" l="1"/>
  <c r="M2225" i="6" s="1"/>
  <c r="S2225" i="6" s="1"/>
  <c r="Q2226" i="6"/>
  <c r="N2226" i="6"/>
  <c r="O2227" i="6"/>
  <c r="P2227" i="6" s="1"/>
  <c r="R2226" i="6" l="1"/>
  <c r="M2226" i="6" s="1"/>
  <c r="S2226" i="6" s="1"/>
  <c r="Q2227" i="6"/>
  <c r="O2228" i="6"/>
  <c r="P2228" i="6" s="1"/>
  <c r="N2227" i="6"/>
  <c r="R2227" i="6" l="1"/>
  <c r="M2227" i="6" s="1"/>
  <c r="S2227" i="6" s="1"/>
  <c r="Q2228" i="6"/>
  <c r="N2228" i="6"/>
  <c r="O2229" i="6"/>
  <c r="P2229" i="6" s="1"/>
  <c r="R2228" i="6" l="1"/>
  <c r="M2228" i="6" s="1"/>
  <c r="S2228" i="6" s="1"/>
  <c r="Q2229" i="6"/>
  <c r="N2229" i="6"/>
  <c r="O2230" i="6"/>
  <c r="P2230" i="6" s="1"/>
  <c r="R2229" i="6" l="1"/>
  <c r="M2229" i="6" s="1"/>
  <c r="S2229" i="6" s="1"/>
  <c r="Q2230" i="6"/>
  <c r="N2230" i="6"/>
  <c r="O2231" i="6"/>
  <c r="P2231" i="6" s="1"/>
  <c r="R2230" i="6" l="1"/>
  <c r="M2230" i="6" s="1"/>
  <c r="S2230" i="6" s="1"/>
  <c r="Q2231" i="6"/>
  <c r="N2231" i="6"/>
  <c r="O2232" i="6"/>
  <c r="P2232" i="6" s="1"/>
  <c r="R2231" i="6" l="1"/>
  <c r="M2231" i="6" s="1"/>
  <c r="S2231" i="6" s="1"/>
  <c r="Q2232" i="6"/>
  <c r="O2233" i="6"/>
  <c r="P2233" i="6" s="1"/>
  <c r="N2232" i="6"/>
  <c r="R2232" i="6" l="1"/>
  <c r="M2232" i="6" s="1"/>
  <c r="S2232" i="6" s="1"/>
  <c r="Q2233" i="6"/>
  <c r="N2233" i="6"/>
  <c r="O2234" i="6"/>
  <c r="P2234" i="6" s="1"/>
  <c r="R2233" i="6" l="1"/>
  <c r="M2233" i="6" s="1"/>
  <c r="S2233" i="6" s="1"/>
  <c r="Q2234" i="6"/>
  <c r="N2234" i="6"/>
  <c r="O2235" i="6"/>
  <c r="P2235" i="6" s="1"/>
  <c r="R2234" i="6" l="1"/>
  <c r="M2234" i="6" s="1"/>
  <c r="S2234" i="6" s="1"/>
  <c r="Q2235" i="6"/>
  <c r="N2235" i="6"/>
  <c r="O2236" i="6"/>
  <c r="P2236" i="6" s="1"/>
  <c r="R2235" i="6" l="1"/>
  <c r="M2235" i="6" s="1"/>
  <c r="S2235" i="6" s="1"/>
  <c r="Q2236" i="6"/>
  <c r="N2236" i="6"/>
  <c r="O2237" i="6"/>
  <c r="P2237" i="6" s="1"/>
  <c r="R2236" i="6" l="1"/>
  <c r="M2236" i="6" s="1"/>
  <c r="S2236" i="6" s="1"/>
  <c r="Q2237" i="6"/>
  <c r="N2237" i="6"/>
  <c r="O2238" i="6"/>
  <c r="P2238" i="6" s="1"/>
  <c r="R2237" i="6" l="1"/>
  <c r="M2237" i="6" s="1"/>
  <c r="S2237" i="6" s="1"/>
  <c r="Q2238" i="6"/>
  <c r="N2238" i="6"/>
  <c r="O2239" i="6"/>
  <c r="P2239" i="6" s="1"/>
  <c r="R2238" i="6" l="1"/>
  <c r="M2238" i="6" s="1"/>
  <c r="S2238" i="6" s="1"/>
  <c r="Q2239" i="6"/>
  <c r="N2239" i="6"/>
  <c r="O2240" i="6"/>
  <c r="P2240" i="6" s="1"/>
  <c r="R2239" i="6" l="1"/>
  <c r="M2239" i="6" s="1"/>
  <c r="S2239" i="6" s="1"/>
  <c r="Q2240" i="6"/>
  <c r="O2241" i="6"/>
  <c r="P2241" i="6" s="1"/>
  <c r="N2240" i="6"/>
  <c r="R2240" i="6" l="1"/>
  <c r="M2240" i="6" s="1"/>
  <c r="S2240" i="6" s="1"/>
  <c r="Q2241" i="6"/>
  <c r="O2242" i="6"/>
  <c r="P2242" i="6" s="1"/>
  <c r="N2241" i="6"/>
  <c r="R2241" i="6" l="1"/>
  <c r="M2241" i="6" s="1"/>
  <c r="S2241" i="6" s="1"/>
  <c r="Q2242" i="6"/>
  <c r="O2243" i="6"/>
  <c r="P2243" i="6" s="1"/>
  <c r="N2242" i="6"/>
  <c r="R2242" i="6" l="1"/>
  <c r="M2242" i="6" s="1"/>
  <c r="S2242" i="6" s="1"/>
  <c r="Q2243" i="6"/>
  <c r="O2244" i="6"/>
  <c r="P2244" i="6" s="1"/>
  <c r="N2243" i="6"/>
  <c r="R2243" i="6" l="1"/>
  <c r="M2243" i="6" s="1"/>
  <c r="S2243" i="6" s="1"/>
  <c r="Q2244" i="6"/>
  <c r="N2244" i="6"/>
  <c r="O2245" i="6"/>
  <c r="P2245" i="6" s="1"/>
  <c r="R2244" i="6" l="1"/>
  <c r="M2244" i="6" s="1"/>
  <c r="S2244" i="6" s="1"/>
  <c r="Q2245" i="6"/>
  <c r="O2246" i="6"/>
  <c r="P2246" i="6" s="1"/>
  <c r="N2245" i="6"/>
  <c r="R2245" i="6" l="1"/>
  <c r="M2245" i="6" s="1"/>
  <c r="S2245" i="6" s="1"/>
  <c r="Q2246" i="6"/>
  <c r="O2247" i="6"/>
  <c r="P2247" i="6" s="1"/>
  <c r="N2246" i="6"/>
  <c r="R2246" i="6" l="1"/>
  <c r="M2246" i="6" s="1"/>
  <c r="S2246" i="6" s="1"/>
  <c r="Q2247" i="6"/>
  <c r="O2248" i="6"/>
  <c r="P2248" i="6" s="1"/>
  <c r="N2247" i="6"/>
  <c r="R2247" i="6" l="1"/>
  <c r="M2247" i="6" s="1"/>
  <c r="S2247" i="6" s="1"/>
  <c r="Q2248" i="6"/>
  <c r="N2248" i="6"/>
  <c r="O2249" i="6"/>
  <c r="P2249" i="6" s="1"/>
  <c r="R2248" i="6" l="1"/>
  <c r="M2248" i="6" s="1"/>
  <c r="S2248" i="6" s="1"/>
  <c r="Q2249" i="6"/>
  <c r="O2250" i="6"/>
  <c r="P2250" i="6" s="1"/>
  <c r="N2249" i="6"/>
  <c r="R2249" i="6" l="1"/>
  <c r="M2249" i="6" s="1"/>
  <c r="S2249" i="6" s="1"/>
  <c r="Q2250" i="6"/>
  <c r="N2250" i="6"/>
  <c r="O2251" i="6"/>
  <c r="P2251" i="6" s="1"/>
  <c r="R2250" i="6" l="1"/>
  <c r="M2250" i="6" s="1"/>
  <c r="S2250" i="6" s="1"/>
  <c r="Q2251" i="6"/>
  <c r="N2251" i="6"/>
  <c r="O2252" i="6"/>
  <c r="P2252" i="6" s="1"/>
  <c r="R2251" i="6" l="1"/>
  <c r="M2251" i="6" s="1"/>
  <c r="S2251" i="6" s="1"/>
  <c r="Q2252" i="6"/>
  <c r="N2252" i="6"/>
  <c r="O2253" i="6"/>
  <c r="P2253" i="6" s="1"/>
  <c r="R2252" i="6" l="1"/>
  <c r="M2252" i="6" s="1"/>
  <c r="S2252" i="6" s="1"/>
  <c r="Q2253" i="6"/>
  <c r="O2254" i="6"/>
  <c r="P2254" i="6" s="1"/>
  <c r="N2253" i="6"/>
  <c r="R2253" i="6" l="1"/>
  <c r="M2253" i="6" s="1"/>
  <c r="S2253" i="6" s="1"/>
  <c r="Q2254" i="6"/>
  <c r="O2255" i="6"/>
  <c r="P2255" i="6" s="1"/>
  <c r="N2254" i="6"/>
  <c r="R2254" i="6" l="1"/>
  <c r="M2254" i="6" s="1"/>
  <c r="S2254" i="6" s="1"/>
  <c r="Q2255" i="6"/>
  <c r="N2255" i="6"/>
  <c r="O2256" i="6"/>
  <c r="P2256" i="6" s="1"/>
  <c r="R2255" i="6" l="1"/>
  <c r="M2255" i="6" s="1"/>
  <c r="S2255" i="6" s="1"/>
  <c r="Q2256" i="6"/>
  <c r="N2256" i="6"/>
  <c r="O2257" i="6"/>
  <c r="P2257" i="6" s="1"/>
  <c r="R2256" i="6" l="1"/>
  <c r="M2256" i="6" s="1"/>
  <c r="S2256" i="6" s="1"/>
  <c r="Q2257" i="6"/>
  <c r="N2257" i="6"/>
  <c r="O2258" i="6"/>
  <c r="P2258" i="6" s="1"/>
  <c r="R2257" i="6" l="1"/>
  <c r="M2257" i="6" s="1"/>
  <c r="S2257" i="6" s="1"/>
  <c r="Q2258" i="6"/>
  <c r="O2259" i="6"/>
  <c r="P2259" i="6" s="1"/>
  <c r="N2258" i="6"/>
  <c r="R2258" i="6" l="1"/>
  <c r="M2258" i="6" s="1"/>
  <c r="S2258" i="6" s="1"/>
  <c r="Q2259" i="6"/>
  <c r="O2260" i="6"/>
  <c r="P2260" i="6" s="1"/>
  <c r="N2259" i="6"/>
  <c r="R2259" i="6" l="1"/>
  <c r="M2259" i="6" s="1"/>
  <c r="S2259" i="6" s="1"/>
  <c r="Q2260" i="6"/>
  <c r="N2260" i="6"/>
  <c r="O2261" i="6"/>
  <c r="P2261" i="6" s="1"/>
  <c r="R2260" i="6" l="1"/>
  <c r="M2260" i="6" s="1"/>
  <c r="S2260" i="6" s="1"/>
  <c r="Q2261" i="6"/>
  <c r="N2261" i="6"/>
  <c r="O2262" i="6"/>
  <c r="P2262" i="6" s="1"/>
  <c r="R2261" i="6" l="1"/>
  <c r="M2261" i="6" s="1"/>
  <c r="S2261" i="6" s="1"/>
  <c r="Q2262" i="6"/>
  <c r="N2262" i="6"/>
  <c r="O2263" i="6"/>
  <c r="P2263" i="6" s="1"/>
  <c r="R2262" i="6" l="1"/>
  <c r="M2262" i="6" s="1"/>
  <c r="S2262" i="6" s="1"/>
  <c r="Q2263" i="6"/>
  <c r="O2264" i="6"/>
  <c r="P2264" i="6" s="1"/>
  <c r="N2263" i="6"/>
  <c r="R2263" i="6" l="1"/>
  <c r="M2263" i="6" s="1"/>
  <c r="S2263" i="6" s="1"/>
  <c r="Q2264" i="6"/>
  <c r="O2265" i="6"/>
  <c r="P2265" i="6" s="1"/>
  <c r="N2264" i="6"/>
  <c r="R2264" i="6" l="1"/>
  <c r="M2264" i="6" s="1"/>
  <c r="S2264" i="6" s="1"/>
  <c r="Q2265" i="6"/>
  <c r="N2265" i="6"/>
  <c r="O2266" i="6"/>
  <c r="P2266" i="6" s="1"/>
  <c r="R2265" i="6" l="1"/>
  <c r="M2265" i="6" s="1"/>
  <c r="S2265" i="6" s="1"/>
  <c r="Q2266" i="6"/>
  <c r="O2267" i="6"/>
  <c r="P2267" i="6" s="1"/>
  <c r="N2266" i="6"/>
  <c r="R2266" i="6" l="1"/>
  <c r="M2266" i="6" s="1"/>
  <c r="S2266" i="6" s="1"/>
  <c r="Q2267" i="6"/>
  <c r="N2267" i="6"/>
  <c r="O2268" i="6"/>
  <c r="P2268" i="6" s="1"/>
  <c r="R2267" i="6" l="1"/>
  <c r="M2267" i="6" s="1"/>
  <c r="S2267" i="6" s="1"/>
  <c r="Q2268" i="6"/>
  <c r="N2268" i="6"/>
  <c r="O2269" i="6"/>
  <c r="P2269" i="6" s="1"/>
  <c r="R2268" i="6" l="1"/>
  <c r="M2268" i="6" s="1"/>
  <c r="S2268" i="6" s="1"/>
  <c r="Q2269" i="6"/>
  <c r="O2270" i="6"/>
  <c r="P2270" i="6" s="1"/>
  <c r="N2269" i="6"/>
  <c r="R2269" i="6" l="1"/>
  <c r="M2269" i="6" s="1"/>
  <c r="S2269" i="6" s="1"/>
  <c r="Q2270" i="6"/>
  <c r="O2271" i="6"/>
  <c r="P2271" i="6" s="1"/>
  <c r="N2270" i="6"/>
  <c r="R2270" i="6" l="1"/>
  <c r="M2270" i="6" s="1"/>
  <c r="S2270" i="6" s="1"/>
  <c r="Q2271" i="6"/>
  <c r="O2272" i="6"/>
  <c r="P2272" i="6" s="1"/>
  <c r="N2271" i="6"/>
  <c r="R2271" i="6" l="1"/>
  <c r="M2271" i="6" s="1"/>
  <c r="S2271" i="6" s="1"/>
  <c r="Q2272" i="6"/>
  <c r="O2273" i="6"/>
  <c r="P2273" i="6" s="1"/>
  <c r="N2272" i="6"/>
  <c r="R2272" i="6" l="1"/>
  <c r="M2272" i="6" s="1"/>
  <c r="S2272" i="6" s="1"/>
  <c r="Q2273" i="6"/>
  <c r="N2273" i="6"/>
  <c r="O2274" i="6"/>
  <c r="P2274" i="6" s="1"/>
  <c r="R2273" i="6" l="1"/>
  <c r="M2273" i="6" s="1"/>
  <c r="S2273" i="6" s="1"/>
  <c r="Q2274" i="6"/>
  <c r="O2275" i="6"/>
  <c r="P2275" i="6" s="1"/>
  <c r="N2274" i="6"/>
  <c r="R2274" i="6" l="1"/>
  <c r="M2274" i="6" s="1"/>
  <c r="S2274" i="6" s="1"/>
  <c r="Q2275" i="6"/>
  <c r="O2276" i="6"/>
  <c r="P2276" i="6" s="1"/>
  <c r="N2275" i="6"/>
  <c r="R2275" i="6" l="1"/>
  <c r="M2275" i="6" s="1"/>
  <c r="S2275" i="6" s="1"/>
  <c r="Q2276" i="6"/>
  <c r="N2276" i="6"/>
  <c r="O2277" i="6"/>
  <c r="P2277" i="6" s="1"/>
  <c r="R2276" i="6" l="1"/>
  <c r="M2276" i="6" s="1"/>
  <c r="S2276" i="6" s="1"/>
  <c r="Q2277" i="6"/>
  <c r="N2277" i="6"/>
  <c r="O2278" i="6"/>
  <c r="P2278" i="6" s="1"/>
  <c r="R2277" i="6" l="1"/>
  <c r="M2277" i="6" s="1"/>
  <c r="S2277" i="6" s="1"/>
  <c r="Q2278" i="6"/>
  <c r="O2279" i="6"/>
  <c r="P2279" i="6" s="1"/>
  <c r="N2278" i="6"/>
  <c r="R2278" i="6" l="1"/>
  <c r="M2278" i="6" s="1"/>
  <c r="S2278" i="6" s="1"/>
  <c r="Q2279" i="6"/>
  <c r="O2280" i="6"/>
  <c r="P2280" i="6" s="1"/>
  <c r="N2279" i="6"/>
  <c r="R2279" i="6" l="1"/>
  <c r="M2279" i="6" s="1"/>
  <c r="S2279" i="6" s="1"/>
  <c r="Q2280" i="6"/>
  <c r="N2280" i="6"/>
  <c r="O2281" i="6"/>
  <c r="P2281" i="6" s="1"/>
  <c r="R2280" i="6" l="1"/>
  <c r="M2280" i="6" s="1"/>
  <c r="S2280" i="6" s="1"/>
  <c r="Q2281" i="6"/>
  <c r="N2281" i="6"/>
  <c r="O2282" i="6"/>
  <c r="P2282" i="6" s="1"/>
  <c r="R2281" i="6" l="1"/>
  <c r="M2281" i="6" s="1"/>
  <c r="S2281" i="6" s="1"/>
  <c r="Q2282" i="6"/>
  <c r="O2283" i="6"/>
  <c r="P2283" i="6" s="1"/>
  <c r="N2282" i="6"/>
  <c r="R2282" i="6" l="1"/>
  <c r="M2282" i="6" s="1"/>
  <c r="S2282" i="6" s="1"/>
  <c r="Q2283" i="6"/>
  <c r="N2283" i="6"/>
  <c r="O2284" i="6"/>
  <c r="P2284" i="6" s="1"/>
  <c r="R2283" i="6" l="1"/>
  <c r="M2283" i="6" s="1"/>
  <c r="S2283" i="6" s="1"/>
  <c r="Q2284" i="6"/>
  <c r="O2285" i="6"/>
  <c r="P2285" i="6" s="1"/>
  <c r="N2284" i="6"/>
  <c r="R2284" i="6" l="1"/>
  <c r="M2284" i="6" s="1"/>
  <c r="S2284" i="6" s="1"/>
  <c r="Q2285" i="6"/>
  <c r="O2286" i="6"/>
  <c r="P2286" i="6" s="1"/>
  <c r="N2285" i="6"/>
  <c r="R2285" i="6" l="1"/>
  <c r="M2285" i="6" s="1"/>
  <c r="S2285" i="6" s="1"/>
  <c r="Q2286" i="6"/>
  <c r="O2287" i="6"/>
  <c r="P2287" i="6" s="1"/>
  <c r="N2286" i="6"/>
  <c r="R2286" i="6" l="1"/>
  <c r="M2286" i="6" s="1"/>
  <c r="S2286" i="6" s="1"/>
  <c r="Q2287" i="6"/>
  <c r="N2287" i="6"/>
  <c r="O2288" i="6"/>
  <c r="P2288" i="6" s="1"/>
  <c r="R2287" i="6" l="1"/>
  <c r="M2287" i="6" s="1"/>
  <c r="S2287" i="6" s="1"/>
  <c r="Q2288" i="6"/>
  <c r="O2289" i="6"/>
  <c r="P2289" i="6" s="1"/>
  <c r="N2288" i="6"/>
  <c r="R2288" i="6" l="1"/>
  <c r="M2288" i="6" s="1"/>
  <c r="S2288" i="6" s="1"/>
  <c r="Q2289" i="6"/>
  <c r="N2289" i="6"/>
  <c r="O2290" i="6"/>
  <c r="P2290" i="6" s="1"/>
  <c r="R2289" i="6" l="1"/>
  <c r="M2289" i="6" s="1"/>
  <c r="S2289" i="6" s="1"/>
  <c r="Q2290" i="6"/>
  <c r="N2290" i="6"/>
  <c r="O2291" i="6"/>
  <c r="P2291" i="6" s="1"/>
  <c r="R2290" i="6" l="1"/>
  <c r="M2290" i="6" s="1"/>
  <c r="S2290" i="6" s="1"/>
  <c r="Q2291" i="6"/>
  <c r="O2292" i="6"/>
  <c r="P2292" i="6" s="1"/>
  <c r="N2291" i="6"/>
  <c r="R2291" i="6" l="1"/>
  <c r="M2291" i="6" s="1"/>
  <c r="S2291" i="6" s="1"/>
  <c r="Q2292" i="6"/>
  <c r="O2293" i="6"/>
  <c r="P2293" i="6" s="1"/>
  <c r="N2292" i="6"/>
  <c r="R2292" i="6" l="1"/>
  <c r="M2292" i="6" s="1"/>
  <c r="S2292" i="6" s="1"/>
  <c r="Q2293" i="6"/>
  <c r="N2293" i="6"/>
  <c r="O2294" i="6"/>
  <c r="P2294" i="6" s="1"/>
  <c r="R2293" i="6" l="1"/>
  <c r="M2293" i="6" s="1"/>
  <c r="S2293" i="6" s="1"/>
  <c r="Q2294" i="6"/>
  <c r="N2294" i="6"/>
  <c r="O2295" i="6"/>
  <c r="P2295" i="6" s="1"/>
  <c r="R2294" i="6" l="1"/>
  <c r="M2294" i="6" s="1"/>
  <c r="S2294" i="6" s="1"/>
  <c r="Q2295" i="6"/>
  <c r="O2296" i="6"/>
  <c r="P2296" i="6" s="1"/>
  <c r="N2295" i="6"/>
  <c r="R2295" i="6" l="1"/>
  <c r="M2295" i="6" s="1"/>
  <c r="S2295" i="6" s="1"/>
  <c r="Q2296" i="6"/>
  <c r="O2297" i="6"/>
  <c r="P2297" i="6" s="1"/>
  <c r="N2296" i="6"/>
  <c r="R2296" i="6" l="1"/>
  <c r="M2296" i="6" s="1"/>
  <c r="S2296" i="6" s="1"/>
  <c r="Q2297" i="6"/>
  <c r="N2297" i="6"/>
  <c r="O2298" i="6"/>
  <c r="P2298" i="6" s="1"/>
  <c r="R2297" i="6" l="1"/>
  <c r="M2297" i="6" s="1"/>
  <c r="S2297" i="6" s="1"/>
  <c r="Q2298" i="6"/>
  <c r="O2299" i="6"/>
  <c r="P2299" i="6" s="1"/>
  <c r="N2298" i="6"/>
  <c r="R2298" i="6" l="1"/>
  <c r="M2298" i="6" s="1"/>
  <c r="S2298" i="6" s="1"/>
  <c r="Q2299" i="6"/>
  <c r="O2300" i="6"/>
  <c r="P2300" i="6" s="1"/>
  <c r="N2299" i="6"/>
  <c r="R2299" i="6" l="1"/>
  <c r="M2299" i="6" s="1"/>
  <c r="S2299" i="6" s="1"/>
  <c r="Q2300" i="6"/>
  <c r="N2300" i="6"/>
  <c r="O2301" i="6"/>
  <c r="P2301" i="6" s="1"/>
  <c r="R2300" i="6" l="1"/>
  <c r="M2300" i="6" s="1"/>
  <c r="S2300" i="6" s="1"/>
  <c r="Q2301" i="6"/>
  <c r="O2302" i="6"/>
  <c r="P2302" i="6" s="1"/>
  <c r="N2301" i="6"/>
  <c r="R2301" i="6" l="1"/>
  <c r="M2301" i="6" s="1"/>
  <c r="S2301" i="6" s="1"/>
  <c r="Q2302" i="6"/>
  <c r="O2303" i="6"/>
  <c r="P2303" i="6" s="1"/>
  <c r="N2302" i="6"/>
  <c r="R2302" i="6" l="1"/>
  <c r="M2302" i="6" s="1"/>
  <c r="S2302" i="6" s="1"/>
  <c r="Q2303" i="6"/>
  <c r="N2303" i="6"/>
  <c r="O2304" i="6"/>
  <c r="P2304" i="6" s="1"/>
  <c r="R2303" i="6" l="1"/>
  <c r="M2303" i="6" s="1"/>
  <c r="S2303" i="6" s="1"/>
  <c r="Q2304" i="6"/>
  <c r="N2304" i="6"/>
  <c r="O2305" i="6"/>
  <c r="P2305" i="6" s="1"/>
  <c r="R2304" i="6" l="1"/>
  <c r="M2304" i="6" s="1"/>
  <c r="S2304" i="6" s="1"/>
  <c r="Q2305" i="6"/>
  <c r="N2305" i="6"/>
  <c r="O2306" i="6"/>
  <c r="P2306" i="6" s="1"/>
  <c r="R2305" i="6" l="1"/>
  <c r="M2305" i="6" s="1"/>
  <c r="S2305" i="6" s="1"/>
  <c r="Q2306" i="6"/>
  <c r="N2306" i="6"/>
  <c r="O2307" i="6"/>
  <c r="P2307" i="6" s="1"/>
  <c r="R2306" i="6" l="1"/>
  <c r="M2306" i="6" s="1"/>
  <c r="S2306" i="6" s="1"/>
  <c r="Q2307" i="6"/>
  <c r="N2307" i="6"/>
  <c r="O2308" i="6"/>
  <c r="P2308" i="6" s="1"/>
  <c r="R2307" i="6" l="1"/>
  <c r="M2307" i="6" s="1"/>
  <c r="S2307" i="6" s="1"/>
  <c r="Q2308" i="6"/>
  <c r="O2309" i="6"/>
  <c r="P2309" i="6" s="1"/>
  <c r="N2308" i="6"/>
  <c r="R2308" i="6" l="1"/>
  <c r="M2308" i="6" s="1"/>
  <c r="S2308" i="6" s="1"/>
  <c r="Q2309" i="6"/>
  <c r="O2310" i="6"/>
  <c r="P2310" i="6" s="1"/>
  <c r="N2309" i="6"/>
  <c r="R2309" i="6" l="1"/>
  <c r="M2309" i="6" s="1"/>
  <c r="S2309" i="6" s="1"/>
  <c r="Q2310" i="6"/>
  <c r="O2311" i="6"/>
  <c r="P2311" i="6" s="1"/>
  <c r="N2310" i="6"/>
  <c r="R2310" i="6" l="1"/>
  <c r="M2310" i="6" s="1"/>
  <c r="S2310" i="6" s="1"/>
  <c r="Q2311" i="6"/>
  <c r="O2312" i="6"/>
  <c r="P2312" i="6" s="1"/>
  <c r="N2311" i="6"/>
  <c r="R2311" i="6" l="1"/>
  <c r="M2311" i="6" s="1"/>
  <c r="S2311" i="6" s="1"/>
  <c r="Q2312" i="6"/>
  <c r="O2313" i="6"/>
  <c r="P2313" i="6" s="1"/>
  <c r="N2312" i="6"/>
  <c r="R2312" i="6" l="1"/>
  <c r="M2312" i="6" s="1"/>
  <c r="S2312" i="6" s="1"/>
  <c r="Q2313" i="6"/>
  <c r="N2313" i="6"/>
  <c r="O2314" i="6"/>
  <c r="P2314" i="6" s="1"/>
  <c r="R2313" i="6" l="1"/>
  <c r="M2313" i="6" s="1"/>
  <c r="S2313" i="6" s="1"/>
  <c r="Q2314" i="6"/>
  <c r="O2315" i="6"/>
  <c r="P2315" i="6" s="1"/>
  <c r="N2314" i="6"/>
  <c r="R2314" i="6" l="1"/>
  <c r="M2314" i="6" s="1"/>
  <c r="S2314" i="6" s="1"/>
  <c r="Q2315" i="6"/>
  <c r="N2315" i="6"/>
  <c r="O2316" i="6"/>
  <c r="P2316" i="6" s="1"/>
  <c r="R2315" i="6" l="1"/>
  <c r="M2315" i="6" s="1"/>
  <c r="S2315" i="6" s="1"/>
  <c r="Q2316" i="6"/>
  <c r="N2316" i="6"/>
  <c r="O2317" i="6"/>
  <c r="P2317" i="6" s="1"/>
  <c r="R2316" i="6" l="1"/>
  <c r="M2316" i="6" s="1"/>
  <c r="S2316" i="6" s="1"/>
  <c r="Q2317" i="6"/>
  <c r="N2317" i="6"/>
  <c r="O2318" i="6"/>
  <c r="P2318" i="6" s="1"/>
  <c r="R2317" i="6" l="1"/>
  <c r="M2317" i="6" s="1"/>
  <c r="S2317" i="6" s="1"/>
  <c r="Q2318" i="6"/>
  <c r="N2318" i="6"/>
  <c r="O2319" i="6"/>
  <c r="P2319" i="6" s="1"/>
  <c r="R2318" i="6" l="1"/>
  <c r="M2318" i="6" s="1"/>
  <c r="S2318" i="6" s="1"/>
  <c r="Q2319" i="6"/>
  <c r="O2320" i="6"/>
  <c r="P2320" i="6" s="1"/>
  <c r="N2319" i="6"/>
  <c r="R2319" i="6" l="1"/>
  <c r="M2319" i="6" s="1"/>
  <c r="S2319" i="6" s="1"/>
  <c r="Q2320" i="6"/>
  <c r="O2321" i="6"/>
  <c r="P2321" i="6" s="1"/>
  <c r="N2320" i="6"/>
  <c r="R2320" i="6" l="1"/>
  <c r="M2320" i="6" s="1"/>
  <c r="S2320" i="6" s="1"/>
  <c r="Q2321" i="6"/>
  <c r="N2321" i="6"/>
  <c r="O2322" i="6"/>
  <c r="P2322" i="6" s="1"/>
  <c r="R2321" i="6" l="1"/>
  <c r="M2321" i="6" s="1"/>
  <c r="S2321" i="6" s="1"/>
  <c r="Q2322" i="6"/>
  <c r="O2323" i="6"/>
  <c r="P2323" i="6" s="1"/>
  <c r="N2322" i="6"/>
  <c r="R2322" i="6" l="1"/>
  <c r="M2322" i="6" s="1"/>
  <c r="S2322" i="6" s="1"/>
  <c r="Q2323" i="6"/>
  <c r="N2323" i="6"/>
  <c r="O2324" i="6"/>
  <c r="P2324" i="6" s="1"/>
  <c r="R2323" i="6" l="1"/>
  <c r="M2323" i="6" s="1"/>
  <c r="S2323" i="6" s="1"/>
  <c r="Q2324" i="6"/>
  <c r="N2324" i="6"/>
  <c r="O2325" i="6"/>
  <c r="P2325" i="6" s="1"/>
  <c r="R2324" i="6" l="1"/>
  <c r="M2324" i="6" s="1"/>
  <c r="S2324" i="6" s="1"/>
  <c r="Q2325" i="6"/>
  <c r="O2326" i="6"/>
  <c r="P2326" i="6" s="1"/>
  <c r="N2325" i="6"/>
  <c r="R2325" i="6" l="1"/>
  <c r="M2325" i="6" s="1"/>
  <c r="S2325" i="6" s="1"/>
  <c r="Q2326" i="6"/>
  <c r="O2327" i="6"/>
  <c r="P2327" i="6" s="1"/>
  <c r="N2326" i="6"/>
  <c r="R2326" i="6" l="1"/>
  <c r="M2326" i="6" s="1"/>
  <c r="S2326" i="6" s="1"/>
  <c r="Q2327" i="6"/>
  <c r="N2327" i="6"/>
  <c r="O2328" i="6"/>
  <c r="P2328" i="6" s="1"/>
  <c r="R2327" i="6" l="1"/>
  <c r="M2327" i="6" s="1"/>
  <c r="S2327" i="6" s="1"/>
  <c r="Q2328" i="6"/>
  <c r="N2328" i="6"/>
  <c r="O2329" i="6"/>
  <c r="P2329" i="6" s="1"/>
  <c r="R2328" i="6" l="1"/>
  <c r="M2328" i="6" s="1"/>
  <c r="S2328" i="6" s="1"/>
  <c r="Q2329" i="6"/>
  <c r="N2329" i="6"/>
  <c r="O2330" i="6"/>
  <c r="P2330" i="6" s="1"/>
  <c r="R2329" i="6" l="1"/>
  <c r="M2329" i="6" s="1"/>
  <c r="S2329" i="6" s="1"/>
  <c r="Q2330" i="6"/>
  <c r="N2330" i="6"/>
  <c r="O2331" i="6"/>
  <c r="P2331" i="6" s="1"/>
  <c r="R2330" i="6" l="1"/>
  <c r="M2330" i="6" s="1"/>
  <c r="S2330" i="6" s="1"/>
  <c r="Q2331" i="6"/>
  <c r="O2332" i="6"/>
  <c r="P2332" i="6" s="1"/>
  <c r="N2331" i="6"/>
  <c r="R2331" i="6" l="1"/>
  <c r="M2331" i="6" s="1"/>
  <c r="S2331" i="6" s="1"/>
  <c r="Q2332" i="6"/>
  <c r="O2333" i="6"/>
  <c r="P2333" i="6" s="1"/>
  <c r="N2332" i="6"/>
  <c r="R2332" i="6" l="1"/>
  <c r="M2332" i="6" s="1"/>
  <c r="S2332" i="6" s="1"/>
  <c r="Q2333" i="6"/>
  <c r="N2333" i="6"/>
  <c r="O2334" i="6"/>
  <c r="P2334" i="6" s="1"/>
  <c r="R2333" i="6" l="1"/>
  <c r="M2333" i="6" s="1"/>
  <c r="S2333" i="6" s="1"/>
  <c r="Q2334" i="6"/>
  <c r="O2335" i="6"/>
  <c r="P2335" i="6" s="1"/>
  <c r="N2334" i="6"/>
  <c r="R2334" i="6" l="1"/>
  <c r="M2334" i="6" s="1"/>
  <c r="S2334" i="6" s="1"/>
  <c r="Q2335" i="6"/>
  <c r="O2336" i="6"/>
  <c r="P2336" i="6" s="1"/>
  <c r="N2335" i="6"/>
  <c r="R2335" i="6" l="1"/>
  <c r="M2335" i="6" s="1"/>
  <c r="S2335" i="6" s="1"/>
  <c r="Q2336" i="6"/>
  <c r="O2337" i="6"/>
  <c r="P2337" i="6" s="1"/>
  <c r="N2336" i="6"/>
  <c r="R2336" i="6" l="1"/>
  <c r="M2336" i="6" s="1"/>
  <c r="S2336" i="6" s="1"/>
  <c r="Q2337" i="6"/>
  <c r="N2337" i="6"/>
  <c r="O2338" i="6"/>
  <c r="P2338" i="6" s="1"/>
  <c r="R2337" i="6" l="1"/>
  <c r="M2337" i="6" s="1"/>
  <c r="S2337" i="6" s="1"/>
  <c r="Q2338" i="6"/>
  <c r="O2339" i="6"/>
  <c r="P2339" i="6" s="1"/>
  <c r="N2338" i="6"/>
  <c r="R2338" i="6" l="1"/>
  <c r="M2338" i="6" s="1"/>
  <c r="S2338" i="6" s="1"/>
  <c r="Q2339" i="6"/>
  <c r="N2339" i="6"/>
  <c r="O2340" i="6"/>
  <c r="P2340" i="6" s="1"/>
  <c r="R2339" i="6" l="1"/>
  <c r="M2339" i="6" s="1"/>
  <c r="S2339" i="6" s="1"/>
  <c r="Q2340" i="6"/>
  <c r="N2340" i="6"/>
  <c r="O2341" i="6"/>
  <c r="P2341" i="6" s="1"/>
  <c r="R2340" i="6" l="1"/>
  <c r="M2340" i="6" s="1"/>
  <c r="S2340" i="6" s="1"/>
  <c r="Q2341" i="6"/>
  <c r="O2342" i="6"/>
  <c r="P2342" i="6" s="1"/>
  <c r="N2341" i="6"/>
  <c r="R2341" i="6" l="1"/>
  <c r="M2341" i="6" s="1"/>
  <c r="S2341" i="6" s="1"/>
  <c r="Q2342" i="6"/>
  <c r="O2343" i="6"/>
  <c r="P2343" i="6" s="1"/>
  <c r="N2342" i="6"/>
  <c r="R2342" i="6" l="1"/>
  <c r="M2342" i="6" s="1"/>
  <c r="S2342" i="6" s="1"/>
  <c r="Q2343" i="6"/>
  <c r="O2344" i="6"/>
  <c r="P2344" i="6" s="1"/>
  <c r="N2343" i="6"/>
  <c r="R2343" i="6" l="1"/>
  <c r="M2343" i="6" s="1"/>
  <c r="S2343" i="6" s="1"/>
  <c r="Q2344" i="6"/>
  <c r="N2344" i="6"/>
  <c r="O2345" i="6"/>
  <c r="P2345" i="6" s="1"/>
  <c r="R2344" i="6" l="1"/>
  <c r="M2344" i="6" s="1"/>
  <c r="S2344" i="6" s="1"/>
  <c r="Q2345" i="6"/>
  <c r="N2345" i="6"/>
  <c r="O2346" i="6"/>
  <c r="P2346" i="6" s="1"/>
  <c r="R2345" i="6" l="1"/>
  <c r="M2345" i="6" s="1"/>
  <c r="S2345" i="6" s="1"/>
  <c r="Q2346" i="6"/>
  <c r="N2346" i="6"/>
  <c r="O2347" i="6"/>
  <c r="P2347" i="6" s="1"/>
  <c r="R2346" i="6" l="1"/>
  <c r="M2346" i="6" s="1"/>
  <c r="S2346" i="6" s="1"/>
  <c r="Q2347" i="6"/>
  <c r="N2347" i="6"/>
  <c r="O2348" i="6"/>
  <c r="P2348" i="6" s="1"/>
  <c r="R2347" i="6" l="1"/>
  <c r="M2347" i="6" s="1"/>
  <c r="S2347" i="6" s="1"/>
  <c r="Q2348" i="6"/>
  <c r="O2349" i="6"/>
  <c r="P2349" i="6" s="1"/>
  <c r="N2348" i="6"/>
  <c r="R2348" i="6" l="1"/>
  <c r="M2348" i="6" s="1"/>
  <c r="S2348" i="6" s="1"/>
  <c r="Q2349" i="6"/>
  <c r="O2350" i="6"/>
  <c r="P2350" i="6" s="1"/>
  <c r="N2349" i="6"/>
  <c r="R2349" i="6" l="1"/>
  <c r="M2349" i="6" s="1"/>
  <c r="S2349" i="6" s="1"/>
  <c r="Q2350" i="6"/>
  <c r="O2351" i="6"/>
  <c r="P2351" i="6" s="1"/>
  <c r="N2350" i="6"/>
  <c r="R2350" i="6" l="1"/>
  <c r="M2350" i="6" s="1"/>
  <c r="S2350" i="6" s="1"/>
  <c r="Q2351" i="6"/>
  <c r="N2351" i="6"/>
  <c r="O2352" i="6"/>
  <c r="P2352" i="6" s="1"/>
  <c r="R2351" i="6" l="1"/>
  <c r="M2351" i="6" s="1"/>
  <c r="S2351" i="6" s="1"/>
  <c r="Q2352" i="6"/>
  <c r="O2353" i="6"/>
  <c r="P2353" i="6" s="1"/>
  <c r="N2352" i="6"/>
  <c r="R2352" i="6" l="1"/>
  <c r="M2352" i="6" s="1"/>
  <c r="S2352" i="6" s="1"/>
  <c r="Q2353" i="6"/>
  <c r="N2353" i="6"/>
  <c r="O2354" i="6"/>
  <c r="P2354" i="6" s="1"/>
  <c r="R2353" i="6" l="1"/>
  <c r="M2353" i="6" s="1"/>
  <c r="S2353" i="6" s="1"/>
  <c r="Q2354" i="6"/>
  <c r="N2354" i="6"/>
  <c r="O2355" i="6"/>
  <c r="P2355" i="6" s="1"/>
  <c r="R2354" i="6" l="1"/>
  <c r="M2354" i="6" s="1"/>
  <c r="S2354" i="6" s="1"/>
  <c r="Q2355" i="6"/>
  <c r="O2356" i="6"/>
  <c r="P2356" i="6" s="1"/>
  <c r="N2355" i="6"/>
  <c r="R2355" i="6" l="1"/>
  <c r="M2355" i="6" s="1"/>
  <c r="S2355" i="6" s="1"/>
  <c r="Q2356" i="6"/>
  <c r="N2356" i="6"/>
  <c r="O2357" i="6"/>
  <c r="P2357" i="6" s="1"/>
  <c r="R2356" i="6" l="1"/>
  <c r="M2356" i="6" s="1"/>
  <c r="S2356" i="6" s="1"/>
  <c r="Q2357" i="6"/>
  <c r="O2358" i="6"/>
  <c r="P2358" i="6" s="1"/>
  <c r="N2357" i="6"/>
  <c r="R2357" i="6" l="1"/>
  <c r="M2357" i="6" s="1"/>
  <c r="S2357" i="6" s="1"/>
  <c r="Q2358" i="6"/>
  <c r="N2358" i="6"/>
  <c r="O2359" i="6"/>
  <c r="P2359" i="6" s="1"/>
  <c r="R2358" i="6" l="1"/>
  <c r="M2358" i="6" s="1"/>
  <c r="S2358" i="6" s="1"/>
  <c r="Q2359" i="6"/>
  <c r="N2359" i="6"/>
  <c r="O2360" i="6"/>
  <c r="P2360" i="6" s="1"/>
  <c r="R2359" i="6" l="1"/>
  <c r="M2359" i="6" s="1"/>
  <c r="S2359" i="6" s="1"/>
  <c r="Q2360" i="6"/>
  <c r="O2361" i="6"/>
  <c r="P2361" i="6" s="1"/>
  <c r="N2360" i="6"/>
  <c r="R2360" i="6" l="1"/>
  <c r="M2360" i="6" s="1"/>
  <c r="S2360" i="6" s="1"/>
  <c r="Q2361" i="6"/>
  <c r="N2361" i="6"/>
  <c r="O2362" i="6"/>
  <c r="P2362" i="6" s="1"/>
  <c r="R2361" i="6" l="1"/>
  <c r="M2361" i="6" s="1"/>
  <c r="S2361" i="6" s="1"/>
  <c r="Q2362" i="6"/>
  <c r="O2363" i="6"/>
  <c r="P2363" i="6" s="1"/>
  <c r="N2362" i="6"/>
  <c r="R2362" i="6" l="1"/>
  <c r="M2362" i="6" s="1"/>
  <c r="S2362" i="6" s="1"/>
  <c r="Q2363" i="6"/>
  <c r="O2364" i="6"/>
  <c r="P2364" i="6" s="1"/>
  <c r="N2363" i="6"/>
  <c r="R2363" i="6" l="1"/>
  <c r="M2363" i="6" s="1"/>
  <c r="S2363" i="6" s="1"/>
  <c r="Q2364" i="6"/>
  <c r="O2365" i="6"/>
  <c r="P2365" i="6" s="1"/>
  <c r="N2364" i="6"/>
  <c r="R2364" i="6" l="1"/>
  <c r="M2364" i="6" s="1"/>
  <c r="S2364" i="6" s="1"/>
  <c r="Q2365" i="6"/>
  <c r="N2365" i="6"/>
  <c r="O2366" i="6"/>
  <c r="P2366" i="6" s="1"/>
  <c r="R2365" i="6" l="1"/>
  <c r="M2365" i="6" s="1"/>
  <c r="S2365" i="6" s="1"/>
  <c r="Q2366" i="6"/>
  <c r="N2366" i="6"/>
  <c r="O2367" i="6"/>
  <c r="P2367" i="6" s="1"/>
  <c r="R2366" i="6" l="1"/>
  <c r="M2366" i="6" s="1"/>
  <c r="S2366" i="6" s="1"/>
  <c r="Q2367" i="6"/>
  <c r="O2368" i="6"/>
  <c r="P2368" i="6" s="1"/>
  <c r="N2367" i="6"/>
  <c r="R2367" i="6" l="1"/>
  <c r="M2367" i="6" s="1"/>
  <c r="S2367" i="6" s="1"/>
  <c r="Q2368" i="6"/>
  <c r="O2369" i="6"/>
  <c r="P2369" i="6" s="1"/>
  <c r="N2368" i="6"/>
  <c r="R2368" i="6" l="1"/>
  <c r="M2368" i="6" s="1"/>
  <c r="S2368" i="6" s="1"/>
  <c r="Q2369" i="6"/>
  <c r="N2369" i="6"/>
  <c r="O2370" i="6"/>
  <c r="P2370" i="6" s="1"/>
  <c r="R2369" i="6" l="1"/>
  <c r="M2369" i="6" s="1"/>
  <c r="S2369" i="6" s="1"/>
  <c r="Q2370" i="6"/>
  <c r="O2371" i="6"/>
  <c r="P2371" i="6" s="1"/>
  <c r="N2370" i="6"/>
  <c r="R2370" i="6" l="1"/>
  <c r="M2370" i="6" s="1"/>
  <c r="S2370" i="6" s="1"/>
  <c r="Q2371" i="6"/>
  <c r="N2371" i="6"/>
  <c r="O2372" i="6"/>
  <c r="P2372" i="6" s="1"/>
  <c r="R2371" i="6" l="1"/>
  <c r="M2371" i="6" s="1"/>
  <c r="S2371" i="6" s="1"/>
  <c r="Q2372" i="6"/>
  <c r="N2372" i="6"/>
  <c r="O2373" i="6"/>
  <c r="P2373" i="6" s="1"/>
  <c r="R2372" i="6" l="1"/>
  <c r="M2372" i="6" s="1"/>
  <c r="S2372" i="6" s="1"/>
  <c r="Q2373" i="6"/>
  <c r="N2373" i="6"/>
  <c r="O2374" i="6"/>
  <c r="P2374" i="6" s="1"/>
  <c r="R2373" i="6" l="1"/>
  <c r="M2373" i="6" s="1"/>
  <c r="S2373" i="6" s="1"/>
  <c r="Q2374" i="6"/>
  <c r="O2375" i="6"/>
  <c r="P2375" i="6" s="1"/>
  <c r="N2374" i="6"/>
  <c r="R2374" i="6" l="1"/>
  <c r="M2374" i="6" s="1"/>
  <c r="S2374" i="6" s="1"/>
  <c r="Q2375" i="6"/>
  <c r="N2375" i="6"/>
  <c r="O2376" i="6"/>
  <c r="P2376" i="6" s="1"/>
  <c r="R2375" i="6" l="1"/>
  <c r="M2375" i="6" s="1"/>
  <c r="S2375" i="6" s="1"/>
  <c r="Q2376" i="6"/>
  <c r="N2376" i="6"/>
  <c r="O2377" i="6"/>
  <c r="P2377" i="6" s="1"/>
  <c r="R2376" i="6" l="1"/>
  <c r="M2376" i="6" s="1"/>
  <c r="S2376" i="6" s="1"/>
  <c r="Q2377" i="6"/>
  <c r="N2377" i="6"/>
  <c r="O2378" i="6"/>
  <c r="P2378" i="6" s="1"/>
  <c r="R2377" i="6" l="1"/>
  <c r="M2377" i="6" s="1"/>
  <c r="S2377" i="6" s="1"/>
  <c r="Q2378" i="6"/>
  <c r="N2378" i="6"/>
  <c r="O2379" i="6"/>
  <c r="P2379" i="6" s="1"/>
  <c r="R2378" i="6" l="1"/>
  <c r="M2378" i="6" s="1"/>
  <c r="S2378" i="6" s="1"/>
  <c r="Q2379" i="6"/>
  <c r="O2380" i="6"/>
  <c r="P2380" i="6" s="1"/>
  <c r="N2379" i="6"/>
  <c r="R2379" i="6" l="1"/>
  <c r="M2379" i="6" s="1"/>
  <c r="S2379" i="6" s="1"/>
  <c r="Q2380" i="6"/>
  <c r="O2381" i="6"/>
  <c r="P2381" i="6" s="1"/>
  <c r="N2380" i="6"/>
  <c r="R2380" i="6" l="1"/>
  <c r="M2380" i="6" s="1"/>
  <c r="S2380" i="6" s="1"/>
  <c r="Q2381" i="6"/>
  <c r="N2381" i="6"/>
  <c r="O2382" i="6"/>
  <c r="P2382" i="6" s="1"/>
  <c r="R2381" i="6" l="1"/>
  <c r="M2381" i="6" s="1"/>
  <c r="S2381" i="6" s="1"/>
  <c r="Q2382" i="6"/>
  <c r="N2382" i="6"/>
  <c r="O2383" i="6"/>
  <c r="P2383" i="6" s="1"/>
  <c r="R2382" i="6" l="1"/>
  <c r="M2382" i="6" s="1"/>
  <c r="S2382" i="6" s="1"/>
  <c r="Q2383" i="6"/>
  <c r="N2383" i="6"/>
  <c r="O2384" i="6"/>
  <c r="P2384" i="6" s="1"/>
  <c r="R2383" i="6" l="1"/>
  <c r="M2383" i="6" s="1"/>
  <c r="S2383" i="6" s="1"/>
  <c r="Q2384" i="6"/>
  <c r="N2384" i="6"/>
  <c r="O2385" i="6"/>
  <c r="P2385" i="6" s="1"/>
  <c r="R2384" i="6" l="1"/>
  <c r="M2384" i="6" s="1"/>
  <c r="S2384" i="6" s="1"/>
  <c r="Q2385" i="6"/>
  <c r="N2385" i="6"/>
  <c r="O2386" i="6"/>
  <c r="P2386" i="6" s="1"/>
  <c r="R2385" i="6" l="1"/>
  <c r="M2385" i="6" s="1"/>
  <c r="S2385" i="6" s="1"/>
  <c r="Q2386" i="6"/>
  <c r="O2387" i="6"/>
  <c r="P2387" i="6" s="1"/>
  <c r="N2386" i="6"/>
  <c r="R2386" i="6" l="1"/>
  <c r="M2386" i="6" s="1"/>
  <c r="S2386" i="6" s="1"/>
  <c r="Q2387" i="6"/>
  <c r="N2387" i="6"/>
  <c r="O2388" i="6"/>
  <c r="P2388" i="6" s="1"/>
  <c r="R2387" i="6" l="1"/>
  <c r="M2387" i="6" s="1"/>
  <c r="S2387" i="6" s="1"/>
  <c r="Q2388" i="6"/>
  <c r="N2388" i="6"/>
  <c r="O2389" i="6"/>
  <c r="P2389" i="6" s="1"/>
  <c r="R2388" i="6" l="1"/>
  <c r="M2388" i="6" s="1"/>
  <c r="S2388" i="6" s="1"/>
  <c r="Q2389" i="6"/>
  <c r="N2389" i="6"/>
  <c r="O2390" i="6"/>
  <c r="P2390" i="6" s="1"/>
  <c r="R2389" i="6" l="1"/>
  <c r="M2389" i="6" s="1"/>
  <c r="S2389" i="6" s="1"/>
  <c r="Q2390" i="6"/>
  <c r="N2390" i="6"/>
  <c r="O2391" i="6"/>
  <c r="P2391" i="6" s="1"/>
  <c r="R2390" i="6" l="1"/>
  <c r="M2390" i="6" s="1"/>
  <c r="S2390" i="6" s="1"/>
  <c r="Q2391" i="6"/>
  <c r="O2392" i="6"/>
  <c r="P2392" i="6" s="1"/>
  <c r="N2391" i="6"/>
  <c r="R2391" i="6" l="1"/>
  <c r="M2391" i="6" s="1"/>
  <c r="S2391" i="6" s="1"/>
  <c r="Q2392" i="6"/>
  <c r="N2392" i="6"/>
  <c r="O2393" i="6"/>
  <c r="P2393" i="6" s="1"/>
  <c r="R2392" i="6" l="1"/>
  <c r="M2392" i="6" s="1"/>
  <c r="S2392" i="6" s="1"/>
  <c r="Q2393" i="6"/>
  <c r="N2393" i="6"/>
  <c r="O2394" i="6"/>
  <c r="P2394" i="6" s="1"/>
  <c r="R2393" i="6" l="1"/>
  <c r="M2393" i="6" s="1"/>
  <c r="S2393" i="6" s="1"/>
  <c r="Q2394" i="6"/>
  <c r="O2395" i="6"/>
  <c r="P2395" i="6" s="1"/>
  <c r="N2394" i="6"/>
  <c r="R2394" i="6" l="1"/>
  <c r="M2394" i="6" s="1"/>
  <c r="S2394" i="6" s="1"/>
  <c r="Q2395" i="6"/>
  <c r="O2396" i="6"/>
  <c r="P2396" i="6" s="1"/>
  <c r="N2395" i="6"/>
  <c r="R2395" i="6" l="1"/>
  <c r="M2395" i="6" s="1"/>
  <c r="S2395" i="6" s="1"/>
  <c r="Q2396" i="6"/>
  <c r="N2396" i="6"/>
  <c r="O2397" i="6"/>
  <c r="P2397" i="6" s="1"/>
  <c r="R2396" i="6" l="1"/>
  <c r="M2396" i="6" s="1"/>
  <c r="S2396" i="6" s="1"/>
  <c r="Q2397" i="6"/>
  <c r="N2397" i="6"/>
  <c r="O2398" i="6"/>
  <c r="P2398" i="6" s="1"/>
  <c r="R2397" i="6" l="1"/>
  <c r="M2397" i="6" s="1"/>
  <c r="S2397" i="6" s="1"/>
  <c r="Q2398" i="6"/>
  <c r="N2398" i="6"/>
  <c r="O2399" i="6"/>
  <c r="P2399" i="6" s="1"/>
  <c r="R2398" i="6" l="1"/>
  <c r="M2398" i="6" s="1"/>
  <c r="S2398" i="6" s="1"/>
  <c r="Q2399" i="6"/>
  <c r="O2400" i="6"/>
  <c r="P2400" i="6" s="1"/>
  <c r="N2399" i="6"/>
  <c r="R2399" i="6" l="1"/>
  <c r="M2399" i="6" s="1"/>
  <c r="S2399" i="6" s="1"/>
  <c r="Q2400" i="6"/>
  <c r="N2400" i="6"/>
  <c r="O2401" i="6"/>
  <c r="P2401" i="6" s="1"/>
  <c r="R2400" i="6" l="1"/>
  <c r="M2400" i="6" s="1"/>
  <c r="S2400" i="6" s="1"/>
  <c r="Q2401" i="6"/>
  <c r="N2401" i="6"/>
  <c r="O2402" i="6"/>
  <c r="P2402" i="6" s="1"/>
  <c r="R2401" i="6" l="1"/>
  <c r="M2401" i="6" s="1"/>
  <c r="S2401" i="6" s="1"/>
  <c r="Q2402" i="6"/>
  <c r="N2402" i="6"/>
  <c r="O2403" i="6"/>
  <c r="P2403" i="6" s="1"/>
  <c r="R2402" i="6" l="1"/>
  <c r="M2402" i="6" s="1"/>
  <c r="S2402" i="6" s="1"/>
  <c r="Q2403" i="6"/>
  <c r="O2404" i="6"/>
  <c r="P2404" i="6" s="1"/>
  <c r="N2403" i="6"/>
  <c r="R2403" i="6" l="1"/>
  <c r="M2403" i="6" s="1"/>
  <c r="S2403" i="6" s="1"/>
  <c r="Q2404" i="6"/>
  <c r="N2404" i="6"/>
  <c r="O2405" i="6"/>
  <c r="P2405" i="6" s="1"/>
  <c r="R2404" i="6" l="1"/>
  <c r="M2404" i="6" s="1"/>
  <c r="S2404" i="6" s="1"/>
  <c r="Q2405" i="6"/>
  <c r="O2406" i="6"/>
  <c r="P2406" i="6" s="1"/>
  <c r="N2405" i="6"/>
  <c r="R2405" i="6" l="1"/>
  <c r="M2405" i="6" s="1"/>
  <c r="S2405" i="6" s="1"/>
  <c r="Q2406" i="6"/>
  <c r="N2406" i="6"/>
  <c r="O2407" i="6"/>
  <c r="P2407" i="6" s="1"/>
  <c r="R2406" i="6" l="1"/>
  <c r="M2406" i="6" s="1"/>
  <c r="S2406" i="6" s="1"/>
  <c r="Q2407" i="6"/>
  <c r="N2407" i="6"/>
  <c r="O2408" i="6"/>
  <c r="P2408" i="6" s="1"/>
  <c r="R2407" i="6" l="1"/>
  <c r="M2407" i="6" s="1"/>
  <c r="S2407" i="6" s="1"/>
  <c r="Q2408" i="6"/>
  <c r="O2409" i="6"/>
  <c r="P2409" i="6" s="1"/>
  <c r="N2408" i="6"/>
  <c r="R2408" i="6" l="1"/>
  <c r="M2408" i="6" s="1"/>
  <c r="S2408" i="6" s="1"/>
  <c r="Q2409" i="6"/>
  <c r="N2409" i="6"/>
  <c r="O2410" i="6"/>
  <c r="P2410" i="6" s="1"/>
  <c r="R2409" i="6" l="1"/>
  <c r="M2409" i="6" s="1"/>
  <c r="S2409" i="6" s="1"/>
  <c r="Q2410" i="6"/>
  <c r="N2410" i="6"/>
  <c r="O2411" i="6"/>
  <c r="P2411" i="6" s="1"/>
  <c r="R2410" i="6" l="1"/>
  <c r="M2410" i="6" s="1"/>
  <c r="S2410" i="6" s="1"/>
  <c r="Q2411" i="6"/>
  <c r="O2412" i="6"/>
  <c r="P2412" i="6" s="1"/>
  <c r="N2411" i="6"/>
  <c r="R2411" i="6" l="1"/>
  <c r="M2411" i="6" s="1"/>
  <c r="S2411" i="6" s="1"/>
  <c r="Q2412" i="6"/>
  <c r="O2413" i="6"/>
  <c r="P2413" i="6" s="1"/>
  <c r="N2412" i="6"/>
  <c r="R2412" i="6" l="1"/>
  <c r="M2412" i="6" s="1"/>
  <c r="S2412" i="6" s="1"/>
  <c r="Q2413" i="6"/>
  <c r="O2414" i="6"/>
  <c r="P2414" i="6" s="1"/>
  <c r="N2413" i="6"/>
  <c r="R2413" i="6" l="1"/>
  <c r="M2413" i="6" s="1"/>
  <c r="S2413" i="6" s="1"/>
  <c r="Q2414" i="6"/>
  <c r="O2415" i="6"/>
  <c r="P2415" i="6" s="1"/>
  <c r="N2414" i="6"/>
  <c r="R2414" i="6" l="1"/>
  <c r="M2414" i="6" s="1"/>
  <c r="S2414" i="6" s="1"/>
  <c r="Q2415" i="6"/>
  <c r="N2415" i="6"/>
  <c r="O2416" i="6"/>
  <c r="P2416" i="6" s="1"/>
  <c r="R2415" i="6" l="1"/>
  <c r="M2415" i="6" s="1"/>
  <c r="S2415" i="6" s="1"/>
  <c r="Q2416" i="6"/>
  <c r="N2416" i="6"/>
  <c r="O2417" i="6"/>
  <c r="P2417" i="6" s="1"/>
  <c r="R2416" i="6" l="1"/>
  <c r="M2416" i="6" s="1"/>
  <c r="S2416" i="6" s="1"/>
  <c r="Q2417" i="6"/>
  <c r="N2417" i="6"/>
  <c r="O2418" i="6"/>
  <c r="P2418" i="6" s="1"/>
  <c r="R2417" i="6" l="1"/>
  <c r="M2417" i="6" s="1"/>
  <c r="S2417" i="6" s="1"/>
  <c r="Q2418" i="6"/>
  <c r="N2418" i="6"/>
  <c r="O2419" i="6"/>
  <c r="P2419" i="6" s="1"/>
  <c r="R2418" i="6" l="1"/>
  <c r="M2418" i="6" s="1"/>
  <c r="S2418" i="6" s="1"/>
  <c r="Q2419" i="6"/>
  <c r="O2420" i="6"/>
  <c r="P2420" i="6" s="1"/>
  <c r="N2419" i="6"/>
  <c r="R2419" i="6" l="1"/>
  <c r="M2419" i="6" s="1"/>
  <c r="S2419" i="6" s="1"/>
  <c r="Q2420" i="6"/>
  <c r="O2421" i="6"/>
  <c r="P2421" i="6" s="1"/>
  <c r="N2420" i="6"/>
  <c r="R2420" i="6" l="1"/>
  <c r="M2420" i="6" s="1"/>
  <c r="S2420" i="6" s="1"/>
  <c r="Q2421" i="6"/>
  <c r="O2422" i="6"/>
  <c r="P2422" i="6" s="1"/>
  <c r="N2421" i="6"/>
  <c r="R2421" i="6" l="1"/>
  <c r="M2421" i="6" s="1"/>
  <c r="S2421" i="6" s="1"/>
  <c r="Q2422" i="6"/>
  <c r="N2422" i="6"/>
  <c r="O2423" i="6"/>
  <c r="P2423" i="6" s="1"/>
  <c r="R2422" i="6" l="1"/>
  <c r="M2422" i="6" s="1"/>
  <c r="S2422" i="6" s="1"/>
  <c r="Q2423" i="6"/>
  <c r="N2423" i="6"/>
  <c r="O2424" i="6"/>
  <c r="P2424" i="6" s="1"/>
  <c r="R2423" i="6" l="1"/>
  <c r="M2423" i="6" s="1"/>
  <c r="S2423" i="6" s="1"/>
  <c r="Q2424" i="6"/>
  <c r="O2425" i="6"/>
  <c r="P2425" i="6" s="1"/>
  <c r="N2424" i="6"/>
  <c r="R2424" i="6" l="1"/>
  <c r="M2424" i="6" s="1"/>
  <c r="S2424" i="6" s="1"/>
  <c r="Q2425" i="6"/>
  <c r="N2425" i="6"/>
  <c r="O2426" i="6"/>
  <c r="P2426" i="6" s="1"/>
  <c r="R2425" i="6" l="1"/>
  <c r="M2425" i="6" s="1"/>
  <c r="S2425" i="6" s="1"/>
  <c r="Q2426" i="6"/>
  <c r="N2426" i="6"/>
  <c r="O2427" i="6"/>
  <c r="P2427" i="6" s="1"/>
  <c r="R2426" i="6" l="1"/>
  <c r="M2426" i="6" s="1"/>
  <c r="S2426" i="6" s="1"/>
  <c r="Q2427" i="6"/>
  <c r="N2427" i="6"/>
  <c r="O2428" i="6"/>
  <c r="P2428" i="6" s="1"/>
  <c r="R2427" i="6" l="1"/>
  <c r="M2427" i="6" s="1"/>
  <c r="S2427" i="6" s="1"/>
  <c r="Q2428" i="6"/>
  <c r="N2428" i="6"/>
  <c r="O2429" i="6"/>
  <c r="P2429" i="6" s="1"/>
  <c r="R2428" i="6" l="1"/>
  <c r="M2428" i="6" s="1"/>
  <c r="S2428" i="6" s="1"/>
  <c r="Q2429" i="6"/>
  <c r="N2429" i="6"/>
  <c r="O2430" i="6"/>
  <c r="P2430" i="6" s="1"/>
  <c r="R2429" i="6" l="1"/>
  <c r="M2429" i="6" s="1"/>
  <c r="S2429" i="6" s="1"/>
  <c r="Q2430" i="6"/>
  <c r="N2430" i="6"/>
  <c r="O2431" i="6"/>
  <c r="P2431" i="6" s="1"/>
  <c r="R2430" i="6" l="1"/>
  <c r="M2430" i="6" s="1"/>
  <c r="S2430" i="6" s="1"/>
  <c r="Q2431" i="6"/>
  <c r="N2431" i="6"/>
  <c r="O2432" i="6"/>
  <c r="P2432" i="6" s="1"/>
  <c r="R2431" i="6" l="1"/>
  <c r="M2431" i="6" s="1"/>
  <c r="S2431" i="6" s="1"/>
  <c r="Q2432" i="6"/>
  <c r="N2432" i="6"/>
  <c r="O2433" i="6"/>
  <c r="P2433" i="6" s="1"/>
  <c r="R2432" i="6" l="1"/>
  <c r="M2432" i="6" s="1"/>
  <c r="S2432" i="6" s="1"/>
  <c r="Q2433" i="6"/>
  <c r="N2433" i="6"/>
  <c r="O2434" i="6"/>
  <c r="P2434" i="6" s="1"/>
  <c r="R2433" i="6" l="1"/>
  <c r="M2433" i="6" s="1"/>
  <c r="S2433" i="6" s="1"/>
  <c r="Q2434" i="6"/>
  <c r="N2434" i="6"/>
  <c r="O2435" i="6"/>
  <c r="P2435" i="6" s="1"/>
  <c r="R2434" i="6" l="1"/>
  <c r="M2434" i="6" s="1"/>
  <c r="S2434" i="6" s="1"/>
  <c r="Q2435" i="6"/>
  <c r="N2435" i="6"/>
  <c r="O2436" i="6"/>
  <c r="P2436" i="6" s="1"/>
  <c r="R2435" i="6" l="1"/>
  <c r="M2435" i="6" s="1"/>
  <c r="S2435" i="6" s="1"/>
  <c r="Q2436" i="6"/>
  <c r="N2436" i="6"/>
  <c r="O2437" i="6"/>
  <c r="P2437" i="6" s="1"/>
  <c r="R2436" i="6" l="1"/>
  <c r="M2436" i="6" s="1"/>
  <c r="S2436" i="6" s="1"/>
  <c r="Q2437" i="6"/>
  <c r="O2438" i="6"/>
  <c r="P2438" i="6" s="1"/>
  <c r="N2437" i="6"/>
  <c r="R2437" i="6" l="1"/>
  <c r="M2437" i="6" s="1"/>
  <c r="S2437" i="6" s="1"/>
  <c r="Q2438" i="6"/>
  <c r="O2439" i="6"/>
  <c r="P2439" i="6" s="1"/>
  <c r="N2438" i="6"/>
  <c r="R2438" i="6" l="1"/>
  <c r="M2438" i="6" s="1"/>
  <c r="S2438" i="6" s="1"/>
  <c r="Q2439" i="6"/>
  <c r="N2439" i="6"/>
  <c r="O2440" i="6"/>
  <c r="P2440" i="6" s="1"/>
  <c r="R2439" i="6" l="1"/>
  <c r="M2439" i="6" s="1"/>
  <c r="S2439" i="6" s="1"/>
  <c r="Q2440" i="6"/>
  <c r="O2441" i="6"/>
  <c r="P2441" i="6" s="1"/>
  <c r="N2440" i="6"/>
  <c r="R2440" i="6" l="1"/>
  <c r="M2440" i="6" s="1"/>
  <c r="S2440" i="6" s="1"/>
  <c r="Q2441" i="6"/>
  <c r="O2442" i="6"/>
  <c r="P2442" i="6" s="1"/>
  <c r="N2441" i="6"/>
  <c r="R2441" i="6" l="1"/>
  <c r="M2441" i="6" s="1"/>
  <c r="S2441" i="6" s="1"/>
  <c r="Q2442" i="6"/>
  <c r="O2443" i="6"/>
  <c r="P2443" i="6" s="1"/>
  <c r="N2442" i="6"/>
  <c r="R2442" i="6" l="1"/>
  <c r="M2442" i="6" s="1"/>
  <c r="S2442" i="6" s="1"/>
  <c r="Q2443" i="6"/>
  <c r="N2443" i="6"/>
  <c r="O2444" i="6"/>
  <c r="P2444" i="6" s="1"/>
  <c r="R2443" i="6" l="1"/>
  <c r="M2443" i="6" s="1"/>
  <c r="S2443" i="6" s="1"/>
  <c r="Q2444" i="6"/>
  <c r="O2445" i="6"/>
  <c r="P2445" i="6" s="1"/>
  <c r="N2444" i="6"/>
  <c r="R2444" i="6" l="1"/>
  <c r="M2444" i="6" s="1"/>
  <c r="S2444" i="6" s="1"/>
  <c r="Q2445" i="6"/>
  <c r="N2445" i="6"/>
  <c r="O2446" i="6"/>
  <c r="P2446" i="6" s="1"/>
  <c r="R2445" i="6" l="1"/>
  <c r="M2445" i="6" s="1"/>
  <c r="S2445" i="6" s="1"/>
  <c r="Q2446" i="6"/>
  <c r="N2446" i="6"/>
  <c r="O2447" i="6"/>
  <c r="P2447" i="6" s="1"/>
  <c r="R2446" i="6" l="1"/>
  <c r="M2446" i="6" s="1"/>
  <c r="S2446" i="6" s="1"/>
  <c r="Q2447" i="6"/>
  <c r="O2448" i="6"/>
  <c r="P2448" i="6" s="1"/>
  <c r="N2447" i="6"/>
  <c r="R2447" i="6" l="1"/>
  <c r="M2447" i="6" s="1"/>
  <c r="S2447" i="6" s="1"/>
  <c r="Q2448" i="6"/>
  <c r="N2448" i="6"/>
  <c r="O2449" i="6"/>
  <c r="P2449" i="6" s="1"/>
  <c r="R2448" i="6" l="1"/>
  <c r="M2448" i="6" s="1"/>
  <c r="S2448" i="6" s="1"/>
  <c r="Q2449" i="6"/>
  <c r="O2450" i="6"/>
  <c r="P2450" i="6" s="1"/>
  <c r="N2449" i="6"/>
  <c r="R2449" i="6" l="1"/>
  <c r="M2449" i="6" s="1"/>
  <c r="S2449" i="6" s="1"/>
  <c r="Q2450" i="6"/>
  <c r="N2450" i="6"/>
  <c r="O2451" i="6"/>
  <c r="P2451" i="6" s="1"/>
  <c r="R2450" i="6" l="1"/>
  <c r="M2450" i="6" s="1"/>
  <c r="S2450" i="6" s="1"/>
  <c r="Q2451" i="6"/>
  <c r="N2451" i="6"/>
  <c r="O2452" i="6"/>
  <c r="P2452" i="6" s="1"/>
  <c r="R2451" i="6" l="1"/>
  <c r="M2451" i="6" s="1"/>
  <c r="S2451" i="6" s="1"/>
  <c r="Q2452" i="6"/>
  <c r="N2452" i="6"/>
  <c r="O2453" i="6"/>
  <c r="P2453" i="6" s="1"/>
  <c r="R2452" i="6" l="1"/>
  <c r="M2452" i="6" s="1"/>
  <c r="S2452" i="6" s="1"/>
  <c r="Q2453" i="6"/>
  <c r="N2453" i="6"/>
  <c r="O2454" i="6"/>
  <c r="P2454" i="6" s="1"/>
  <c r="R2453" i="6" l="1"/>
  <c r="M2453" i="6" s="1"/>
  <c r="S2453" i="6" s="1"/>
  <c r="Q2454" i="6"/>
  <c r="O2455" i="6"/>
  <c r="P2455" i="6" s="1"/>
  <c r="N2454" i="6"/>
  <c r="R2454" i="6" l="1"/>
  <c r="M2454" i="6" s="1"/>
  <c r="S2454" i="6" s="1"/>
  <c r="Q2455" i="6"/>
  <c r="O2456" i="6"/>
  <c r="P2456" i="6" s="1"/>
  <c r="N2455" i="6"/>
  <c r="R2455" i="6" l="1"/>
  <c r="M2455" i="6" s="1"/>
  <c r="S2455" i="6" s="1"/>
  <c r="Q2456" i="6"/>
  <c r="O2457" i="6"/>
  <c r="P2457" i="6" s="1"/>
  <c r="N2456" i="6"/>
  <c r="R2456" i="6" l="1"/>
  <c r="M2456" i="6" s="1"/>
  <c r="S2456" i="6" s="1"/>
  <c r="Q2457" i="6"/>
  <c r="O2458" i="6"/>
  <c r="P2458" i="6" s="1"/>
  <c r="N2457" i="6"/>
  <c r="R2457" i="6" l="1"/>
  <c r="M2457" i="6" s="1"/>
  <c r="S2457" i="6" s="1"/>
  <c r="Q2458" i="6"/>
  <c r="N2458" i="6"/>
  <c r="O2459" i="6"/>
  <c r="P2459" i="6" s="1"/>
  <c r="R2458" i="6" l="1"/>
  <c r="M2458" i="6" s="1"/>
  <c r="S2458" i="6" s="1"/>
  <c r="Q2459" i="6"/>
  <c r="O2460" i="6"/>
  <c r="P2460" i="6" s="1"/>
  <c r="N2459" i="6"/>
  <c r="R2459" i="6" l="1"/>
  <c r="M2459" i="6" s="1"/>
  <c r="S2459" i="6" s="1"/>
  <c r="Q2460" i="6"/>
  <c r="O2461" i="6"/>
  <c r="P2461" i="6" s="1"/>
  <c r="N2460" i="6"/>
  <c r="R2460" i="6" l="1"/>
  <c r="M2460" i="6" s="1"/>
  <c r="S2460" i="6" s="1"/>
  <c r="Q2461" i="6"/>
  <c r="O2462" i="6"/>
  <c r="P2462" i="6" s="1"/>
  <c r="N2461" i="6"/>
  <c r="R2461" i="6" l="1"/>
  <c r="M2461" i="6" s="1"/>
  <c r="S2461" i="6" s="1"/>
  <c r="Q2462" i="6"/>
  <c r="N2462" i="6"/>
  <c r="O2463" i="6"/>
  <c r="P2463" i="6" s="1"/>
  <c r="R2462" i="6" l="1"/>
  <c r="M2462" i="6" s="1"/>
  <c r="S2462" i="6" s="1"/>
  <c r="Q2463" i="6"/>
  <c r="O2464" i="6"/>
  <c r="P2464" i="6" s="1"/>
  <c r="N2463" i="6"/>
  <c r="R2463" i="6" l="1"/>
  <c r="M2463" i="6" s="1"/>
  <c r="S2463" i="6" s="1"/>
  <c r="Q2464" i="6"/>
  <c r="N2464" i="6"/>
  <c r="O2465" i="6"/>
  <c r="P2465" i="6" s="1"/>
  <c r="R2464" i="6" l="1"/>
  <c r="M2464" i="6" s="1"/>
  <c r="S2464" i="6" s="1"/>
  <c r="Q2465" i="6"/>
  <c r="N2465" i="6"/>
  <c r="O2466" i="6"/>
  <c r="P2466" i="6" s="1"/>
  <c r="R2465" i="6" l="1"/>
  <c r="M2465" i="6" s="1"/>
  <c r="S2465" i="6" s="1"/>
  <c r="Q2466" i="6"/>
  <c r="N2466" i="6"/>
  <c r="O2467" i="6"/>
  <c r="P2467" i="6" s="1"/>
  <c r="R2466" i="6" l="1"/>
  <c r="M2466" i="6" s="1"/>
  <c r="S2466" i="6" s="1"/>
  <c r="Q2467" i="6"/>
  <c r="O2468" i="6"/>
  <c r="P2468" i="6" s="1"/>
  <c r="N2467" i="6"/>
  <c r="R2467" i="6" l="1"/>
  <c r="M2467" i="6" s="1"/>
  <c r="S2467" i="6" s="1"/>
  <c r="Q2468" i="6"/>
  <c r="N2468" i="6"/>
  <c r="O2469" i="6"/>
  <c r="P2469" i="6" s="1"/>
  <c r="R2468" i="6" l="1"/>
  <c r="M2468" i="6" s="1"/>
  <c r="S2468" i="6" s="1"/>
  <c r="Q2469" i="6"/>
  <c r="N2469" i="6"/>
  <c r="O2470" i="6"/>
  <c r="P2470" i="6" s="1"/>
  <c r="R2469" i="6" l="1"/>
  <c r="M2469" i="6" s="1"/>
  <c r="S2469" i="6" s="1"/>
  <c r="Q2470" i="6"/>
  <c r="N2470" i="6"/>
  <c r="O2471" i="6"/>
  <c r="P2471" i="6" s="1"/>
  <c r="R2470" i="6" l="1"/>
  <c r="M2470" i="6" s="1"/>
  <c r="S2470" i="6" s="1"/>
  <c r="Q2471" i="6"/>
  <c r="O2472" i="6"/>
  <c r="P2472" i="6" s="1"/>
  <c r="N2471" i="6"/>
  <c r="R2471" i="6" l="1"/>
  <c r="M2471" i="6" s="1"/>
  <c r="S2471" i="6" s="1"/>
  <c r="Q2472" i="6"/>
  <c r="N2472" i="6"/>
  <c r="O2473" i="6"/>
  <c r="P2473" i="6" s="1"/>
  <c r="R2472" i="6" l="1"/>
  <c r="M2472" i="6" s="1"/>
  <c r="S2472" i="6" s="1"/>
  <c r="Q2473" i="6"/>
  <c r="O2474" i="6"/>
  <c r="P2474" i="6" s="1"/>
  <c r="N2473" i="6"/>
  <c r="R2473" i="6" l="1"/>
  <c r="M2473" i="6" s="1"/>
  <c r="S2473" i="6" s="1"/>
  <c r="Q2474" i="6"/>
  <c r="N2474" i="6"/>
  <c r="O2475" i="6"/>
  <c r="P2475" i="6" s="1"/>
  <c r="R2474" i="6" l="1"/>
  <c r="M2474" i="6" s="1"/>
  <c r="S2474" i="6" s="1"/>
  <c r="Q2475" i="6"/>
  <c r="O2476" i="6"/>
  <c r="P2476" i="6" s="1"/>
  <c r="N2475" i="6"/>
  <c r="R2475" i="6" l="1"/>
  <c r="M2475" i="6" s="1"/>
  <c r="S2475" i="6" s="1"/>
  <c r="Q2476" i="6"/>
  <c r="O2477" i="6"/>
  <c r="P2477" i="6" s="1"/>
  <c r="N2476" i="6"/>
  <c r="R2476" i="6" l="1"/>
  <c r="M2476" i="6" s="1"/>
  <c r="S2476" i="6" s="1"/>
  <c r="Q2477" i="6"/>
  <c r="N2477" i="6"/>
  <c r="O2478" i="6"/>
  <c r="P2478" i="6" s="1"/>
  <c r="R2477" i="6" l="1"/>
  <c r="M2477" i="6" s="1"/>
  <c r="S2477" i="6" s="1"/>
  <c r="Q2478" i="6"/>
  <c r="N2478" i="6"/>
  <c r="O2479" i="6"/>
  <c r="P2479" i="6" s="1"/>
  <c r="R2478" i="6" l="1"/>
  <c r="M2478" i="6" s="1"/>
  <c r="S2478" i="6" s="1"/>
  <c r="Q2479" i="6"/>
  <c r="N2479" i="6"/>
  <c r="O2480" i="6"/>
  <c r="P2480" i="6" s="1"/>
  <c r="R2479" i="6" l="1"/>
  <c r="M2479" i="6" s="1"/>
  <c r="S2479" i="6" s="1"/>
  <c r="Q2480" i="6"/>
  <c r="N2480" i="6"/>
  <c r="O2481" i="6"/>
  <c r="P2481" i="6" s="1"/>
  <c r="R2480" i="6" l="1"/>
  <c r="M2480" i="6" s="1"/>
  <c r="S2480" i="6" s="1"/>
  <c r="Q2481" i="6"/>
  <c r="O2482" i="6"/>
  <c r="P2482" i="6" s="1"/>
  <c r="N2481" i="6"/>
  <c r="R2481" i="6" l="1"/>
  <c r="M2481" i="6" s="1"/>
  <c r="S2481" i="6" s="1"/>
  <c r="Q2482" i="6"/>
  <c r="N2482" i="6"/>
  <c r="O2483" i="6"/>
  <c r="P2483" i="6" s="1"/>
  <c r="R2482" i="6" l="1"/>
  <c r="M2482" i="6" s="1"/>
  <c r="S2482" i="6" s="1"/>
  <c r="Q2483" i="6"/>
  <c r="N2483" i="6"/>
  <c r="O2484" i="6"/>
  <c r="P2484" i="6" s="1"/>
  <c r="R2483" i="6" l="1"/>
  <c r="M2483" i="6" s="1"/>
  <c r="S2483" i="6" s="1"/>
  <c r="Q2484" i="6"/>
  <c r="N2484" i="6"/>
  <c r="O2485" i="6"/>
  <c r="P2485" i="6" s="1"/>
  <c r="R2484" i="6" l="1"/>
  <c r="M2484" i="6" s="1"/>
  <c r="S2484" i="6" s="1"/>
  <c r="Q2485" i="6"/>
  <c r="N2485" i="6"/>
  <c r="O2486" i="6"/>
  <c r="P2486" i="6" s="1"/>
  <c r="R2485" i="6" l="1"/>
  <c r="M2485" i="6" s="1"/>
  <c r="S2485" i="6" s="1"/>
  <c r="Q2486" i="6"/>
  <c r="O2487" i="6"/>
  <c r="P2487" i="6" s="1"/>
  <c r="N2486" i="6"/>
  <c r="R2486" i="6" l="1"/>
  <c r="M2486" i="6" s="1"/>
  <c r="S2486" i="6" s="1"/>
  <c r="Q2487" i="6"/>
  <c r="N2487" i="6"/>
  <c r="O2488" i="6"/>
  <c r="P2488" i="6" s="1"/>
  <c r="R2487" i="6" l="1"/>
  <c r="M2487" i="6" s="1"/>
  <c r="S2487" i="6" s="1"/>
  <c r="Q2488" i="6"/>
  <c r="N2488" i="6"/>
  <c r="O2489" i="6"/>
  <c r="P2489" i="6" s="1"/>
  <c r="R2488" i="6" l="1"/>
  <c r="M2488" i="6" s="1"/>
  <c r="S2488" i="6" s="1"/>
  <c r="Q2489" i="6"/>
  <c r="N2489" i="6"/>
  <c r="O2490" i="6"/>
  <c r="P2490" i="6" s="1"/>
  <c r="R2489" i="6" l="1"/>
  <c r="M2489" i="6" s="1"/>
  <c r="S2489" i="6" s="1"/>
  <c r="Q2490" i="6"/>
  <c r="N2490" i="6"/>
  <c r="O2491" i="6"/>
  <c r="P2491" i="6" s="1"/>
  <c r="R2490" i="6" l="1"/>
  <c r="M2490" i="6" s="1"/>
  <c r="S2490" i="6" s="1"/>
  <c r="Q2491" i="6"/>
  <c r="N2491" i="6"/>
  <c r="O2492" i="6"/>
  <c r="P2492" i="6" s="1"/>
  <c r="R2491" i="6" l="1"/>
  <c r="M2491" i="6" s="1"/>
  <c r="S2491" i="6" s="1"/>
  <c r="Q2492" i="6"/>
  <c r="O2493" i="6"/>
  <c r="P2493" i="6" s="1"/>
  <c r="N2492" i="6"/>
  <c r="R2492" i="6" l="1"/>
  <c r="M2492" i="6" s="1"/>
  <c r="S2492" i="6" s="1"/>
  <c r="Q2493" i="6"/>
  <c r="N2493" i="6"/>
  <c r="O2494" i="6"/>
  <c r="P2494" i="6" s="1"/>
  <c r="R2493" i="6" l="1"/>
  <c r="M2493" i="6" s="1"/>
  <c r="S2493" i="6" s="1"/>
  <c r="Q2494" i="6"/>
  <c r="O2495" i="6"/>
  <c r="P2495" i="6" s="1"/>
  <c r="N2494" i="6"/>
  <c r="R2494" i="6" l="1"/>
  <c r="M2494" i="6" s="1"/>
  <c r="S2494" i="6" s="1"/>
  <c r="Q2495" i="6"/>
  <c r="N2495" i="6"/>
  <c r="O2496" i="6"/>
  <c r="P2496" i="6" s="1"/>
  <c r="R2495" i="6" l="1"/>
  <c r="M2495" i="6" s="1"/>
  <c r="S2495" i="6" s="1"/>
  <c r="Q2496" i="6"/>
  <c r="O2497" i="6"/>
  <c r="P2497" i="6" s="1"/>
  <c r="N2496" i="6"/>
  <c r="R2496" i="6" l="1"/>
  <c r="M2496" i="6" s="1"/>
  <c r="S2496" i="6" s="1"/>
  <c r="Q2497" i="6"/>
  <c r="N2497" i="6"/>
  <c r="O2498" i="6"/>
  <c r="P2498" i="6" s="1"/>
  <c r="R2497" i="6" l="1"/>
  <c r="M2497" i="6" s="1"/>
  <c r="S2497" i="6" s="1"/>
  <c r="Q2498" i="6"/>
  <c r="N2498" i="6"/>
  <c r="O2499" i="6"/>
  <c r="P2499" i="6" s="1"/>
  <c r="R2498" i="6" l="1"/>
  <c r="M2498" i="6" s="1"/>
  <c r="S2498" i="6" s="1"/>
  <c r="Q2499" i="6"/>
  <c r="O2500" i="6"/>
  <c r="P2500" i="6" s="1"/>
  <c r="N2499" i="6"/>
  <c r="R2499" i="6" l="1"/>
  <c r="M2499" i="6" s="1"/>
  <c r="S2499" i="6" s="1"/>
  <c r="Q2500" i="6"/>
  <c r="N2500" i="6"/>
  <c r="O2501" i="6"/>
  <c r="P2501" i="6" s="1"/>
  <c r="R2500" i="6" l="1"/>
  <c r="M2500" i="6" s="1"/>
  <c r="S2500" i="6" s="1"/>
  <c r="Q2501" i="6"/>
  <c r="N2501" i="6"/>
  <c r="O2502" i="6"/>
  <c r="P2502" i="6" s="1"/>
  <c r="R2501" i="6" l="1"/>
  <c r="M2501" i="6" s="1"/>
  <c r="S2501" i="6" s="1"/>
  <c r="Q2502" i="6"/>
  <c r="O2503" i="6"/>
  <c r="P2503" i="6" s="1"/>
  <c r="N2502" i="6"/>
  <c r="R2502" i="6" l="1"/>
  <c r="M2502" i="6" s="1"/>
  <c r="S2502" i="6" s="1"/>
  <c r="Q2503" i="6"/>
  <c r="N2503" i="6"/>
  <c r="O2504" i="6"/>
  <c r="P2504" i="6" s="1"/>
  <c r="R2503" i="6" l="1"/>
  <c r="M2503" i="6" s="1"/>
  <c r="S2503" i="6" s="1"/>
  <c r="Q2504" i="6"/>
  <c r="N2504" i="6"/>
  <c r="O2505" i="6"/>
  <c r="P2505" i="6" s="1"/>
  <c r="R2504" i="6" l="1"/>
  <c r="M2504" i="6" s="1"/>
  <c r="S2504" i="6" s="1"/>
  <c r="Q2505" i="6"/>
  <c r="N2505" i="6"/>
  <c r="O2506" i="6"/>
  <c r="P2506" i="6" s="1"/>
  <c r="R2505" i="6" l="1"/>
  <c r="M2505" i="6" s="1"/>
  <c r="S2505" i="6" s="1"/>
  <c r="Q2506" i="6"/>
  <c r="O2507" i="6"/>
  <c r="P2507" i="6" s="1"/>
  <c r="N2506" i="6"/>
  <c r="R2506" i="6" l="1"/>
  <c r="M2506" i="6" s="1"/>
  <c r="S2506" i="6" s="1"/>
  <c r="Q2507" i="6"/>
  <c r="N2507" i="6"/>
  <c r="O2508" i="6"/>
  <c r="P2508" i="6" s="1"/>
  <c r="R2507" i="6" l="1"/>
  <c r="M2507" i="6" s="1"/>
  <c r="S2507" i="6" s="1"/>
  <c r="Q2508" i="6"/>
  <c r="N2508" i="6"/>
  <c r="O2509" i="6"/>
  <c r="P2509" i="6" s="1"/>
  <c r="R2508" i="6" l="1"/>
  <c r="M2508" i="6" s="1"/>
  <c r="S2508" i="6" s="1"/>
  <c r="Q2509" i="6"/>
  <c r="N2509" i="6"/>
  <c r="O2510" i="6"/>
  <c r="P2510" i="6" s="1"/>
  <c r="R2509" i="6" l="1"/>
  <c r="M2509" i="6" s="1"/>
  <c r="S2509" i="6" s="1"/>
  <c r="Q2510" i="6"/>
  <c r="O2511" i="6"/>
  <c r="P2511" i="6" s="1"/>
  <c r="N2510" i="6"/>
  <c r="R2510" i="6" l="1"/>
  <c r="M2510" i="6" s="1"/>
  <c r="S2510" i="6" s="1"/>
  <c r="Q2511" i="6"/>
  <c r="O2512" i="6"/>
  <c r="P2512" i="6" s="1"/>
  <c r="N2511" i="6"/>
  <c r="R2511" i="6" l="1"/>
  <c r="M2511" i="6" s="1"/>
  <c r="S2511" i="6" s="1"/>
  <c r="Q2512" i="6"/>
  <c r="N2512" i="6"/>
  <c r="O2513" i="6"/>
  <c r="P2513" i="6" s="1"/>
  <c r="R2512" i="6" l="1"/>
  <c r="M2512" i="6" s="1"/>
  <c r="S2512" i="6" s="1"/>
  <c r="Q2513" i="6"/>
  <c r="O2514" i="6"/>
  <c r="P2514" i="6" s="1"/>
  <c r="N2513" i="6"/>
  <c r="R2513" i="6" l="1"/>
  <c r="M2513" i="6" s="1"/>
  <c r="S2513" i="6" s="1"/>
  <c r="Q2514" i="6"/>
  <c r="O2515" i="6"/>
  <c r="P2515" i="6" s="1"/>
  <c r="N2514" i="6"/>
  <c r="R2514" i="6" l="1"/>
  <c r="M2514" i="6" s="1"/>
  <c r="S2514" i="6" s="1"/>
  <c r="Q2515" i="6"/>
  <c r="N2515" i="6"/>
  <c r="O2516" i="6"/>
  <c r="P2516" i="6" s="1"/>
  <c r="R2515" i="6" l="1"/>
  <c r="M2515" i="6" s="1"/>
  <c r="S2515" i="6" s="1"/>
  <c r="Q2516" i="6"/>
  <c r="O2517" i="6"/>
  <c r="P2517" i="6" s="1"/>
  <c r="N2516" i="6"/>
  <c r="R2516" i="6" l="1"/>
  <c r="M2516" i="6" s="1"/>
  <c r="S2516" i="6" s="1"/>
  <c r="Q2517" i="6"/>
  <c r="O2518" i="6"/>
  <c r="P2518" i="6" s="1"/>
  <c r="N2517" i="6"/>
  <c r="R2517" i="6" l="1"/>
  <c r="M2517" i="6" s="1"/>
  <c r="S2517" i="6" s="1"/>
  <c r="Q2518" i="6"/>
  <c r="O2519" i="6"/>
  <c r="P2519" i="6" s="1"/>
  <c r="N2518" i="6"/>
  <c r="R2518" i="6" l="1"/>
  <c r="M2518" i="6" s="1"/>
  <c r="S2518" i="6" s="1"/>
  <c r="Q2519" i="6"/>
  <c r="O2520" i="6"/>
  <c r="P2520" i="6" s="1"/>
  <c r="N2519" i="6"/>
  <c r="R2519" i="6" l="1"/>
  <c r="M2519" i="6" s="1"/>
  <c r="S2519" i="6" s="1"/>
  <c r="Q2520" i="6"/>
  <c r="N2520" i="6"/>
  <c r="O2521" i="6"/>
  <c r="P2521" i="6" s="1"/>
  <c r="R2520" i="6" l="1"/>
  <c r="M2520" i="6" s="1"/>
  <c r="S2520" i="6" s="1"/>
  <c r="Q2521" i="6"/>
  <c r="O2522" i="6"/>
  <c r="P2522" i="6" s="1"/>
  <c r="N2521" i="6"/>
  <c r="R2521" i="6" l="1"/>
  <c r="M2521" i="6" s="1"/>
  <c r="S2521" i="6" s="1"/>
  <c r="Q2522" i="6"/>
  <c r="O2523" i="6"/>
  <c r="P2523" i="6" s="1"/>
  <c r="N2522" i="6"/>
  <c r="R2522" i="6" l="1"/>
  <c r="M2522" i="6" s="1"/>
  <c r="S2522" i="6" s="1"/>
  <c r="Q2523" i="6"/>
  <c r="O2524" i="6"/>
  <c r="P2524" i="6" s="1"/>
  <c r="N2523" i="6"/>
  <c r="R2523" i="6" l="1"/>
  <c r="M2523" i="6" s="1"/>
  <c r="S2523" i="6" s="1"/>
  <c r="Q2524" i="6"/>
  <c r="N2524" i="6"/>
  <c r="O2525" i="6"/>
  <c r="P2525" i="6" s="1"/>
  <c r="R2524" i="6" l="1"/>
  <c r="M2524" i="6" s="1"/>
  <c r="S2524" i="6" s="1"/>
  <c r="Q2525" i="6"/>
  <c r="O2526" i="6"/>
  <c r="P2526" i="6" s="1"/>
  <c r="N2525" i="6"/>
  <c r="R2525" i="6" l="1"/>
  <c r="M2525" i="6" s="1"/>
  <c r="S2525" i="6" s="1"/>
  <c r="Q2526" i="6"/>
  <c r="O2527" i="6"/>
  <c r="P2527" i="6" s="1"/>
  <c r="N2526" i="6"/>
  <c r="R2526" i="6" l="1"/>
  <c r="M2526" i="6" s="1"/>
  <c r="S2526" i="6" s="1"/>
  <c r="Q2527" i="6"/>
  <c r="N2527" i="6"/>
  <c r="O2528" i="6"/>
  <c r="P2528" i="6" s="1"/>
  <c r="R2527" i="6" l="1"/>
  <c r="M2527" i="6" s="1"/>
  <c r="S2527" i="6" s="1"/>
  <c r="Q2528" i="6"/>
  <c r="N2528" i="6"/>
  <c r="O2529" i="6"/>
  <c r="P2529" i="6" s="1"/>
  <c r="R2528" i="6" l="1"/>
  <c r="M2528" i="6" s="1"/>
  <c r="S2528" i="6" s="1"/>
  <c r="Q2529" i="6"/>
  <c r="O2530" i="6"/>
  <c r="P2530" i="6" s="1"/>
  <c r="N2529" i="6"/>
  <c r="R2529" i="6" l="1"/>
  <c r="M2529" i="6" s="1"/>
  <c r="S2529" i="6" s="1"/>
  <c r="Q2530" i="6"/>
  <c r="N2530" i="6"/>
  <c r="O2531" i="6"/>
  <c r="P2531" i="6" s="1"/>
  <c r="R2530" i="6" l="1"/>
  <c r="M2530" i="6" s="1"/>
  <c r="S2530" i="6" s="1"/>
  <c r="Q2531" i="6"/>
  <c r="O2532" i="6"/>
  <c r="P2532" i="6" s="1"/>
  <c r="N2531" i="6"/>
  <c r="R2531" i="6" l="1"/>
  <c r="M2531" i="6" s="1"/>
  <c r="S2531" i="6" s="1"/>
  <c r="Q2532" i="6"/>
  <c r="O2533" i="6"/>
  <c r="P2533" i="6" s="1"/>
  <c r="N2532" i="6"/>
  <c r="R2532" i="6" l="1"/>
  <c r="M2532" i="6" s="1"/>
  <c r="S2532" i="6" s="1"/>
  <c r="Q2533" i="6"/>
  <c r="O2534" i="6"/>
  <c r="P2534" i="6" s="1"/>
  <c r="N2533" i="6"/>
  <c r="R2533" i="6" l="1"/>
  <c r="M2533" i="6" s="1"/>
  <c r="S2533" i="6" s="1"/>
  <c r="Q2534" i="6"/>
  <c r="O2535" i="6"/>
  <c r="P2535" i="6" s="1"/>
  <c r="N2534" i="6"/>
  <c r="R2534" i="6" l="1"/>
  <c r="M2534" i="6" s="1"/>
  <c r="S2534" i="6" s="1"/>
  <c r="Q2535" i="6"/>
  <c r="O2536" i="6"/>
  <c r="P2536" i="6" s="1"/>
  <c r="N2535" i="6"/>
  <c r="R2535" i="6" l="1"/>
  <c r="M2535" i="6" s="1"/>
  <c r="S2535" i="6" s="1"/>
  <c r="Q2536" i="6"/>
  <c r="N2536" i="6"/>
  <c r="O2537" i="6"/>
  <c r="P2537" i="6" s="1"/>
  <c r="R2536" i="6" l="1"/>
  <c r="M2536" i="6" s="1"/>
  <c r="S2536" i="6" s="1"/>
  <c r="Q2537" i="6"/>
  <c r="O2538" i="6"/>
  <c r="P2538" i="6" s="1"/>
  <c r="N2537" i="6"/>
  <c r="R2537" i="6" l="1"/>
  <c r="M2537" i="6" s="1"/>
  <c r="S2537" i="6" s="1"/>
  <c r="Q2538" i="6"/>
  <c r="N2538" i="6"/>
  <c r="O2539" i="6"/>
  <c r="P2539" i="6" s="1"/>
  <c r="R2538" i="6" l="1"/>
  <c r="M2538" i="6" s="1"/>
  <c r="S2538" i="6" s="1"/>
  <c r="Q2539" i="6"/>
  <c r="O2540" i="6"/>
  <c r="P2540" i="6" s="1"/>
  <c r="N2539" i="6"/>
  <c r="R2539" i="6" l="1"/>
  <c r="M2539" i="6" s="1"/>
  <c r="S2539" i="6" s="1"/>
  <c r="Q2540" i="6"/>
  <c r="N2540" i="6"/>
  <c r="O2541" i="6"/>
  <c r="P2541" i="6" s="1"/>
  <c r="R2540" i="6" l="1"/>
  <c r="M2540" i="6" s="1"/>
  <c r="S2540" i="6" s="1"/>
  <c r="Q2541" i="6"/>
  <c r="N2541" i="6"/>
  <c r="O2542" i="6"/>
  <c r="P2542" i="6" s="1"/>
  <c r="R2541" i="6" l="1"/>
  <c r="M2541" i="6" s="1"/>
  <c r="S2541" i="6" s="1"/>
  <c r="Q2542" i="6"/>
  <c r="O2543" i="6"/>
  <c r="P2543" i="6" s="1"/>
  <c r="N2542" i="6"/>
  <c r="R2542" i="6" l="1"/>
  <c r="M2542" i="6" s="1"/>
  <c r="S2542" i="6" s="1"/>
  <c r="Q2543" i="6"/>
  <c r="O2544" i="6"/>
  <c r="P2544" i="6" s="1"/>
  <c r="N2543" i="6"/>
  <c r="R2543" i="6" l="1"/>
  <c r="M2543" i="6" s="1"/>
  <c r="S2543" i="6" s="1"/>
  <c r="Q2544" i="6"/>
  <c r="O2545" i="6"/>
  <c r="P2545" i="6" s="1"/>
  <c r="N2544" i="6"/>
  <c r="R2544" i="6" l="1"/>
  <c r="M2544" i="6" s="1"/>
  <c r="S2544" i="6" s="1"/>
  <c r="Q2545" i="6"/>
  <c r="O2546" i="6"/>
  <c r="P2546" i="6" s="1"/>
  <c r="N2545" i="6"/>
  <c r="R2545" i="6" l="1"/>
  <c r="M2545" i="6" s="1"/>
  <c r="S2545" i="6" s="1"/>
  <c r="Q2546" i="6"/>
  <c r="N2546" i="6"/>
  <c r="O2547" i="6"/>
  <c r="P2547" i="6" s="1"/>
  <c r="R2546" i="6" l="1"/>
  <c r="M2546" i="6" s="1"/>
  <c r="S2546" i="6" s="1"/>
  <c r="Q2547" i="6"/>
  <c r="O2548" i="6"/>
  <c r="P2548" i="6" s="1"/>
  <c r="N2547" i="6"/>
  <c r="R2547" i="6" l="1"/>
  <c r="M2547" i="6" s="1"/>
  <c r="S2547" i="6" s="1"/>
  <c r="Q2548" i="6"/>
  <c r="O2549" i="6"/>
  <c r="P2549" i="6" s="1"/>
  <c r="N2548" i="6"/>
  <c r="R2548" i="6" l="1"/>
  <c r="M2548" i="6" s="1"/>
  <c r="S2548" i="6" s="1"/>
  <c r="Q2549" i="6"/>
  <c r="O2550" i="6"/>
  <c r="P2550" i="6" s="1"/>
  <c r="N2549" i="6"/>
  <c r="R2549" i="6" l="1"/>
  <c r="M2549" i="6" s="1"/>
  <c r="S2549" i="6" s="1"/>
  <c r="Q2550" i="6"/>
  <c r="N2550" i="6"/>
  <c r="O2551" i="6"/>
  <c r="P2551" i="6" s="1"/>
  <c r="R2550" i="6" l="1"/>
  <c r="M2550" i="6" s="1"/>
  <c r="S2550" i="6" s="1"/>
  <c r="Q2551" i="6"/>
  <c r="O2552" i="6"/>
  <c r="P2552" i="6" s="1"/>
  <c r="N2551" i="6"/>
  <c r="R2551" i="6" l="1"/>
  <c r="M2551" i="6" s="1"/>
  <c r="S2551" i="6" s="1"/>
  <c r="Q2552" i="6"/>
  <c r="O2553" i="6"/>
  <c r="P2553" i="6" s="1"/>
  <c r="N2552" i="6"/>
  <c r="R2552" i="6" l="1"/>
  <c r="M2552" i="6" s="1"/>
  <c r="S2552" i="6" s="1"/>
  <c r="Q2553" i="6"/>
  <c r="O2554" i="6"/>
  <c r="P2554" i="6" s="1"/>
  <c r="N2553" i="6"/>
  <c r="R2553" i="6" l="1"/>
  <c r="M2553" i="6" s="1"/>
  <c r="S2553" i="6" s="1"/>
  <c r="Q2554" i="6"/>
  <c r="N2554" i="6"/>
  <c r="O2555" i="6"/>
  <c r="P2555" i="6" s="1"/>
  <c r="R2554" i="6" l="1"/>
  <c r="M2554" i="6" s="1"/>
  <c r="S2554" i="6" s="1"/>
  <c r="Q2555" i="6"/>
  <c r="N2555" i="6"/>
  <c r="O2556" i="6"/>
  <c r="P2556" i="6" s="1"/>
  <c r="R2555" i="6" l="1"/>
  <c r="M2555" i="6" s="1"/>
  <c r="S2555" i="6" s="1"/>
  <c r="Q2556" i="6"/>
  <c r="N2556" i="6"/>
  <c r="O2557" i="6"/>
  <c r="P2557" i="6" s="1"/>
  <c r="R2556" i="6" l="1"/>
  <c r="M2556" i="6" s="1"/>
  <c r="S2556" i="6" s="1"/>
  <c r="Q2557" i="6"/>
  <c r="O2558" i="6"/>
  <c r="P2558" i="6" s="1"/>
  <c r="N2557" i="6"/>
  <c r="R2557" i="6" l="1"/>
  <c r="M2557" i="6" s="1"/>
  <c r="S2557" i="6" s="1"/>
  <c r="Q2558" i="6"/>
  <c r="N2558" i="6"/>
  <c r="O2559" i="6"/>
  <c r="P2559" i="6" s="1"/>
  <c r="R2558" i="6" l="1"/>
  <c r="M2558" i="6" s="1"/>
  <c r="S2558" i="6" s="1"/>
  <c r="Q2559" i="6"/>
  <c r="O2560" i="6"/>
  <c r="P2560" i="6" s="1"/>
  <c r="N2559" i="6"/>
  <c r="R2559" i="6" l="1"/>
  <c r="M2559" i="6" s="1"/>
  <c r="S2559" i="6" s="1"/>
  <c r="Q2560" i="6"/>
  <c r="N2560" i="6"/>
  <c r="O2561" i="6"/>
  <c r="P2561" i="6" s="1"/>
  <c r="R2560" i="6" l="1"/>
  <c r="M2560" i="6" s="1"/>
  <c r="S2560" i="6" s="1"/>
  <c r="Q2561" i="6"/>
  <c r="O2562" i="6"/>
  <c r="P2562" i="6" s="1"/>
  <c r="N2561" i="6"/>
  <c r="R2561" i="6" l="1"/>
  <c r="M2561" i="6" s="1"/>
  <c r="S2561" i="6" s="1"/>
  <c r="Q2562" i="6"/>
  <c r="O2563" i="6"/>
  <c r="P2563" i="6" s="1"/>
  <c r="N2562" i="6"/>
  <c r="R2562" i="6" l="1"/>
  <c r="M2562" i="6" s="1"/>
  <c r="S2562" i="6" s="1"/>
  <c r="Q2563" i="6"/>
  <c r="N2563" i="6"/>
  <c r="O2564" i="6"/>
  <c r="P2564" i="6" s="1"/>
  <c r="R2563" i="6" l="1"/>
  <c r="M2563" i="6" s="1"/>
  <c r="S2563" i="6" s="1"/>
  <c r="Q2564" i="6"/>
  <c r="N2564" i="6"/>
  <c r="O2565" i="6"/>
  <c r="P2565" i="6" s="1"/>
  <c r="R2564" i="6" l="1"/>
  <c r="M2564" i="6" s="1"/>
  <c r="S2564" i="6" s="1"/>
  <c r="Q2565" i="6"/>
  <c r="O2566" i="6"/>
  <c r="P2566" i="6" s="1"/>
  <c r="N2565" i="6"/>
  <c r="R2565" i="6" l="1"/>
  <c r="M2565" i="6" s="1"/>
  <c r="S2565" i="6" s="1"/>
  <c r="Q2566" i="6"/>
  <c r="N2566" i="6"/>
  <c r="O2567" i="6"/>
  <c r="P2567" i="6" s="1"/>
  <c r="R2566" i="6" l="1"/>
  <c r="M2566" i="6" s="1"/>
  <c r="S2566" i="6" s="1"/>
  <c r="Q2567" i="6"/>
  <c r="N2567" i="6"/>
  <c r="O2568" i="6"/>
  <c r="P2568" i="6" s="1"/>
  <c r="R2567" i="6" l="1"/>
  <c r="M2567" i="6" s="1"/>
  <c r="S2567" i="6" s="1"/>
  <c r="Q2568" i="6"/>
  <c r="N2568" i="6"/>
  <c r="O2569" i="6"/>
  <c r="P2569" i="6" s="1"/>
  <c r="R2568" i="6" l="1"/>
  <c r="M2568" i="6" s="1"/>
  <c r="S2568" i="6" s="1"/>
  <c r="Q2569" i="6"/>
  <c r="N2569" i="6"/>
  <c r="O2570" i="6"/>
  <c r="P2570" i="6" s="1"/>
  <c r="R2569" i="6" l="1"/>
  <c r="M2569" i="6" s="1"/>
  <c r="S2569" i="6" s="1"/>
  <c r="Q2570" i="6"/>
  <c r="O2571" i="6"/>
  <c r="P2571" i="6" s="1"/>
  <c r="N2570" i="6"/>
  <c r="R2570" i="6" l="1"/>
  <c r="M2570" i="6" s="1"/>
  <c r="S2570" i="6" s="1"/>
  <c r="Q2571" i="6"/>
  <c r="O2572" i="6"/>
  <c r="P2572" i="6" s="1"/>
  <c r="N2571" i="6"/>
  <c r="R2571" i="6" l="1"/>
  <c r="M2571" i="6" s="1"/>
  <c r="S2571" i="6" s="1"/>
  <c r="Q2572" i="6"/>
  <c r="N2572" i="6"/>
  <c r="O2573" i="6"/>
  <c r="P2573" i="6" s="1"/>
  <c r="R2572" i="6" l="1"/>
  <c r="M2572" i="6" s="1"/>
  <c r="S2572" i="6" s="1"/>
  <c r="Q2573" i="6"/>
  <c r="O2574" i="6"/>
  <c r="P2574" i="6" s="1"/>
  <c r="N2573" i="6"/>
  <c r="R2573" i="6" l="1"/>
  <c r="M2573" i="6" s="1"/>
  <c r="S2573" i="6" s="1"/>
  <c r="Q2574" i="6"/>
  <c r="O2575" i="6"/>
  <c r="P2575" i="6" s="1"/>
  <c r="N2574" i="6"/>
  <c r="R2574" i="6" l="1"/>
  <c r="M2574" i="6" s="1"/>
  <c r="S2574" i="6" s="1"/>
  <c r="Q2575" i="6"/>
  <c r="O2576" i="6"/>
  <c r="P2576" i="6" s="1"/>
  <c r="N2575" i="6"/>
  <c r="R2575" i="6" l="1"/>
  <c r="M2575" i="6" s="1"/>
  <c r="S2575" i="6" s="1"/>
  <c r="Q2576" i="6"/>
  <c r="N2576" i="6"/>
  <c r="O2577" i="6"/>
  <c r="P2577" i="6" s="1"/>
  <c r="R2576" i="6" l="1"/>
  <c r="M2576" i="6" s="1"/>
  <c r="S2576" i="6" s="1"/>
  <c r="Q2577" i="6"/>
  <c r="N2577" i="6"/>
  <c r="O2578" i="6"/>
  <c r="P2578" i="6" s="1"/>
  <c r="R2577" i="6" l="1"/>
  <c r="M2577" i="6" s="1"/>
  <c r="S2577" i="6" s="1"/>
  <c r="Q2578" i="6"/>
  <c r="O2579" i="6"/>
  <c r="P2579" i="6" s="1"/>
  <c r="N2578" i="6"/>
  <c r="R2578" i="6" l="1"/>
  <c r="M2578" i="6" s="1"/>
  <c r="S2578" i="6" s="1"/>
  <c r="Q2579" i="6"/>
  <c r="N2579" i="6"/>
  <c r="O2580" i="6"/>
  <c r="P2580" i="6" s="1"/>
  <c r="R2579" i="6" l="1"/>
  <c r="M2579" i="6" s="1"/>
  <c r="S2579" i="6" s="1"/>
  <c r="Q2580" i="6"/>
  <c r="N2580" i="6"/>
  <c r="O2581" i="6"/>
  <c r="P2581" i="6" s="1"/>
  <c r="R2580" i="6" l="1"/>
  <c r="M2580" i="6" s="1"/>
  <c r="S2580" i="6" s="1"/>
  <c r="Q2581" i="6"/>
  <c r="N2581" i="6"/>
  <c r="O2582" i="6"/>
  <c r="P2582" i="6" s="1"/>
  <c r="R2581" i="6" l="1"/>
  <c r="M2581" i="6" s="1"/>
  <c r="S2581" i="6" s="1"/>
  <c r="Q2582" i="6"/>
  <c r="N2582" i="6"/>
  <c r="O2583" i="6"/>
  <c r="P2583" i="6" s="1"/>
  <c r="R2582" i="6" l="1"/>
  <c r="M2582" i="6" s="1"/>
  <c r="S2582" i="6" s="1"/>
  <c r="Q2583" i="6"/>
  <c r="O2584" i="6"/>
  <c r="P2584" i="6" s="1"/>
  <c r="N2583" i="6"/>
  <c r="R2583" i="6" l="1"/>
  <c r="M2583" i="6" s="1"/>
  <c r="S2583" i="6" s="1"/>
  <c r="Q2584" i="6"/>
  <c r="N2584" i="6"/>
  <c r="O2585" i="6"/>
  <c r="P2585" i="6" s="1"/>
  <c r="R2584" i="6" l="1"/>
  <c r="M2584" i="6" s="1"/>
  <c r="S2584" i="6" s="1"/>
  <c r="Q2585" i="6"/>
  <c r="N2585" i="6"/>
  <c r="O2586" i="6"/>
  <c r="P2586" i="6" s="1"/>
  <c r="R2585" i="6" l="1"/>
  <c r="M2585" i="6" s="1"/>
  <c r="S2585" i="6" s="1"/>
  <c r="Q2586" i="6"/>
  <c r="O2587" i="6"/>
  <c r="P2587" i="6" s="1"/>
  <c r="N2586" i="6"/>
  <c r="R2586" i="6" l="1"/>
  <c r="M2586" i="6" s="1"/>
  <c r="S2586" i="6" s="1"/>
  <c r="Q2587" i="6"/>
  <c r="O2588" i="6"/>
  <c r="P2588" i="6" s="1"/>
  <c r="N2587" i="6"/>
  <c r="R2587" i="6" l="1"/>
  <c r="M2587" i="6" s="1"/>
  <c r="S2587" i="6" s="1"/>
  <c r="Q2588" i="6"/>
  <c r="O2589" i="6"/>
  <c r="P2589" i="6" s="1"/>
  <c r="N2588" i="6"/>
  <c r="R2588" i="6" l="1"/>
  <c r="M2588" i="6" s="1"/>
  <c r="S2588" i="6" s="1"/>
  <c r="Q2589" i="6"/>
  <c r="O2590" i="6"/>
  <c r="P2590" i="6" s="1"/>
  <c r="N2589" i="6"/>
  <c r="R2589" i="6" l="1"/>
  <c r="M2589" i="6" s="1"/>
  <c r="S2589" i="6" s="1"/>
  <c r="Q2590" i="6"/>
  <c r="N2590" i="6"/>
  <c r="O2591" i="6"/>
  <c r="P2591" i="6" s="1"/>
  <c r="R2590" i="6" l="1"/>
  <c r="M2590" i="6" s="1"/>
  <c r="S2590" i="6" s="1"/>
  <c r="Q2591" i="6"/>
  <c r="O2592" i="6"/>
  <c r="P2592" i="6" s="1"/>
  <c r="N2591" i="6"/>
  <c r="R2591" i="6" l="1"/>
  <c r="M2591" i="6" s="1"/>
  <c r="S2591" i="6" s="1"/>
  <c r="Q2592" i="6"/>
  <c r="O2593" i="6"/>
  <c r="P2593" i="6" s="1"/>
  <c r="N2592" i="6"/>
  <c r="R2592" i="6" l="1"/>
  <c r="M2592" i="6" s="1"/>
  <c r="S2592" i="6" s="1"/>
  <c r="Q2593" i="6"/>
  <c r="O2594" i="6"/>
  <c r="P2594" i="6" s="1"/>
  <c r="N2593" i="6"/>
  <c r="R2593" i="6" l="1"/>
  <c r="M2593" i="6" s="1"/>
  <c r="S2593" i="6" s="1"/>
  <c r="Q2594" i="6"/>
  <c r="O2595" i="6"/>
  <c r="P2595" i="6" s="1"/>
  <c r="N2594" i="6"/>
  <c r="R2594" i="6" l="1"/>
  <c r="M2594" i="6" s="1"/>
  <c r="S2594" i="6" s="1"/>
  <c r="Q2595" i="6"/>
  <c r="N2595" i="6"/>
  <c r="O2596" i="6"/>
  <c r="P2596" i="6" s="1"/>
  <c r="R2595" i="6" l="1"/>
  <c r="M2595" i="6" s="1"/>
  <c r="S2595" i="6" s="1"/>
  <c r="Q2596" i="6"/>
  <c r="N2596" i="6"/>
  <c r="O2597" i="6"/>
  <c r="P2597" i="6" s="1"/>
  <c r="R2596" i="6" l="1"/>
  <c r="M2596" i="6" s="1"/>
  <c r="S2596" i="6" s="1"/>
  <c r="Q2597" i="6"/>
  <c r="N2597" i="6"/>
  <c r="O2598" i="6"/>
  <c r="P2598" i="6" s="1"/>
  <c r="R2597" i="6" l="1"/>
  <c r="M2597" i="6" s="1"/>
  <c r="S2597" i="6" s="1"/>
  <c r="Q2598" i="6"/>
  <c r="O2599" i="6"/>
  <c r="P2599" i="6" s="1"/>
  <c r="N2598" i="6"/>
  <c r="R2598" i="6" l="1"/>
  <c r="M2598" i="6" s="1"/>
  <c r="S2598" i="6" s="1"/>
  <c r="Q2599" i="6"/>
  <c r="N2599" i="6"/>
  <c r="O2600" i="6"/>
  <c r="P2600" i="6" s="1"/>
  <c r="R2599" i="6" l="1"/>
  <c r="M2599" i="6" s="1"/>
  <c r="S2599" i="6" s="1"/>
  <c r="Q2600" i="6"/>
  <c r="N2600" i="6"/>
  <c r="O2601" i="6"/>
  <c r="P2601" i="6" s="1"/>
  <c r="R2600" i="6" l="1"/>
  <c r="M2600" i="6" s="1"/>
  <c r="S2600" i="6" s="1"/>
  <c r="Q2601" i="6"/>
  <c r="N2601" i="6"/>
  <c r="O2602" i="6"/>
  <c r="P2602" i="6" s="1"/>
  <c r="R2601" i="6" l="1"/>
  <c r="M2601" i="6" s="1"/>
  <c r="S2601" i="6" s="1"/>
  <c r="Q2602" i="6"/>
  <c r="N2602" i="6"/>
  <c r="O2603" i="6"/>
  <c r="P2603" i="6" s="1"/>
  <c r="R2602" i="6" l="1"/>
  <c r="M2602" i="6" s="1"/>
  <c r="S2602" i="6" s="1"/>
  <c r="Q2603" i="6"/>
  <c r="O2604" i="6"/>
  <c r="P2604" i="6" s="1"/>
  <c r="N2603" i="6"/>
  <c r="R2603" i="6" l="1"/>
  <c r="M2603" i="6" s="1"/>
  <c r="S2603" i="6" s="1"/>
  <c r="Q2604" i="6"/>
  <c r="N2604" i="6"/>
  <c r="O2605" i="6"/>
  <c r="P2605" i="6" s="1"/>
  <c r="E186" i="6"/>
  <c r="I186" i="6"/>
  <c r="D186" i="6"/>
  <c r="H186" i="6" s="1"/>
  <c r="F186" i="6"/>
  <c r="G186" i="6"/>
  <c r="AF186" i="6" s="1"/>
  <c r="R2604" i="6" l="1"/>
  <c r="M2604" i="6" s="1"/>
  <c r="S2604" i="6" s="1"/>
  <c r="Q2605" i="6"/>
  <c r="O2606" i="6"/>
  <c r="P2606" i="6" s="1"/>
  <c r="N2605" i="6"/>
  <c r="AE186" i="6"/>
  <c r="I187" i="6"/>
  <c r="G187" i="6"/>
  <c r="AF187" i="6" s="1"/>
  <c r="E187" i="6"/>
  <c r="F187" i="6"/>
  <c r="D187" i="6"/>
  <c r="R2605" i="6" l="1"/>
  <c r="M2605" i="6" s="1"/>
  <c r="S2605" i="6" s="1"/>
  <c r="Q2606" i="6"/>
  <c r="O2607" i="6"/>
  <c r="P2607" i="6" s="1"/>
  <c r="N2606" i="6"/>
  <c r="H187" i="6"/>
  <c r="AE187" i="6"/>
  <c r="R2606" i="6" l="1"/>
  <c r="M2606" i="6" s="1"/>
  <c r="S2606" i="6" s="1"/>
  <c r="Q2607" i="6"/>
  <c r="N2607" i="6"/>
  <c r="O2608" i="6"/>
  <c r="P2608" i="6" s="1"/>
  <c r="G188" i="6"/>
  <c r="AF188" i="6" s="1"/>
  <c r="I188" i="6"/>
  <c r="F188" i="6"/>
  <c r="D188" i="6"/>
  <c r="H188" i="6" s="1"/>
  <c r="E188" i="6"/>
  <c r="R2607" i="6" l="1"/>
  <c r="M2607" i="6" s="1"/>
  <c r="S2607" i="6" s="1"/>
  <c r="Q2608" i="6"/>
  <c r="N2608" i="6"/>
  <c r="O2609" i="6"/>
  <c r="P2609" i="6" s="1"/>
  <c r="G189" i="6"/>
  <c r="AF189" i="6" s="1"/>
  <c r="F189" i="6"/>
  <c r="E189" i="6"/>
  <c r="I189" i="6"/>
  <c r="D189" i="6"/>
  <c r="H189" i="6" s="1"/>
  <c r="AE188" i="6"/>
  <c r="R2608" i="6" l="1"/>
  <c r="M2608" i="6" s="1"/>
  <c r="S2608" i="6" s="1"/>
  <c r="Q2609" i="6"/>
  <c r="N2609" i="6"/>
  <c r="O2610" i="6"/>
  <c r="P2610" i="6" s="1"/>
  <c r="G190" i="6"/>
  <c r="AF190" i="6" s="1"/>
  <c r="I190" i="6"/>
  <c r="E190" i="6"/>
  <c r="D190" i="6"/>
  <c r="H190" i="6" s="1"/>
  <c r="F190" i="6"/>
  <c r="AE189" i="6"/>
  <c r="R2609" i="6" l="1"/>
  <c r="M2609" i="6" s="1"/>
  <c r="S2609" i="6" s="1"/>
  <c r="Q2610" i="6"/>
  <c r="N2610" i="6"/>
  <c r="O2611" i="6"/>
  <c r="P2611" i="6" s="1"/>
  <c r="AE190" i="6"/>
  <c r="G191" i="6"/>
  <c r="AF191" i="6" s="1"/>
  <c r="E191" i="6"/>
  <c r="I191" i="6"/>
  <c r="F191" i="6"/>
  <c r="D191" i="6"/>
  <c r="R2610" i="6" l="1"/>
  <c r="M2610" i="6" s="1"/>
  <c r="S2610" i="6" s="1"/>
  <c r="Q2611" i="6"/>
  <c r="O2612" i="6"/>
  <c r="P2612" i="6" s="1"/>
  <c r="N2611" i="6"/>
  <c r="H191" i="6"/>
  <c r="AE191" i="6"/>
  <c r="R2611" i="6" l="1"/>
  <c r="M2611" i="6" s="1"/>
  <c r="S2611" i="6" s="1"/>
  <c r="Q2612" i="6"/>
  <c r="N2612" i="6"/>
  <c r="O2613" i="6"/>
  <c r="P2613" i="6" s="1"/>
  <c r="G192" i="6"/>
  <c r="AF192" i="6" s="1"/>
  <c r="E192" i="6"/>
  <c r="D192" i="6"/>
  <c r="H192" i="6" s="1"/>
  <c r="F192" i="6"/>
  <c r="I192" i="6"/>
  <c r="R2612" i="6" l="1"/>
  <c r="M2612" i="6" s="1"/>
  <c r="S2612" i="6" s="1"/>
  <c r="Q2613" i="6"/>
  <c r="O2614" i="6"/>
  <c r="P2614" i="6" s="1"/>
  <c r="N2613" i="6"/>
  <c r="F193" i="6"/>
  <c r="D193" i="6"/>
  <c r="H193" i="6" s="1"/>
  <c r="I193" i="6"/>
  <c r="G193" i="6"/>
  <c r="AF193" i="6" s="1"/>
  <c r="E193" i="6"/>
  <c r="AE192" i="6"/>
  <c r="R2613" i="6" l="1"/>
  <c r="M2613" i="6" s="1"/>
  <c r="S2613" i="6" s="1"/>
  <c r="Q2614" i="6"/>
  <c r="O2615" i="6"/>
  <c r="P2615" i="6" s="1"/>
  <c r="N2614" i="6"/>
  <c r="AE193" i="6"/>
  <c r="D194" i="6"/>
  <c r="F194" i="6"/>
  <c r="G194" i="6"/>
  <c r="AF194" i="6" s="1"/>
  <c r="I194" i="6"/>
  <c r="E194" i="6"/>
  <c r="R2614" i="6" l="1"/>
  <c r="M2614" i="6" s="1"/>
  <c r="S2614" i="6" s="1"/>
  <c r="Q2615" i="6"/>
  <c r="O2616" i="6"/>
  <c r="P2616" i="6" s="1"/>
  <c r="N2615" i="6"/>
  <c r="H194" i="6"/>
  <c r="AE194" i="6"/>
  <c r="R2615" i="6" l="1"/>
  <c r="M2615" i="6" s="1"/>
  <c r="S2615" i="6" s="1"/>
  <c r="Q2616" i="6"/>
  <c r="N2616" i="6"/>
  <c r="O2617" i="6"/>
  <c r="P2617" i="6" s="1"/>
  <c r="D195" i="6"/>
  <c r="H195" i="6" s="1"/>
  <c r="F195" i="6"/>
  <c r="I195" i="6"/>
  <c r="E195" i="6"/>
  <c r="G195" i="6"/>
  <c r="AF195" i="6" s="1"/>
  <c r="R2616" i="6" l="1"/>
  <c r="M2616" i="6" s="1"/>
  <c r="S2616" i="6" s="1"/>
  <c r="Q2617" i="6"/>
  <c r="N2617" i="6"/>
  <c r="O2618" i="6"/>
  <c r="P2618" i="6" s="1"/>
  <c r="D196" i="6"/>
  <c r="F196" i="6"/>
  <c r="I196" i="6"/>
  <c r="E196" i="6"/>
  <c r="G196" i="6"/>
  <c r="AF196" i="6" s="1"/>
  <c r="AE195" i="6"/>
  <c r="R2617" i="6" l="1"/>
  <c r="M2617" i="6" s="1"/>
  <c r="S2617" i="6" s="1"/>
  <c r="Q2618" i="6"/>
  <c r="O2619" i="6"/>
  <c r="P2619" i="6" s="1"/>
  <c r="N2618" i="6"/>
  <c r="AE196" i="6"/>
  <c r="H196" i="6"/>
  <c r="R2618" i="6" l="1"/>
  <c r="M2618" i="6" s="1"/>
  <c r="S2618" i="6" s="1"/>
  <c r="Q2619" i="6"/>
  <c r="N2619" i="6"/>
  <c r="O2620" i="6"/>
  <c r="P2620" i="6" s="1"/>
  <c r="E197" i="6"/>
  <c r="G197" i="6"/>
  <c r="AF197" i="6" s="1"/>
  <c r="D197" i="6"/>
  <c r="H197" i="6" s="1"/>
  <c r="F197" i="6"/>
  <c r="I197" i="6"/>
  <c r="R2619" i="6" l="1"/>
  <c r="M2619" i="6" s="1"/>
  <c r="S2619" i="6" s="1"/>
  <c r="Q2620" i="6"/>
  <c r="N2620" i="6"/>
  <c r="O2621" i="6"/>
  <c r="P2621" i="6" s="1"/>
  <c r="AE197" i="6"/>
  <c r="D198" i="6"/>
  <c r="F198" i="6"/>
  <c r="G198" i="6"/>
  <c r="AF198" i="6" s="1"/>
  <c r="E198" i="6"/>
  <c r="I198" i="6"/>
  <c r="R2620" i="6" l="1"/>
  <c r="M2620" i="6" s="1"/>
  <c r="S2620" i="6" s="1"/>
  <c r="Q2621" i="6"/>
  <c r="O2622" i="6"/>
  <c r="P2622" i="6" s="1"/>
  <c r="N2621" i="6"/>
  <c r="H198" i="6"/>
  <c r="AE198" i="6"/>
  <c r="R2621" i="6" l="1"/>
  <c r="M2621" i="6" s="1"/>
  <c r="S2621" i="6" s="1"/>
  <c r="Q2622" i="6"/>
  <c r="N2622" i="6"/>
  <c r="O2623" i="6"/>
  <c r="P2623" i="6" s="1"/>
  <c r="F199" i="6"/>
  <c r="D199" i="6"/>
  <c r="I199" i="6"/>
  <c r="G199" i="6"/>
  <c r="AF199" i="6" s="1"/>
  <c r="E199" i="6"/>
  <c r="R2622" i="6" l="1"/>
  <c r="M2622" i="6" s="1"/>
  <c r="S2622" i="6" s="1"/>
  <c r="Q2623" i="6"/>
  <c r="O2624" i="6"/>
  <c r="P2624" i="6" s="1"/>
  <c r="N2623" i="6"/>
  <c r="H199" i="6"/>
  <c r="AE199" i="6"/>
  <c r="R2623" i="6" l="1"/>
  <c r="M2623" i="6" s="1"/>
  <c r="S2623" i="6" s="1"/>
  <c r="Q2624" i="6"/>
  <c r="N2624" i="6"/>
  <c r="O2625" i="6"/>
  <c r="P2625" i="6" s="1"/>
  <c r="I200" i="6"/>
  <c r="D200" i="6"/>
  <c r="H200" i="6" s="1"/>
  <c r="G200" i="6"/>
  <c r="AF200" i="6" s="1"/>
  <c r="E200" i="6"/>
  <c r="F200" i="6"/>
  <c r="R2624" i="6" l="1"/>
  <c r="M2624" i="6" s="1"/>
  <c r="S2624" i="6" s="1"/>
  <c r="Q2625" i="6"/>
  <c r="N2625" i="6"/>
  <c r="O2626" i="6"/>
  <c r="P2626" i="6" s="1"/>
  <c r="G201" i="6"/>
  <c r="AF201" i="6" s="1"/>
  <c r="D201" i="6"/>
  <c r="I201" i="6"/>
  <c r="E201" i="6"/>
  <c r="F201" i="6"/>
  <c r="AE200" i="6"/>
  <c r="R2625" i="6" l="1"/>
  <c r="M2625" i="6" s="1"/>
  <c r="S2625" i="6" s="1"/>
  <c r="Q2626" i="6"/>
  <c r="O2627" i="6"/>
  <c r="P2627" i="6" s="1"/>
  <c r="N2626" i="6"/>
  <c r="AE201" i="6"/>
  <c r="H201" i="6"/>
  <c r="R2626" i="6" l="1"/>
  <c r="M2626" i="6" s="1"/>
  <c r="S2626" i="6" s="1"/>
  <c r="Q2627" i="6"/>
  <c r="O2628" i="6"/>
  <c r="P2628" i="6" s="1"/>
  <c r="N2627" i="6"/>
  <c r="G202" i="6"/>
  <c r="AF202" i="6" s="1"/>
  <c r="F202" i="6"/>
  <c r="E202" i="6"/>
  <c r="D202" i="6"/>
  <c r="H202" i="6" s="1"/>
  <c r="I202" i="6"/>
  <c r="R2627" i="6" l="1"/>
  <c r="M2627" i="6" s="1"/>
  <c r="S2627" i="6" s="1"/>
  <c r="Q2628" i="6"/>
  <c r="N2628" i="6"/>
  <c r="O2629" i="6"/>
  <c r="P2629" i="6" s="1"/>
  <c r="AE202" i="6"/>
  <c r="E203" i="6"/>
  <c r="I203" i="6"/>
  <c r="D203" i="6"/>
  <c r="H203" i="6" s="1"/>
  <c r="G203" i="6"/>
  <c r="AF203" i="6" s="1"/>
  <c r="F203" i="6"/>
  <c r="R2628" i="6" l="1"/>
  <c r="M2628" i="6" s="1"/>
  <c r="S2628" i="6" s="1"/>
  <c r="Q2629" i="6"/>
  <c r="O2630" i="6"/>
  <c r="P2630" i="6" s="1"/>
  <c r="N2629" i="6"/>
  <c r="I204" i="6"/>
  <c r="F204" i="6"/>
  <c r="G204" i="6"/>
  <c r="AF204" i="6" s="1"/>
  <c r="E204" i="6"/>
  <c r="D204" i="6"/>
  <c r="AE203" i="6"/>
  <c r="R2629" i="6" l="1"/>
  <c r="M2629" i="6" s="1"/>
  <c r="S2629" i="6" s="1"/>
  <c r="Q2630" i="6"/>
  <c r="N2630" i="6"/>
  <c r="O2631" i="6"/>
  <c r="P2631" i="6" s="1"/>
  <c r="H204" i="6"/>
  <c r="AE204" i="6"/>
  <c r="R2630" i="6" l="1"/>
  <c r="M2630" i="6" s="1"/>
  <c r="S2630" i="6" s="1"/>
  <c r="Q2631" i="6"/>
  <c r="N2631" i="6"/>
  <c r="O2632" i="6"/>
  <c r="P2632" i="6" s="1"/>
  <c r="E205" i="6"/>
  <c r="I205" i="6"/>
  <c r="F205" i="6"/>
  <c r="D205" i="6"/>
  <c r="H205" i="6" s="1"/>
  <c r="I206" i="6" s="1"/>
  <c r="G205" i="6"/>
  <c r="R2631" i="6" l="1"/>
  <c r="M2631" i="6" s="1"/>
  <c r="S2631" i="6" s="1"/>
  <c r="Q2632" i="6"/>
  <c r="O2633" i="6"/>
  <c r="P2633" i="6" s="1"/>
  <c r="N2632" i="6"/>
  <c r="AF205" i="6"/>
  <c r="AE205" i="6"/>
  <c r="R2632" i="6" l="1"/>
  <c r="M2632" i="6" s="1"/>
  <c r="S2632" i="6" s="1"/>
  <c r="Q2633" i="6"/>
  <c r="N2633" i="6"/>
  <c r="O2634" i="6"/>
  <c r="P2634" i="6" s="1"/>
  <c r="R2633" i="6" l="1"/>
  <c r="M2633" i="6" s="1"/>
  <c r="S2633" i="6" s="1"/>
  <c r="Q2634" i="6"/>
  <c r="O2635" i="6"/>
  <c r="P2635" i="6" s="1"/>
  <c r="N2634" i="6"/>
  <c r="R2634" i="6" l="1"/>
  <c r="M2634" i="6" s="1"/>
  <c r="S2634" i="6" s="1"/>
  <c r="Q2635" i="6"/>
  <c r="N2635" i="6"/>
  <c r="O2636" i="6"/>
  <c r="P2636" i="6" s="1"/>
  <c r="R2635" i="6" l="1"/>
  <c r="M2635" i="6" s="1"/>
  <c r="S2635" i="6" s="1"/>
  <c r="Q2636" i="6"/>
  <c r="N2636" i="6"/>
  <c r="O2637" i="6"/>
  <c r="P2637" i="6" s="1"/>
  <c r="R2636" i="6" l="1"/>
  <c r="M2636" i="6" s="1"/>
  <c r="S2636" i="6" s="1"/>
  <c r="Q2637" i="6"/>
  <c r="O2638" i="6"/>
  <c r="P2638" i="6" s="1"/>
  <c r="N2637" i="6"/>
  <c r="R2637" i="6" l="1"/>
  <c r="M2637" i="6" s="1"/>
  <c r="S2637" i="6" s="1"/>
  <c r="Q2638" i="6"/>
  <c r="O2639" i="6"/>
  <c r="P2639" i="6" s="1"/>
  <c r="N2638" i="6"/>
  <c r="R2638" i="6" l="1"/>
  <c r="M2638" i="6" s="1"/>
  <c r="S2638" i="6" s="1"/>
  <c r="Q2639" i="6"/>
  <c r="O2640" i="6"/>
  <c r="P2640" i="6" s="1"/>
  <c r="N2639" i="6"/>
  <c r="R2639" i="6" l="1"/>
  <c r="M2639" i="6" s="1"/>
  <c r="S2639" i="6" s="1"/>
  <c r="Q2640" i="6"/>
  <c r="N2640" i="6"/>
  <c r="O2641" i="6"/>
  <c r="P2641" i="6" s="1"/>
  <c r="R2640" i="6" l="1"/>
  <c r="M2640" i="6" s="1"/>
  <c r="S2640" i="6" s="1"/>
  <c r="Q2641" i="6"/>
  <c r="N2641" i="6"/>
  <c r="O2642" i="6"/>
  <c r="P2642" i="6" s="1"/>
  <c r="R2641" i="6" l="1"/>
  <c r="M2641" i="6" s="1"/>
  <c r="S2641" i="6" s="1"/>
  <c r="Q2642" i="6"/>
  <c r="N2642" i="6"/>
  <c r="O2643" i="6"/>
  <c r="P2643" i="6" s="1"/>
  <c r="R2642" i="6" l="1"/>
  <c r="M2642" i="6" s="1"/>
  <c r="S2642" i="6" s="1"/>
  <c r="Q2643" i="6"/>
  <c r="N2643" i="6"/>
  <c r="O2644" i="6"/>
  <c r="P2644" i="6" s="1"/>
  <c r="R2643" i="6" l="1"/>
  <c r="M2643" i="6" s="1"/>
  <c r="S2643" i="6" s="1"/>
  <c r="Q2644" i="6"/>
  <c r="N2644" i="6"/>
  <c r="O2645" i="6"/>
  <c r="P2645" i="6" s="1"/>
  <c r="R2644" i="6" l="1"/>
  <c r="M2644" i="6" s="1"/>
  <c r="S2644" i="6" s="1"/>
  <c r="Q2645" i="6"/>
  <c r="N2645" i="6"/>
  <c r="O2646" i="6"/>
  <c r="P2646" i="6" s="1"/>
  <c r="R2645" i="6" l="1"/>
  <c r="M2645" i="6" s="1"/>
  <c r="S2645" i="6" s="1"/>
  <c r="Q2646" i="6"/>
  <c r="O2647" i="6"/>
  <c r="P2647" i="6" s="1"/>
  <c r="N2646" i="6"/>
  <c r="R2646" i="6" l="1"/>
  <c r="M2646" i="6" s="1"/>
  <c r="S2646" i="6" s="1"/>
  <c r="Q2647" i="6"/>
  <c r="N2647" i="6"/>
  <c r="O2648" i="6"/>
  <c r="P2648" i="6" s="1"/>
  <c r="R2647" i="6" l="1"/>
  <c r="M2647" i="6" s="1"/>
  <c r="S2647" i="6" s="1"/>
  <c r="Q2648" i="6"/>
  <c r="O2649" i="6"/>
  <c r="P2649" i="6" s="1"/>
  <c r="N2648" i="6"/>
  <c r="R2648" i="6" l="1"/>
  <c r="M2648" i="6" s="1"/>
  <c r="S2648" i="6" s="1"/>
  <c r="Q2649" i="6"/>
  <c r="N2649" i="6"/>
  <c r="O2650" i="6"/>
  <c r="P2650" i="6" s="1"/>
  <c r="R2649" i="6" l="1"/>
  <c r="M2649" i="6" s="1"/>
  <c r="S2649" i="6" s="1"/>
  <c r="Q2650" i="6"/>
  <c r="O2651" i="6"/>
  <c r="P2651" i="6" s="1"/>
  <c r="N2650" i="6"/>
  <c r="R2650" i="6" l="1"/>
  <c r="M2650" i="6" s="1"/>
  <c r="S2650" i="6" s="1"/>
  <c r="Q2651" i="6"/>
  <c r="O2652" i="6"/>
  <c r="P2652" i="6" s="1"/>
  <c r="N2651" i="6"/>
  <c r="R2651" i="6" l="1"/>
  <c r="M2651" i="6" s="1"/>
  <c r="S2651" i="6" s="1"/>
  <c r="Q2652" i="6"/>
  <c r="N2652" i="6"/>
  <c r="O2653" i="6"/>
  <c r="P2653" i="6" s="1"/>
  <c r="R2652" i="6" l="1"/>
  <c r="M2652" i="6" s="1"/>
  <c r="S2652" i="6" s="1"/>
  <c r="Q2653" i="6"/>
  <c r="O2654" i="6"/>
  <c r="P2654" i="6" s="1"/>
  <c r="N2653" i="6"/>
  <c r="R2653" i="6" l="1"/>
  <c r="M2653" i="6" s="1"/>
  <c r="S2653" i="6" s="1"/>
  <c r="Q2654" i="6"/>
  <c r="O2655" i="6"/>
  <c r="P2655" i="6" s="1"/>
  <c r="N2654" i="6"/>
  <c r="R2654" i="6" l="1"/>
  <c r="M2654" i="6" s="1"/>
  <c r="S2654" i="6" s="1"/>
  <c r="Q2655" i="6"/>
  <c r="N2655" i="6"/>
  <c r="O2656" i="6"/>
  <c r="P2656" i="6" s="1"/>
  <c r="R2655" i="6" l="1"/>
  <c r="M2655" i="6" s="1"/>
  <c r="S2655" i="6" s="1"/>
  <c r="Q2656" i="6"/>
  <c r="O2657" i="6"/>
  <c r="P2657" i="6" s="1"/>
  <c r="N2656" i="6"/>
  <c r="R2656" i="6" l="1"/>
  <c r="M2656" i="6" s="1"/>
  <c r="S2656" i="6" s="1"/>
  <c r="Q2657" i="6"/>
  <c r="N2657" i="6"/>
  <c r="O2658" i="6"/>
  <c r="P2658" i="6" s="1"/>
  <c r="R2657" i="6" l="1"/>
  <c r="M2657" i="6" s="1"/>
  <c r="S2657" i="6" s="1"/>
  <c r="Q2658" i="6"/>
  <c r="O2659" i="6"/>
  <c r="P2659" i="6" s="1"/>
  <c r="N2658" i="6"/>
  <c r="R2658" i="6" l="1"/>
  <c r="M2658" i="6" s="1"/>
  <c r="S2658" i="6" s="1"/>
  <c r="Q2659" i="6"/>
  <c r="N2659" i="6"/>
  <c r="O2660" i="6"/>
  <c r="P2660" i="6" s="1"/>
  <c r="R2659" i="6" l="1"/>
  <c r="M2659" i="6" s="1"/>
  <c r="S2659" i="6" s="1"/>
  <c r="Q2660" i="6"/>
  <c r="O2661" i="6"/>
  <c r="P2661" i="6" s="1"/>
  <c r="N2660" i="6"/>
  <c r="R2660" i="6" l="1"/>
  <c r="M2660" i="6" s="1"/>
  <c r="S2660" i="6" s="1"/>
  <c r="Q2661" i="6"/>
  <c r="N2661" i="6"/>
  <c r="O2662" i="6"/>
  <c r="P2662" i="6" s="1"/>
  <c r="R2661" i="6" l="1"/>
  <c r="M2661" i="6" s="1"/>
  <c r="S2661" i="6" s="1"/>
  <c r="Q2662" i="6"/>
  <c r="O2663" i="6"/>
  <c r="P2663" i="6" s="1"/>
  <c r="N2662" i="6"/>
  <c r="R2662" i="6" l="1"/>
  <c r="M2662" i="6" s="1"/>
  <c r="S2662" i="6" s="1"/>
  <c r="Q2663" i="6"/>
  <c r="N2663" i="6"/>
  <c r="O2664" i="6"/>
  <c r="P2664" i="6" s="1"/>
  <c r="R2663" i="6" l="1"/>
  <c r="M2663" i="6" s="1"/>
  <c r="S2663" i="6" s="1"/>
  <c r="Q2664" i="6"/>
  <c r="N2664" i="6"/>
  <c r="O2665" i="6"/>
  <c r="P2665" i="6" s="1"/>
  <c r="R2664" i="6" l="1"/>
  <c r="M2664" i="6" s="1"/>
  <c r="S2664" i="6" s="1"/>
  <c r="Q2665" i="6"/>
  <c r="O2666" i="6"/>
  <c r="P2666" i="6" s="1"/>
  <c r="N2665" i="6"/>
  <c r="R2665" i="6" l="1"/>
  <c r="M2665" i="6" s="1"/>
  <c r="S2665" i="6" s="1"/>
  <c r="Q2666" i="6"/>
  <c r="O2667" i="6"/>
  <c r="P2667" i="6" s="1"/>
  <c r="N2666" i="6"/>
  <c r="R2666" i="6" l="1"/>
  <c r="M2666" i="6" s="1"/>
  <c r="S2666" i="6" s="1"/>
  <c r="Q2667" i="6"/>
  <c r="N2667" i="6"/>
  <c r="O2668" i="6"/>
  <c r="P2668" i="6" s="1"/>
  <c r="R2667" i="6" l="1"/>
  <c r="M2667" i="6" s="1"/>
  <c r="S2667" i="6" s="1"/>
  <c r="Q2668" i="6"/>
  <c r="O2669" i="6"/>
  <c r="P2669" i="6" s="1"/>
  <c r="N2668" i="6"/>
  <c r="R2668" i="6" l="1"/>
  <c r="M2668" i="6" s="1"/>
  <c r="S2668" i="6" s="1"/>
  <c r="Q2669" i="6"/>
  <c r="N2669" i="6"/>
  <c r="O2670" i="6"/>
  <c r="P2670" i="6" s="1"/>
  <c r="R2669" i="6" l="1"/>
  <c r="M2669" i="6" s="1"/>
  <c r="S2669" i="6" s="1"/>
  <c r="Q2670" i="6"/>
  <c r="N2670" i="6"/>
  <c r="O2671" i="6"/>
  <c r="P2671" i="6" s="1"/>
  <c r="R2670" i="6" l="1"/>
  <c r="M2670" i="6" s="1"/>
  <c r="S2670" i="6" s="1"/>
  <c r="Q2671" i="6"/>
  <c r="N2671" i="6"/>
  <c r="O2672" i="6"/>
  <c r="P2672" i="6" s="1"/>
  <c r="R2671" i="6" l="1"/>
  <c r="M2671" i="6" s="1"/>
  <c r="S2671" i="6" s="1"/>
  <c r="Q2672" i="6"/>
  <c r="N2672" i="6"/>
  <c r="O2673" i="6"/>
  <c r="P2673" i="6" s="1"/>
  <c r="R2672" i="6" l="1"/>
  <c r="M2672" i="6" s="1"/>
  <c r="S2672" i="6" s="1"/>
  <c r="Q2673" i="6"/>
  <c r="N2673" i="6"/>
  <c r="O2674" i="6"/>
  <c r="P2674" i="6" s="1"/>
  <c r="R2673" i="6" l="1"/>
  <c r="M2673" i="6" s="1"/>
  <c r="S2673" i="6" s="1"/>
  <c r="Q2674" i="6"/>
  <c r="N2674" i="6"/>
  <c r="O2675" i="6"/>
  <c r="P2675" i="6" s="1"/>
  <c r="R2674" i="6" l="1"/>
  <c r="M2674" i="6" s="1"/>
  <c r="S2674" i="6" s="1"/>
  <c r="Q2675" i="6"/>
  <c r="N2675" i="6"/>
  <c r="O2676" i="6"/>
  <c r="P2676" i="6" s="1"/>
  <c r="R2675" i="6" l="1"/>
  <c r="M2675" i="6" s="1"/>
  <c r="S2675" i="6" s="1"/>
  <c r="Q2676" i="6"/>
  <c r="N2676" i="6"/>
  <c r="O2677" i="6"/>
  <c r="P2677" i="6" s="1"/>
  <c r="R2676" i="6" l="1"/>
  <c r="M2676" i="6" s="1"/>
  <c r="S2676" i="6" s="1"/>
  <c r="Q2677" i="6"/>
  <c r="N2677" i="6"/>
  <c r="O2678" i="6"/>
  <c r="P2678" i="6" s="1"/>
  <c r="R2677" i="6" l="1"/>
  <c r="M2677" i="6" s="1"/>
  <c r="S2677" i="6" s="1"/>
  <c r="Q2678" i="6"/>
  <c r="N2678" i="6"/>
  <c r="O2679" i="6"/>
  <c r="P2679" i="6" s="1"/>
  <c r="R2678" i="6" l="1"/>
  <c r="M2678" i="6" s="1"/>
  <c r="S2678" i="6" s="1"/>
  <c r="Q2679" i="6"/>
  <c r="O2680" i="6"/>
  <c r="P2680" i="6" s="1"/>
  <c r="N2679" i="6"/>
  <c r="R2679" i="6" l="1"/>
  <c r="M2679" i="6" s="1"/>
  <c r="S2679" i="6" s="1"/>
  <c r="Q2680" i="6"/>
  <c r="O2681" i="6"/>
  <c r="P2681" i="6" s="1"/>
  <c r="N2680" i="6"/>
  <c r="R2680" i="6" l="1"/>
  <c r="M2680" i="6" s="1"/>
  <c r="S2680" i="6" s="1"/>
  <c r="Q2681" i="6"/>
  <c r="O2682" i="6"/>
  <c r="P2682" i="6" s="1"/>
  <c r="N2681" i="6"/>
  <c r="R2681" i="6" l="1"/>
  <c r="M2681" i="6" s="1"/>
  <c r="S2681" i="6" s="1"/>
  <c r="Q2682" i="6"/>
  <c r="O2683" i="6"/>
  <c r="P2683" i="6" s="1"/>
  <c r="N2682" i="6"/>
  <c r="R2682" i="6" l="1"/>
  <c r="M2682" i="6" s="1"/>
  <c r="S2682" i="6" s="1"/>
  <c r="Q2683" i="6"/>
  <c r="N2683" i="6"/>
  <c r="O2684" i="6"/>
  <c r="P2684" i="6" s="1"/>
  <c r="R2683" i="6" l="1"/>
  <c r="M2683" i="6" s="1"/>
  <c r="S2683" i="6" s="1"/>
  <c r="Q2684" i="6"/>
  <c r="O2685" i="6"/>
  <c r="P2685" i="6" s="1"/>
  <c r="N2684" i="6"/>
  <c r="R2684" i="6" l="1"/>
  <c r="M2684" i="6" s="1"/>
  <c r="S2684" i="6" s="1"/>
  <c r="Q2685" i="6"/>
  <c r="N2685" i="6"/>
  <c r="O2686" i="6"/>
  <c r="P2686" i="6" s="1"/>
  <c r="R2685" i="6" l="1"/>
  <c r="M2685" i="6" s="1"/>
  <c r="S2685" i="6" s="1"/>
  <c r="Q2686" i="6"/>
  <c r="O2687" i="6"/>
  <c r="P2687" i="6" s="1"/>
  <c r="N2686" i="6"/>
  <c r="R2686" i="6" l="1"/>
  <c r="M2686" i="6" s="1"/>
  <c r="S2686" i="6" s="1"/>
  <c r="Q2687" i="6"/>
  <c r="N2687" i="6"/>
  <c r="O2688" i="6"/>
  <c r="P2688" i="6" s="1"/>
  <c r="R2687" i="6" l="1"/>
  <c r="M2687" i="6" s="1"/>
  <c r="S2687" i="6" s="1"/>
  <c r="Q2688" i="6"/>
  <c r="O2689" i="6"/>
  <c r="P2689" i="6" s="1"/>
  <c r="N2688" i="6"/>
  <c r="R2688" i="6" l="1"/>
  <c r="M2688" i="6" s="1"/>
  <c r="S2688" i="6" s="1"/>
  <c r="Q2689" i="6"/>
  <c r="N2689" i="6"/>
  <c r="O2690" i="6"/>
  <c r="P2690" i="6" s="1"/>
  <c r="R2689" i="6" l="1"/>
  <c r="M2689" i="6" s="1"/>
  <c r="S2689" i="6" s="1"/>
  <c r="Q2690" i="6"/>
  <c r="N2690" i="6"/>
  <c r="O2691" i="6"/>
  <c r="P2691" i="6" s="1"/>
  <c r="R2690" i="6" l="1"/>
  <c r="M2690" i="6" s="1"/>
  <c r="S2690" i="6" s="1"/>
  <c r="Q2691" i="6"/>
  <c r="O2692" i="6"/>
  <c r="P2692" i="6" s="1"/>
  <c r="N2691" i="6"/>
  <c r="R2691" i="6" l="1"/>
  <c r="M2691" i="6" s="1"/>
  <c r="S2691" i="6" s="1"/>
  <c r="Q2692" i="6"/>
  <c r="N2692" i="6"/>
  <c r="O2693" i="6"/>
  <c r="P2693" i="6" s="1"/>
  <c r="R2692" i="6" l="1"/>
  <c r="M2692" i="6" s="1"/>
  <c r="S2692" i="6" s="1"/>
  <c r="Q2693" i="6"/>
  <c r="O2694" i="6"/>
  <c r="P2694" i="6" s="1"/>
  <c r="N2693" i="6"/>
  <c r="R2693" i="6" l="1"/>
  <c r="M2693" i="6" s="1"/>
  <c r="S2693" i="6" s="1"/>
  <c r="Q2694" i="6"/>
  <c r="N2694" i="6"/>
  <c r="O2695" i="6"/>
  <c r="P2695" i="6" s="1"/>
  <c r="R2694" i="6" l="1"/>
  <c r="M2694" i="6" s="1"/>
  <c r="S2694" i="6" s="1"/>
  <c r="Q2695" i="6"/>
  <c r="O2696" i="6"/>
  <c r="P2696" i="6" s="1"/>
  <c r="N2695" i="6"/>
  <c r="R2695" i="6" l="1"/>
  <c r="M2695" i="6" s="1"/>
  <c r="S2695" i="6" s="1"/>
  <c r="Q2696" i="6"/>
  <c r="O2697" i="6"/>
  <c r="P2697" i="6" s="1"/>
  <c r="N2696" i="6"/>
  <c r="R2696" i="6" l="1"/>
  <c r="M2696" i="6" s="1"/>
  <c r="S2696" i="6" s="1"/>
  <c r="Q2697" i="6"/>
  <c r="N2697" i="6"/>
  <c r="O2698" i="6"/>
  <c r="P2698" i="6" s="1"/>
  <c r="R2697" i="6" l="1"/>
  <c r="M2697" i="6" s="1"/>
  <c r="S2697" i="6" s="1"/>
  <c r="Q2698" i="6"/>
  <c r="N2698" i="6"/>
  <c r="O2699" i="6"/>
  <c r="P2699" i="6" s="1"/>
  <c r="R2698" i="6" l="1"/>
  <c r="M2698" i="6" s="1"/>
  <c r="S2698" i="6" s="1"/>
  <c r="Q2699" i="6"/>
  <c r="O2700" i="6"/>
  <c r="P2700" i="6" s="1"/>
  <c r="N2699" i="6"/>
  <c r="R2699" i="6" l="1"/>
  <c r="M2699" i="6" s="1"/>
  <c r="S2699" i="6" s="1"/>
  <c r="Q2700" i="6"/>
  <c r="N2700" i="6"/>
  <c r="O2701" i="6"/>
  <c r="P2701" i="6" s="1"/>
  <c r="R2700" i="6" l="1"/>
  <c r="M2700" i="6" s="1"/>
  <c r="S2700" i="6" s="1"/>
  <c r="Q2701" i="6"/>
  <c r="O2702" i="6"/>
  <c r="P2702" i="6" s="1"/>
  <c r="N2701" i="6"/>
  <c r="R2701" i="6" l="1"/>
  <c r="M2701" i="6" s="1"/>
  <c r="S2701" i="6" s="1"/>
  <c r="Q2702" i="6"/>
  <c r="O2703" i="6"/>
  <c r="P2703" i="6" s="1"/>
  <c r="N2702" i="6"/>
  <c r="R2702" i="6" l="1"/>
  <c r="M2702" i="6" s="1"/>
  <c r="S2702" i="6" s="1"/>
  <c r="Q2703" i="6"/>
  <c r="N2703" i="6"/>
  <c r="O2704" i="6"/>
  <c r="P2704" i="6" s="1"/>
  <c r="R2703" i="6" l="1"/>
  <c r="M2703" i="6" s="1"/>
  <c r="S2703" i="6" s="1"/>
  <c r="Q2704" i="6"/>
  <c r="N2704" i="6"/>
  <c r="O2705" i="6"/>
  <c r="P2705" i="6" s="1"/>
  <c r="R2704" i="6" l="1"/>
  <c r="M2704" i="6" s="1"/>
  <c r="S2704" i="6" s="1"/>
  <c r="Q2705" i="6"/>
  <c r="N2705" i="6"/>
  <c r="O2706" i="6"/>
  <c r="P2706" i="6" s="1"/>
  <c r="R2705" i="6" l="1"/>
  <c r="M2705" i="6" s="1"/>
  <c r="S2705" i="6" s="1"/>
  <c r="Q2706" i="6"/>
  <c r="N2706" i="6"/>
  <c r="O2707" i="6"/>
  <c r="P2707" i="6" s="1"/>
  <c r="R2706" i="6" l="1"/>
  <c r="M2706" i="6" s="1"/>
  <c r="S2706" i="6" s="1"/>
  <c r="Q2707" i="6"/>
  <c r="N2707" i="6"/>
  <c r="O2708" i="6"/>
  <c r="P2708" i="6" s="1"/>
  <c r="R2707" i="6" l="1"/>
  <c r="M2707" i="6" s="1"/>
  <c r="S2707" i="6" s="1"/>
  <c r="Q2708" i="6"/>
  <c r="N2708" i="6"/>
  <c r="O2709" i="6"/>
  <c r="P2709" i="6" s="1"/>
  <c r="R2708" i="6" l="1"/>
  <c r="M2708" i="6" s="1"/>
  <c r="S2708" i="6" s="1"/>
  <c r="Q2709" i="6"/>
  <c r="N2709" i="6"/>
  <c r="O2710" i="6"/>
  <c r="P2710" i="6" s="1"/>
  <c r="R2709" i="6" l="1"/>
  <c r="M2709" i="6" s="1"/>
  <c r="S2709" i="6" s="1"/>
  <c r="Q2710" i="6"/>
  <c r="N2710" i="6"/>
  <c r="O2711" i="6"/>
  <c r="P2711" i="6" s="1"/>
  <c r="R2710" i="6" l="1"/>
  <c r="M2710" i="6" s="1"/>
  <c r="S2710" i="6" s="1"/>
  <c r="Q2711" i="6"/>
  <c r="O2712" i="6"/>
  <c r="P2712" i="6" s="1"/>
  <c r="N2711" i="6"/>
  <c r="R2711" i="6" l="1"/>
  <c r="M2711" i="6" s="1"/>
  <c r="S2711" i="6" s="1"/>
  <c r="Q2712" i="6"/>
  <c r="N2712" i="6"/>
  <c r="O2713" i="6"/>
  <c r="P2713" i="6" s="1"/>
  <c r="R2712" i="6" l="1"/>
  <c r="M2712" i="6" s="1"/>
  <c r="S2712" i="6" s="1"/>
  <c r="Q2713" i="6"/>
  <c r="N2713" i="6"/>
  <c r="O2714" i="6"/>
  <c r="P2714" i="6" s="1"/>
  <c r="R2713" i="6" l="1"/>
  <c r="M2713" i="6" s="1"/>
  <c r="S2713" i="6" s="1"/>
  <c r="Q2714" i="6"/>
  <c r="O2715" i="6"/>
  <c r="P2715" i="6" s="1"/>
  <c r="N2714" i="6"/>
  <c r="R2714" i="6" l="1"/>
  <c r="M2714" i="6" s="1"/>
  <c r="S2714" i="6" s="1"/>
  <c r="Q2715" i="6"/>
  <c r="O2716" i="6"/>
  <c r="P2716" i="6" s="1"/>
  <c r="N2715" i="6"/>
  <c r="R2715" i="6" l="1"/>
  <c r="M2715" i="6" s="1"/>
  <c r="S2715" i="6" s="1"/>
  <c r="Q2716" i="6"/>
  <c r="N2716" i="6"/>
  <c r="O2717" i="6"/>
  <c r="P2717" i="6" s="1"/>
  <c r="R2716" i="6" l="1"/>
  <c r="M2716" i="6" s="1"/>
  <c r="S2716" i="6" s="1"/>
  <c r="Q2717" i="6"/>
  <c r="O2718" i="6"/>
  <c r="P2718" i="6" s="1"/>
  <c r="N2717" i="6"/>
  <c r="R2717" i="6" l="1"/>
  <c r="M2717" i="6" s="1"/>
  <c r="S2717" i="6" s="1"/>
  <c r="Q2718" i="6"/>
  <c r="N2718" i="6"/>
  <c r="O2719" i="6"/>
  <c r="P2719" i="6" s="1"/>
  <c r="R2718" i="6" l="1"/>
  <c r="M2718" i="6" s="1"/>
  <c r="S2718" i="6" s="1"/>
  <c r="Q2719" i="6"/>
  <c r="N2719" i="6"/>
  <c r="O2720" i="6"/>
  <c r="P2720" i="6" s="1"/>
  <c r="R2719" i="6" l="1"/>
  <c r="M2719" i="6" s="1"/>
  <c r="S2719" i="6" s="1"/>
  <c r="Q2720" i="6"/>
  <c r="N2720" i="6"/>
  <c r="O2721" i="6"/>
  <c r="P2721" i="6" s="1"/>
  <c r="R2720" i="6" l="1"/>
  <c r="M2720" i="6" s="1"/>
  <c r="S2720" i="6" s="1"/>
  <c r="Q2721" i="6"/>
  <c r="N2721" i="6"/>
  <c r="O2722" i="6"/>
  <c r="P2722" i="6" s="1"/>
  <c r="R2721" i="6" l="1"/>
  <c r="M2721" i="6" s="1"/>
  <c r="S2721" i="6" s="1"/>
  <c r="Q2722" i="6"/>
  <c r="O2723" i="6"/>
  <c r="P2723" i="6" s="1"/>
  <c r="N2722" i="6"/>
  <c r="R2722" i="6" l="1"/>
  <c r="M2722" i="6" s="1"/>
  <c r="S2722" i="6" s="1"/>
  <c r="Q2723" i="6"/>
  <c r="N2723" i="6"/>
  <c r="O2724" i="6"/>
  <c r="P2724" i="6" s="1"/>
  <c r="R2723" i="6" l="1"/>
  <c r="M2723" i="6" s="1"/>
  <c r="S2723" i="6" s="1"/>
  <c r="Q2724" i="6"/>
  <c r="O2725" i="6"/>
  <c r="P2725" i="6" s="1"/>
  <c r="N2724" i="6"/>
  <c r="R2724" i="6" l="1"/>
  <c r="M2724" i="6" s="1"/>
  <c r="S2724" i="6" s="1"/>
  <c r="Q2725" i="6"/>
  <c r="N2725" i="6"/>
  <c r="O2726" i="6"/>
  <c r="P2726" i="6" s="1"/>
  <c r="R2725" i="6" l="1"/>
  <c r="M2725" i="6" s="1"/>
  <c r="S2725" i="6" s="1"/>
  <c r="Q2726" i="6"/>
  <c r="N2726" i="6"/>
  <c r="O2727" i="6"/>
  <c r="P2727" i="6" s="1"/>
  <c r="R2726" i="6" l="1"/>
  <c r="M2726" i="6" s="1"/>
  <c r="S2726" i="6" s="1"/>
  <c r="Q2727" i="6"/>
  <c r="N2727" i="6"/>
  <c r="O2728" i="6"/>
  <c r="P2728" i="6" s="1"/>
  <c r="R2727" i="6" l="1"/>
  <c r="M2727" i="6" s="1"/>
  <c r="S2727" i="6" s="1"/>
  <c r="Q2728" i="6"/>
  <c r="N2728" i="6"/>
  <c r="O2729" i="6"/>
  <c r="P2729" i="6" s="1"/>
  <c r="R2728" i="6" l="1"/>
  <c r="M2728" i="6" s="1"/>
  <c r="S2728" i="6" s="1"/>
  <c r="Q2729" i="6"/>
  <c r="O2730" i="6"/>
  <c r="P2730" i="6" s="1"/>
  <c r="N2729" i="6"/>
  <c r="R2729" i="6" l="1"/>
  <c r="M2729" i="6" s="1"/>
  <c r="S2729" i="6" s="1"/>
  <c r="Q2730" i="6"/>
  <c r="N2730" i="6"/>
  <c r="O2731" i="6"/>
  <c r="P2731" i="6" s="1"/>
  <c r="R2730" i="6" l="1"/>
  <c r="M2730" i="6" s="1"/>
  <c r="S2730" i="6" s="1"/>
  <c r="Q2731" i="6"/>
  <c r="N2731" i="6"/>
  <c r="O2732" i="6"/>
  <c r="P2732" i="6" s="1"/>
  <c r="R2731" i="6" l="1"/>
  <c r="M2731" i="6" s="1"/>
  <c r="S2731" i="6" s="1"/>
  <c r="Q2732" i="6"/>
  <c r="O2733" i="6"/>
  <c r="P2733" i="6" s="1"/>
  <c r="N2732" i="6"/>
  <c r="R2732" i="6" l="1"/>
  <c r="M2732" i="6" s="1"/>
  <c r="S2732" i="6" s="1"/>
  <c r="Q2733" i="6"/>
  <c r="N2733" i="6"/>
  <c r="O2734" i="6"/>
  <c r="P2734" i="6" s="1"/>
  <c r="R2733" i="6" l="1"/>
  <c r="M2733" i="6" s="1"/>
  <c r="S2733" i="6" s="1"/>
  <c r="Q2734" i="6"/>
  <c r="N2734" i="6"/>
  <c r="O2735" i="6"/>
  <c r="P2735" i="6" s="1"/>
  <c r="R2734" i="6" l="1"/>
  <c r="M2734" i="6" s="1"/>
  <c r="S2734" i="6" s="1"/>
  <c r="Q2735" i="6"/>
  <c r="N2735" i="6"/>
  <c r="O2736" i="6"/>
  <c r="P2736" i="6" s="1"/>
  <c r="R2735" i="6" l="1"/>
  <c r="M2735" i="6" s="1"/>
  <c r="S2735" i="6" s="1"/>
  <c r="Q2736" i="6"/>
  <c r="N2736" i="6"/>
  <c r="O2737" i="6"/>
  <c r="P2737" i="6" s="1"/>
  <c r="R2736" i="6" l="1"/>
  <c r="M2736" i="6" s="1"/>
  <c r="S2736" i="6" s="1"/>
  <c r="Q2737" i="6"/>
  <c r="N2737" i="6"/>
  <c r="O2738" i="6"/>
  <c r="P2738" i="6" s="1"/>
  <c r="R2737" i="6" l="1"/>
  <c r="M2737" i="6" s="1"/>
  <c r="S2737" i="6" s="1"/>
  <c r="Q2738" i="6"/>
  <c r="N2738" i="6"/>
  <c r="O2739" i="6"/>
  <c r="P2739" i="6" s="1"/>
  <c r="R2738" i="6" l="1"/>
  <c r="M2738" i="6" s="1"/>
  <c r="S2738" i="6" s="1"/>
  <c r="Q2739" i="6"/>
  <c r="N2739" i="6"/>
  <c r="O2740" i="6"/>
  <c r="P2740" i="6" s="1"/>
  <c r="R2739" i="6" l="1"/>
  <c r="M2739" i="6" s="1"/>
  <c r="S2739" i="6" s="1"/>
  <c r="Q2740" i="6"/>
  <c r="N2740" i="6"/>
  <c r="O2741" i="6"/>
  <c r="P2741" i="6" s="1"/>
  <c r="R2740" i="6" l="1"/>
  <c r="M2740" i="6" s="1"/>
  <c r="S2740" i="6" s="1"/>
  <c r="Q2741" i="6"/>
  <c r="N2741" i="6"/>
  <c r="O2742" i="6"/>
  <c r="P2742" i="6" s="1"/>
  <c r="R2741" i="6" l="1"/>
  <c r="M2741" i="6" s="1"/>
  <c r="S2741" i="6" s="1"/>
  <c r="Q2742" i="6"/>
  <c r="N2742" i="6"/>
  <c r="O2743" i="6"/>
  <c r="P2743" i="6" s="1"/>
  <c r="R2742" i="6" l="1"/>
  <c r="M2742" i="6" s="1"/>
  <c r="S2742" i="6" s="1"/>
  <c r="Q2743" i="6"/>
  <c r="N2743" i="6"/>
  <c r="O2744" i="6"/>
  <c r="P2744" i="6" s="1"/>
  <c r="R2743" i="6" l="1"/>
  <c r="M2743" i="6" s="1"/>
  <c r="S2743" i="6" s="1"/>
  <c r="Q2744" i="6"/>
  <c r="N2744" i="6"/>
  <c r="O2745" i="6"/>
  <c r="P2745" i="6" s="1"/>
  <c r="R2744" i="6" l="1"/>
  <c r="M2744" i="6" s="1"/>
  <c r="S2744" i="6" s="1"/>
  <c r="Q2745" i="6"/>
  <c r="N2745" i="6"/>
  <c r="O2746" i="6"/>
  <c r="P2746" i="6" s="1"/>
  <c r="R2745" i="6" l="1"/>
  <c r="M2745" i="6" s="1"/>
  <c r="S2745" i="6" s="1"/>
  <c r="Q2746" i="6"/>
  <c r="O2747" i="6"/>
  <c r="P2747" i="6" s="1"/>
  <c r="N2746" i="6"/>
  <c r="R2746" i="6" l="1"/>
  <c r="M2746" i="6" s="1"/>
  <c r="S2746" i="6" s="1"/>
  <c r="Q2747" i="6"/>
  <c r="N2747" i="6"/>
  <c r="O2748" i="6"/>
  <c r="P2748" i="6" s="1"/>
  <c r="R2747" i="6" l="1"/>
  <c r="M2747" i="6" s="1"/>
  <c r="S2747" i="6" s="1"/>
  <c r="Q2748" i="6"/>
  <c r="O2749" i="6"/>
  <c r="P2749" i="6" s="1"/>
  <c r="N2748" i="6"/>
  <c r="R2748" i="6" l="1"/>
  <c r="M2748" i="6" s="1"/>
  <c r="S2748" i="6" s="1"/>
  <c r="Q2749" i="6"/>
  <c r="N2749" i="6"/>
  <c r="O2750" i="6"/>
  <c r="P2750" i="6" s="1"/>
  <c r="R2749" i="6" l="1"/>
  <c r="M2749" i="6" s="1"/>
  <c r="S2749" i="6" s="1"/>
  <c r="Q2750" i="6"/>
  <c r="O2751" i="6"/>
  <c r="P2751" i="6" s="1"/>
  <c r="N2750" i="6"/>
  <c r="R2750" i="6" l="1"/>
  <c r="M2750" i="6" s="1"/>
  <c r="S2750" i="6" s="1"/>
  <c r="Q2751" i="6"/>
  <c r="N2751" i="6"/>
  <c r="O2752" i="6"/>
  <c r="P2752" i="6" s="1"/>
  <c r="R2751" i="6" l="1"/>
  <c r="M2751" i="6" s="1"/>
  <c r="S2751" i="6" s="1"/>
  <c r="Q2752" i="6"/>
  <c r="N2752" i="6"/>
  <c r="O2753" i="6"/>
  <c r="P2753" i="6" s="1"/>
  <c r="R2752" i="6" l="1"/>
  <c r="M2752" i="6" s="1"/>
  <c r="S2752" i="6" s="1"/>
  <c r="Q2753" i="6"/>
  <c r="N2753" i="6"/>
  <c r="O2754" i="6"/>
  <c r="P2754" i="6" s="1"/>
  <c r="R2753" i="6" l="1"/>
  <c r="M2753" i="6" s="1"/>
  <c r="S2753" i="6" s="1"/>
  <c r="Q2754" i="6"/>
  <c r="O2755" i="6"/>
  <c r="P2755" i="6" s="1"/>
  <c r="N2754" i="6"/>
  <c r="R2754" i="6" l="1"/>
  <c r="M2754" i="6" s="1"/>
  <c r="S2754" i="6" s="1"/>
  <c r="Q2755" i="6"/>
  <c r="O2756" i="6"/>
  <c r="P2756" i="6" s="1"/>
  <c r="N2755" i="6"/>
  <c r="R2755" i="6" l="1"/>
  <c r="M2755" i="6" s="1"/>
  <c r="S2755" i="6" s="1"/>
  <c r="Q2756" i="6"/>
  <c r="N2756" i="6"/>
  <c r="O2757" i="6"/>
  <c r="P2757" i="6" s="1"/>
  <c r="R2756" i="6" l="1"/>
  <c r="M2756" i="6" s="1"/>
  <c r="S2756" i="6" s="1"/>
  <c r="Q2757" i="6"/>
  <c r="O2758" i="6"/>
  <c r="P2758" i="6" s="1"/>
  <c r="N2757" i="6"/>
  <c r="R2757" i="6" l="1"/>
  <c r="M2757" i="6" s="1"/>
  <c r="S2757" i="6" s="1"/>
  <c r="Q2758" i="6"/>
  <c r="N2758" i="6"/>
  <c r="O2759" i="6"/>
  <c r="P2759" i="6" s="1"/>
  <c r="R2758" i="6" l="1"/>
  <c r="M2758" i="6" s="1"/>
  <c r="S2758" i="6" s="1"/>
  <c r="Q2759" i="6"/>
  <c r="N2759" i="6"/>
  <c r="O2760" i="6"/>
  <c r="P2760" i="6" s="1"/>
  <c r="R2759" i="6" l="1"/>
  <c r="M2759" i="6" s="1"/>
  <c r="S2759" i="6" s="1"/>
  <c r="Q2760" i="6"/>
  <c r="N2760" i="6"/>
  <c r="O2761" i="6"/>
  <c r="P2761" i="6" s="1"/>
  <c r="R2760" i="6" l="1"/>
  <c r="M2760" i="6" s="1"/>
  <c r="S2760" i="6" s="1"/>
  <c r="Q2761" i="6"/>
  <c r="N2761" i="6"/>
  <c r="O2762" i="6"/>
  <c r="P2762" i="6" s="1"/>
  <c r="R2761" i="6" l="1"/>
  <c r="M2761" i="6" s="1"/>
  <c r="S2761" i="6" s="1"/>
  <c r="Q2762" i="6"/>
  <c r="N2762" i="6"/>
  <c r="O2763" i="6"/>
  <c r="P2763" i="6" s="1"/>
  <c r="R2762" i="6" l="1"/>
  <c r="M2762" i="6" s="1"/>
  <c r="S2762" i="6" s="1"/>
  <c r="Q2763" i="6"/>
  <c r="O2764" i="6"/>
  <c r="P2764" i="6" s="1"/>
  <c r="N2763" i="6"/>
  <c r="R2763" i="6" l="1"/>
  <c r="M2763" i="6" s="1"/>
  <c r="S2763" i="6" s="1"/>
  <c r="Q2764" i="6"/>
  <c r="O2765" i="6"/>
  <c r="P2765" i="6" s="1"/>
  <c r="N2764" i="6"/>
  <c r="R2764" i="6" l="1"/>
  <c r="M2764" i="6" s="1"/>
  <c r="S2764" i="6" s="1"/>
  <c r="Q2765" i="6"/>
  <c r="O2766" i="6"/>
  <c r="P2766" i="6" s="1"/>
  <c r="N2765" i="6"/>
  <c r="R2765" i="6" l="1"/>
  <c r="M2765" i="6" s="1"/>
  <c r="S2765" i="6" s="1"/>
  <c r="Q2766" i="6"/>
  <c r="O2767" i="6"/>
  <c r="P2767" i="6" s="1"/>
  <c r="N2766" i="6"/>
  <c r="R2766" i="6" l="1"/>
  <c r="M2766" i="6" s="1"/>
  <c r="S2766" i="6" s="1"/>
  <c r="Q2767" i="6"/>
  <c r="O2768" i="6"/>
  <c r="P2768" i="6" s="1"/>
  <c r="N2767" i="6"/>
  <c r="R2767" i="6" l="1"/>
  <c r="M2767" i="6" s="1"/>
  <c r="S2767" i="6" s="1"/>
  <c r="Q2768" i="6"/>
  <c r="N2768" i="6"/>
  <c r="O2769" i="6"/>
  <c r="P2769" i="6" s="1"/>
  <c r="R2768" i="6" l="1"/>
  <c r="M2768" i="6" s="1"/>
  <c r="S2768" i="6" s="1"/>
  <c r="Q2769" i="6"/>
  <c r="N2769" i="6"/>
  <c r="O2770" i="6"/>
  <c r="P2770" i="6" s="1"/>
  <c r="R2769" i="6" l="1"/>
  <c r="M2769" i="6" s="1"/>
  <c r="S2769" i="6" s="1"/>
  <c r="Q2770" i="6"/>
  <c r="N2770" i="6"/>
  <c r="O2771" i="6"/>
  <c r="P2771" i="6" s="1"/>
  <c r="R2770" i="6" l="1"/>
  <c r="M2770" i="6" s="1"/>
  <c r="S2770" i="6" s="1"/>
  <c r="Q2771" i="6"/>
  <c r="O2772" i="6"/>
  <c r="P2772" i="6" s="1"/>
  <c r="N2771" i="6"/>
  <c r="R2771" i="6" l="1"/>
  <c r="M2771" i="6" s="1"/>
  <c r="S2771" i="6" s="1"/>
  <c r="Q2772" i="6"/>
  <c r="O2773" i="6"/>
  <c r="P2773" i="6" s="1"/>
  <c r="N2772" i="6"/>
  <c r="R2772" i="6" l="1"/>
  <c r="M2772" i="6" s="1"/>
  <c r="S2772" i="6" s="1"/>
  <c r="Q2773" i="6"/>
  <c r="N2773" i="6"/>
  <c r="O2774" i="6"/>
  <c r="P2774" i="6" s="1"/>
  <c r="R2773" i="6" l="1"/>
  <c r="M2773" i="6" s="1"/>
  <c r="S2773" i="6" s="1"/>
  <c r="Q2774" i="6"/>
  <c r="N2774" i="6"/>
  <c r="O2775" i="6"/>
  <c r="P2775" i="6" s="1"/>
  <c r="R2774" i="6" l="1"/>
  <c r="M2774" i="6" s="1"/>
  <c r="S2774" i="6" s="1"/>
  <c r="Q2775" i="6"/>
  <c r="N2775" i="6"/>
  <c r="O2776" i="6"/>
  <c r="P2776" i="6" s="1"/>
  <c r="R2775" i="6" l="1"/>
  <c r="M2775" i="6" s="1"/>
  <c r="S2775" i="6" s="1"/>
  <c r="Q2776" i="6"/>
  <c r="N2776" i="6"/>
  <c r="O2777" i="6"/>
  <c r="P2777" i="6" s="1"/>
  <c r="R2776" i="6" l="1"/>
  <c r="M2776" i="6" s="1"/>
  <c r="S2776" i="6" s="1"/>
  <c r="Q2777" i="6"/>
  <c r="N2777" i="6"/>
  <c r="O2778" i="6"/>
  <c r="P2778" i="6" s="1"/>
  <c r="R2777" i="6" l="1"/>
  <c r="M2777" i="6" s="1"/>
  <c r="S2777" i="6" s="1"/>
  <c r="Q2778" i="6"/>
  <c r="O2779" i="6"/>
  <c r="P2779" i="6" s="1"/>
  <c r="N2778" i="6"/>
  <c r="R2778" i="6" l="1"/>
  <c r="M2778" i="6" s="1"/>
  <c r="S2778" i="6" s="1"/>
  <c r="Q2779" i="6"/>
  <c r="N2779" i="6"/>
  <c r="O2780" i="6"/>
  <c r="P2780" i="6" s="1"/>
  <c r="R2779" i="6" l="1"/>
  <c r="M2779" i="6" s="1"/>
  <c r="S2779" i="6" s="1"/>
  <c r="Q2780" i="6"/>
  <c r="N2780" i="6"/>
  <c r="O2781" i="6"/>
  <c r="P2781" i="6" s="1"/>
  <c r="R2780" i="6" l="1"/>
  <c r="M2780" i="6" s="1"/>
  <c r="S2780" i="6" s="1"/>
  <c r="Q2781" i="6"/>
  <c r="N2781" i="6"/>
  <c r="O2782" i="6"/>
  <c r="P2782" i="6" s="1"/>
  <c r="R2781" i="6" l="1"/>
  <c r="M2781" i="6" s="1"/>
  <c r="S2781" i="6" s="1"/>
  <c r="Q2782" i="6"/>
  <c r="N2782" i="6"/>
  <c r="O2783" i="6"/>
  <c r="P2783" i="6" s="1"/>
  <c r="R2782" i="6" l="1"/>
  <c r="M2782" i="6" s="1"/>
  <c r="S2782" i="6" s="1"/>
  <c r="Q2783" i="6"/>
  <c r="O2784" i="6"/>
  <c r="P2784" i="6" s="1"/>
  <c r="N2783" i="6"/>
  <c r="R2783" i="6" l="1"/>
  <c r="M2783" i="6" s="1"/>
  <c r="S2783" i="6" s="1"/>
  <c r="Q2784" i="6"/>
  <c r="N2784" i="6"/>
  <c r="O2785" i="6"/>
  <c r="P2785" i="6" s="1"/>
  <c r="R2784" i="6" l="1"/>
  <c r="M2784" i="6" s="1"/>
  <c r="S2784" i="6" s="1"/>
  <c r="Q2785" i="6"/>
  <c r="N2785" i="6"/>
  <c r="O2786" i="6"/>
  <c r="P2786" i="6" s="1"/>
  <c r="R2785" i="6" l="1"/>
  <c r="M2785" i="6" s="1"/>
  <c r="S2785" i="6" s="1"/>
  <c r="Q2786" i="6"/>
  <c r="O2787" i="6"/>
  <c r="P2787" i="6" s="1"/>
  <c r="N2786" i="6"/>
  <c r="R2786" i="6" l="1"/>
  <c r="M2786" i="6" s="1"/>
  <c r="S2786" i="6" s="1"/>
  <c r="Q2787" i="6"/>
  <c r="N2787" i="6"/>
  <c r="O2788" i="6"/>
  <c r="P2788" i="6" s="1"/>
  <c r="R2787" i="6" l="1"/>
  <c r="M2787" i="6" s="1"/>
  <c r="S2787" i="6" s="1"/>
  <c r="Q2788" i="6"/>
  <c r="O2789" i="6"/>
  <c r="P2789" i="6" s="1"/>
  <c r="N2788" i="6"/>
  <c r="R2788" i="6" l="1"/>
  <c r="M2788" i="6" s="1"/>
  <c r="S2788" i="6" s="1"/>
  <c r="Q2789" i="6"/>
  <c r="O2790" i="6"/>
  <c r="P2790" i="6" s="1"/>
  <c r="N2789" i="6"/>
  <c r="R2789" i="6" l="1"/>
  <c r="M2789" i="6" s="1"/>
  <c r="S2789" i="6" s="1"/>
  <c r="Q2790" i="6"/>
  <c r="N2790" i="6"/>
  <c r="O2791" i="6"/>
  <c r="P2791" i="6" s="1"/>
  <c r="R2790" i="6" l="1"/>
  <c r="M2790" i="6" s="1"/>
  <c r="S2790" i="6" s="1"/>
  <c r="Q2791" i="6"/>
  <c r="N2791" i="6"/>
  <c r="O2792" i="6"/>
  <c r="P2792" i="6" s="1"/>
  <c r="R2791" i="6" l="1"/>
  <c r="M2791" i="6" s="1"/>
  <c r="S2791" i="6" s="1"/>
  <c r="Q2792" i="6"/>
  <c r="N2792" i="6"/>
  <c r="O2793" i="6"/>
  <c r="P2793" i="6" s="1"/>
  <c r="R2792" i="6" l="1"/>
  <c r="M2792" i="6" s="1"/>
  <c r="S2792" i="6" s="1"/>
  <c r="Q2793" i="6"/>
  <c r="N2793" i="6"/>
  <c r="O2794" i="6"/>
  <c r="P2794" i="6" s="1"/>
  <c r="R2793" i="6" l="1"/>
  <c r="M2793" i="6" s="1"/>
  <c r="S2793" i="6" s="1"/>
  <c r="Q2794" i="6"/>
  <c r="O2795" i="6"/>
  <c r="P2795" i="6" s="1"/>
  <c r="N2794" i="6"/>
  <c r="R2794" i="6" l="1"/>
  <c r="M2794" i="6" s="1"/>
  <c r="S2794" i="6" s="1"/>
  <c r="Q2795" i="6"/>
  <c r="O2796" i="6"/>
  <c r="P2796" i="6" s="1"/>
  <c r="N2795" i="6"/>
  <c r="R2795" i="6" l="1"/>
  <c r="M2795" i="6" s="1"/>
  <c r="S2795" i="6" s="1"/>
  <c r="Q2796" i="6"/>
  <c r="O2797" i="6"/>
  <c r="P2797" i="6" s="1"/>
  <c r="N2796" i="6"/>
  <c r="R2796" i="6" l="1"/>
  <c r="M2796" i="6" s="1"/>
  <c r="S2796" i="6" s="1"/>
  <c r="Q2797" i="6"/>
  <c r="O2798" i="6"/>
  <c r="P2798" i="6" s="1"/>
  <c r="N2797" i="6"/>
  <c r="R2797" i="6" l="1"/>
  <c r="M2797" i="6" s="1"/>
  <c r="S2797" i="6" s="1"/>
  <c r="Q2798" i="6"/>
  <c r="N2798" i="6"/>
  <c r="O2799" i="6"/>
  <c r="P2799" i="6" s="1"/>
  <c r="R2798" i="6" l="1"/>
  <c r="M2798" i="6" s="1"/>
  <c r="S2798" i="6" s="1"/>
  <c r="Q2799" i="6"/>
  <c r="N2799" i="6"/>
  <c r="O2800" i="6"/>
  <c r="P2800" i="6" s="1"/>
  <c r="R2799" i="6" l="1"/>
  <c r="M2799" i="6" s="1"/>
  <c r="S2799" i="6" s="1"/>
  <c r="Q2800" i="6"/>
  <c r="N2800" i="6"/>
  <c r="O2801" i="6"/>
  <c r="P2801" i="6" s="1"/>
  <c r="R2800" i="6" l="1"/>
  <c r="M2800" i="6" s="1"/>
  <c r="S2800" i="6" s="1"/>
  <c r="Q2801" i="6"/>
  <c r="N2801" i="6"/>
  <c r="O2802" i="6"/>
  <c r="P2802" i="6" s="1"/>
  <c r="R2801" i="6" l="1"/>
  <c r="M2801" i="6" s="1"/>
  <c r="S2801" i="6" s="1"/>
  <c r="Q2802" i="6"/>
  <c r="N2802" i="6"/>
  <c r="O2803" i="6"/>
  <c r="P2803" i="6" s="1"/>
  <c r="R2802" i="6" l="1"/>
  <c r="M2802" i="6" s="1"/>
  <c r="S2802" i="6" s="1"/>
  <c r="Q2803" i="6"/>
  <c r="N2803" i="6"/>
  <c r="O2804" i="6"/>
  <c r="P2804" i="6" s="1"/>
  <c r="R2803" i="6" l="1"/>
  <c r="M2803" i="6" s="1"/>
  <c r="S2803" i="6" s="1"/>
  <c r="Q2804" i="6"/>
  <c r="O2805" i="6"/>
  <c r="P2805" i="6" s="1"/>
  <c r="N2804" i="6"/>
  <c r="R2804" i="6" l="1"/>
  <c r="M2804" i="6" s="1"/>
  <c r="S2804" i="6" s="1"/>
  <c r="Q2805" i="6"/>
  <c r="N2805" i="6"/>
  <c r="O2806" i="6"/>
  <c r="P2806" i="6" s="1"/>
  <c r="R2805" i="6" l="1"/>
  <c r="M2805" i="6" s="1"/>
  <c r="S2805" i="6" s="1"/>
  <c r="Q2806" i="6"/>
  <c r="O2807" i="6"/>
  <c r="P2807" i="6" s="1"/>
  <c r="N2806" i="6"/>
  <c r="R2806" i="6" l="1"/>
  <c r="M2806" i="6" s="1"/>
  <c r="S2806" i="6" s="1"/>
  <c r="Q2807" i="6"/>
  <c r="N2807" i="6"/>
  <c r="O2808" i="6"/>
  <c r="P2808" i="6" s="1"/>
  <c r="R2807" i="6" l="1"/>
  <c r="M2807" i="6" s="1"/>
  <c r="S2807" i="6" s="1"/>
  <c r="Q2808" i="6"/>
  <c r="N2808" i="6"/>
  <c r="O2809" i="6"/>
  <c r="P2809" i="6" s="1"/>
  <c r="R2808" i="6" l="1"/>
  <c r="M2808" i="6" s="1"/>
  <c r="S2808" i="6" s="1"/>
  <c r="Q2809" i="6"/>
  <c r="N2809" i="6"/>
  <c r="O2810" i="6"/>
  <c r="P2810" i="6" s="1"/>
  <c r="R2809" i="6" l="1"/>
  <c r="M2809" i="6" s="1"/>
  <c r="S2809" i="6" s="1"/>
  <c r="Q2810" i="6"/>
  <c r="N2810" i="6"/>
  <c r="O2811" i="6"/>
  <c r="P2811" i="6" s="1"/>
  <c r="R2810" i="6" l="1"/>
  <c r="M2810" i="6" s="1"/>
  <c r="S2810" i="6" s="1"/>
  <c r="Q2811" i="6"/>
  <c r="N2811" i="6"/>
  <c r="O2812" i="6"/>
  <c r="P2812" i="6" s="1"/>
  <c r="R2811" i="6" l="1"/>
  <c r="M2811" i="6" s="1"/>
  <c r="S2811" i="6" s="1"/>
  <c r="Q2812" i="6"/>
  <c r="N2812" i="6"/>
  <c r="O2813" i="6"/>
  <c r="P2813" i="6" s="1"/>
  <c r="R2812" i="6" l="1"/>
  <c r="M2812" i="6" s="1"/>
  <c r="S2812" i="6" s="1"/>
  <c r="Q2813" i="6"/>
  <c r="O2814" i="6"/>
  <c r="P2814" i="6" s="1"/>
  <c r="N2813" i="6"/>
  <c r="R2813" i="6" l="1"/>
  <c r="M2813" i="6" s="1"/>
  <c r="S2813" i="6" s="1"/>
  <c r="Q2814" i="6"/>
  <c r="N2814" i="6"/>
  <c r="O2815" i="6"/>
  <c r="P2815" i="6" s="1"/>
  <c r="R2814" i="6" l="1"/>
  <c r="M2814" i="6" s="1"/>
  <c r="S2814" i="6" s="1"/>
  <c r="Q2815" i="6"/>
  <c r="N2815" i="6"/>
  <c r="O2816" i="6"/>
  <c r="P2816" i="6" s="1"/>
  <c r="R2815" i="6" l="1"/>
  <c r="M2815" i="6" s="1"/>
  <c r="S2815" i="6" s="1"/>
  <c r="Q2816" i="6"/>
  <c r="N2816" i="6"/>
  <c r="O2817" i="6"/>
  <c r="P2817" i="6" s="1"/>
  <c r="R2816" i="6" l="1"/>
  <c r="M2816" i="6" s="1"/>
  <c r="S2816" i="6" s="1"/>
  <c r="Q2817" i="6"/>
  <c r="N2817" i="6"/>
  <c r="O2818" i="6"/>
  <c r="P2818" i="6" s="1"/>
  <c r="R2817" i="6" l="1"/>
  <c r="M2817" i="6" s="1"/>
  <c r="S2817" i="6" s="1"/>
  <c r="Q2818" i="6"/>
  <c r="N2818" i="6"/>
  <c r="O2819" i="6"/>
  <c r="P2819" i="6" s="1"/>
  <c r="R2818" i="6" l="1"/>
  <c r="M2818" i="6" s="1"/>
  <c r="S2818" i="6" s="1"/>
  <c r="Q2819" i="6"/>
  <c r="O2820" i="6"/>
  <c r="P2820" i="6" s="1"/>
  <c r="N2819" i="6"/>
  <c r="R2819" i="6" l="1"/>
  <c r="M2819" i="6" s="1"/>
  <c r="S2819" i="6" s="1"/>
  <c r="Q2820" i="6"/>
  <c r="O2821" i="6"/>
  <c r="P2821" i="6" s="1"/>
  <c r="N2820" i="6"/>
  <c r="R2820" i="6" l="1"/>
  <c r="M2820" i="6" s="1"/>
  <c r="S2820" i="6" s="1"/>
  <c r="Q2821" i="6"/>
  <c r="O2822" i="6"/>
  <c r="P2822" i="6" s="1"/>
  <c r="N2821" i="6"/>
  <c r="R2821" i="6" l="1"/>
  <c r="M2821" i="6" s="1"/>
  <c r="S2821" i="6" s="1"/>
  <c r="Q2822" i="6"/>
  <c r="O2823" i="6"/>
  <c r="P2823" i="6" s="1"/>
  <c r="N2822" i="6"/>
  <c r="R2822" i="6" l="1"/>
  <c r="M2822" i="6" s="1"/>
  <c r="S2822" i="6" s="1"/>
  <c r="Q2823" i="6"/>
  <c r="N2823" i="6"/>
  <c r="O2824" i="6"/>
  <c r="P2824" i="6" s="1"/>
  <c r="R2823" i="6" l="1"/>
  <c r="M2823" i="6" s="1"/>
  <c r="S2823" i="6" s="1"/>
  <c r="Q2824" i="6"/>
  <c r="N2824" i="6"/>
  <c r="O2825" i="6"/>
  <c r="P2825" i="6" s="1"/>
  <c r="R2824" i="6" l="1"/>
  <c r="M2824" i="6" s="1"/>
  <c r="S2824" i="6" s="1"/>
  <c r="Q2825" i="6"/>
  <c r="O2826" i="6"/>
  <c r="P2826" i="6" s="1"/>
  <c r="N2825" i="6"/>
  <c r="R2825" i="6" l="1"/>
  <c r="M2825" i="6" s="1"/>
  <c r="S2825" i="6" s="1"/>
  <c r="Q2826" i="6"/>
  <c r="N2826" i="6"/>
  <c r="O2827" i="6"/>
  <c r="P2827" i="6" s="1"/>
  <c r="R2826" i="6" l="1"/>
  <c r="M2826" i="6" s="1"/>
  <c r="S2826" i="6" s="1"/>
  <c r="Q2827" i="6"/>
  <c r="N2827" i="6"/>
  <c r="O2828" i="6"/>
  <c r="P2828" i="6" s="1"/>
  <c r="R2827" i="6" l="1"/>
  <c r="M2827" i="6" s="1"/>
  <c r="S2827" i="6" s="1"/>
  <c r="Q2828" i="6"/>
  <c r="N2828" i="6"/>
  <c r="O2829" i="6"/>
  <c r="P2829" i="6" s="1"/>
  <c r="R2828" i="6" l="1"/>
  <c r="M2828" i="6" s="1"/>
  <c r="S2828" i="6" s="1"/>
  <c r="Q2829" i="6"/>
  <c r="N2829" i="6"/>
  <c r="O2830" i="6"/>
  <c r="P2830" i="6" s="1"/>
  <c r="R2829" i="6" l="1"/>
  <c r="M2829" i="6" s="1"/>
  <c r="S2829" i="6" s="1"/>
  <c r="Q2830" i="6"/>
  <c r="O2831" i="6"/>
  <c r="P2831" i="6" s="1"/>
  <c r="N2830" i="6"/>
  <c r="R2830" i="6" l="1"/>
  <c r="M2830" i="6" s="1"/>
  <c r="S2830" i="6" s="1"/>
  <c r="Q2831" i="6"/>
  <c r="N2831" i="6"/>
  <c r="O2832" i="6"/>
  <c r="P2832" i="6" s="1"/>
  <c r="R2831" i="6" l="1"/>
  <c r="M2831" i="6" s="1"/>
  <c r="S2831" i="6" s="1"/>
  <c r="Q2832" i="6"/>
  <c r="N2832" i="6"/>
  <c r="O2833" i="6"/>
  <c r="P2833" i="6" s="1"/>
  <c r="R2832" i="6" l="1"/>
  <c r="M2832" i="6" s="1"/>
  <c r="S2832" i="6" s="1"/>
  <c r="Q2833" i="6"/>
  <c r="N2833" i="6"/>
  <c r="O2834" i="6"/>
  <c r="P2834" i="6" s="1"/>
  <c r="R2833" i="6" l="1"/>
  <c r="M2833" i="6" s="1"/>
  <c r="S2833" i="6" s="1"/>
  <c r="Q2834" i="6"/>
  <c r="O2835" i="6"/>
  <c r="P2835" i="6" s="1"/>
  <c r="N2834" i="6"/>
  <c r="R2834" i="6" l="1"/>
  <c r="M2834" i="6" s="1"/>
  <c r="S2834" i="6" s="1"/>
  <c r="Q2835" i="6"/>
  <c r="O2836" i="6"/>
  <c r="P2836" i="6" s="1"/>
  <c r="N2835" i="6"/>
  <c r="R2835" i="6" l="1"/>
  <c r="M2835" i="6" s="1"/>
  <c r="S2835" i="6" s="1"/>
  <c r="Q2836" i="6"/>
  <c r="N2836" i="6"/>
  <c r="O2837" i="6"/>
  <c r="P2837" i="6" s="1"/>
  <c r="R2836" i="6" l="1"/>
  <c r="M2836" i="6" s="1"/>
  <c r="S2836" i="6" s="1"/>
  <c r="Q2837" i="6"/>
  <c r="N2837" i="6"/>
  <c r="O2838" i="6"/>
  <c r="P2838" i="6" s="1"/>
  <c r="R2837" i="6" l="1"/>
  <c r="M2837" i="6" s="1"/>
  <c r="S2837" i="6" s="1"/>
  <c r="Q2838" i="6"/>
  <c r="O2839" i="6"/>
  <c r="P2839" i="6" s="1"/>
  <c r="N2838" i="6"/>
  <c r="R2838" i="6" l="1"/>
  <c r="M2838" i="6" s="1"/>
  <c r="S2838" i="6" s="1"/>
  <c r="Q2839" i="6"/>
  <c r="N2839" i="6"/>
  <c r="O2840" i="6"/>
  <c r="P2840" i="6" s="1"/>
  <c r="R2839" i="6" l="1"/>
  <c r="M2839" i="6" s="1"/>
  <c r="S2839" i="6" s="1"/>
  <c r="Q2840" i="6"/>
  <c r="N2840" i="6"/>
  <c r="O2841" i="6"/>
  <c r="P2841" i="6" s="1"/>
  <c r="R2840" i="6" l="1"/>
  <c r="M2840" i="6" s="1"/>
  <c r="S2840" i="6" s="1"/>
  <c r="Q2841" i="6"/>
  <c r="O2842" i="6"/>
  <c r="P2842" i="6" s="1"/>
  <c r="N2841" i="6"/>
  <c r="R2841" i="6" l="1"/>
  <c r="M2841" i="6" s="1"/>
  <c r="S2841" i="6" s="1"/>
  <c r="Q2842" i="6"/>
  <c r="O2843" i="6"/>
  <c r="P2843" i="6" s="1"/>
  <c r="N2842" i="6"/>
  <c r="R2842" i="6" l="1"/>
  <c r="M2842" i="6" s="1"/>
  <c r="S2842" i="6" s="1"/>
  <c r="Q2843" i="6"/>
  <c r="N2843" i="6"/>
  <c r="O2844" i="6"/>
  <c r="P2844" i="6" s="1"/>
  <c r="R2843" i="6" l="1"/>
  <c r="M2843" i="6" s="1"/>
  <c r="S2843" i="6" s="1"/>
  <c r="Q2844" i="6"/>
  <c r="N2844" i="6"/>
  <c r="O2845" i="6"/>
  <c r="P2845" i="6" s="1"/>
  <c r="R2844" i="6" l="1"/>
  <c r="M2844" i="6" s="1"/>
  <c r="S2844" i="6" s="1"/>
  <c r="Q2845" i="6"/>
  <c r="O2846" i="6"/>
  <c r="P2846" i="6" s="1"/>
  <c r="N2845" i="6"/>
  <c r="R2845" i="6" l="1"/>
  <c r="M2845" i="6" s="1"/>
  <c r="S2845" i="6" s="1"/>
  <c r="Q2846" i="6"/>
  <c r="O2847" i="6"/>
  <c r="P2847" i="6" s="1"/>
  <c r="N2846" i="6"/>
  <c r="R2846" i="6" l="1"/>
  <c r="M2846" i="6" s="1"/>
  <c r="S2846" i="6" s="1"/>
  <c r="Q2847" i="6"/>
  <c r="N2847" i="6"/>
  <c r="O2848" i="6"/>
  <c r="P2848" i="6" s="1"/>
  <c r="R2847" i="6" l="1"/>
  <c r="M2847" i="6" s="1"/>
  <c r="S2847" i="6" s="1"/>
  <c r="Q2848" i="6"/>
  <c r="N2848" i="6"/>
  <c r="O2849" i="6"/>
  <c r="P2849" i="6" s="1"/>
  <c r="R2848" i="6" l="1"/>
  <c r="M2848" i="6" s="1"/>
  <c r="S2848" i="6" s="1"/>
  <c r="Q2849" i="6"/>
  <c r="N2849" i="6"/>
  <c r="O2850" i="6"/>
  <c r="P2850" i="6" s="1"/>
  <c r="R2849" i="6" l="1"/>
  <c r="M2849" i="6" s="1"/>
  <c r="S2849" i="6" s="1"/>
  <c r="Q2850" i="6"/>
  <c r="N2850" i="6"/>
  <c r="O2851" i="6"/>
  <c r="P2851" i="6" s="1"/>
  <c r="R2850" i="6" l="1"/>
  <c r="M2850" i="6" s="1"/>
  <c r="S2850" i="6" s="1"/>
  <c r="Q2851" i="6"/>
  <c r="N2851" i="6"/>
  <c r="O2852" i="6"/>
  <c r="P2852" i="6" s="1"/>
  <c r="R2851" i="6" l="1"/>
  <c r="M2851" i="6" s="1"/>
  <c r="S2851" i="6" s="1"/>
  <c r="Q2852" i="6"/>
  <c r="O2853" i="6"/>
  <c r="P2853" i="6" s="1"/>
  <c r="N2852" i="6"/>
  <c r="R2852" i="6" l="1"/>
  <c r="M2852" i="6" s="1"/>
  <c r="S2852" i="6" s="1"/>
  <c r="Q2853" i="6"/>
  <c r="N2853" i="6"/>
  <c r="O2854" i="6"/>
  <c r="P2854" i="6" s="1"/>
  <c r="R2853" i="6" l="1"/>
  <c r="M2853" i="6" s="1"/>
  <c r="S2853" i="6" s="1"/>
  <c r="Q2854" i="6"/>
  <c r="N2854" i="6"/>
  <c r="O2855" i="6"/>
  <c r="P2855" i="6" s="1"/>
  <c r="R2854" i="6" l="1"/>
  <c r="M2854" i="6" s="1"/>
  <c r="S2854" i="6" s="1"/>
  <c r="Q2855" i="6"/>
  <c r="N2855" i="6"/>
  <c r="O2856" i="6"/>
  <c r="P2856" i="6" s="1"/>
  <c r="R2855" i="6" l="1"/>
  <c r="M2855" i="6" s="1"/>
  <c r="S2855" i="6" s="1"/>
  <c r="Q2856" i="6"/>
  <c r="N2856" i="6"/>
  <c r="O2857" i="6"/>
  <c r="P2857" i="6" s="1"/>
  <c r="R2856" i="6" l="1"/>
  <c r="M2856" i="6" s="1"/>
  <c r="S2856" i="6" s="1"/>
  <c r="Q2857" i="6"/>
  <c r="N2857" i="6"/>
  <c r="O2858" i="6"/>
  <c r="P2858" i="6" s="1"/>
  <c r="R2857" i="6" l="1"/>
  <c r="M2857" i="6" s="1"/>
  <c r="S2857" i="6" s="1"/>
  <c r="Q2858" i="6"/>
  <c r="O2859" i="6"/>
  <c r="P2859" i="6" s="1"/>
  <c r="N2858" i="6"/>
  <c r="R2858" i="6" l="1"/>
  <c r="M2858" i="6" s="1"/>
  <c r="S2858" i="6" s="1"/>
  <c r="Q2859" i="6"/>
  <c r="O2860" i="6"/>
  <c r="P2860" i="6" s="1"/>
  <c r="N2859" i="6"/>
  <c r="R2859" i="6" l="1"/>
  <c r="M2859" i="6" s="1"/>
  <c r="S2859" i="6" s="1"/>
  <c r="Q2860" i="6"/>
  <c r="N2860" i="6"/>
  <c r="O2861" i="6"/>
  <c r="P2861" i="6" s="1"/>
  <c r="R2860" i="6" l="1"/>
  <c r="M2860" i="6" s="1"/>
  <c r="S2860" i="6" s="1"/>
  <c r="Q2861" i="6"/>
  <c r="O2862" i="6"/>
  <c r="P2862" i="6" s="1"/>
  <c r="N2861" i="6"/>
  <c r="R2861" i="6" l="1"/>
  <c r="M2861" i="6" s="1"/>
  <c r="S2861" i="6" s="1"/>
  <c r="Q2862" i="6"/>
  <c r="N2862" i="6"/>
  <c r="O2863" i="6"/>
  <c r="P2863" i="6" s="1"/>
  <c r="R2862" i="6" l="1"/>
  <c r="M2862" i="6" s="1"/>
  <c r="S2862" i="6" s="1"/>
  <c r="Q2863" i="6"/>
  <c r="N2863" i="6"/>
  <c r="O2864" i="6"/>
  <c r="P2864" i="6" s="1"/>
  <c r="R2863" i="6" l="1"/>
  <c r="M2863" i="6" s="1"/>
  <c r="S2863" i="6" s="1"/>
  <c r="Q2864" i="6"/>
  <c r="N2864" i="6"/>
  <c r="O2865" i="6"/>
  <c r="P2865" i="6" s="1"/>
  <c r="R2864" i="6" l="1"/>
  <c r="M2864" i="6" s="1"/>
  <c r="S2864" i="6" s="1"/>
  <c r="Q2865" i="6"/>
  <c r="N2865" i="6"/>
  <c r="O2866" i="6"/>
  <c r="P2866" i="6" s="1"/>
  <c r="R2865" i="6" l="1"/>
  <c r="M2865" i="6" s="1"/>
  <c r="S2865" i="6" s="1"/>
  <c r="Q2866" i="6"/>
  <c r="O2867" i="6"/>
  <c r="P2867" i="6" s="1"/>
  <c r="N2866" i="6"/>
  <c r="R2866" i="6" l="1"/>
  <c r="M2866" i="6" s="1"/>
  <c r="S2866" i="6" s="1"/>
  <c r="Q2867" i="6"/>
  <c r="O2868" i="6"/>
  <c r="P2868" i="6" s="1"/>
  <c r="N2867" i="6"/>
  <c r="R2867" i="6" l="1"/>
  <c r="M2867" i="6" s="1"/>
  <c r="S2867" i="6" s="1"/>
  <c r="Q2868" i="6"/>
  <c r="N2868" i="6"/>
  <c r="O2869" i="6"/>
  <c r="P2869" i="6" s="1"/>
  <c r="R2868" i="6" l="1"/>
  <c r="M2868" i="6" s="1"/>
  <c r="S2868" i="6" s="1"/>
  <c r="Q2869" i="6"/>
  <c r="O2870" i="6"/>
  <c r="P2870" i="6" s="1"/>
  <c r="N2869" i="6"/>
  <c r="R2869" i="6" l="1"/>
  <c r="M2869" i="6" s="1"/>
  <c r="S2869" i="6" s="1"/>
  <c r="Q2870" i="6"/>
  <c r="O2871" i="6"/>
  <c r="P2871" i="6" s="1"/>
  <c r="N2870" i="6"/>
  <c r="R2870" i="6" l="1"/>
  <c r="M2870" i="6" s="1"/>
  <c r="S2870" i="6" s="1"/>
  <c r="Q2871" i="6"/>
  <c r="O2872" i="6"/>
  <c r="P2872" i="6" s="1"/>
  <c r="N2871" i="6"/>
  <c r="R2871" i="6" l="1"/>
  <c r="M2871" i="6" s="1"/>
  <c r="S2871" i="6" s="1"/>
  <c r="Q2872" i="6"/>
  <c r="N2872" i="6"/>
  <c r="O2873" i="6"/>
  <c r="P2873" i="6" s="1"/>
  <c r="R2872" i="6" l="1"/>
  <c r="M2872" i="6" s="1"/>
  <c r="S2872" i="6" s="1"/>
  <c r="Q2873" i="6"/>
  <c r="N2873" i="6"/>
  <c r="O2874" i="6"/>
  <c r="P2874" i="6" s="1"/>
  <c r="R2873" i="6" l="1"/>
  <c r="M2873" i="6" s="1"/>
  <c r="S2873" i="6" s="1"/>
  <c r="Q2874" i="6"/>
  <c r="O2875" i="6"/>
  <c r="P2875" i="6" s="1"/>
  <c r="N2874" i="6"/>
  <c r="R2874" i="6" l="1"/>
  <c r="M2874" i="6" s="1"/>
  <c r="S2874" i="6" s="1"/>
  <c r="Q2875" i="6"/>
  <c r="N2875" i="6"/>
  <c r="O2876" i="6"/>
  <c r="P2876" i="6" s="1"/>
  <c r="R2875" i="6" l="1"/>
  <c r="M2875" i="6" s="1"/>
  <c r="S2875" i="6" s="1"/>
  <c r="Q2876" i="6"/>
  <c r="O2877" i="6"/>
  <c r="P2877" i="6" s="1"/>
  <c r="N2876" i="6"/>
  <c r="R2876" i="6" l="1"/>
  <c r="M2876" i="6" s="1"/>
  <c r="S2876" i="6" s="1"/>
  <c r="Q2877" i="6"/>
  <c r="O2878" i="6"/>
  <c r="P2878" i="6" s="1"/>
  <c r="N2877" i="6"/>
  <c r="R2877" i="6" l="1"/>
  <c r="M2877" i="6" s="1"/>
  <c r="S2877" i="6" s="1"/>
  <c r="Q2878" i="6"/>
  <c r="O2879" i="6"/>
  <c r="P2879" i="6" s="1"/>
  <c r="N2878" i="6"/>
  <c r="R2878" i="6" l="1"/>
  <c r="M2878" i="6" s="1"/>
  <c r="S2878" i="6" s="1"/>
  <c r="Q2879" i="6"/>
  <c r="N2879" i="6"/>
  <c r="O2880" i="6"/>
  <c r="P2880" i="6" s="1"/>
  <c r="R2879" i="6" l="1"/>
  <c r="M2879" i="6" s="1"/>
  <c r="S2879" i="6" s="1"/>
  <c r="Q2880" i="6"/>
  <c r="O2881" i="6"/>
  <c r="P2881" i="6" s="1"/>
  <c r="N2880" i="6"/>
  <c r="R2880" i="6" l="1"/>
  <c r="M2880" i="6" s="1"/>
  <c r="S2880" i="6" s="1"/>
  <c r="Q2881" i="6"/>
  <c r="O2882" i="6"/>
  <c r="P2882" i="6" s="1"/>
  <c r="N2881" i="6"/>
  <c r="R2881" i="6" l="1"/>
  <c r="M2881" i="6" s="1"/>
  <c r="S2881" i="6" s="1"/>
  <c r="Q2882" i="6"/>
  <c r="N2882" i="6"/>
  <c r="O2883" i="6"/>
  <c r="P2883" i="6" s="1"/>
  <c r="R2882" i="6" l="1"/>
  <c r="M2882" i="6" s="1"/>
  <c r="S2882" i="6" s="1"/>
  <c r="Q2883" i="6"/>
  <c r="N2883" i="6"/>
  <c r="O2884" i="6"/>
  <c r="P2884" i="6" s="1"/>
  <c r="R2883" i="6" l="1"/>
  <c r="M2883" i="6" s="1"/>
  <c r="S2883" i="6" s="1"/>
  <c r="Q2884" i="6"/>
  <c r="N2884" i="6"/>
  <c r="O2885" i="6"/>
  <c r="P2885" i="6" s="1"/>
  <c r="R2884" i="6" l="1"/>
  <c r="M2884" i="6" s="1"/>
  <c r="S2884" i="6" s="1"/>
  <c r="Q2885" i="6"/>
  <c r="N2885" i="6"/>
  <c r="O2886" i="6"/>
  <c r="P2886" i="6" s="1"/>
  <c r="R2885" i="6" l="1"/>
  <c r="M2885" i="6" s="1"/>
  <c r="S2885" i="6" s="1"/>
  <c r="Q2886" i="6"/>
  <c r="O2887" i="6"/>
  <c r="P2887" i="6" s="1"/>
  <c r="N2886" i="6"/>
  <c r="R2886" i="6" l="1"/>
  <c r="M2886" i="6" s="1"/>
  <c r="S2886" i="6" s="1"/>
  <c r="Q2887" i="6"/>
  <c r="N2887" i="6"/>
  <c r="O2888" i="6"/>
  <c r="P2888" i="6" s="1"/>
  <c r="R2887" i="6" l="1"/>
  <c r="M2887" i="6" s="1"/>
  <c r="S2887" i="6" s="1"/>
  <c r="Q2888" i="6"/>
  <c r="N2888" i="6"/>
  <c r="O2889" i="6"/>
  <c r="P2889" i="6" s="1"/>
  <c r="R2888" i="6" l="1"/>
  <c r="M2888" i="6" s="1"/>
  <c r="S2888" i="6" s="1"/>
  <c r="Q2889" i="6"/>
  <c r="N2889" i="6"/>
  <c r="O2890" i="6"/>
  <c r="P2890" i="6" s="1"/>
  <c r="R2889" i="6" l="1"/>
  <c r="M2889" i="6" s="1"/>
  <c r="S2889" i="6" s="1"/>
  <c r="Q2890" i="6"/>
  <c r="N2890" i="6"/>
  <c r="O2891" i="6"/>
  <c r="P2891" i="6" s="1"/>
  <c r="R2890" i="6" l="1"/>
  <c r="M2890" i="6" s="1"/>
  <c r="S2890" i="6" s="1"/>
  <c r="Q2891" i="6"/>
  <c r="N2891" i="6"/>
  <c r="O2892" i="6"/>
  <c r="P2892" i="6" s="1"/>
  <c r="R2891" i="6" l="1"/>
  <c r="M2891" i="6" s="1"/>
  <c r="S2891" i="6" s="1"/>
  <c r="Q2892" i="6"/>
  <c r="N2892" i="6"/>
  <c r="O2893" i="6"/>
  <c r="P2893" i="6" s="1"/>
  <c r="R2892" i="6" l="1"/>
  <c r="M2892" i="6" s="1"/>
  <c r="S2892" i="6" s="1"/>
  <c r="Q2893" i="6"/>
  <c r="O2894" i="6"/>
  <c r="P2894" i="6" s="1"/>
  <c r="N2893" i="6"/>
  <c r="R2893" i="6" l="1"/>
  <c r="M2893" i="6" s="1"/>
  <c r="S2893" i="6" s="1"/>
  <c r="Q2894" i="6"/>
  <c r="O2895" i="6"/>
  <c r="P2895" i="6" s="1"/>
  <c r="N2894" i="6"/>
  <c r="R2894" i="6" l="1"/>
  <c r="M2894" i="6" s="1"/>
  <c r="S2894" i="6" s="1"/>
  <c r="Q2895" i="6"/>
  <c r="N2895" i="6"/>
  <c r="O2896" i="6"/>
  <c r="P2896" i="6" s="1"/>
  <c r="R2895" i="6" l="1"/>
  <c r="M2895" i="6" s="1"/>
  <c r="S2895" i="6" s="1"/>
  <c r="Q2896" i="6"/>
  <c r="N2896" i="6"/>
  <c r="O2897" i="6"/>
  <c r="P2897" i="6" s="1"/>
  <c r="R2896" i="6" l="1"/>
  <c r="M2896" i="6" s="1"/>
  <c r="S2896" i="6" s="1"/>
  <c r="Q2897" i="6"/>
  <c r="O2898" i="6"/>
  <c r="P2898" i="6" s="1"/>
  <c r="N2897" i="6"/>
  <c r="R2897" i="6" l="1"/>
  <c r="M2897" i="6" s="1"/>
  <c r="S2897" i="6" s="1"/>
  <c r="Q2898" i="6"/>
  <c r="N2898" i="6"/>
  <c r="O2899" i="6"/>
  <c r="P2899" i="6" s="1"/>
  <c r="R2898" i="6" l="1"/>
  <c r="M2898" i="6" s="1"/>
  <c r="S2898" i="6" s="1"/>
  <c r="Q2899" i="6"/>
  <c r="O2900" i="6"/>
  <c r="P2900" i="6" s="1"/>
  <c r="N2899" i="6"/>
  <c r="R2899" i="6" l="1"/>
  <c r="M2899" i="6" s="1"/>
  <c r="S2899" i="6" s="1"/>
  <c r="Q2900" i="6"/>
  <c r="O2901" i="6"/>
  <c r="P2901" i="6" s="1"/>
  <c r="N2900" i="6"/>
  <c r="R2900" i="6" l="1"/>
  <c r="M2900" i="6" s="1"/>
  <c r="S2900" i="6" s="1"/>
  <c r="Q2901" i="6"/>
  <c r="O2902" i="6"/>
  <c r="P2902" i="6" s="1"/>
  <c r="N2901" i="6"/>
  <c r="R2901" i="6" l="1"/>
  <c r="M2901" i="6" s="1"/>
  <c r="S2901" i="6" s="1"/>
  <c r="Q2902" i="6"/>
  <c r="O2903" i="6"/>
  <c r="P2903" i="6" s="1"/>
  <c r="N2902" i="6"/>
  <c r="R2902" i="6" l="1"/>
  <c r="M2902" i="6" s="1"/>
  <c r="S2902" i="6" s="1"/>
  <c r="Q2903" i="6"/>
  <c r="N2903" i="6"/>
  <c r="O2904" i="6"/>
  <c r="P2904" i="6" s="1"/>
  <c r="R2903" i="6" l="1"/>
  <c r="M2903" i="6" s="1"/>
  <c r="S2903" i="6" s="1"/>
  <c r="Q2904" i="6"/>
  <c r="N2904" i="6"/>
  <c r="O2905" i="6"/>
  <c r="P2905" i="6" s="1"/>
  <c r="R2904" i="6" l="1"/>
  <c r="M2904" i="6" s="1"/>
  <c r="S2904" i="6" s="1"/>
  <c r="Q2905" i="6"/>
  <c r="O2906" i="6"/>
  <c r="P2906" i="6" s="1"/>
  <c r="N2905" i="6"/>
  <c r="R2905" i="6" l="1"/>
  <c r="M2905" i="6" s="1"/>
  <c r="S2905" i="6" s="1"/>
  <c r="Q2906" i="6"/>
  <c r="O2907" i="6"/>
  <c r="P2907" i="6" s="1"/>
  <c r="N2906" i="6"/>
  <c r="R2906" i="6" l="1"/>
  <c r="M2906" i="6" s="1"/>
  <c r="S2906" i="6" s="1"/>
  <c r="Q2907" i="6"/>
  <c r="N2907" i="6"/>
  <c r="O2908" i="6"/>
  <c r="P2908" i="6" s="1"/>
  <c r="R2907" i="6" l="1"/>
  <c r="M2907" i="6" s="1"/>
  <c r="S2907" i="6" s="1"/>
  <c r="Q2908" i="6"/>
  <c r="O2909" i="6"/>
  <c r="P2909" i="6" s="1"/>
  <c r="N2908" i="6"/>
  <c r="R2908" i="6" l="1"/>
  <c r="M2908" i="6" s="1"/>
  <c r="S2908" i="6" s="1"/>
  <c r="Q2909" i="6"/>
  <c r="N2909" i="6"/>
  <c r="O2910" i="6"/>
  <c r="P2910" i="6" s="1"/>
  <c r="R2909" i="6" l="1"/>
  <c r="M2909" i="6" s="1"/>
  <c r="S2909" i="6" s="1"/>
  <c r="Q2910" i="6"/>
  <c r="N2910" i="6"/>
  <c r="O2911" i="6"/>
  <c r="P2911" i="6" s="1"/>
  <c r="R2910" i="6" l="1"/>
  <c r="M2910" i="6" s="1"/>
  <c r="S2910" i="6" s="1"/>
  <c r="Q2911" i="6"/>
  <c r="N2911" i="6"/>
  <c r="O2912" i="6"/>
  <c r="P2912" i="6" s="1"/>
  <c r="R2911" i="6" l="1"/>
  <c r="M2911" i="6" s="1"/>
  <c r="S2911" i="6" s="1"/>
  <c r="Q2912" i="6"/>
  <c r="N2912" i="6"/>
  <c r="O2913" i="6"/>
  <c r="P2913" i="6" s="1"/>
  <c r="R2912" i="6" l="1"/>
  <c r="M2912" i="6" s="1"/>
  <c r="S2912" i="6" s="1"/>
  <c r="Q2913" i="6"/>
  <c r="O2914" i="6"/>
  <c r="P2914" i="6" s="1"/>
  <c r="N2913" i="6"/>
  <c r="R2913" i="6" l="1"/>
  <c r="M2913" i="6" s="1"/>
  <c r="S2913" i="6" s="1"/>
  <c r="Q2914" i="6"/>
  <c r="N2914" i="6"/>
  <c r="O2915" i="6"/>
  <c r="P2915" i="6" s="1"/>
  <c r="R2914" i="6" l="1"/>
  <c r="M2914" i="6" s="1"/>
  <c r="S2914" i="6" s="1"/>
  <c r="Q2915" i="6"/>
  <c r="N2915" i="6"/>
  <c r="O2916" i="6"/>
  <c r="P2916" i="6" s="1"/>
  <c r="R2915" i="6" l="1"/>
  <c r="M2915" i="6" s="1"/>
  <c r="S2915" i="6" s="1"/>
  <c r="Q2916" i="6"/>
  <c r="N2916" i="6"/>
  <c r="O2917" i="6"/>
  <c r="P2917" i="6" s="1"/>
  <c r="R2916" i="6" l="1"/>
  <c r="M2916" i="6" s="1"/>
  <c r="S2916" i="6" s="1"/>
  <c r="Q2917" i="6"/>
  <c r="N2917" i="6"/>
  <c r="O2918" i="6"/>
  <c r="P2918" i="6" s="1"/>
  <c r="R2917" i="6" l="1"/>
  <c r="M2917" i="6" s="1"/>
  <c r="S2917" i="6" s="1"/>
  <c r="Q2918" i="6"/>
  <c r="N2918" i="6"/>
  <c r="O2919" i="6"/>
  <c r="P2919" i="6" s="1"/>
  <c r="R2918" i="6" l="1"/>
  <c r="M2918" i="6" s="1"/>
  <c r="S2918" i="6" s="1"/>
  <c r="Q2919" i="6"/>
  <c r="N2919" i="6"/>
  <c r="O2920" i="6"/>
  <c r="P2920" i="6" s="1"/>
  <c r="R2919" i="6" l="1"/>
  <c r="M2919" i="6" s="1"/>
  <c r="S2919" i="6" s="1"/>
  <c r="Q2920" i="6"/>
  <c r="N2920" i="6"/>
  <c r="O2921" i="6"/>
  <c r="P2921" i="6" s="1"/>
  <c r="R2920" i="6" l="1"/>
  <c r="M2920" i="6" s="1"/>
  <c r="S2920" i="6" s="1"/>
  <c r="Q2921" i="6"/>
  <c r="N2921" i="6"/>
  <c r="O2922" i="6"/>
  <c r="P2922" i="6" s="1"/>
  <c r="R2921" i="6" l="1"/>
  <c r="M2921" i="6" s="1"/>
  <c r="S2921" i="6" s="1"/>
  <c r="Q2922" i="6"/>
  <c r="N2922" i="6"/>
  <c r="O2923" i="6"/>
  <c r="P2923" i="6" s="1"/>
  <c r="R2922" i="6" l="1"/>
  <c r="M2922" i="6" s="1"/>
  <c r="S2922" i="6" s="1"/>
  <c r="Q2923" i="6"/>
  <c r="N2923" i="6"/>
  <c r="O2924" i="6"/>
  <c r="P2924" i="6" s="1"/>
  <c r="R2923" i="6" l="1"/>
  <c r="M2923" i="6" s="1"/>
  <c r="S2923" i="6" s="1"/>
  <c r="Q2924" i="6"/>
  <c r="N2924" i="6"/>
  <c r="O2925" i="6"/>
  <c r="P2925" i="6" s="1"/>
  <c r="R2924" i="6" l="1"/>
  <c r="M2924" i="6" s="1"/>
  <c r="S2924" i="6" s="1"/>
  <c r="Q2925" i="6"/>
  <c r="O2926" i="6"/>
  <c r="P2926" i="6" s="1"/>
  <c r="N2925" i="6"/>
  <c r="R2925" i="6" l="1"/>
  <c r="M2925" i="6" s="1"/>
  <c r="S2925" i="6" s="1"/>
  <c r="Q2926" i="6"/>
  <c r="N2926" i="6"/>
  <c r="O2927" i="6"/>
  <c r="P2927" i="6" s="1"/>
  <c r="R2926" i="6" l="1"/>
  <c r="M2926" i="6" s="1"/>
  <c r="S2926" i="6" s="1"/>
  <c r="Q2927" i="6"/>
  <c r="N2927" i="6"/>
  <c r="O2928" i="6"/>
  <c r="P2928" i="6" s="1"/>
  <c r="R2927" i="6" l="1"/>
  <c r="M2927" i="6" s="1"/>
  <c r="S2927" i="6" s="1"/>
  <c r="Q2928" i="6"/>
  <c r="N2928" i="6"/>
  <c r="O2929" i="6"/>
  <c r="P2929" i="6" s="1"/>
  <c r="R2928" i="6" l="1"/>
  <c r="M2928" i="6" s="1"/>
  <c r="S2928" i="6" s="1"/>
  <c r="Q2929" i="6"/>
  <c r="N2929" i="6"/>
  <c r="O2930" i="6"/>
  <c r="P2930" i="6" s="1"/>
  <c r="R2929" i="6" l="1"/>
  <c r="M2929" i="6" s="1"/>
  <c r="S2929" i="6" s="1"/>
  <c r="Q2930" i="6"/>
  <c r="N2930" i="6"/>
  <c r="O2931" i="6"/>
  <c r="P2931" i="6" s="1"/>
  <c r="R2930" i="6" l="1"/>
  <c r="M2930" i="6" s="1"/>
  <c r="S2930" i="6" s="1"/>
  <c r="Q2931" i="6"/>
  <c r="N2931" i="6"/>
  <c r="O2932" i="6"/>
  <c r="P2932" i="6" s="1"/>
  <c r="R2931" i="6" l="1"/>
  <c r="M2931" i="6" s="1"/>
  <c r="S2931" i="6" s="1"/>
  <c r="Q2932" i="6"/>
  <c r="N2932" i="6"/>
  <c r="O2933" i="6"/>
  <c r="P2933" i="6" s="1"/>
  <c r="R2932" i="6" l="1"/>
  <c r="M2932" i="6" s="1"/>
  <c r="S2932" i="6" s="1"/>
  <c r="Q2933" i="6"/>
  <c r="O2934" i="6"/>
  <c r="P2934" i="6" s="1"/>
  <c r="N2933" i="6"/>
  <c r="R2933" i="6" l="1"/>
  <c r="M2933" i="6" s="1"/>
  <c r="S2933" i="6" s="1"/>
  <c r="Q2934" i="6"/>
  <c r="N2934" i="6"/>
  <c r="O2935" i="6"/>
  <c r="P2935" i="6" s="1"/>
  <c r="R2934" i="6" l="1"/>
  <c r="M2934" i="6" s="1"/>
  <c r="S2934" i="6" s="1"/>
  <c r="Q2935" i="6"/>
  <c r="N2935" i="6"/>
  <c r="O2936" i="6"/>
  <c r="P2936" i="6" s="1"/>
  <c r="R2935" i="6" l="1"/>
  <c r="M2935" i="6" s="1"/>
  <c r="S2935" i="6" s="1"/>
  <c r="Q2936" i="6"/>
  <c r="N2936" i="6"/>
  <c r="O2937" i="6"/>
  <c r="P2937" i="6" s="1"/>
  <c r="R2936" i="6" l="1"/>
  <c r="M2936" i="6" s="1"/>
  <c r="S2936" i="6" s="1"/>
  <c r="Q2937" i="6"/>
  <c r="N2937" i="6"/>
  <c r="O2938" i="6"/>
  <c r="P2938" i="6" s="1"/>
  <c r="R2937" i="6" l="1"/>
  <c r="M2937" i="6" s="1"/>
  <c r="S2937" i="6" s="1"/>
  <c r="Q2938" i="6"/>
  <c r="N2938" i="6"/>
  <c r="O2939" i="6"/>
  <c r="P2939" i="6" s="1"/>
  <c r="R2938" i="6" l="1"/>
  <c r="M2938" i="6" s="1"/>
  <c r="S2938" i="6" s="1"/>
  <c r="Q2939" i="6"/>
  <c r="O2940" i="6"/>
  <c r="P2940" i="6" s="1"/>
  <c r="N2939" i="6"/>
  <c r="R2939" i="6" l="1"/>
  <c r="M2939" i="6" s="1"/>
  <c r="S2939" i="6" s="1"/>
  <c r="Q2940" i="6"/>
  <c r="N2940" i="6"/>
  <c r="O2941" i="6"/>
  <c r="P2941" i="6" s="1"/>
  <c r="R2940" i="6" l="1"/>
  <c r="M2940" i="6" s="1"/>
  <c r="S2940" i="6" s="1"/>
  <c r="Q2941" i="6"/>
  <c r="O2942" i="6"/>
  <c r="P2942" i="6" s="1"/>
  <c r="N2941" i="6"/>
  <c r="R2941" i="6" l="1"/>
  <c r="M2941" i="6" s="1"/>
  <c r="S2941" i="6" s="1"/>
  <c r="Q2942" i="6"/>
  <c r="O2943" i="6"/>
  <c r="P2943" i="6" s="1"/>
  <c r="N2942" i="6"/>
  <c r="R2942" i="6" l="1"/>
  <c r="M2942" i="6" s="1"/>
  <c r="S2942" i="6" s="1"/>
  <c r="Q2943" i="6"/>
  <c r="N2943" i="6"/>
  <c r="O2944" i="6"/>
  <c r="P2944" i="6" s="1"/>
  <c r="R2943" i="6" l="1"/>
  <c r="M2943" i="6" s="1"/>
  <c r="S2943" i="6" s="1"/>
  <c r="Q2944" i="6"/>
  <c r="N2944" i="6"/>
  <c r="O2945" i="6"/>
  <c r="P2945" i="6" s="1"/>
  <c r="R2944" i="6" l="1"/>
  <c r="M2944" i="6" s="1"/>
  <c r="S2944" i="6" s="1"/>
  <c r="Q2945" i="6"/>
  <c r="O2946" i="6"/>
  <c r="P2946" i="6" s="1"/>
  <c r="N2945" i="6"/>
  <c r="R2945" i="6" l="1"/>
  <c r="M2945" i="6" s="1"/>
  <c r="S2945" i="6" s="1"/>
  <c r="Q2946" i="6"/>
  <c r="O2947" i="6"/>
  <c r="P2947" i="6" s="1"/>
  <c r="N2946" i="6"/>
  <c r="R2946" i="6" l="1"/>
  <c r="M2946" i="6" s="1"/>
  <c r="S2946" i="6" s="1"/>
  <c r="Q2947" i="6"/>
  <c r="N2947" i="6"/>
  <c r="O2948" i="6"/>
  <c r="P2948" i="6" s="1"/>
  <c r="R2947" i="6" l="1"/>
  <c r="M2947" i="6" s="1"/>
  <c r="S2947" i="6" s="1"/>
  <c r="Q2948" i="6"/>
  <c r="O2949" i="6"/>
  <c r="P2949" i="6" s="1"/>
  <c r="N2948" i="6"/>
  <c r="R2948" i="6" l="1"/>
  <c r="M2948" i="6" s="1"/>
  <c r="S2948" i="6" s="1"/>
  <c r="Q2949" i="6"/>
  <c r="O2950" i="6"/>
  <c r="P2950" i="6" s="1"/>
  <c r="N2949" i="6"/>
  <c r="R2949" i="6" l="1"/>
  <c r="M2949" i="6" s="1"/>
  <c r="S2949" i="6" s="1"/>
  <c r="Q2950" i="6"/>
  <c r="N2950" i="6"/>
  <c r="O2951" i="6"/>
  <c r="P2951" i="6" s="1"/>
  <c r="R2950" i="6" l="1"/>
  <c r="M2950" i="6" s="1"/>
  <c r="S2950" i="6" s="1"/>
  <c r="Q2951" i="6"/>
  <c r="N2951" i="6"/>
  <c r="O2952" i="6"/>
  <c r="P2952" i="6" s="1"/>
  <c r="R2951" i="6" l="1"/>
  <c r="M2951" i="6" s="1"/>
  <c r="S2951" i="6" s="1"/>
  <c r="Q2952" i="6"/>
  <c r="O2953" i="6"/>
  <c r="P2953" i="6" s="1"/>
  <c r="N2952" i="6"/>
  <c r="R2952" i="6" l="1"/>
  <c r="M2952" i="6" s="1"/>
  <c r="S2952" i="6" s="1"/>
  <c r="Q2953" i="6"/>
  <c r="O2954" i="6"/>
  <c r="P2954" i="6" s="1"/>
  <c r="N2953" i="6"/>
  <c r="R2953" i="6" l="1"/>
  <c r="M2953" i="6" s="1"/>
  <c r="S2953" i="6" s="1"/>
  <c r="Q2954" i="6"/>
  <c r="O2955" i="6"/>
  <c r="P2955" i="6" s="1"/>
  <c r="N2954" i="6"/>
  <c r="R2954" i="6" l="1"/>
  <c r="M2954" i="6" s="1"/>
  <c r="S2954" i="6" s="1"/>
  <c r="Q2955" i="6"/>
  <c r="N2955" i="6"/>
  <c r="O2956" i="6"/>
  <c r="P2956" i="6" s="1"/>
  <c r="R2955" i="6" l="1"/>
  <c r="M2955" i="6" s="1"/>
  <c r="S2955" i="6" s="1"/>
  <c r="Q2956" i="6"/>
  <c r="N2956" i="6"/>
  <c r="O2957" i="6"/>
  <c r="P2957" i="6" s="1"/>
  <c r="R2956" i="6" l="1"/>
  <c r="M2956" i="6" s="1"/>
  <c r="S2956" i="6" s="1"/>
  <c r="Q2957" i="6"/>
  <c r="N2957" i="6"/>
  <c r="O2958" i="6"/>
  <c r="P2958" i="6" s="1"/>
  <c r="R2957" i="6" l="1"/>
  <c r="M2957" i="6" s="1"/>
  <c r="S2957" i="6" s="1"/>
  <c r="Q2958" i="6"/>
  <c r="O2959" i="6"/>
  <c r="P2959" i="6" s="1"/>
  <c r="N2958" i="6"/>
  <c r="R2958" i="6" l="1"/>
  <c r="M2958" i="6" s="1"/>
  <c r="S2958" i="6" s="1"/>
  <c r="Q2959" i="6"/>
  <c r="N2959" i="6"/>
  <c r="O2960" i="6"/>
  <c r="P2960" i="6" s="1"/>
  <c r="R2959" i="6" l="1"/>
  <c r="M2959" i="6" s="1"/>
  <c r="S2959" i="6" s="1"/>
  <c r="Q2960" i="6"/>
  <c r="N2960" i="6"/>
  <c r="O2961" i="6"/>
  <c r="P2961" i="6" s="1"/>
  <c r="R2960" i="6" l="1"/>
  <c r="M2960" i="6" s="1"/>
  <c r="S2960" i="6" s="1"/>
  <c r="Q2961" i="6"/>
  <c r="N2961" i="6"/>
  <c r="O2962" i="6"/>
  <c r="P2962" i="6" s="1"/>
  <c r="R2961" i="6" l="1"/>
  <c r="M2961" i="6" s="1"/>
  <c r="S2961" i="6" s="1"/>
  <c r="Q2962" i="6"/>
  <c r="O2963" i="6"/>
  <c r="P2963" i="6" s="1"/>
  <c r="N2962" i="6"/>
  <c r="R2962" i="6" l="1"/>
  <c r="M2962" i="6" s="1"/>
  <c r="S2962" i="6" s="1"/>
  <c r="Q2963" i="6"/>
  <c r="N2963" i="6"/>
  <c r="O2964" i="6"/>
  <c r="P2964" i="6" s="1"/>
  <c r="R2963" i="6" l="1"/>
  <c r="M2963" i="6" s="1"/>
  <c r="S2963" i="6" s="1"/>
  <c r="Q2964" i="6"/>
  <c r="O2965" i="6"/>
  <c r="P2965" i="6" s="1"/>
  <c r="N2964" i="6"/>
  <c r="R2964" i="6" l="1"/>
  <c r="M2964" i="6" s="1"/>
  <c r="S2964" i="6" s="1"/>
  <c r="Q2965" i="6"/>
  <c r="N2965" i="6"/>
  <c r="O2966" i="6"/>
  <c r="P2966" i="6" s="1"/>
  <c r="R2965" i="6" l="1"/>
  <c r="M2965" i="6" s="1"/>
  <c r="S2965" i="6" s="1"/>
  <c r="Q2966" i="6"/>
  <c r="O2967" i="6"/>
  <c r="P2967" i="6" s="1"/>
  <c r="N2966" i="6"/>
  <c r="R2966" i="6" l="1"/>
  <c r="M2966" i="6" s="1"/>
  <c r="S2966" i="6" s="1"/>
  <c r="Q2967" i="6"/>
  <c r="O2968" i="6"/>
  <c r="P2968" i="6" s="1"/>
  <c r="N2967" i="6"/>
  <c r="R2967" i="6" l="1"/>
  <c r="M2967" i="6" s="1"/>
  <c r="S2967" i="6" s="1"/>
  <c r="Q2968" i="6"/>
  <c r="N2968" i="6"/>
  <c r="O2969" i="6"/>
  <c r="P2969" i="6" s="1"/>
  <c r="R2968" i="6" l="1"/>
  <c r="M2968" i="6" s="1"/>
  <c r="S2968" i="6" s="1"/>
  <c r="Q2969" i="6"/>
  <c r="N2969" i="6"/>
  <c r="O2970" i="6"/>
  <c r="P2970" i="6" s="1"/>
  <c r="R2969" i="6" l="1"/>
  <c r="M2969" i="6" s="1"/>
  <c r="S2969" i="6" s="1"/>
  <c r="Q2970" i="6"/>
  <c r="O2971" i="6"/>
  <c r="P2971" i="6" s="1"/>
  <c r="N2970" i="6"/>
  <c r="R2970" i="6" l="1"/>
  <c r="M2970" i="6" s="1"/>
  <c r="S2970" i="6" s="1"/>
  <c r="Q2971" i="6"/>
  <c r="N2971" i="6"/>
  <c r="O2972" i="6"/>
  <c r="P2972" i="6" s="1"/>
  <c r="R2971" i="6" l="1"/>
  <c r="M2971" i="6" s="1"/>
  <c r="S2971" i="6" s="1"/>
  <c r="Q2972" i="6"/>
  <c r="N2972" i="6"/>
  <c r="O2973" i="6"/>
  <c r="P2973" i="6" s="1"/>
  <c r="R2972" i="6" l="1"/>
  <c r="M2972" i="6" s="1"/>
  <c r="S2972" i="6" s="1"/>
  <c r="Q2973" i="6"/>
  <c r="N2973" i="6"/>
  <c r="O2974" i="6"/>
  <c r="P2974" i="6" s="1"/>
  <c r="R2973" i="6" l="1"/>
  <c r="M2973" i="6" s="1"/>
  <c r="S2973" i="6" s="1"/>
  <c r="Q2974" i="6"/>
  <c r="N2974" i="6"/>
  <c r="O2975" i="6"/>
  <c r="P2975" i="6" s="1"/>
  <c r="R2974" i="6" l="1"/>
  <c r="M2974" i="6" s="1"/>
  <c r="S2974" i="6" s="1"/>
  <c r="Q2975" i="6"/>
  <c r="N2975" i="6"/>
  <c r="O2976" i="6"/>
  <c r="P2976" i="6" s="1"/>
  <c r="R2975" i="6" l="1"/>
  <c r="M2975" i="6" s="1"/>
  <c r="S2975" i="6" s="1"/>
  <c r="Q2976" i="6"/>
  <c r="N2976" i="6"/>
  <c r="O2977" i="6"/>
  <c r="P2977" i="6" s="1"/>
  <c r="R2976" i="6" l="1"/>
  <c r="M2976" i="6" s="1"/>
  <c r="S2976" i="6" s="1"/>
  <c r="Q2977" i="6"/>
  <c r="O2978" i="6"/>
  <c r="P2978" i="6" s="1"/>
  <c r="N2977" i="6"/>
  <c r="R2977" i="6" l="1"/>
  <c r="M2977" i="6" s="1"/>
  <c r="S2977" i="6" s="1"/>
  <c r="Q2978" i="6"/>
  <c r="O2979" i="6"/>
  <c r="P2979" i="6" s="1"/>
  <c r="N2978" i="6"/>
  <c r="R2978" i="6" l="1"/>
  <c r="M2978" i="6" s="1"/>
  <c r="S2978" i="6" s="1"/>
  <c r="Q2979" i="6"/>
  <c r="O2980" i="6"/>
  <c r="P2980" i="6" s="1"/>
  <c r="N2979" i="6"/>
  <c r="R2979" i="6" l="1"/>
  <c r="M2979" i="6" s="1"/>
  <c r="S2979" i="6" s="1"/>
  <c r="Q2980" i="6"/>
  <c r="O2981" i="6"/>
  <c r="P2981" i="6" s="1"/>
  <c r="N2980" i="6"/>
  <c r="R2980" i="6" l="1"/>
  <c r="M2980" i="6" s="1"/>
  <c r="S2980" i="6" s="1"/>
  <c r="Q2981" i="6"/>
  <c r="O2982" i="6"/>
  <c r="P2982" i="6" s="1"/>
  <c r="N2981" i="6"/>
  <c r="R2981" i="6" l="1"/>
  <c r="M2981" i="6" s="1"/>
  <c r="S2981" i="6" s="1"/>
  <c r="Q2982" i="6"/>
  <c r="N2982" i="6"/>
  <c r="O2983" i="6"/>
  <c r="P2983" i="6" s="1"/>
  <c r="R2982" i="6" l="1"/>
  <c r="M2982" i="6" s="1"/>
  <c r="S2982" i="6" s="1"/>
  <c r="Q2983" i="6"/>
  <c r="N2983" i="6"/>
  <c r="O2984" i="6"/>
  <c r="P2984" i="6" s="1"/>
  <c r="R2983" i="6" l="1"/>
  <c r="M2983" i="6" s="1"/>
  <c r="S2983" i="6" s="1"/>
  <c r="Q2984" i="6"/>
  <c r="N2984" i="6"/>
  <c r="O2985" i="6"/>
  <c r="P2985" i="6" s="1"/>
  <c r="R2984" i="6" l="1"/>
  <c r="M2984" i="6" s="1"/>
  <c r="S2984" i="6" s="1"/>
  <c r="Q2985" i="6"/>
  <c r="N2985" i="6"/>
  <c r="O2986" i="6"/>
  <c r="P2986" i="6" s="1"/>
  <c r="R2985" i="6" l="1"/>
  <c r="M2985" i="6" s="1"/>
  <c r="S2985" i="6" s="1"/>
  <c r="Q2986" i="6"/>
  <c r="N2986" i="6"/>
  <c r="O2987" i="6"/>
  <c r="P2987" i="6" s="1"/>
  <c r="R2986" i="6" l="1"/>
  <c r="M2986" i="6" s="1"/>
  <c r="S2986" i="6" s="1"/>
  <c r="Q2987" i="6"/>
  <c r="O2988" i="6"/>
  <c r="P2988" i="6" s="1"/>
  <c r="N2987" i="6"/>
  <c r="R2987" i="6" l="1"/>
  <c r="M2987" i="6" s="1"/>
  <c r="S2987" i="6" s="1"/>
  <c r="Q2988" i="6"/>
  <c r="N2988" i="6"/>
  <c r="O2989" i="6"/>
  <c r="P2989" i="6" s="1"/>
  <c r="R2988" i="6" l="1"/>
  <c r="M2988" i="6" s="1"/>
  <c r="S2988" i="6" s="1"/>
  <c r="Q2989" i="6"/>
  <c r="O2990" i="6"/>
  <c r="P2990" i="6" s="1"/>
  <c r="N2989" i="6"/>
  <c r="R2989" i="6" l="1"/>
  <c r="M2989" i="6" s="1"/>
  <c r="S2989" i="6" s="1"/>
  <c r="Q2990" i="6"/>
  <c r="O2991" i="6"/>
  <c r="P2991" i="6" s="1"/>
  <c r="N2990" i="6"/>
  <c r="R2990" i="6" l="1"/>
  <c r="M2990" i="6" s="1"/>
  <c r="S2990" i="6" s="1"/>
  <c r="Q2991" i="6"/>
  <c r="O2992" i="6"/>
  <c r="P2992" i="6" s="1"/>
  <c r="N2991" i="6"/>
  <c r="R2991" i="6" l="1"/>
  <c r="M2991" i="6" s="1"/>
  <c r="S2991" i="6" s="1"/>
  <c r="Q2992" i="6"/>
  <c r="N2992" i="6"/>
  <c r="O2993" i="6"/>
  <c r="P2993" i="6" s="1"/>
  <c r="R2992" i="6" l="1"/>
  <c r="M2992" i="6" s="1"/>
  <c r="S2992" i="6" s="1"/>
  <c r="Q2993" i="6"/>
  <c r="N2993" i="6"/>
  <c r="O2994" i="6"/>
  <c r="P2994" i="6" s="1"/>
  <c r="R2993" i="6" l="1"/>
  <c r="M2993" i="6" s="1"/>
  <c r="S2993" i="6" s="1"/>
  <c r="Q2994" i="6"/>
  <c r="O2995" i="6"/>
  <c r="P2995" i="6" s="1"/>
  <c r="N2994" i="6"/>
  <c r="R2994" i="6" l="1"/>
  <c r="M2994" i="6" s="1"/>
  <c r="S2994" i="6" s="1"/>
  <c r="Q2995" i="6"/>
  <c r="N2995" i="6"/>
  <c r="O2996" i="6"/>
  <c r="P2996" i="6" s="1"/>
  <c r="R2995" i="6" l="1"/>
  <c r="M2995" i="6" s="1"/>
  <c r="S2995" i="6" s="1"/>
  <c r="Q2996" i="6"/>
  <c r="N2996" i="6"/>
  <c r="O2997" i="6"/>
  <c r="P2997" i="6" s="1"/>
  <c r="R2996" i="6" l="1"/>
  <c r="M2996" i="6" s="1"/>
  <c r="S2996" i="6" s="1"/>
  <c r="Q2997" i="6"/>
  <c r="O2998" i="6"/>
  <c r="P2998" i="6" s="1"/>
  <c r="N2997" i="6"/>
  <c r="R2997" i="6" l="1"/>
  <c r="M2997" i="6" s="1"/>
  <c r="S2997" i="6" s="1"/>
  <c r="Q2998" i="6"/>
  <c r="O2999" i="6"/>
  <c r="P2999" i="6" s="1"/>
  <c r="N2998" i="6"/>
  <c r="R2998" i="6" l="1"/>
  <c r="M2998" i="6" s="1"/>
  <c r="S2998" i="6" s="1"/>
  <c r="Q2999" i="6"/>
  <c r="N2999" i="6"/>
  <c r="O3000" i="6"/>
  <c r="P3000" i="6" s="1"/>
  <c r="R2999" i="6" l="1"/>
  <c r="M2999" i="6" s="1"/>
  <c r="S2999" i="6" s="1"/>
  <c r="Q3000" i="6"/>
  <c r="N3000" i="6"/>
  <c r="O3001" i="6"/>
  <c r="P3001" i="6" s="1"/>
  <c r="R3000" i="6" l="1"/>
  <c r="M3000" i="6" s="1"/>
  <c r="S3000" i="6" s="1"/>
  <c r="Q3001" i="6"/>
  <c r="O3002" i="6"/>
  <c r="P3002" i="6" s="1"/>
  <c r="N3001" i="6"/>
  <c r="R3001" i="6" l="1"/>
  <c r="M3001" i="6" s="1"/>
  <c r="S3001" i="6" s="1"/>
  <c r="Q3002" i="6"/>
  <c r="O3003" i="6"/>
  <c r="P3003" i="6" s="1"/>
  <c r="N3002" i="6"/>
  <c r="R3002" i="6" l="1"/>
  <c r="M3002" i="6" s="1"/>
  <c r="S3002" i="6" s="1"/>
  <c r="Q3003" i="6"/>
  <c r="O3004" i="6"/>
  <c r="P3004" i="6" s="1"/>
  <c r="N3003" i="6"/>
  <c r="R3003" i="6" l="1"/>
  <c r="M3003" i="6" s="1"/>
  <c r="S3003" i="6" s="1"/>
  <c r="Q3004" i="6"/>
  <c r="N3004" i="6"/>
  <c r="O3005" i="6"/>
  <c r="P3005" i="6" s="1"/>
  <c r="R3004" i="6" l="1"/>
  <c r="M3004" i="6" s="1"/>
  <c r="S3004" i="6" s="1"/>
  <c r="Q3005" i="6"/>
  <c r="O3006" i="6"/>
  <c r="P3006" i="6" s="1"/>
  <c r="N3005" i="6"/>
  <c r="R3005" i="6" l="1"/>
  <c r="M3005" i="6" s="1"/>
  <c r="S3005" i="6" s="1"/>
  <c r="Q3006" i="6"/>
  <c r="N3006" i="6"/>
  <c r="O3007" i="6"/>
  <c r="P3007" i="6" s="1"/>
  <c r="R3006" i="6" l="1"/>
  <c r="M3006" i="6" s="1"/>
  <c r="S3006" i="6" s="1"/>
  <c r="Q3007" i="6"/>
  <c r="O3008" i="6"/>
  <c r="P3008" i="6" s="1"/>
  <c r="N3007" i="6"/>
  <c r="R3007" i="6" l="1"/>
  <c r="M3007" i="6" s="1"/>
  <c r="S3007" i="6" s="1"/>
  <c r="Q3008" i="6"/>
  <c r="O3009" i="6"/>
  <c r="P3009" i="6" s="1"/>
  <c r="N3008" i="6"/>
  <c r="R3008" i="6" l="1"/>
  <c r="M3008" i="6" s="1"/>
  <c r="S3008" i="6" s="1"/>
  <c r="Q3009" i="6"/>
  <c r="N3009" i="6"/>
  <c r="O3010" i="6"/>
  <c r="P3010" i="6" s="1"/>
  <c r="R3009" i="6" l="1"/>
  <c r="M3009" i="6" s="1"/>
  <c r="S3009" i="6" s="1"/>
  <c r="Q3010" i="6"/>
  <c r="O3011" i="6"/>
  <c r="P3011" i="6" s="1"/>
  <c r="N3010" i="6"/>
  <c r="R3010" i="6" l="1"/>
  <c r="M3010" i="6" s="1"/>
  <c r="S3010" i="6" s="1"/>
  <c r="Q3011" i="6"/>
  <c r="O3012" i="6"/>
  <c r="P3012" i="6" s="1"/>
  <c r="N3011" i="6"/>
  <c r="R3011" i="6" l="1"/>
  <c r="M3011" i="6" s="1"/>
  <c r="S3011" i="6" s="1"/>
  <c r="Q3012" i="6"/>
  <c r="N3012" i="6"/>
  <c r="O3013" i="6"/>
  <c r="P3013" i="6" s="1"/>
  <c r="R3012" i="6" l="1"/>
  <c r="M3012" i="6" s="1"/>
  <c r="S3012" i="6" s="1"/>
  <c r="Q3013" i="6"/>
  <c r="N3013" i="6"/>
  <c r="O3014" i="6"/>
  <c r="P3014" i="6" s="1"/>
  <c r="R3013" i="6" l="1"/>
  <c r="M3013" i="6" s="1"/>
  <c r="S3013" i="6" s="1"/>
  <c r="Q3014" i="6"/>
  <c r="O3015" i="6"/>
  <c r="P3015" i="6" s="1"/>
  <c r="N3014" i="6"/>
  <c r="R3014" i="6" l="1"/>
  <c r="M3014" i="6" s="1"/>
  <c r="S3014" i="6" s="1"/>
  <c r="Q3015" i="6"/>
  <c r="N3015" i="6"/>
  <c r="O3016" i="6"/>
  <c r="P3016" i="6" s="1"/>
  <c r="R3015" i="6" l="1"/>
  <c r="M3015" i="6" s="1"/>
  <c r="S3015" i="6" s="1"/>
  <c r="Q3016" i="6"/>
  <c r="N3016" i="6"/>
  <c r="O3017" i="6"/>
  <c r="P3017" i="6" s="1"/>
  <c r="R3016" i="6" l="1"/>
  <c r="M3016" i="6" s="1"/>
  <c r="S3016" i="6" s="1"/>
  <c r="Q3017" i="6"/>
  <c r="N3017" i="6"/>
  <c r="O3018" i="6"/>
  <c r="P3018" i="6" s="1"/>
  <c r="R3017" i="6" l="1"/>
  <c r="M3017" i="6" s="1"/>
  <c r="S3017" i="6" s="1"/>
  <c r="Q3018" i="6"/>
  <c r="N3018" i="6"/>
  <c r="O3019" i="6"/>
  <c r="P3019" i="6" s="1"/>
  <c r="R3018" i="6" l="1"/>
  <c r="M3018" i="6" s="1"/>
  <c r="S3018" i="6" s="1"/>
  <c r="Q3019" i="6"/>
  <c r="N3019" i="6"/>
  <c r="O3020" i="6"/>
  <c r="P3020" i="6" s="1"/>
  <c r="R3019" i="6" l="1"/>
  <c r="M3019" i="6" s="1"/>
  <c r="S3019" i="6" s="1"/>
  <c r="Q3020" i="6"/>
  <c r="O3021" i="6"/>
  <c r="P3021" i="6" s="1"/>
  <c r="N3020" i="6"/>
  <c r="R3020" i="6" l="1"/>
  <c r="M3020" i="6" s="1"/>
  <c r="S3020" i="6" s="1"/>
  <c r="Q3021" i="6"/>
  <c r="N3021" i="6"/>
  <c r="O3022" i="6"/>
  <c r="P3022" i="6" s="1"/>
  <c r="R3021" i="6" l="1"/>
  <c r="M3021" i="6" s="1"/>
  <c r="S3021" i="6" s="1"/>
  <c r="Q3022" i="6"/>
  <c r="O3023" i="6"/>
  <c r="P3023" i="6" s="1"/>
  <c r="N3022" i="6"/>
  <c r="R3022" i="6" l="1"/>
  <c r="M3022" i="6" s="1"/>
  <c r="S3022" i="6" s="1"/>
  <c r="Q3023" i="6"/>
  <c r="N3023" i="6"/>
  <c r="O3024" i="6"/>
  <c r="P3024" i="6" s="1"/>
  <c r="R3023" i="6" l="1"/>
  <c r="M3023" i="6" s="1"/>
  <c r="S3023" i="6" s="1"/>
  <c r="Q3024" i="6"/>
  <c r="O3025" i="6"/>
  <c r="P3025" i="6" s="1"/>
  <c r="N3024" i="6"/>
  <c r="R3024" i="6" l="1"/>
  <c r="M3024" i="6" s="1"/>
  <c r="S3024" i="6" s="1"/>
  <c r="Q3025" i="6"/>
  <c r="N3025" i="6"/>
  <c r="O3026" i="6"/>
  <c r="P3026" i="6" s="1"/>
  <c r="R3025" i="6" l="1"/>
  <c r="M3025" i="6" s="1"/>
  <c r="S3025" i="6" s="1"/>
  <c r="Q3026" i="6"/>
  <c r="O3027" i="6"/>
  <c r="P3027" i="6" s="1"/>
  <c r="N3026" i="6"/>
  <c r="R3026" i="6" l="1"/>
  <c r="M3026" i="6" s="1"/>
  <c r="S3026" i="6" s="1"/>
  <c r="Q3027" i="6"/>
  <c r="N3027" i="6"/>
  <c r="O3028" i="6"/>
  <c r="P3028" i="6" s="1"/>
  <c r="R3027" i="6" l="1"/>
  <c r="M3027" i="6" s="1"/>
  <c r="S3027" i="6" s="1"/>
  <c r="Q3028" i="6"/>
  <c r="N3028" i="6"/>
  <c r="O3029" i="6"/>
  <c r="P3029" i="6" s="1"/>
  <c r="R3028" i="6" l="1"/>
  <c r="M3028" i="6" s="1"/>
  <c r="S3028" i="6" s="1"/>
  <c r="Q3029" i="6"/>
  <c r="N3029" i="6"/>
  <c r="O3030" i="6"/>
  <c r="P3030" i="6" s="1"/>
  <c r="R3029" i="6" l="1"/>
  <c r="M3029" i="6" s="1"/>
  <c r="S3029" i="6" s="1"/>
  <c r="Q3030" i="6"/>
  <c r="O3031" i="6"/>
  <c r="P3031" i="6" s="1"/>
  <c r="N3030" i="6"/>
  <c r="R3030" i="6" l="1"/>
  <c r="M3030" i="6" s="1"/>
  <c r="S3030" i="6" s="1"/>
  <c r="Q3031" i="6"/>
  <c r="N3031" i="6"/>
  <c r="O3032" i="6"/>
  <c r="P3032" i="6" s="1"/>
  <c r="R3031" i="6" l="1"/>
  <c r="M3031" i="6" s="1"/>
  <c r="S3031" i="6" s="1"/>
  <c r="Q3032" i="6"/>
  <c r="N3032" i="6"/>
  <c r="O3033" i="6"/>
  <c r="P3033" i="6" s="1"/>
  <c r="R3032" i="6" l="1"/>
  <c r="M3032" i="6" s="1"/>
  <c r="S3032" i="6" s="1"/>
  <c r="Q3033" i="6"/>
  <c r="N3033" i="6"/>
  <c r="O3034" i="6"/>
  <c r="P3034" i="6" s="1"/>
  <c r="R3033" i="6" l="1"/>
  <c r="M3033" i="6" s="1"/>
  <c r="S3033" i="6" s="1"/>
  <c r="Q3034" i="6"/>
  <c r="N3034" i="6"/>
  <c r="O3035" i="6"/>
  <c r="P3035" i="6" s="1"/>
  <c r="R3034" i="6" l="1"/>
  <c r="M3034" i="6" s="1"/>
  <c r="S3034" i="6" s="1"/>
  <c r="Q3035" i="6"/>
  <c r="N3035" i="6"/>
  <c r="O3036" i="6"/>
  <c r="P3036" i="6" s="1"/>
  <c r="R3035" i="6" l="1"/>
  <c r="M3035" i="6" s="1"/>
  <c r="S3035" i="6" s="1"/>
  <c r="Q3036" i="6"/>
  <c r="O3037" i="6"/>
  <c r="P3037" i="6" s="1"/>
  <c r="N3036" i="6"/>
  <c r="R3036" i="6" l="1"/>
  <c r="M3036" i="6" s="1"/>
  <c r="S3036" i="6" s="1"/>
  <c r="Q3037" i="6"/>
  <c r="N3037" i="6"/>
  <c r="O3038" i="6"/>
  <c r="P3038" i="6" s="1"/>
  <c r="R3037" i="6" l="1"/>
  <c r="M3037" i="6" s="1"/>
  <c r="S3037" i="6" s="1"/>
  <c r="Q3038" i="6"/>
  <c r="O3039" i="6"/>
  <c r="P3039" i="6" s="1"/>
  <c r="N3038" i="6"/>
  <c r="R3038" i="6" l="1"/>
  <c r="M3038" i="6" s="1"/>
  <c r="S3038" i="6" s="1"/>
  <c r="Q3039" i="6"/>
  <c r="N3039" i="6"/>
  <c r="O3040" i="6"/>
  <c r="P3040" i="6" s="1"/>
  <c r="R3039" i="6" l="1"/>
  <c r="M3039" i="6" s="1"/>
  <c r="S3039" i="6" s="1"/>
  <c r="Q3040" i="6"/>
  <c r="O3041" i="6"/>
  <c r="P3041" i="6" s="1"/>
  <c r="N3040" i="6"/>
  <c r="R3040" i="6" l="1"/>
  <c r="M3040" i="6" s="1"/>
  <c r="S3040" i="6" s="1"/>
  <c r="Q3041" i="6"/>
  <c r="O3042" i="6"/>
  <c r="P3042" i="6" s="1"/>
  <c r="N3041" i="6"/>
  <c r="R3041" i="6" l="1"/>
  <c r="M3041" i="6" s="1"/>
  <c r="S3041" i="6" s="1"/>
  <c r="Q3042" i="6"/>
  <c r="O3043" i="6"/>
  <c r="P3043" i="6" s="1"/>
  <c r="N3042" i="6"/>
  <c r="R3042" i="6" l="1"/>
  <c r="M3042" i="6" s="1"/>
  <c r="S3042" i="6" s="1"/>
  <c r="Q3043" i="6"/>
  <c r="N3043" i="6"/>
  <c r="O3044" i="6"/>
  <c r="P3044" i="6" s="1"/>
  <c r="R3043" i="6" l="1"/>
  <c r="M3043" i="6" s="1"/>
  <c r="S3043" i="6" s="1"/>
  <c r="Q3044" i="6"/>
  <c r="O3045" i="6"/>
  <c r="P3045" i="6" s="1"/>
  <c r="N3044" i="6"/>
  <c r="R3044" i="6" l="1"/>
  <c r="M3044" i="6" s="1"/>
  <c r="S3044" i="6" s="1"/>
  <c r="Q3045" i="6"/>
  <c r="N3045" i="6"/>
  <c r="O3046" i="6"/>
  <c r="P3046" i="6" s="1"/>
  <c r="R3045" i="6" l="1"/>
  <c r="M3045" i="6" s="1"/>
  <c r="S3045" i="6" s="1"/>
  <c r="Q3046" i="6"/>
  <c r="O3047" i="6"/>
  <c r="P3047" i="6" s="1"/>
  <c r="N3046" i="6"/>
  <c r="R3046" i="6" l="1"/>
  <c r="M3046" i="6" s="1"/>
  <c r="S3046" i="6" s="1"/>
  <c r="Q3047" i="6"/>
  <c r="N3047" i="6"/>
  <c r="O3048" i="6"/>
  <c r="P3048" i="6" s="1"/>
  <c r="R3047" i="6" l="1"/>
  <c r="M3047" i="6" s="1"/>
  <c r="S3047" i="6" s="1"/>
  <c r="Q3048" i="6"/>
  <c r="N3048" i="6"/>
  <c r="O3049" i="6"/>
  <c r="P3049" i="6" s="1"/>
  <c r="R3048" i="6" l="1"/>
  <c r="M3048" i="6" s="1"/>
  <c r="S3048" i="6" s="1"/>
  <c r="Q3049" i="6"/>
  <c r="O3050" i="6"/>
  <c r="P3050" i="6" s="1"/>
  <c r="N3049" i="6"/>
  <c r="R3049" i="6" l="1"/>
  <c r="M3049" i="6" s="1"/>
  <c r="S3049" i="6" s="1"/>
  <c r="Q3050" i="6"/>
  <c r="N3050" i="6"/>
  <c r="O3051" i="6"/>
  <c r="P3051" i="6" s="1"/>
  <c r="R3050" i="6" l="1"/>
  <c r="M3050" i="6" s="1"/>
  <c r="S3050" i="6" s="1"/>
  <c r="Q3051" i="6"/>
  <c r="N3051" i="6"/>
  <c r="O3052" i="6"/>
  <c r="P3052" i="6" s="1"/>
  <c r="R3051" i="6" l="1"/>
  <c r="M3051" i="6" s="1"/>
  <c r="S3051" i="6" s="1"/>
  <c r="Q3052" i="6"/>
  <c r="N3052" i="6"/>
  <c r="O3053" i="6"/>
  <c r="P3053" i="6" s="1"/>
  <c r="R3052" i="6" l="1"/>
  <c r="M3052" i="6" s="1"/>
  <c r="S3052" i="6" s="1"/>
  <c r="Q3053" i="6"/>
  <c r="N3053" i="6"/>
  <c r="O3054" i="6"/>
  <c r="P3054" i="6" s="1"/>
  <c r="R3053" i="6" l="1"/>
  <c r="M3053" i="6" s="1"/>
  <c r="S3053" i="6" s="1"/>
  <c r="Q3054" i="6"/>
  <c r="O3055" i="6"/>
  <c r="P3055" i="6" s="1"/>
  <c r="N3054" i="6"/>
  <c r="R3054" i="6" l="1"/>
  <c r="M3054" i="6" s="1"/>
  <c r="S3054" i="6" s="1"/>
  <c r="Q3055" i="6"/>
  <c r="O3056" i="6"/>
  <c r="P3056" i="6" s="1"/>
  <c r="N3055" i="6"/>
  <c r="R3055" i="6" l="1"/>
  <c r="M3055" i="6" s="1"/>
  <c r="S3055" i="6" s="1"/>
  <c r="Q3056" i="6"/>
  <c r="O3057" i="6"/>
  <c r="P3057" i="6" s="1"/>
  <c r="N3056" i="6"/>
  <c r="R3056" i="6" l="1"/>
  <c r="M3056" i="6" s="1"/>
  <c r="S3056" i="6" s="1"/>
  <c r="Q3057" i="6"/>
  <c r="N3057" i="6"/>
  <c r="O3058" i="6"/>
  <c r="P3058" i="6" s="1"/>
  <c r="R3057" i="6" l="1"/>
  <c r="M3057" i="6" s="1"/>
  <c r="S3057" i="6" s="1"/>
  <c r="Q3058" i="6"/>
  <c r="O3059" i="6"/>
  <c r="P3059" i="6" s="1"/>
  <c r="N3058" i="6"/>
  <c r="R3058" i="6" l="1"/>
  <c r="M3058" i="6" s="1"/>
  <c r="S3058" i="6" s="1"/>
  <c r="Q3059" i="6"/>
  <c r="N3059" i="6"/>
  <c r="O3060" i="6"/>
  <c r="P3060" i="6" s="1"/>
  <c r="R3059" i="6" l="1"/>
  <c r="M3059" i="6" s="1"/>
  <c r="S3059" i="6" s="1"/>
  <c r="Q3060" i="6"/>
  <c r="N3060" i="6"/>
  <c r="O3061" i="6"/>
  <c r="P3061" i="6" s="1"/>
  <c r="R3060" i="6" l="1"/>
  <c r="M3060" i="6" s="1"/>
  <c r="S3060" i="6" s="1"/>
  <c r="Q3061" i="6"/>
  <c r="N3061" i="6"/>
  <c r="O3062" i="6"/>
  <c r="P3062" i="6" s="1"/>
  <c r="R3061" i="6" l="1"/>
  <c r="M3061" i="6" s="1"/>
  <c r="S3061" i="6" s="1"/>
  <c r="Q3062" i="6"/>
  <c r="O3063" i="6"/>
  <c r="P3063" i="6" s="1"/>
  <c r="N3062" i="6"/>
  <c r="R3062" i="6" l="1"/>
  <c r="M3062" i="6" s="1"/>
  <c r="S3062" i="6" s="1"/>
  <c r="Q3063" i="6"/>
  <c r="N3063" i="6"/>
  <c r="O3064" i="6"/>
  <c r="P3064" i="6" s="1"/>
  <c r="R3063" i="6" l="1"/>
  <c r="M3063" i="6" s="1"/>
  <c r="S3063" i="6" s="1"/>
  <c r="Q3064" i="6"/>
  <c r="N3064" i="6"/>
  <c r="O3065" i="6"/>
  <c r="P3065" i="6" s="1"/>
  <c r="R3064" i="6" l="1"/>
  <c r="M3064" i="6" s="1"/>
  <c r="S3064" i="6" s="1"/>
  <c r="Q3065" i="6"/>
  <c r="N3065" i="6"/>
  <c r="O3066" i="6"/>
  <c r="P3066" i="6" s="1"/>
  <c r="R3065" i="6" l="1"/>
  <c r="M3065" i="6" s="1"/>
  <c r="S3065" i="6" s="1"/>
  <c r="Q3066" i="6"/>
  <c r="N3066" i="6"/>
  <c r="O3067" i="6"/>
  <c r="P3067" i="6" s="1"/>
  <c r="R3066" i="6" l="1"/>
  <c r="M3066" i="6" s="1"/>
  <c r="S3066" i="6" s="1"/>
  <c r="Q3067" i="6"/>
  <c r="N3067" i="6"/>
  <c r="O3068" i="6"/>
  <c r="P3068" i="6" s="1"/>
  <c r="R3067" i="6" l="1"/>
  <c r="M3067" i="6" s="1"/>
  <c r="S3067" i="6" s="1"/>
  <c r="Q3068" i="6"/>
  <c r="N3068" i="6"/>
  <c r="O3069" i="6"/>
  <c r="P3069" i="6" s="1"/>
  <c r="R3068" i="6" l="1"/>
  <c r="M3068" i="6" s="1"/>
  <c r="S3068" i="6" s="1"/>
  <c r="Q3069" i="6"/>
  <c r="N3069" i="6"/>
  <c r="O3070" i="6"/>
  <c r="P3070" i="6" s="1"/>
  <c r="R3069" i="6" l="1"/>
  <c r="M3069" i="6" s="1"/>
  <c r="S3069" i="6" s="1"/>
  <c r="Q3070" i="6"/>
  <c r="O3071" i="6"/>
  <c r="P3071" i="6" s="1"/>
  <c r="N3070" i="6"/>
  <c r="R3070" i="6" l="1"/>
  <c r="M3070" i="6" s="1"/>
  <c r="S3070" i="6" s="1"/>
  <c r="Q3071" i="6"/>
  <c r="N3071" i="6"/>
  <c r="O3072" i="6"/>
  <c r="P3072" i="6" s="1"/>
  <c r="R3071" i="6" l="1"/>
  <c r="M3071" i="6" s="1"/>
  <c r="S3071" i="6" s="1"/>
  <c r="Q3072" i="6"/>
  <c r="O3073" i="6"/>
  <c r="P3073" i="6" s="1"/>
  <c r="N3072" i="6"/>
  <c r="R3072" i="6" l="1"/>
  <c r="M3072" i="6" s="1"/>
  <c r="S3072" i="6" s="1"/>
  <c r="Q3073" i="6"/>
  <c r="N3073" i="6"/>
  <c r="O3074" i="6"/>
  <c r="P3074" i="6" s="1"/>
  <c r="R3073" i="6" l="1"/>
  <c r="M3073" i="6" s="1"/>
  <c r="S3073" i="6" s="1"/>
  <c r="Q3074" i="6"/>
  <c r="O3075" i="6"/>
  <c r="P3075" i="6" s="1"/>
  <c r="N3074" i="6"/>
  <c r="R3074" i="6" l="1"/>
  <c r="M3074" i="6" s="1"/>
  <c r="S3074" i="6" s="1"/>
  <c r="Q3075" i="6"/>
  <c r="N3075" i="6"/>
  <c r="O3076" i="6"/>
  <c r="P3076" i="6" s="1"/>
  <c r="R3075" i="6" l="1"/>
  <c r="M3075" i="6" s="1"/>
  <c r="S3075" i="6" s="1"/>
  <c r="Q3076" i="6"/>
  <c r="N3076" i="6"/>
  <c r="O3077" i="6"/>
  <c r="P3077" i="6" s="1"/>
  <c r="R3076" i="6" l="1"/>
  <c r="M3076" i="6" s="1"/>
  <c r="S3076" i="6" s="1"/>
  <c r="Q3077" i="6"/>
  <c r="N3077" i="6"/>
  <c r="O3078" i="6"/>
  <c r="P3078" i="6" s="1"/>
  <c r="R3077" i="6" l="1"/>
  <c r="M3077" i="6" s="1"/>
  <c r="S3077" i="6" s="1"/>
  <c r="Q3078" i="6"/>
  <c r="O3079" i="6"/>
  <c r="P3079" i="6" s="1"/>
  <c r="N3078" i="6"/>
  <c r="R3078" i="6" l="1"/>
  <c r="M3078" i="6" s="1"/>
  <c r="S3078" i="6" s="1"/>
  <c r="Q3079" i="6"/>
  <c r="N3079" i="6"/>
  <c r="O3080" i="6"/>
  <c r="P3080" i="6" s="1"/>
  <c r="R3079" i="6" l="1"/>
  <c r="M3079" i="6" s="1"/>
  <c r="S3079" i="6" s="1"/>
  <c r="Q3080" i="6"/>
  <c r="N3080" i="6"/>
  <c r="O3081" i="6"/>
  <c r="P3081" i="6" s="1"/>
  <c r="R3080" i="6" l="1"/>
  <c r="M3080" i="6" s="1"/>
  <c r="S3080" i="6" s="1"/>
  <c r="Q3081" i="6"/>
  <c r="N3081" i="6"/>
  <c r="O3082" i="6"/>
  <c r="P3082" i="6" s="1"/>
  <c r="R3081" i="6" l="1"/>
  <c r="M3081" i="6" s="1"/>
  <c r="S3081" i="6" s="1"/>
  <c r="Q3082" i="6"/>
  <c r="N3082" i="6"/>
  <c r="O3083" i="6"/>
  <c r="P3083" i="6" s="1"/>
  <c r="R3082" i="6" l="1"/>
  <c r="M3082" i="6" s="1"/>
  <c r="S3082" i="6" s="1"/>
  <c r="Q3083" i="6"/>
  <c r="N3083" i="6"/>
  <c r="O3084" i="6"/>
  <c r="P3084" i="6" s="1"/>
  <c r="R3083" i="6" l="1"/>
  <c r="M3083" i="6" s="1"/>
  <c r="S3083" i="6" s="1"/>
  <c r="Q3084" i="6"/>
  <c r="N3084" i="6"/>
  <c r="O3085" i="6"/>
  <c r="P3085" i="6" s="1"/>
  <c r="R3084" i="6" l="1"/>
  <c r="M3084" i="6" s="1"/>
  <c r="S3084" i="6" s="1"/>
  <c r="Q3085" i="6"/>
  <c r="O3086" i="6"/>
  <c r="P3086" i="6" s="1"/>
  <c r="N3085" i="6"/>
  <c r="R3085" i="6" l="1"/>
  <c r="M3085" i="6" s="1"/>
  <c r="S3085" i="6" s="1"/>
  <c r="Q3086" i="6"/>
  <c r="O3087" i="6"/>
  <c r="P3087" i="6" s="1"/>
  <c r="N3086" i="6"/>
  <c r="R3086" i="6" l="1"/>
  <c r="M3086" i="6" s="1"/>
  <c r="S3086" i="6" s="1"/>
  <c r="Q3087" i="6"/>
  <c r="N3087" i="6"/>
  <c r="O3088" i="6"/>
  <c r="P3088" i="6" s="1"/>
  <c r="R3087" i="6" l="1"/>
  <c r="M3087" i="6" s="1"/>
  <c r="S3087" i="6" s="1"/>
  <c r="Q3088" i="6"/>
  <c r="O3089" i="6"/>
  <c r="P3089" i="6" s="1"/>
  <c r="N3088" i="6"/>
  <c r="R3088" i="6" l="1"/>
  <c r="M3088" i="6" s="1"/>
  <c r="S3088" i="6" s="1"/>
  <c r="Q3089" i="6"/>
  <c r="N3089" i="6"/>
  <c r="O3090" i="6"/>
  <c r="P3090" i="6" s="1"/>
  <c r="R3089" i="6" l="1"/>
  <c r="M3089" i="6" s="1"/>
  <c r="S3089" i="6" s="1"/>
  <c r="Q3090" i="6"/>
  <c r="N3090" i="6"/>
  <c r="O3091" i="6"/>
  <c r="P3091" i="6" s="1"/>
  <c r="R3090" i="6" l="1"/>
  <c r="M3090" i="6" s="1"/>
  <c r="S3090" i="6" s="1"/>
  <c r="Q3091" i="6"/>
  <c r="N3091" i="6"/>
  <c r="O3092" i="6"/>
  <c r="P3092" i="6" s="1"/>
  <c r="R3091" i="6" l="1"/>
  <c r="M3091" i="6" s="1"/>
  <c r="S3091" i="6" s="1"/>
  <c r="Q3092" i="6"/>
  <c r="N3092" i="6"/>
  <c r="O3093" i="6"/>
  <c r="P3093" i="6" s="1"/>
  <c r="R3092" i="6" l="1"/>
  <c r="M3092" i="6" s="1"/>
  <c r="S3092" i="6" s="1"/>
  <c r="Q3093" i="6"/>
  <c r="N3093" i="6"/>
  <c r="O3094" i="6"/>
  <c r="P3094" i="6" s="1"/>
  <c r="R3093" i="6" l="1"/>
  <c r="M3093" i="6" s="1"/>
  <c r="S3093" i="6" s="1"/>
  <c r="Q3094" i="6"/>
  <c r="O3095" i="6"/>
  <c r="P3095" i="6" s="1"/>
  <c r="N3094" i="6"/>
  <c r="R3094" i="6" l="1"/>
  <c r="M3094" i="6" s="1"/>
  <c r="S3094" i="6" s="1"/>
  <c r="Q3095" i="6"/>
  <c r="N3095" i="6"/>
  <c r="O3096" i="6"/>
  <c r="P3096" i="6" s="1"/>
  <c r="R3095" i="6" l="1"/>
  <c r="M3095" i="6" s="1"/>
  <c r="S3095" i="6" s="1"/>
  <c r="Q3096" i="6"/>
  <c r="N3096" i="6"/>
  <c r="O3097" i="6"/>
  <c r="P3097" i="6" s="1"/>
  <c r="R3096" i="6" l="1"/>
  <c r="M3096" i="6" s="1"/>
  <c r="S3096" i="6" s="1"/>
  <c r="Q3097" i="6"/>
  <c r="N3097" i="6"/>
  <c r="O3098" i="6"/>
  <c r="P3098" i="6" s="1"/>
  <c r="R3097" i="6" l="1"/>
  <c r="M3097" i="6" s="1"/>
  <c r="S3097" i="6" s="1"/>
  <c r="Q3098" i="6"/>
  <c r="N3098" i="6"/>
  <c r="O3099" i="6"/>
  <c r="P3099" i="6" s="1"/>
  <c r="R3098" i="6" l="1"/>
  <c r="M3098" i="6" s="1"/>
  <c r="S3098" i="6" s="1"/>
  <c r="Q3099" i="6"/>
  <c r="N3099" i="6"/>
  <c r="O3100" i="6"/>
  <c r="P3100" i="6" s="1"/>
  <c r="R3099" i="6" l="1"/>
  <c r="M3099" i="6" s="1"/>
  <c r="S3099" i="6" s="1"/>
  <c r="Q3100" i="6"/>
  <c r="N3100" i="6"/>
  <c r="O3101" i="6"/>
  <c r="P3101" i="6" s="1"/>
  <c r="R3100" i="6" l="1"/>
  <c r="M3100" i="6" s="1"/>
  <c r="S3100" i="6" s="1"/>
  <c r="Q3101" i="6"/>
  <c r="N3101" i="6"/>
  <c r="O3102" i="6"/>
  <c r="P3102" i="6" s="1"/>
  <c r="R3101" i="6" l="1"/>
  <c r="M3101" i="6" s="1"/>
  <c r="S3101" i="6" s="1"/>
  <c r="Q3102" i="6"/>
  <c r="O3103" i="6"/>
  <c r="P3103" i="6" s="1"/>
  <c r="N3102" i="6"/>
  <c r="R3102" i="6" l="1"/>
  <c r="M3102" i="6" s="1"/>
  <c r="S3102" i="6" s="1"/>
  <c r="Q3103" i="6"/>
  <c r="N3103" i="6"/>
  <c r="O3104" i="6"/>
  <c r="P3104" i="6" s="1"/>
  <c r="R3103" i="6" l="1"/>
  <c r="M3103" i="6" s="1"/>
  <c r="S3103" i="6" s="1"/>
  <c r="Q3104" i="6"/>
  <c r="O3105" i="6"/>
  <c r="P3105" i="6" s="1"/>
  <c r="N3104" i="6"/>
  <c r="R3104" i="6" l="1"/>
  <c r="M3104" i="6" s="1"/>
  <c r="S3104" i="6" s="1"/>
  <c r="Q3105" i="6"/>
  <c r="N3105" i="6"/>
  <c r="O3106" i="6"/>
  <c r="P3106" i="6" s="1"/>
  <c r="R3105" i="6" l="1"/>
  <c r="M3105" i="6" s="1"/>
  <c r="S3105" i="6" s="1"/>
  <c r="Q3106" i="6"/>
  <c r="O3107" i="6"/>
  <c r="P3107" i="6" s="1"/>
  <c r="N3106" i="6"/>
  <c r="R3106" i="6" l="1"/>
  <c r="M3106" i="6" s="1"/>
  <c r="S3106" i="6" s="1"/>
  <c r="Q3107" i="6"/>
  <c r="N3107" i="6"/>
  <c r="O3108" i="6"/>
  <c r="P3108" i="6" s="1"/>
  <c r="R3107" i="6" l="1"/>
  <c r="M3107" i="6" s="1"/>
  <c r="S3107" i="6" s="1"/>
  <c r="Q3108" i="6"/>
  <c r="N3108" i="6"/>
  <c r="O3109" i="6"/>
  <c r="P3109" i="6" s="1"/>
  <c r="R3108" i="6" l="1"/>
  <c r="M3108" i="6" s="1"/>
  <c r="S3108" i="6" s="1"/>
  <c r="Q3109" i="6"/>
  <c r="N3109" i="6"/>
  <c r="O3110" i="6"/>
  <c r="P3110" i="6" s="1"/>
  <c r="R3109" i="6" l="1"/>
  <c r="M3109" i="6" s="1"/>
  <c r="S3109" i="6" s="1"/>
  <c r="Q3110" i="6"/>
  <c r="O3111" i="6"/>
  <c r="P3111" i="6" s="1"/>
  <c r="N3110" i="6"/>
  <c r="R3110" i="6" l="1"/>
  <c r="M3110" i="6" s="1"/>
  <c r="S3110" i="6" s="1"/>
  <c r="Q3111" i="6"/>
  <c r="N3111" i="6"/>
  <c r="O3112" i="6"/>
  <c r="P3112" i="6" s="1"/>
  <c r="R3111" i="6" l="1"/>
  <c r="M3111" i="6" s="1"/>
  <c r="S3111" i="6" s="1"/>
  <c r="Q3112" i="6"/>
  <c r="N3112" i="6"/>
  <c r="O3113" i="6"/>
  <c r="P3113" i="6" s="1"/>
  <c r="R3112" i="6" l="1"/>
  <c r="M3112" i="6" s="1"/>
  <c r="S3112" i="6" s="1"/>
  <c r="Q3113" i="6"/>
  <c r="O3114" i="6"/>
  <c r="P3114" i="6" s="1"/>
  <c r="N3113" i="6"/>
  <c r="R3113" i="6" l="1"/>
  <c r="M3113" i="6" s="1"/>
  <c r="S3113" i="6" s="1"/>
  <c r="Q3114" i="6"/>
  <c r="N3114" i="6"/>
  <c r="O3115" i="6"/>
  <c r="P3115" i="6" s="1"/>
  <c r="R3114" i="6" l="1"/>
  <c r="M3114" i="6" s="1"/>
  <c r="S3114" i="6" s="1"/>
  <c r="Q3115" i="6"/>
  <c r="O3116" i="6"/>
  <c r="P3116" i="6" s="1"/>
  <c r="N3115" i="6"/>
  <c r="R3115" i="6" l="1"/>
  <c r="M3115" i="6" s="1"/>
  <c r="S3115" i="6" s="1"/>
  <c r="Q3116" i="6"/>
  <c r="N3116" i="6"/>
  <c r="O3117" i="6"/>
  <c r="P3117" i="6" s="1"/>
  <c r="R3116" i="6" l="1"/>
  <c r="M3116" i="6" s="1"/>
  <c r="S3116" i="6" s="1"/>
  <c r="Q3117" i="6"/>
  <c r="N3117" i="6"/>
  <c r="O3118" i="6"/>
  <c r="P3118" i="6" s="1"/>
  <c r="R3117" i="6" l="1"/>
  <c r="M3117" i="6" s="1"/>
  <c r="S3117" i="6" s="1"/>
  <c r="Q3118" i="6"/>
  <c r="O3119" i="6"/>
  <c r="P3119" i="6" s="1"/>
  <c r="N3118" i="6"/>
  <c r="R3118" i="6" l="1"/>
  <c r="M3118" i="6" s="1"/>
  <c r="S3118" i="6" s="1"/>
  <c r="Q3119" i="6"/>
  <c r="O3120" i="6"/>
  <c r="P3120" i="6" s="1"/>
  <c r="N3119" i="6"/>
  <c r="R3119" i="6" l="1"/>
  <c r="M3119" i="6" s="1"/>
  <c r="S3119" i="6" s="1"/>
  <c r="Q3120" i="6"/>
  <c r="O3121" i="6"/>
  <c r="P3121" i="6" s="1"/>
  <c r="N3120" i="6"/>
  <c r="R3120" i="6" l="1"/>
  <c r="M3120" i="6" s="1"/>
  <c r="S3120" i="6" s="1"/>
  <c r="Q3121" i="6"/>
  <c r="O3122" i="6"/>
  <c r="P3122" i="6" s="1"/>
  <c r="N3121" i="6"/>
  <c r="R3121" i="6" l="1"/>
  <c r="M3121" i="6" s="1"/>
  <c r="S3121" i="6" s="1"/>
  <c r="Q3122" i="6"/>
  <c r="O3123" i="6"/>
  <c r="P3123" i="6" s="1"/>
  <c r="N3122" i="6"/>
  <c r="R3122" i="6" l="1"/>
  <c r="M3122" i="6" s="1"/>
  <c r="S3122" i="6" s="1"/>
  <c r="Q3123" i="6"/>
  <c r="N3123" i="6"/>
  <c r="O3124" i="6"/>
  <c r="P3124" i="6" s="1"/>
  <c r="R3123" i="6" l="1"/>
  <c r="M3123" i="6" s="1"/>
  <c r="S3123" i="6" s="1"/>
  <c r="Q3124" i="6"/>
  <c r="N3124" i="6"/>
  <c r="O3125" i="6"/>
  <c r="P3125" i="6" s="1"/>
  <c r="R3124" i="6" l="1"/>
  <c r="M3124" i="6" s="1"/>
  <c r="S3124" i="6" s="1"/>
  <c r="Q3125" i="6"/>
  <c r="N3125" i="6"/>
  <c r="O3126" i="6"/>
  <c r="P3126" i="6" s="1"/>
  <c r="R3125" i="6" l="1"/>
  <c r="M3125" i="6" s="1"/>
  <c r="S3125" i="6" s="1"/>
  <c r="Q3126" i="6"/>
  <c r="O3127" i="6"/>
  <c r="P3127" i="6" s="1"/>
  <c r="N3126" i="6"/>
  <c r="R3126" i="6" l="1"/>
  <c r="M3126" i="6" s="1"/>
  <c r="S3126" i="6" s="1"/>
  <c r="Q3127" i="6"/>
  <c r="N3127" i="6"/>
  <c r="O3128" i="6"/>
  <c r="P3128" i="6" s="1"/>
  <c r="R3127" i="6" l="1"/>
  <c r="M3127" i="6" s="1"/>
  <c r="S3127" i="6" s="1"/>
  <c r="Q3128" i="6"/>
  <c r="N3128" i="6"/>
  <c r="O3129" i="6"/>
  <c r="P3129" i="6" s="1"/>
  <c r="R3128" i="6" l="1"/>
  <c r="M3128" i="6" s="1"/>
  <c r="S3128" i="6" s="1"/>
  <c r="Q3129" i="6"/>
  <c r="N3129" i="6"/>
  <c r="O3130" i="6"/>
  <c r="P3130" i="6" s="1"/>
  <c r="R3129" i="6" l="1"/>
  <c r="M3129" i="6" s="1"/>
  <c r="S3129" i="6" s="1"/>
  <c r="Q3130" i="6"/>
  <c r="N3130" i="6"/>
  <c r="O3131" i="6"/>
  <c r="P3131" i="6" s="1"/>
  <c r="R3130" i="6" l="1"/>
  <c r="M3130" i="6" s="1"/>
  <c r="S3130" i="6" s="1"/>
  <c r="Q3131" i="6"/>
  <c r="N3131" i="6"/>
  <c r="O3132" i="6"/>
  <c r="P3132" i="6" s="1"/>
  <c r="R3131" i="6" l="1"/>
  <c r="M3131" i="6" s="1"/>
  <c r="S3131" i="6" s="1"/>
  <c r="Q3132" i="6"/>
  <c r="N3132" i="6"/>
  <c r="O3133" i="6"/>
  <c r="P3133" i="6" s="1"/>
  <c r="R3132" i="6" l="1"/>
  <c r="M3132" i="6" s="1"/>
  <c r="S3132" i="6" s="1"/>
  <c r="Q3133" i="6"/>
  <c r="N3133" i="6"/>
  <c r="O3134" i="6"/>
  <c r="P3134" i="6" s="1"/>
  <c r="R3133" i="6" l="1"/>
  <c r="M3133" i="6" s="1"/>
  <c r="S3133" i="6" s="1"/>
  <c r="Q3134" i="6"/>
  <c r="O3135" i="6"/>
  <c r="P3135" i="6" s="1"/>
  <c r="N3134" i="6"/>
  <c r="R3134" i="6" l="1"/>
  <c r="M3134" i="6" s="1"/>
  <c r="S3134" i="6" s="1"/>
  <c r="Q3135" i="6"/>
  <c r="N3135" i="6"/>
  <c r="O3136" i="6"/>
  <c r="P3136" i="6" s="1"/>
  <c r="R3135" i="6" l="1"/>
  <c r="M3135" i="6" s="1"/>
  <c r="S3135" i="6" s="1"/>
  <c r="Q3136" i="6"/>
  <c r="O3137" i="6"/>
  <c r="P3137" i="6" s="1"/>
  <c r="N3136" i="6"/>
  <c r="R3136" i="6" l="1"/>
  <c r="M3136" i="6" s="1"/>
  <c r="S3136" i="6" s="1"/>
  <c r="Q3137" i="6"/>
  <c r="N3137" i="6"/>
  <c r="O3138" i="6"/>
  <c r="P3138" i="6" s="1"/>
  <c r="R3137" i="6" l="1"/>
  <c r="M3137" i="6" s="1"/>
  <c r="S3137" i="6" s="1"/>
  <c r="Q3138" i="6"/>
  <c r="O3139" i="6"/>
  <c r="P3139" i="6" s="1"/>
  <c r="N3138" i="6"/>
  <c r="R3138" i="6" l="1"/>
  <c r="M3138" i="6" s="1"/>
  <c r="S3138" i="6" s="1"/>
  <c r="Q3139" i="6"/>
  <c r="N3139" i="6"/>
  <c r="O3140" i="6"/>
  <c r="P3140" i="6" s="1"/>
  <c r="R3139" i="6" l="1"/>
  <c r="M3139" i="6" s="1"/>
  <c r="S3139" i="6" s="1"/>
  <c r="Q3140" i="6"/>
  <c r="N3140" i="6"/>
  <c r="O3141" i="6"/>
  <c r="P3141" i="6" s="1"/>
  <c r="R3140" i="6" l="1"/>
  <c r="M3140" i="6" s="1"/>
  <c r="S3140" i="6" s="1"/>
  <c r="Q3141" i="6"/>
  <c r="N3141" i="6"/>
  <c r="O3142" i="6"/>
  <c r="P3142" i="6" s="1"/>
  <c r="R3141" i="6" l="1"/>
  <c r="M3141" i="6" s="1"/>
  <c r="S3141" i="6" s="1"/>
  <c r="Q3142" i="6"/>
  <c r="O3143" i="6"/>
  <c r="P3143" i="6" s="1"/>
  <c r="N3142" i="6"/>
  <c r="R3142" i="6" l="1"/>
  <c r="M3142" i="6" s="1"/>
  <c r="S3142" i="6" s="1"/>
  <c r="Q3143" i="6"/>
  <c r="N3143" i="6"/>
  <c r="O3144" i="6"/>
  <c r="P3144" i="6" s="1"/>
  <c r="R3143" i="6" l="1"/>
  <c r="M3143" i="6" s="1"/>
  <c r="S3143" i="6" s="1"/>
  <c r="Q3144" i="6"/>
  <c r="N3144" i="6"/>
  <c r="O3145" i="6"/>
  <c r="P3145" i="6" s="1"/>
  <c r="R3144" i="6" l="1"/>
  <c r="M3144" i="6" s="1"/>
  <c r="S3144" i="6" s="1"/>
  <c r="Q3145" i="6"/>
  <c r="O3146" i="6"/>
  <c r="P3146" i="6" s="1"/>
  <c r="N3145" i="6"/>
  <c r="R3145" i="6" l="1"/>
  <c r="M3145" i="6" s="1"/>
  <c r="S3145" i="6" s="1"/>
  <c r="Q3146" i="6"/>
  <c r="N3146" i="6"/>
  <c r="O3147" i="6"/>
  <c r="P3147" i="6" s="1"/>
  <c r="R3146" i="6" l="1"/>
  <c r="M3146" i="6" s="1"/>
  <c r="S3146" i="6" s="1"/>
  <c r="Q3147" i="6"/>
  <c r="O3148" i="6"/>
  <c r="P3148" i="6" s="1"/>
  <c r="N3147" i="6"/>
  <c r="R3147" i="6" l="1"/>
  <c r="M3147" i="6" s="1"/>
  <c r="S3147" i="6" s="1"/>
  <c r="Q3148" i="6"/>
  <c r="N3148" i="6"/>
  <c r="O3149" i="6"/>
  <c r="P3149" i="6" s="1"/>
  <c r="R3148" i="6" l="1"/>
  <c r="M3148" i="6" s="1"/>
  <c r="S3148" i="6" s="1"/>
  <c r="Q3149" i="6"/>
  <c r="N3149" i="6"/>
  <c r="O3150" i="6"/>
  <c r="P3150" i="6" s="1"/>
  <c r="R3149" i="6" l="1"/>
  <c r="M3149" i="6" s="1"/>
  <c r="S3149" i="6" s="1"/>
  <c r="Q3150" i="6"/>
  <c r="O3151" i="6"/>
  <c r="P3151" i="6" s="1"/>
  <c r="N3150" i="6"/>
  <c r="R3150" i="6" l="1"/>
  <c r="M3150" i="6" s="1"/>
  <c r="S3150" i="6" s="1"/>
  <c r="Q3151" i="6"/>
  <c r="N3151" i="6"/>
  <c r="O3152" i="6"/>
  <c r="P3152" i="6" s="1"/>
  <c r="R3151" i="6" l="1"/>
  <c r="M3151" i="6" s="1"/>
  <c r="S3151" i="6" s="1"/>
  <c r="Q3152" i="6"/>
  <c r="O3153" i="6"/>
  <c r="P3153" i="6" s="1"/>
  <c r="N3152" i="6"/>
  <c r="R3152" i="6" l="1"/>
  <c r="M3152" i="6" s="1"/>
  <c r="S3152" i="6" s="1"/>
  <c r="Q3153" i="6"/>
  <c r="O3154" i="6"/>
  <c r="P3154" i="6" s="1"/>
  <c r="N3153" i="6"/>
  <c r="R3153" i="6" l="1"/>
  <c r="M3153" i="6" s="1"/>
  <c r="S3153" i="6" s="1"/>
  <c r="Q3154" i="6"/>
  <c r="O3155" i="6"/>
  <c r="P3155" i="6" s="1"/>
  <c r="N3154" i="6"/>
  <c r="R3154" i="6" l="1"/>
  <c r="M3154" i="6" s="1"/>
  <c r="S3154" i="6" s="1"/>
  <c r="Q3155" i="6"/>
  <c r="N3155" i="6"/>
  <c r="O3156" i="6"/>
  <c r="P3156" i="6" s="1"/>
  <c r="R3155" i="6" l="1"/>
  <c r="M3155" i="6" s="1"/>
  <c r="S3155" i="6" s="1"/>
  <c r="Q3156" i="6"/>
  <c r="N3156" i="6"/>
  <c r="O3157" i="6"/>
  <c r="P3157" i="6" s="1"/>
  <c r="R3156" i="6" l="1"/>
  <c r="M3156" i="6" s="1"/>
  <c r="S3156" i="6" s="1"/>
  <c r="Q3157" i="6"/>
  <c r="N3157" i="6"/>
  <c r="O3158" i="6"/>
  <c r="P3158" i="6" s="1"/>
  <c r="R3157" i="6" l="1"/>
  <c r="M3157" i="6" s="1"/>
  <c r="S3157" i="6" s="1"/>
  <c r="Q3158" i="6"/>
  <c r="O3159" i="6"/>
  <c r="P3159" i="6" s="1"/>
  <c r="N3158" i="6"/>
  <c r="R3158" i="6" l="1"/>
  <c r="M3158" i="6" s="1"/>
  <c r="S3158" i="6" s="1"/>
  <c r="Q3159" i="6"/>
  <c r="N3159" i="6"/>
  <c r="O3160" i="6"/>
  <c r="P3160" i="6" s="1"/>
  <c r="R3159" i="6" l="1"/>
  <c r="M3159" i="6" s="1"/>
  <c r="S3159" i="6" s="1"/>
  <c r="Q3160" i="6"/>
  <c r="N3160" i="6"/>
  <c r="O3161" i="6"/>
  <c r="P3161" i="6" s="1"/>
  <c r="R3160" i="6" l="1"/>
  <c r="M3160" i="6" s="1"/>
  <c r="S3160" i="6" s="1"/>
  <c r="Q3161" i="6"/>
  <c r="O3162" i="6"/>
  <c r="P3162" i="6" s="1"/>
  <c r="N3161" i="6"/>
  <c r="R3161" i="6" l="1"/>
  <c r="M3161" i="6" s="1"/>
  <c r="S3161" i="6" s="1"/>
  <c r="Q3162" i="6"/>
  <c r="N3162" i="6"/>
  <c r="O3163" i="6"/>
  <c r="P3163" i="6" s="1"/>
  <c r="R3162" i="6" l="1"/>
  <c r="M3162" i="6" s="1"/>
  <c r="S3162" i="6" s="1"/>
  <c r="Q3163" i="6"/>
  <c r="N3163" i="6"/>
  <c r="O3164" i="6"/>
  <c r="P3164" i="6" s="1"/>
  <c r="R3163" i="6" l="1"/>
  <c r="M3163" i="6" s="1"/>
  <c r="S3163" i="6" s="1"/>
  <c r="Q3164" i="6"/>
  <c r="N3164" i="6"/>
  <c r="O3165" i="6"/>
  <c r="P3165" i="6" s="1"/>
  <c r="R3164" i="6" l="1"/>
  <c r="M3164" i="6" s="1"/>
  <c r="S3164" i="6" s="1"/>
  <c r="Q3165" i="6"/>
  <c r="N3165" i="6"/>
  <c r="O3166" i="6"/>
  <c r="P3166" i="6" s="1"/>
  <c r="R3165" i="6" l="1"/>
  <c r="M3165" i="6" s="1"/>
  <c r="S3165" i="6" s="1"/>
  <c r="Q3166" i="6"/>
  <c r="O3167" i="6"/>
  <c r="P3167" i="6" s="1"/>
  <c r="N3166" i="6"/>
  <c r="R3166" i="6" l="1"/>
  <c r="M3166" i="6" s="1"/>
  <c r="S3166" i="6" s="1"/>
  <c r="Q3167" i="6"/>
  <c r="N3167" i="6"/>
  <c r="O3168" i="6"/>
  <c r="P3168" i="6" s="1"/>
  <c r="R3167" i="6" l="1"/>
  <c r="M3167" i="6" s="1"/>
  <c r="S3167" i="6" s="1"/>
  <c r="Q3168" i="6"/>
  <c r="O3169" i="6"/>
  <c r="P3169" i="6" s="1"/>
  <c r="N3168" i="6"/>
  <c r="R3168" i="6" l="1"/>
  <c r="M3168" i="6" s="1"/>
  <c r="S3168" i="6" s="1"/>
  <c r="Q3169" i="6"/>
  <c r="N3169" i="6"/>
  <c r="O3170" i="6"/>
  <c r="P3170" i="6" s="1"/>
  <c r="R3169" i="6" l="1"/>
  <c r="M3169" i="6" s="1"/>
  <c r="S3169" i="6" s="1"/>
  <c r="Q3170" i="6"/>
  <c r="O3171" i="6"/>
  <c r="P3171" i="6" s="1"/>
  <c r="N3170" i="6"/>
  <c r="R3170" i="6" l="1"/>
  <c r="M3170" i="6" s="1"/>
  <c r="S3170" i="6" s="1"/>
  <c r="Q3171" i="6"/>
  <c r="N3171" i="6"/>
  <c r="O3172" i="6"/>
  <c r="P3172" i="6" s="1"/>
  <c r="R3171" i="6" l="1"/>
  <c r="M3171" i="6" s="1"/>
  <c r="S3171" i="6" s="1"/>
  <c r="Q3172" i="6"/>
  <c r="N3172" i="6"/>
  <c r="O3173" i="6"/>
  <c r="P3173" i="6" s="1"/>
  <c r="R3172" i="6" l="1"/>
  <c r="M3172" i="6" s="1"/>
  <c r="S3172" i="6" s="1"/>
  <c r="Q3173" i="6"/>
  <c r="N3173" i="6"/>
  <c r="O3174" i="6"/>
  <c r="P3174" i="6" s="1"/>
  <c r="R3173" i="6" l="1"/>
  <c r="M3173" i="6" s="1"/>
  <c r="S3173" i="6" s="1"/>
  <c r="Q3174" i="6"/>
  <c r="O3175" i="6"/>
  <c r="P3175" i="6" s="1"/>
  <c r="N3174" i="6"/>
  <c r="R3174" i="6" l="1"/>
  <c r="M3174" i="6" s="1"/>
  <c r="S3174" i="6" s="1"/>
  <c r="Q3175" i="6"/>
  <c r="N3175" i="6"/>
  <c r="O3176" i="6"/>
  <c r="P3176" i="6" s="1"/>
  <c r="R3175" i="6" l="1"/>
  <c r="M3175" i="6" s="1"/>
  <c r="S3175" i="6" s="1"/>
  <c r="Q3176" i="6"/>
  <c r="N3176" i="6"/>
  <c r="O3177" i="6"/>
  <c r="P3177" i="6" s="1"/>
  <c r="R3176" i="6" l="1"/>
  <c r="M3176" i="6" s="1"/>
  <c r="S3176" i="6" s="1"/>
  <c r="Q3177" i="6"/>
  <c r="O3178" i="6"/>
  <c r="P3178" i="6" s="1"/>
  <c r="N3177" i="6"/>
  <c r="R3177" i="6" l="1"/>
  <c r="M3177" i="6" s="1"/>
  <c r="S3177" i="6" s="1"/>
  <c r="Q3178" i="6"/>
  <c r="N3178" i="6"/>
  <c r="O3179" i="6"/>
  <c r="P3179" i="6" s="1"/>
  <c r="R3178" i="6" l="1"/>
  <c r="M3178" i="6" s="1"/>
  <c r="S3178" i="6" s="1"/>
  <c r="Q3179" i="6"/>
  <c r="N3179" i="6"/>
  <c r="O3180" i="6"/>
  <c r="P3180" i="6" s="1"/>
  <c r="R3179" i="6" l="1"/>
  <c r="M3179" i="6" s="1"/>
  <c r="S3179" i="6" s="1"/>
  <c r="Q3180" i="6"/>
  <c r="N3180" i="6"/>
  <c r="O3181" i="6"/>
  <c r="P3181" i="6" s="1"/>
  <c r="R3180" i="6" l="1"/>
  <c r="M3180" i="6" s="1"/>
  <c r="S3180" i="6" s="1"/>
  <c r="Q3181" i="6"/>
  <c r="N3181" i="6"/>
  <c r="O3182" i="6"/>
  <c r="P3182" i="6" s="1"/>
  <c r="R3181" i="6" l="1"/>
  <c r="M3181" i="6" s="1"/>
  <c r="S3181" i="6" s="1"/>
  <c r="Q3182" i="6"/>
  <c r="O3183" i="6"/>
  <c r="P3183" i="6" s="1"/>
  <c r="N3182" i="6"/>
  <c r="R3182" i="6" l="1"/>
  <c r="M3182" i="6" s="1"/>
  <c r="S3182" i="6" s="1"/>
  <c r="Q3183" i="6"/>
  <c r="N3183" i="6"/>
  <c r="O3184" i="6"/>
  <c r="P3184" i="6" s="1"/>
  <c r="R3183" i="6" l="1"/>
  <c r="M3183" i="6" s="1"/>
  <c r="S3183" i="6" s="1"/>
  <c r="Q3184" i="6"/>
  <c r="N3184" i="6"/>
  <c r="O3185" i="6"/>
  <c r="P3185" i="6" s="1"/>
  <c r="R3184" i="6" l="1"/>
  <c r="M3184" i="6" s="1"/>
  <c r="S3184" i="6" s="1"/>
  <c r="Q3185" i="6"/>
  <c r="O3186" i="6"/>
  <c r="P3186" i="6" s="1"/>
  <c r="N3185" i="6"/>
  <c r="R3185" i="6" l="1"/>
  <c r="M3185" i="6" s="1"/>
  <c r="S3185" i="6" s="1"/>
  <c r="Q3186" i="6"/>
  <c r="O3187" i="6"/>
  <c r="P3187" i="6" s="1"/>
  <c r="N3186" i="6"/>
  <c r="R3186" i="6" l="1"/>
  <c r="M3186" i="6" s="1"/>
  <c r="S3186" i="6" s="1"/>
  <c r="Q3187" i="6"/>
  <c r="O3188" i="6"/>
  <c r="P3188" i="6" s="1"/>
  <c r="N3187" i="6"/>
  <c r="R3187" i="6" l="1"/>
  <c r="M3187" i="6" s="1"/>
  <c r="S3187" i="6" s="1"/>
  <c r="Q3188" i="6"/>
  <c r="O3189" i="6"/>
  <c r="P3189" i="6" s="1"/>
  <c r="N3188" i="6"/>
  <c r="R3188" i="6" l="1"/>
  <c r="M3188" i="6" s="1"/>
  <c r="S3188" i="6" s="1"/>
  <c r="Q3189" i="6"/>
  <c r="N3189" i="6"/>
  <c r="O3190" i="6"/>
  <c r="P3190" i="6" s="1"/>
  <c r="R3189" i="6" l="1"/>
  <c r="M3189" i="6" s="1"/>
  <c r="S3189" i="6" s="1"/>
  <c r="Q3190" i="6"/>
  <c r="O3191" i="6"/>
  <c r="P3191" i="6" s="1"/>
  <c r="N3190" i="6"/>
  <c r="R3190" i="6" l="1"/>
  <c r="M3190" i="6" s="1"/>
  <c r="S3190" i="6" s="1"/>
  <c r="Q3191" i="6"/>
  <c r="N3191" i="6"/>
  <c r="O3192" i="6"/>
  <c r="P3192" i="6" s="1"/>
  <c r="R3191" i="6" l="1"/>
  <c r="M3191" i="6" s="1"/>
  <c r="S3191" i="6" s="1"/>
  <c r="Q3192" i="6"/>
  <c r="O3193" i="6"/>
  <c r="P3193" i="6" s="1"/>
  <c r="N3192" i="6"/>
  <c r="R3192" i="6" l="1"/>
  <c r="M3192" i="6" s="1"/>
  <c r="S3192" i="6" s="1"/>
  <c r="Q3193" i="6"/>
  <c r="O3194" i="6"/>
  <c r="P3194" i="6" s="1"/>
  <c r="N3193" i="6"/>
  <c r="R3193" i="6" l="1"/>
  <c r="M3193" i="6" s="1"/>
  <c r="S3193" i="6" s="1"/>
  <c r="Q3194" i="6"/>
  <c r="O3195" i="6"/>
  <c r="P3195" i="6" s="1"/>
  <c r="N3194" i="6"/>
  <c r="R3194" i="6" l="1"/>
  <c r="M3194" i="6" s="1"/>
  <c r="S3194" i="6" s="1"/>
  <c r="Q3195" i="6"/>
  <c r="O3196" i="6"/>
  <c r="P3196" i="6" s="1"/>
  <c r="N3195" i="6"/>
  <c r="R3195" i="6" l="1"/>
  <c r="M3195" i="6" s="1"/>
  <c r="S3195" i="6" s="1"/>
  <c r="Q3196" i="6"/>
  <c r="O3197" i="6"/>
  <c r="P3197" i="6" s="1"/>
  <c r="N3196" i="6"/>
  <c r="R3196" i="6" l="1"/>
  <c r="M3196" i="6" s="1"/>
  <c r="S3196" i="6" s="1"/>
  <c r="Q3197" i="6"/>
  <c r="N3197" i="6"/>
  <c r="O3198" i="6"/>
  <c r="P3198" i="6" s="1"/>
  <c r="R3197" i="6" l="1"/>
  <c r="M3197" i="6" s="1"/>
  <c r="S3197" i="6" s="1"/>
  <c r="Q3198" i="6"/>
  <c r="N3198" i="6"/>
  <c r="O3199" i="6"/>
  <c r="P3199" i="6" s="1"/>
  <c r="R3198" i="6" l="1"/>
  <c r="M3198" i="6" s="1"/>
  <c r="S3198" i="6" s="1"/>
  <c r="Q3199" i="6"/>
  <c r="O3200" i="6"/>
  <c r="P3200" i="6" s="1"/>
  <c r="N3199" i="6"/>
  <c r="R3199" i="6" l="1"/>
  <c r="M3199" i="6" s="1"/>
  <c r="S3199" i="6" s="1"/>
  <c r="Q3200" i="6"/>
  <c r="N3200" i="6"/>
  <c r="O3201" i="6"/>
  <c r="P3201" i="6" s="1"/>
  <c r="R3200" i="6" l="1"/>
  <c r="M3200" i="6" s="1"/>
  <c r="S3200" i="6" s="1"/>
  <c r="Q3201" i="6"/>
  <c r="O3202" i="6"/>
  <c r="P3202" i="6" s="1"/>
  <c r="N3201" i="6"/>
  <c r="R3201" i="6" l="1"/>
  <c r="M3201" i="6" s="1"/>
  <c r="S3201" i="6" s="1"/>
  <c r="Q3202" i="6"/>
  <c r="O3203" i="6"/>
  <c r="P3203" i="6" s="1"/>
  <c r="N3202" i="6"/>
  <c r="R3202" i="6" l="1"/>
  <c r="M3202" i="6" s="1"/>
  <c r="S3202" i="6" s="1"/>
  <c r="Q3203" i="6"/>
  <c r="O3204" i="6"/>
  <c r="P3204" i="6" s="1"/>
  <c r="N3203" i="6"/>
  <c r="R3203" i="6" l="1"/>
  <c r="M3203" i="6" s="1"/>
  <c r="S3203" i="6" s="1"/>
  <c r="Q3204" i="6"/>
  <c r="O3205" i="6"/>
  <c r="P3205" i="6" s="1"/>
  <c r="N3204" i="6"/>
  <c r="R3204" i="6" l="1"/>
  <c r="M3204" i="6" s="1"/>
  <c r="S3204" i="6" s="1"/>
  <c r="Q3205" i="6"/>
  <c r="N3205" i="6"/>
  <c r="O3206" i="6"/>
  <c r="P3206" i="6" s="1"/>
  <c r="R3205" i="6" l="1"/>
  <c r="M3205" i="6" s="1"/>
  <c r="S3205" i="6" s="1"/>
  <c r="Q3206" i="6"/>
  <c r="O3207" i="6"/>
  <c r="P3207" i="6" s="1"/>
  <c r="N3206" i="6"/>
  <c r="R3206" i="6" l="1"/>
  <c r="M3206" i="6" s="1"/>
  <c r="S3206" i="6" s="1"/>
  <c r="Q3207" i="6"/>
  <c r="N3207" i="6"/>
  <c r="O3208" i="6"/>
  <c r="P3208" i="6" s="1"/>
  <c r="R3207" i="6" l="1"/>
  <c r="M3207" i="6" s="1"/>
  <c r="S3207" i="6" s="1"/>
  <c r="Q3208" i="6"/>
  <c r="O3209" i="6"/>
  <c r="P3209" i="6" s="1"/>
  <c r="N3208" i="6"/>
  <c r="R3208" i="6" l="1"/>
  <c r="M3208" i="6" s="1"/>
  <c r="S3208" i="6" s="1"/>
  <c r="Q3209" i="6"/>
  <c r="O3210" i="6"/>
  <c r="P3210" i="6" s="1"/>
  <c r="N3209" i="6"/>
  <c r="R3209" i="6" l="1"/>
  <c r="M3209" i="6" s="1"/>
  <c r="S3209" i="6" s="1"/>
  <c r="Q3210" i="6"/>
  <c r="O3211" i="6"/>
  <c r="P3211" i="6" s="1"/>
  <c r="N3210" i="6"/>
  <c r="R3210" i="6" l="1"/>
  <c r="M3210" i="6" s="1"/>
  <c r="S3210" i="6" s="1"/>
  <c r="Q3211" i="6"/>
  <c r="O3212" i="6"/>
  <c r="P3212" i="6" s="1"/>
  <c r="N3211" i="6"/>
  <c r="R3211" i="6" l="1"/>
  <c r="M3211" i="6" s="1"/>
  <c r="S3211" i="6" s="1"/>
  <c r="Q3212" i="6"/>
  <c r="O3213" i="6"/>
  <c r="P3213" i="6" s="1"/>
  <c r="N3212" i="6"/>
  <c r="R3212" i="6" l="1"/>
  <c r="M3212" i="6" s="1"/>
  <c r="S3212" i="6" s="1"/>
  <c r="Q3213" i="6"/>
  <c r="N3213" i="6"/>
  <c r="O3214" i="6"/>
  <c r="P3214" i="6" s="1"/>
  <c r="R3213" i="6" l="1"/>
  <c r="M3213" i="6" s="1"/>
  <c r="S3213" i="6" s="1"/>
  <c r="Q3214" i="6"/>
  <c r="N3214" i="6"/>
  <c r="O3215" i="6"/>
  <c r="P3215" i="6" s="1"/>
  <c r="R3214" i="6" l="1"/>
  <c r="M3214" i="6" s="1"/>
  <c r="S3214" i="6" s="1"/>
  <c r="Q3215" i="6"/>
  <c r="O3216" i="6"/>
  <c r="P3216" i="6" s="1"/>
  <c r="N3215" i="6"/>
  <c r="R3215" i="6" l="1"/>
  <c r="M3215" i="6" s="1"/>
  <c r="S3215" i="6" s="1"/>
  <c r="Q3216" i="6"/>
  <c r="N3216" i="6"/>
  <c r="O3217" i="6"/>
  <c r="P3217" i="6" s="1"/>
  <c r="R3216" i="6" l="1"/>
  <c r="M3216" i="6" s="1"/>
  <c r="S3216" i="6" s="1"/>
  <c r="Q3217" i="6"/>
  <c r="O3218" i="6"/>
  <c r="P3218" i="6" s="1"/>
  <c r="N3217" i="6"/>
  <c r="R3217" i="6" l="1"/>
  <c r="M3217" i="6" s="1"/>
  <c r="S3217" i="6" s="1"/>
  <c r="Q3218" i="6"/>
  <c r="O3219" i="6"/>
  <c r="P3219" i="6" s="1"/>
  <c r="N3218" i="6"/>
  <c r="R3218" i="6" l="1"/>
  <c r="M3218" i="6" s="1"/>
  <c r="S3218" i="6" s="1"/>
  <c r="Q3219" i="6"/>
  <c r="O3220" i="6"/>
  <c r="P3220" i="6" s="1"/>
  <c r="N3219" i="6"/>
  <c r="R3219" i="6" l="1"/>
  <c r="M3219" i="6" s="1"/>
  <c r="S3219" i="6" s="1"/>
  <c r="Q3220" i="6"/>
  <c r="O3221" i="6"/>
  <c r="P3221" i="6" s="1"/>
  <c r="N3220" i="6"/>
  <c r="R3220" i="6" l="1"/>
  <c r="M3220" i="6" s="1"/>
  <c r="S3220" i="6" s="1"/>
  <c r="Q3221" i="6"/>
  <c r="N3221" i="6"/>
  <c r="O3222" i="6"/>
  <c r="P3222" i="6" s="1"/>
  <c r="R3221" i="6" l="1"/>
  <c r="M3221" i="6" s="1"/>
  <c r="S3221" i="6" s="1"/>
  <c r="Q3222" i="6"/>
  <c r="O3223" i="6"/>
  <c r="P3223" i="6" s="1"/>
  <c r="N3222" i="6"/>
  <c r="R3222" i="6" l="1"/>
  <c r="M3222" i="6" s="1"/>
  <c r="S3222" i="6" s="1"/>
  <c r="Q3223" i="6"/>
  <c r="N3223" i="6"/>
  <c r="O3224" i="6"/>
  <c r="P3224" i="6" s="1"/>
  <c r="R3223" i="6" l="1"/>
  <c r="M3223" i="6" s="1"/>
  <c r="S3223" i="6" s="1"/>
  <c r="Q3224" i="6"/>
  <c r="O3225" i="6"/>
  <c r="P3225" i="6" s="1"/>
  <c r="N3224" i="6"/>
  <c r="R3224" i="6" l="1"/>
  <c r="M3224" i="6" s="1"/>
  <c r="S3224" i="6" s="1"/>
  <c r="Q3225" i="6"/>
  <c r="O3226" i="6"/>
  <c r="P3226" i="6" s="1"/>
  <c r="N3225" i="6"/>
  <c r="R3225" i="6" l="1"/>
  <c r="M3225" i="6" s="1"/>
  <c r="S3225" i="6" s="1"/>
  <c r="Q3226" i="6"/>
  <c r="O3227" i="6"/>
  <c r="P3227" i="6" s="1"/>
  <c r="N3226" i="6"/>
  <c r="R3226" i="6" l="1"/>
  <c r="M3226" i="6" s="1"/>
  <c r="S3226" i="6" s="1"/>
  <c r="Q3227" i="6"/>
  <c r="O3228" i="6"/>
  <c r="P3228" i="6" s="1"/>
  <c r="N3227" i="6"/>
  <c r="R3227" i="6" l="1"/>
  <c r="M3227" i="6" s="1"/>
  <c r="S3227" i="6" s="1"/>
  <c r="Q3228" i="6"/>
  <c r="O3229" i="6"/>
  <c r="P3229" i="6" s="1"/>
  <c r="N3228" i="6"/>
  <c r="R3228" i="6" l="1"/>
  <c r="M3228" i="6" s="1"/>
  <c r="S3228" i="6" s="1"/>
  <c r="Q3229" i="6"/>
  <c r="N3229" i="6"/>
  <c r="O3230" i="6"/>
  <c r="P3230" i="6" s="1"/>
  <c r="R3229" i="6" l="1"/>
  <c r="M3229" i="6" s="1"/>
  <c r="S3229" i="6" s="1"/>
  <c r="Q3230" i="6"/>
  <c r="N3230" i="6"/>
  <c r="O3231" i="6"/>
  <c r="P3231" i="6" s="1"/>
  <c r="R3230" i="6" l="1"/>
  <c r="M3230" i="6" s="1"/>
  <c r="S3230" i="6" s="1"/>
  <c r="Q3231" i="6"/>
  <c r="O3232" i="6"/>
  <c r="P3232" i="6" s="1"/>
  <c r="N3231" i="6"/>
  <c r="R3231" i="6" l="1"/>
  <c r="M3231" i="6" s="1"/>
  <c r="S3231" i="6" s="1"/>
  <c r="Q3232" i="6"/>
  <c r="N3232" i="6"/>
  <c r="O3233" i="6"/>
  <c r="P3233" i="6" s="1"/>
  <c r="R3232" i="6" l="1"/>
  <c r="M3232" i="6" s="1"/>
  <c r="S3232" i="6" s="1"/>
  <c r="Q3233" i="6"/>
  <c r="O3234" i="6"/>
  <c r="P3234" i="6" s="1"/>
  <c r="N3233" i="6"/>
  <c r="R3233" i="6" l="1"/>
  <c r="M3233" i="6" s="1"/>
  <c r="S3233" i="6" s="1"/>
  <c r="Q3234" i="6"/>
  <c r="O3235" i="6"/>
  <c r="P3235" i="6" s="1"/>
  <c r="N3234" i="6"/>
  <c r="R3234" i="6" l="1"/>
  <c r="M3234" i="6" s="1"/>
  <c r="S3234" i="6" s="1"/>
  <c r="Q3235" i="6"/>
  <c r="O3236" i="6"/>
  <c r="P3236" i="6" s="1"/>
  <c r="N3235" i="6"/>
  <c r="R3235" i="6" l="1"/>
  <c r="M3235" i="6" s="1"/>
  <c r="S3235" i="6" s="1"/>
  <c r="Q3236" i="6"/>
  <c r="O3237" i="6"/>
  <c r="P3237" i="6" s="1"/>
  <c r="N3236" i="6"/>
  <c r="R3236" i="6" l="1"/>
  <c r="M3236" i="6" s="1"/>
  <c r="S3236" i="6" s="1"/>
  <c r="Q3237" i="6"/>
  <c r="N3237" i="6"/>
  <c r="O3238" i="6"/>
  <c r="P3238" i="6" s="1"/>
  <c r="R3237" i="6" l="1"/>
  <c r="M3237" i="6" s="1"/>
  <c r="S3237" i="6" s="1"/>
  <c r="Q3238" i="6"/>
  <c r="O3239" i="6"/>
  <c r="P3239" i="6" s="1"/>
  <c r="N3238" i="6"/>
  <c r="R3238" i="6" l="1"/>
  <c r="M3238" i="6" s="1"/>
  <c r="S3238" i="6" s="1"/>
  <c r="Q3239" i="6"/>
  <c r="N3239" i="6"/>
  <c r="O3240" i="6"/>
  <c r="P3240" i="6" s="1"/>
  <c r="R3239" i="6" l="1"/>
  <c r="M3239" i="6" s="1"/>
  <c r="S3239" i="6" s="1"/>
  <c r="Q3240" i="6"/>
  <c r="O3241" i="6"/>
  <c r="P3241" i="6" s="1"/>
  <c r="N3240" i="6"/>
  <c r="R3240" i="6" l="1"/>
  <c r="M3240" i="6" s="1"/>
  <c r="S3240" i="6" s="1"/>
  <c r="Q3241" i="6"/>
  <c r="O3242" i="6"/>
  <c r="P3242" i="6" s="1"/>
  <c r="N3241" i="6"/>
  <c r="R3241" i="6" l="1"/>
  <c r="M3241" i="6" s="1"/>
  <c r="S3241" i="6" s="1"/>
  <c r="Q3242" i="6"/>
  <c r="O3243" i="6"/>
  <c r="P3243" i="6" s="1"/>
  <c r="N3242" i="6"/>
  <c r="R3242" i="6" l="1"/>
  <c r="M3242" i="6" s="1"/>
  <c r="S3242" i="6" s="1"/>
  <c r="Q3243" i="6"/>
  <c r="O3244" i="6"/>
  <c r="P3244" i="6" s="1"/>
  <c r="N3243" i="6"/>
  <c r="R3243" i="6" l="1"/>
  <c r="M3243" i="6" s="1"/>
  <c r="S3243" i="6" s="1"/>
  <c r="Q3244" i="6"/>
  <c r="O3245" i="6"/>
  <c r="P3245" i="6" s="1"/>
  <c r="N3244" i="6"/>
  <c r="R3244" i="6" l="1"/>
  <c r="M3244" i="6" s="1"/>
  <c r="S3244" i="6" s="1"/>
  <c r="Q3245" i="6"/>
  <c r="N3245" i="6"/>
  <c r="O3246" i="6"/>
  <c r="P3246" i="6" s="1"/>
  <c r="R3245" i="6" l="1"/>
  <c r="M3245" i="6" s="1"/>
  <c r="S3245" i="6" s="1"/>
  <c r="Q3246" i="6"/>
  <c r="N3246" i="6"/>
  <c r="O3247" i="6"/>
  <c r="P3247" i="6" s="1"/>
  <c r="R3246" i="6" l="1"/>
  <c r="M3246" i="6" s="1"/>
  <c r="S3246" i="6" s="1"/>
  <c r="Q3247" i="6"/>
  <c r="O3248" i="6"/>
  <c r="P3248" i="6" s="1"/>
  <c r="N3247" i="6"/>
  <c r="R3247" i="6" l="1"/>
  <c r="M3247" i="6" s="1"/>
  <c r="S3247" i="6" s="1"/>
  <c r="Q3248" i="6"/>
  <c r="O3249" i="6"/>
  <c r="P3249" i="6" s="1"/>
  <c r="N3248" i="6"/>
  <c r="R3248" i="6" l="1"/>
  <c r="M3248" i="6" s="1"/>
  <c r="S3248" i="6" s="1"/>
  <c r="Q3249" i="6"/>
  <c r="N3249" i="6"/>
  <c r="O3250" i="6"/>
  <c r="P3250" i="6" s="1"/>
  <c r="R3249" i="6" l="1"/>
  <c r="M3249" i="6" s="1"/>
  <c r="S3249" i="6" s="1"/>
  <c r="Q3250" i="6"/>
  <c r="N3250" i="6"/>
  <c r="O3251" i="6"/>
  <c r="P3251" i="6" s="1"/>
  <c r="R3250" i="6" l="1"/>
  <c r="M3250" i="6" s="1"/>
  <c r="S3250" i="6" s="1"/>
  <c r="Q3251" i="6"/>
  <c r="O3252" i="6"/>
  <c r="P3252" i="6" s="1"/>
  <c r="N3251" i="6"/>
  <c r="R3251" i="6" l="1"/>
  <c r="M3251" i="6" s="1"/>
  <c r="S3251" i="6" s="1"/>
  <c r="Q3252" i="6"/>
  <c r="O3253" i="6"/>
  <c r="P3253" i="6" s="1"/>
  <c r="N3252" i="6"/>
  <c r="R3252" i="6" l="1"/>
  <c r="M3252" i="6" s="1"/>
  <c r="S3252" i="6" s="1"/>
  <c r="Q3253" i="6"/>
  <c r="N3253" i="6"/>
  <c r="O3254" i="6"/>
  <c r="P3254" i="6" s="1"/>
  <c r="R3253" i="6" l="1"/>
  <c r="M3253" i="6" s="1"/>
  <c r="S3253" i="6" s="1"/>
  <c r="Q3254" i="6"/>
  <c r="N3254" i="6"/>
  <c r="O3255" i="6"/>
  <c r="P3255" i="6" s="1"/>
  <c r="R3254" i="6" l="1"/>
  <c r="M3254" i="6" s="1"/>
  <c r="S3254" i="6" s="1"/>
  <c r="Q3255" i="6"/>
  <c r="O3256" i="6"/>
  <c r="P3256" i="6" s="1"/>
  <c r="N3255" i="6"/>
  <c r="R3255" i="6" l="1"/>
  <c r="M3255" i="6" s="1"/>
  <c r="S3255" i="6" s="1"/>
  <c r="Q3256" i="6"/>
  <c r="O3257" i="6"/>
  <c r="P3257" i="6" s="1"/>
  <c r="N3256" i="6"/>
  <c r="R3256" i="6" l="1"/>
  <c r="M3256" i="6" s="1"/>
  <c r="S3256" i="6" s="1"/>
  <c r="Q3257" i="6"/>
  <c r="O3258" i="6"/>
  <c r="P3258" i="6" s="1"/>
  <c r="N3257" i="6"/>
  <c r="R3257" i="6" l="1"/>
  <c r="M3257" i="6" s="1"/>
  <c r="S3257" i="6" s="1"/>
  <c r="Q3258" i="6"/>
  <c r="O3259" i="6"/>
  <c r="P3259" i="6" s="1"/>
  <c r="N3258" i="6"/>
  <c r="R3258" i="6" l="1"/>
  <c r="M3258" i="6" s="1"/>
  <c r="S3258" i="6" s="1"/>
  <c r="Q3259" i="6"/>
  <c r="N3259" i="6"/>
  <c r="O3260" i="6"/>
  <c r="P3260" i="6" s="1"/>
  <c r="R3259" i="6" l="1"/>
  <c r="M3259" i="6" s="1"/>
  <c r="S3259" i="6" s="1"/>
  <c r="Q3260" i="6"/>
  <c r="O3261" i="6"/>
  <c r="P3261" i="6" s="1"/>
  <c r="N3260" i="6"/>
  <c r="R3260" i="6" l="1"/>
  <c r="M3260" i="6" s="1"/>
  <c r="S3260" i="6" s="1"/>
  <c r="Q3261" i="6"/>
  <c r="N3261" i="6"/>
  <c r="O3262" i="6"/>
  <c r="P3262" i="6" s="1"/>
  <c r="R3261" i="6" l="1"/>
  <c r="M3261" i="6" s="1"/>
  <c r="S3261" i="6" s="1"/>
  <c r="Q3262" i="6"/>
  <c r="O3263" i="6"/>
  <c r="P3263" i="6" s="1"/>
  <c r="N3262" i="6"/>
  <c r="R3262" i="6" l="1"/>
  <c r="M3262" i="6" s="1"/>
  <c r="S3262" i="6" s="1"/>
  <c r="Q3263" i="6"/>
  <c r="N3263" i="6"/>
  <c r="O3264" i="6"/>
  <c r="P3264" i="6" s="1"/>
  <c r="R3263" i="6" l="1"/>
  <c r="M3263" i="6" s="1"/>
  <c r="S3263" i="6" s="1"/>
  <c r="Q3264" i="6"/>
  <c r="N3264" i="6"/>
  <c r="O3265" i="6"/>
  <c r="P3265" i="6" s="1"/>
  <c r="R3264" i="6" l="1"/>
  <c r="M3264" i="6" s="1"/>
  <c r="S3264" i="6" s="1"/>
  <c r="Q3265" i="6"/>
  <c r="O3266" i="6"/>
  <c r="P3266" i="6" s="1"/>
  <c r="N3265" i="6"/>
  <c r="R3265" i="6" l="1"/>
  <c r="M3265" i="6" s="1"/>
  <c r="S3265" i="6" s="1"/>
  <c r="Q3266" i="6"/>
  <c r="N3266" i="6"/>
  <c r="O3267" i="6"/>
  <c r="P3267" i="6" s="1"/>
  <c r="R3266" i="6" l="1"/>
  <c r="M3266" i="6" s="1"/>
  <c r="S3266" i="6" s="1"/>
  <c r="Q3267" i="6"/>
  <c r="O3268" i="6"/>
  <c r="P3268" i="6" s="1"/>
  <c r="N3267" i="6"/>
  <c r="R3267" i="6" l="1"/>
  <c r="M3267" i="6" s="1"/>
  <c r="S3267" i="6" s="1"/>
  <c r="Q3268" i="6"/>
  <c r="O3269" i="6"/>
  <c r="P3269" i="6" s="1"/>
  <c r="N3268" i="6"/>
  <c r="R3268" i="6" l="1"/>
  <c r="M3268" i="6" s="1"/>
  <c r="S3268" i="6" s="1"/>
  <c r="Q3269" i="6"/>
  <c r="N3269" i="6"/>
  <c r="O3270" i="6"/>
  <c r="P3270" i="6" s="1"/>
  <c r="R3269" i="6" l="1"/>
  <c r="M3269" i="6" s="1"/>
  <c r="S3269" i="6" s="1"/>
  <c r="Q3270" i="6"/>
  <c r="N3270" i="6"/>
  <c r="O3271" i="6"/>
  <c r="P3271" i="6" s="1"/>
  <c r="R3270" i="6" l="1"/>
  <c r="M3270" i="6" s="1"/>
  <c r="S3270" i="6" s="1"/>
  <c r="Q3271" i="6"/>
  <c r="O3272" i="6"/>
  <c r="P3272" i="6" s="1"/>
  <c r="N3271" i="6"/>
  <c r="R3271" i="6" l="1"/>
  <c r="M3271" i="6" s="1"/>
  <c r="S3271" i="6" s="1"/>
  <c r="Q3272" i="6"/>
  <c r="O3273" i="6"/>
  <c r="P3273" i="6" s="1"/>
  <c r="N3272" i="6"/>
  <c r="R3272" i="6" l="1"/>
  <c r="M3272" i="6" s="1"/>
  <c r="S3272" i="6" s="1"/>
  <c r="Q3273" i="6"/>
  <c r="O3274" i="6"/>
  <c r="P3274" i="6" s="1"/>
  <c r="N3273" i="6"/>
  <c r="R3273" i="6" l="1"/>
  <c r="M3273" i="6" s="1"/>
  <c r="S3273" i="6" s="1"/>
  <c r="Q3274" i="6"/>
  <c r="N3274" i="6"/>
  <c r="O3275" i="6"/>
  <c r="P3275" i="6" s="1"/>
  <c r="R3274" i="6" l="1"/>
  <c r="M3274" i="6" s="1"/>
  <c r="S3274" i="6" s="1"/>
  <c r="Q3275" i="6"/>
  <c r="O3276" i="6"/>
  <c r="P3276" i="6" s="1"/>
  <c r="N3275" i="6"/>
  <c r="R3275" i="6" l="1"/>
  <c r="M3275" i="6" s="1"/>
  <c r="S3275" i="6" s="1"/>
  <c r="Q3276" i="6"/>
  <c r="O3277" i="6"/>
  <c r="P3277" i="6" s="1"/>
  <c r="N3276" i="6"/>
  <c r="R3276" i="6" l="1"/>
  <c r="M3276" i="6" s="1"/>
  <c r="S3276" i="6" s="1"/>
  <c r="Q3277" i="6"/>
  <c r="N3277" i="6"/>
  <c r="O3278" i="6"/>
  <c r="P3278" i="6" s="1"/>
  <c r="R3277" i="6" l="1"/>
  <c r="M3277" i="6" s="1"/>
  <c r="S3277" i="6" s="1"/>
  <c r="Q3278" i="6"/>
  <c r="O3279" i="6"/>
  <c r="P3279" i="6" s="1"/>
  <c r="N3278" i="6"/>
  <c r="R3278" i="6" l="1"/>
  <c r="M3278" i="6" s="1"/>
  <c r="S3278" i="6" s="1"/>
  <c r="Q3279" i="6"/>
  <c r="N3279" i="6"/>
  <c r="O3280" i="6"/>
  <c r="P3280" i="6" s="1"/>
  <c r="R3279" i="6" l="1"/>
  <c r="M3279" i="6" s="1"/>
  <c r="S3279" i="6" s="1"/>
  <c r="Q3280" i="6"/>
  <c r="N3280" i="6"/>
  <c r="O3281" i="6"/>
  <c r="P3281" i="6" s="1"/>
  <c r="R3280" i="6" l="1"/>
  <c r="M3280" i="6" s="1"/>
  <c r="S3280" i="6" s="1"/>
  <c r="Q3281" i="6"/>
  <c r="O3282" i="6"/>
  <c r="P3282" i="6" s="1"/>
  <c r="N3281" i="6"/>
  <c r="R3281" i="6" l="1"/>
  <c r="M3281" i="6" s="1"/>
  <c r="S3281" i="6" s="1"/>
  <c r="Q3282" i="6"/>
  <c r="O3283" i="6"/>
  <c r="P3283" i="6" s="1"/>
  <c r="N3282" i="6"/>
  <c r="R3282" i="6" l="1"/>
  <c r="M3282" i="6" s="1"/>
  <c r="S3282" i="6" s="1"/>
  <c r="Q3283" i="6"/>
  <c r="O3284" i="6"/>
  <c r="P3284" i="6" s="1"/>
  <c r="N3283" i="6"/>
  <c r="R3283" i="6" l="1"/>
  <c r="M3283" i="6" s="1"/>
  <c r="S3283" i="6" s="1"/>
  <c r="Q3284" i="6"/>
  <c r="O3285" i="6"/>
  <c r="P3285" i="6" s="1"/>
  <c r="N3284" i="6"/>
  <c r="R3284" i="6" l="1"/>
  <c r="M3284" i="6" s="1"/>
  <c r="S3284" i="6" s="1"/>
  <c r="Q3285" i="6"/>
  <c r="O3286" i="6"/>
  <c r="P3286" i="6" s="1"/>
  <c r="N3285" i="6"/>
  <c r="R3285" i="6" l="1"/>
  <c r="M3285" i="6" s="1"/>
  <c r="S3285" i="6" s="1"/>
  <c r="Q3286" i="6"/>
  <c r="O3287" i="6"/>
  <c r="P3287" i="6" s="1"/>
  <c r="N3286" i="6"/>
  <c r="R3286" i="6" l="1"/>
  <c r="M3286" i="6" s="1"/>
  <c r="S3286" i="6" s="1"/>
  <c r="Q3287" i="6"/>
  <c r="O3288" i="6"/>
  <c r="P3288" i="6" s="1"/>
  <c r="N3287" i="6"/>
  <c r="R3287" i="6" l="1"/>
  <c r="M3287" i="6" s="1"/>
  <c r="S3287" i="6" s="1"/>
  <c r="Q3288" i="6"/>
  <c r="O3289" i="6"/>
  <c r="P3289" i="6" s="1"/>
  <c r="N3288" i="6"/>
  <c r="R3288" i="6" l="1"/>
  <c r="M3288" i="6" s="1"/>
  <c r="S3288" i="6" s="1"/>
  <c r="Q3289" i="6"/>
  <c r="N3289" i="6"/>
  <c r="O3290" i="6"/>
  <c r="P3290" i="6" s="1"/>
  <c r="R3289" i="6" l="1"/>
  <c r="M3289" i="6" s="1"/>
  <c r="S3289" i="6" s="1"/>
  <c r="Q3290" i="6"/>
  <c r="N3290" i="6"/>
  <c r="O3291" i="6"/>
  <c r="P3291" i="6" s="1"/>
  <c r="R3290" i="6" l="1"/>
  <c r="M3290" i="6" s="1"/>
  <c r="S3290" i="6" s="1"/>
  <c r="Q3291" i="6"/>
  <c r="O3292" i="6"/>
  <c r="P3292" i="6" s="1"/>
  <c r="N3291" i="6"/>
  <c r="R3291" i="6" l="1"/>
  <c r="M3291" i="6" s="1"/>
  <c r="S3291" i="6" s="1"/>
  <c r="Q3292" i="6"/>
  <c r="N3292" i="6"/>
  <c r="O3293" i="6"/>
  <c r="P3293" i="6" s="1"/>
  <c r="R3292" i="6" l="1"/>
  <c r="M3292" i="6" s="1"/>
  <c r="S3292" i="6" s="1"/>
  <c r="Q3293" i="6"/>
  <c r="N3293" i="6"/>
  <c r="O3294" i="6"/>
  <c r="P3294" i="6" s="1"/>
  <c r="R3293" i="6" l="1"/>
  <c r="M3293" i="6" s="1"/>
  <c r="S3293" i="6" s="1"/>
  <c r="Q3294" i="6"/>
  <c r="O3295" i="6"/>
  <c r="P3295" i="6" s="1"/>
  <c r="N3294" i="6"/>
  <c r="R3294" i="6" l="1"/>
  <c r="M3294" i="6" s="1"/>
  <c r="S3294" i="6" s="1"/>
  <c r="Q3295" i="6"/>
  <c r="O3296" i="6"/>
  <c r="P3296" i="6" s="1"/>
  <c r="N3295" i="6"/>
  <c r="R3295" i="6" l="1"/>
  <c r="M3295" i="6" s="1"/>
  <c r="S3295" i="6" s="1"/>
  <c r="Q3296" i="6"/>
  <c r="O3297" i="6"/>
  <c r="P3297" i="6" s="1"/>
  <c r="N3296" i="6"/>
  <c r="R3296" i="6" l="1"/>
  <c r="M3296" i="6" s="1"/>
  <c r="S3296" i="6" s="1"/>
  <c r="Q3297" i="6"/>
  <c r="N3297" i="6"/>
  <c r="O3298" i="6"/>
  <c r="P3298" i="6" s="1"/>
  <c r="R3297" i="6" l="1"/>
  <c r="M3297" i="6" s="1"/>
  <c r="S3297" i="6" s="1"/>
  <c r="Q3298" i="6"/>
  <c r="N3298" i="6"/>
  <c r="O3299" i="6"/>
  <c r="P3299" i="6" s="1"/>
  <c r="R3298" i="6" l="1"/>
  <c r="M3298" i="6" s="1"/>
  <c r="S3298" i="6" s="1"/>
  <c r="Q3299" i="6"/>
  <c r="N3299" i="6"/>
  <c r="O3300" i="6"/>
  <c r="P3300" i="6" s="1"/>
  <c r="R3299" i="6" l="1"/>
  <c r="M3299" i="6" s="1"/>
  <c r="S3299" i="6" s="1"/>
  <c r="Q3300" i="6"/>
  <c r="N3300" i="6"/>
  <c r="O3301" i="6"/>
  <c r="P3301" i="6" s="1"/>
  <c r="R3300" i="6" l="1"/>
  <c r="M3300" i="6" s="1"/>
  <c r="S3300" i="6" s="1"/>
  <c r="Q3301" i="6"/>
  <c r="N3301" i="6"/>
  <c r="O3302" i="6"/>
  <c r="P3302" i="6" s="1"/>
  <c r="R3301" i="6" l="1"/>
  <c r="M3301" i="6" s="1"/>
  <c r="S3301" i="6" s="1"/>
  <c r="Q3302" i="6"/>
  <c r="O3303" i="6"/>
  <c r="P3303" i="6" s="1"/>
  <c r="N3302" i="6"/>
  <c r="R3302" i="6" l="1"/>
  <c r="M3302" i="6" s="1"/>
  <c r="S3302" i="6" s="1"/>
  <c r="Q3303" i="6"/>
  <c r="O3304" i="6"/>
  <c r="P3304" i="6" s="1"/>
  <c r="N3303" i="6"/>
  <c r="R3303" i="6" l="1"/>
  <c r="M3303" i="6" s="1"/>
  <c r="S3303" i="6" s="1"/>
  <c r="Q3304" i="6"/>
  <c r="O3305" i="6"/>
  <c r="P3305" i="6" s="1"/>
  <c r="N3304" i="6"/>
  <c r="R3304" i="6" l="1"/>
  <c r="M3304" i="6" s="1"/>
  <c r="S3304" i="6" s="1"/>
  <c r="Q3305" i="6"/>
  <c r="N3305" i="6"/>
  <c r="O3306" i="6"/>
  <c r="P3306" i="6" s="1"/>
  <c r="R3305" i="6" l="1"/>
  <c r="M3305" i="6" s="1"/>
  <c r="S3305" i="6" s="1"/>
  <c r="Q3306" i="6"/>
  <c r="N3306" i="6"/>
  <c r="O3307" i="6"/>
  <c r="P3307" i="6" s="1"/>
  <c r="R3306" i="6" l="1"/>
  <c r="M3306" i="6" s="1"/>
  <c r="S3306" i="6" s="1"/>
  <c r="Q3307" i="6"/>
  <c r="N3307" i="6"/>
  <c r="O3308" i="6"/>
  <c r="P3308" i="6" s="1"/>
  <c r="R3307" i="6" l="1"/>
  <c r="M3307" i="6" s="1"/>
  <c r="S3307" i="6" s="1"/>
  <c r="Q3308" i="6"/>
  <c r="N3308" i="6"/>
  <c r="O3309" i="6"/>
  <c r="P3309" i="6" s="1"/>
  <c r="R3308" i="6" l="1"/>
  <c r="M3308" i="6" s="1"/>
  <c r="S3308" i="6" s="1"/>
  <c r="Q3309" i="6"/>
  <c r="N3309" i="6"/>
  <c r="O3310" i="6"/>
  <c r="P3310" i="6" s="1"/>
  <c r="R3309" i="6" l="1"/>
  <c r="M3309" i="6" s="1"/>
  <c r="S3309" i="6" s="1"/>
  <c r="Q3310" i="6"/>
  <c r="N3310" i="6"/>
  <c r="O3311" i="6"/>
  <c r="P3311" i="6" s="1"/>
  <c r="R3310" i="6" l="1"/>
  <c r="M3310" i="6" s="1"/>
  <c r="S3310" i="6" s="1"/>
  <c r="Q3311" i="6"/>
  <c r="O3312" i="6"/>
  <c r="P3312" i="6" s="1"/>
  <c r="N3311" i="6"/>
  <c r="R3311" i="6" l="1"/>
  <c r="M3311" i="6" s="1"/>
  <c r="S3311" i="6" s="1"/>
  <c r="Q3312" i="6"/>
  <c r="O3313" i="6"/>
  <c r="P3313" i="6" s="1"/>
  <c r="N3312" i="6"/>
  <c r="R3312" i="6" l="1"/>
  <c r="M3312" i="6" s="1"/>
  <c r="S3312" i="6" s="1"/>
  <c r="Q3313" i="6"/>
  <c r="N3313" i="6"/>
  <c r="O3314" i="6"/>
  <c r="P3314" i="6" s="1"/>
  <c r="R3313" i="6" l="1"/>
  <c r="M3313" i="6" s="1"/>
  <c r="S3313" i="6" s="1"/>
  <c r="Q3314" i="6"/>
  <c r="N3314" i="6"/>
  <c r="O3315" i="6"/>
  <c r="P3315" i="6" s="1"/>
  <c r="R3314" i="6" l="1"/>
  <c r="M3314" i="6" s="1"/>
  <c r="S3314" i="6" s="1"/>
  <c r="Q3315" i="6"/>
  <c r="O3316" i="6"/>
  <c r="P3316" i="6" s="1"/>
  <c r="N3315" i="6"/>
  <c r="R3315" i="6" l="1"/>
  <c r="M3315" i="6" s="1"/>
  <c r="S3315" i="6" s="1"/>
  <c r="Q3316" i="6"/>
  <c r="N3316" i="6"/>
  <c r="O3317" i="6"/>
  <c r="P3317" i="6" s="1"/>
  <c r="R3316" i="6" l="1"/>
  <c r="M3316" i="6" s="1"/>
  <c r="S3316" i="6" s="1"/>
  <c r="Q3317" i="6"/>
  <c r="N3317" i="6"/>
  <c r="O3318" i="6"/>
  <c r="P3318" i="6" s="1"/>
  <c r="R3317" i="6" l="1"/>
  <c r="M3317" i="6" s="1"/>
  <c r="S3317" i="6" s="1"/>
  <c r="Q3318" i="6"/>
  <c r="O3319" i="6"/>
  <c r="P3319" i="6" s="1"/>
  <c r="N3318" i="6"/>
  <c r="R3318" i="6" l="1"/>
  <c r="M3318" i="6" s="1"/>
  <c r="S3318" i="6" s="1"/>
  <c r="Q3319" i="6"/>
  <c r="O3320" i="6"/>
  <c r="P3320" i="6" s="1"/>
  <c r="N3319" i="6"/>
  <c r="R3319" i="6" l="1"/>
  <c r="M3319" i="6" s="1"/>
  <c r="S3319" i="6" s="1"/>
  <c r="Q3320" i="6"/>
  <c r="O3321" i="6"/>
  <c r="P3321" i="6" s="1"/>
  <c r="N3320" i="6"/>
  <c r="R3320" i="6" l="1"/>
  <c r="M3320" i="6" s="1"/>
  <c r="S3320" i="6" s="1"/>
  <c r="Q3321" i="6"/>
  <c r="N3321" i="6"/>
  <c r="O3322" i="6"/>
  <c r="P3322" i="6" s="1"/>
  <c r="R3321" i="6" l="1"/>
  <c r="M3321" i="6" s="1"/>
  <c r="S3321" i="6" s="1"/>
  <c r="Q3322" i="6"/>
  <c r="N3322" i="6"/>
  <c r="O3323" i="6"/>
  <c r="P3323" i="6" s="1"/>
  <c r="R3322" i="6" l="1"/>
  <c r="M3322" i="6" s="1"/>
  <c r="S3322" i="6" s="1"/>
  <c r="Q3323" i="6"/>
  <c r="N3323" i="6"/>
  <c r="O3324" i="6"/>
  <c r="P3324" i="6" s="1"/>
  <c r="R3323" i="6" l="1"/>
  <c r="M3323" i="6" s="1"/>
  <c r="S3323" i="6" s="1"/>
  <c r="Q3324" i="6"/>
  <c r="N3324" i="6"/>
  <c r="O3325" i="6"/>
  <c r="P3325" i="6" s="1"/>
  <c r="R3324" i="6" l="1"/>
  <c r="M3324" i="6" s="1"/>
  <c r="S3324" i="6" s="1"/>
  <c r="Q3325" i="6"/>
  <c r="N3325" i="6"/>
  <c r="O3326" i="6"/>
  <c r="P3326" i="6" s="1"/>
  <c r="R3325" i="6" l="1"/>
  <c r="M3325" i="6" s="1"/>
  <c r="S3325" i="6" s="1"/>
  <c r="Q3326" i="6"/>
  <c r="N3326" i="6"/>
  <c r="O3327" i="6"/>
  <c r="P3327" i="6" s="1"/>
  <c r="R3326" i="6" l="1"/>
  <c r="M3326" i="6" s="1"/>
  <c r="S3326" i="6" s="1"/>
  <c r="Q3327" i="6"/>
  <c r="O3328" i="6"/>
  <c r="P3328" i="6" s="1"/>
  <c r="N3327" i="6"/>
  <c r="R3327" i="6" l="1"/>
  <c r="M3327" i="6" s="1"/>
  <c r="S3327" i="6" s="1"/>
  <c r="Q3328" i="6"/>
  <c r="O3329" i="6"/>
  <c r="P3329" i="6" s="1"/>
  <c r="N3328" i="6"/>
  <c r="R3328" i="6" l="1"/>
  <c r="M3328" i="6" s="1"/>
  <c r="S3328" i="6" s="1"/>
  <c r="Q3329" i="6"/>
  <c r="N3329" i="6"/>
  <c r="O3330" i="6"/>
  <c r="P3330" i="6" s="1"/>
  <c r="R3329" i="6" l="1"/>
  <c r="M3329" i="6" s="1"/>
  <c r="S3329" i="6" s="1"/>
  <c r="Q3330" i="6"/>
  <c r="N3330" i="6"/>
  <c r="O3331" i="6"/>
  <c r="P3331" i="6" s="1"/>
  <c r="R3330" i="6" l="1"/>
  <c r="M3330" i="6" s="1"/>
  <c r="S3330" i="6" s="1"/>
  <c r="Q3331" i="6"/>
  <c r="N3331" i="6"/>
  <c r="O3332" i="6"/>
  <c r="P3332" i="6" s="1"/>
  <c r="R3331" i="6" l="1"/>
  <c r="M3331" i="6" s="1"/>
  <c r="S3331" i="6" s="1"/>
  <c r="Q3332" i="6"/>
  <c r="N3332" i="6"/>
  <c r="O3333" i="6"/>
  <c r="P3333" i="6" s="1"/>
  <c r="R3332" i="6" l="1"/>
  <c r="M3332" i="6" s="1"/>
  <c r="S3332" i="6" s="1"/>
  <c r="Q3333" i="6"/>
  <c r="N3333" i="6"/>
  <c r="O3334" i="6"/>
  <c r="P3334" i="6" s="1"/>
  <c r="R3333" i="6" l="1"/>
  <c r="M3333" i="6" s="1"/>
  <c r="S3333" i="6" s="1"/>
  <c r="Q3334" i="6"/>
  <c r="N3334" i="6"/>
  <c r="O3335" i="6"/>
  <c r="P3335" i="6" s="1"/>
  <c r="R3334" i="6" l="1"/>
  <c r="M3334" i="6" s="1"/>
  <c r="S3334" i="6" s="1"/>
  <c r="Q3335" i="6"/>
  <c r="O3336" i="6"/>
  <c r="P3336" i="6" s="1"/>
  <c r="N3335" i="6"/>
  <c r="R3335" i="6" l="1"/>
  <c r="M3335" i="6" s="1"/>
  <c r="S3335" i="6" s="1"/>
  <c r="Q3336" i="6"/>
  <c r="O3337" i="6"/>
  <c r="P3337" i="6" s="1"/>
  <c r="N3336" i="6"/>
  <c r="R3336" i="6" l="1"/>
  <c r="M3336" i="6" s="1"/>
  <c r="S3336" i="6" s="1"/>
  <c r="Q3337" i="6"/>
  <c r="N3337" i="6"/>
  <c r="O3338" i="6"/>
  <c r="P3338" i="6" s="1"/>
  <c r="R3337" i="6" l="1"/>
  <c r="M3337" i="6" s="1"/>
  <c r="S3337" i="6" s="1"/>
  <c r="Q3338" i="6"/>
  <c r="N3338" i="6"/>
  <c r="O3339" i="6"/>
  <c r="P3339" i="6" s="1"/>
  <c r="R3338" i="6" l="1"/>
  <c r="M3338" i="6" s="1"/>
  <c r="S3338" i="6" s="1"/>
  <c r="Q3339" i="6"/>
  <c r="N3339" i="6"/>
  <c r="O3340" i="6"/>
  <c r="P3340" i="6" s="1"/>
  <c r="R3339" i="6" l="1"/>
  <c r="M3339" i="6" s="1"/>
  <c r="S3339" i="6" s="1"/>
  <c r="Q3340" i="6"/>
  <c r="N3340" i="6"/>
  <c r="O3341" i="6"/>
  <c r="P3341" i="6" s="1"/>
  <c r="R3340" i="6" l="1"/>
  <c r="M3340" i="6" s="1"/>
  <c r="S3340" i="6" s="1"/>
  <c r="Q3341" i="6"/>
  <c r="N3341" i="6"/>
  <c r="O3342" i="6"/>
  <c r="P3342" i="6" s="1"/>
  <c r="R3341" i="6" l="1"/>
  <c r="M3341" i="6" s="1"/>
  <c r="S3341" i="6" s="1"/>
  <c r="Q3342" i="6"/>
  <c r="O3343" i="6"/>
  <c r="P3343" i="6" s="1"/>
  <c r="N3342" i="6"/>
  <c r="R3342" i="6" l="1"/>
  <c r="M3342" i="6" s="1"/>
  <c r="S3342" i="6" s="1"/>
  <c r="Q3343" i="6"/>
  <c r="O3344" i="6"/>
  <c r="P3344" i="6" s="1"/>
  <c r="N3343" i="6"/>
  <c r="R3343" i="6" l="1"/>
  <c r="M3343" i="6" s="1"/>
  <c r="S3343" i="6" s="1"/>
  <c r="Q3344" i="6"/>
  <c r="O3345" i="6"/>
  <c r="P3345" i="6" s="1"/>
  <c r="N3344" i="6"/>
  <c r="R3344" i="6" l="1"/>
  <c r="M3344" i="6" s="1"/>
  <c r="S3344" i="6" s="1"/>
  <c r="Q3345" i="6"/>
  <c r="N3345" i="6"/>
  <c r="O3346" i="6"/>
  <c r="P3346" i="6" s="1"/>
  <c r="R3345" i="6" l="1"/>
  <c r="M3345" i="6" s="1"/>
  <c r="S3345" i="6" s="1"/>
  <c r="Q3346" i="6"/>
  <c r="N3346" i="6"/>
  <c r="O3347" i="6"/>
  <c r="P3347" i="6" s="1"/>
  <c r="R3346" i="6" l="1"/>
  <c r="M3346" i="6" s="1"/>
  <c r="S3346" i="6" s="1"/>
  <c r="Q3347" i="6"/>
  <c r="O3348" i="6"/>
  <c r="P3348" i="6" s="1"/>
  <c r="N3347" i="6"/>
  <c r="R3347" i="6" l="1"/>
  <c r="M3347" i="6" s="1"/>
  <c r="S3347" i="6" s="1"/>
  <c r="Q3348" i="6"/>
  <c r="N3348" i="6"/>
  <c r="O3349" i="6"/>
  <c r="P3349" i="6" s="1"/>
  <c r="R3348" i="6" l="1"/>
  <c r="M3348" i="6" s="1"/>
  <c r="S3348" i="6" s="1"/>
  <c r="Q3349" i="6"/>
  <c r="N3349" i="6"/>
  <c r="O3350" i="6"/>
  <c r="P3350" i="6" s="1"/>
  <c r="R3349" i="6" l="1"/>
  <c r="M3349" i="6" s="1"/>
  <c r="S3349" i="6" s="1"/>
  <c r="Q3350" i="6"/>
  <c r="O3351" i="6"/>
  <c r="P3351" i="6" s="1"/>
  <c r="N3350" i="6"/>
  <c r="R3350" i="6" l="1"/>
  <c r="M3350" i="6" s="1"/>
  <c r="S3350" i="6" s="1"/>
  <c r="Q3351" i="6"/>
  <c r="O3352" i="6"/>
  <c r="P3352" i="6" s="1"/>
  <c r="N3351" i="6"/>
  <c r="R3351" i="6" l="1"/>
  <c r="M3351" i="6" s="1"/>
  <c r="S3351" i="6" s="1"/>
  <c r="Q3352" i="6"/>
  <c r="O3353" i="6"/>
  <c r="P3353" i="6" s="1"/>
  <c r="N3352" i="6"/>
  <c r="R3352" i="6" l="1"/>
  <c r="M3352" i="6" s="1"/>
  <c r="S3352" i="6" s="1"/>
  <c r="Q3353" i="6"/>
  <c r="N3353" i="6"/>
  <c r="O3354" i="6"/>
  <c r="P3354" i="6" s="1"/>
  <c r="R3353" i="6" l="1"/>
  <c r="M3353" i="6" s="1"/>
  <c r="S3353" i="6" s="1"/>
  <c r="Q3354" i="6"/>
  <c r="N3354" i="6"/>
  <c r="O3355" i="6"/>
  <c r="P3355" i="6" s="1"/>
  <c r="R3354" i="6" l="1"/>
  <c r="M3354" i="6" s="1"/>
  <c r="S3354" i="6" s="1"/>
  <c r="Q3355" i="6"/>
  <c r="N3355" i="6"/>
  <c r="O3356" i="6"/>
  <c r="P3356" i="6" s="1"/>
  <c r="R3355" i="6" l="1"/>
  <c r="M3355" i="6" s="1"/>
  <c r="S3355" i="6" s="1"/>
  <c r="Q3356" i="6"/>
  <c r="N3356" i="6"/>
  <c r="O3357" i="6"/>
  <c r="P3357" i="6" s="1"/>
  <c r="R3356" i="6" l="1"/>
  <c r="M3356" i="6" s="1"/>
  <c r="S3356" i="6" s="1"/>
  <c r="Q3357" i="6"/>
  <c r="N3357" i="6"/>
  <c r="O3358" i="6"/>
  <c r="P3358" i="6" s="1"/>
  <c r="R3357" i="6" l="1"/>
  <c r="M3357" i="6" s="1"/>
  <c r="S3357" i="6" s="1"/>
  <c r="Q3358" i="6"/>
  <c r="O3359" i="6"/>
  <c r="P3359" i="6" s="1"/>
  <c r="N3358" i="6"/>
  <c r="R3358" i="6" l="1"/>
  <c r="M3358" i="6" s="1"/>
  <c r="S3358" i="6" s="1"/>
  <c r="Q3359" i="6"/>
  <c r="O3360" i="6"/>
  <c r="P3360" i="6" s="1"/>
  <c r="N3359" i="6"/>
  <c r="R3359" i="6" l="1"/>
  <c r="M3359" i="6" s="1"/>
  <c r="S3359" i="6" s="1"/>
  <c r="Q3360" i="6"/>
  <c r="O3361" i="6"/>
  <c r="P3361" i="6" s="1"/>
  <c r="N3360" i="6"/>
  <c r="R3360" i="6" l="1"/>
  <c r="M3360" i="6" s="1"/>
  <c r="S3360" i="6" s="1"/>
  <c r="Q3361" i="6"/>
  <c r="O3362" i="6"/>
  <c r="P3362" i="6" s="1"/>
  <c r="N3361" i="6"/>
  <c r="R3361" i="6" l="1"/>
  <c r="M3361" i="6" s="1"/>
  <c r="S3361" i="6" s="1"/>
  <c r="Q3362" i="6"/>
  <c r="O3363" i="6"/>
  <c r="P3363" i="6" s="1"/>
  <c r="N3362" i="6"/>
  <c r="R3362" i="6" l="1"/>
  <c r="M3362" i="6" s="1"/>
  <c r="S3362" i="6" s="1"/>
  <c r="Q3363" i="6"/>
  <c r="N3363" i="6"/>
  <c r="O3364" i="6"/>
  <c r="P3364" i="6" s="1"/>
  <c r="R3363" i="6" l="1"/>
  <c r="M3363" i="6" s="1"/>
  <c r="S3363" i="6" s="1"/>
  <c r="Q3364" i="6"/>
  <c r="N3364" i="6"/>
  <c r="O3365" i="6"/>
  <c r="P3365" i="6" s="1"/>
  <c r="R3364" i="6" l="1"/>
  <c r="M3364" i="6" s="1"/>
  <c r="S3364" i="6" s="1"/>
  <c r="Q3365" i="6"/>
  <c r="N3365" i="6"/>
  <c r="O3366" i="6"/>
  <c r="P3366" i="6" s="1"/>
  <c r="R3365" i="6" l="1"/>
  <c r="M3365" i="6" s="1"/>
  <c r="S3365" i="6" s="1"/>
  <c r="Q3366" i="6"/>
  <c r="O3367" i="6"/>
  <c r="P3367" i="6" s="1"/>
  <c r="N3366" i="6"/>
  <c r="R3366" i="6" l="1"/>
  <c r="M3366" i="6" s="1"/>
  <c r="S3366" i="6" s="1"/>
  <c r="Q3367" i="6"/>
  <c r="N3367" i="6"/>
  <c r="O3368" i="6"/>
  <c r="P3368" i="6" s="1"/>
  <c r="R3367" i="6" l="1"/>
  <c r="M3367" i="6" s="1"/>
  <c r="S3367" i="6" s="1"/>
  <c r="Q3368" i="6"/>
  <c r="O3369" i="6"/>
  <c r="P3369" i="6" s="1"/>
  <c r="N3368" i="6"/>
  <c r="R3368" i="6" l="1"/>
  <c r="M3368" i="6" s="1"/>
  <c r="S3368" i="6" s="1"/>
  <c r="Q3369" i="6"/>
  <c r="N3369" i="6"/>
  <c r="O3370" i="6"/>
  <c r="P3370" i="6" s="1"/>
  <c r="R3369" i="6" l="1"/>
  <c r="M3369" i="6" s="1"/>
  <c r="S3369" i="6" s="1"/>
  <c r="Q3370" i="6"/>
  <c r="N3370" i="6"/>
  <c r="O3371" i="6"/>
  <c r="P3371" i="6" s="1"/>
  <c r="R3370" i="6" l="1"/>
  <c r="M3370" i="6" s="1"/>
  <c r="S3370" i="6" s="1"/>
  <c r="Q3371" i="6"/>
  <c r="N3371" i="6"/>
  <c r="O3372" i="6"/>
  <c r="P3372" i="6" s="1"/>
  <c r="R3371" i="6" l="1"/>
  <c r="M3371" i="6" s="1"/>
  <c r="S3371" i="6" s="1"/>
  <c r="Q3372" i="6"/>
  <c r="N3372" i="6"/>
  <c r="O3373" i="6"/>
  <c r="P3373" i="6" s="1"/>
  <c r="R3372" i="6" l="1"/>
  <c r="M3372" i="6" s="1"/>
  <c r="S3372" i="6" s="1"/>
  <c r="Q3373" i="6"/>
  <c r="N3373" i="6"/>
  <c r="O3374" i="6"/>
  <c r="P3374" i="6" s="1"/>
  <c r="R3373" i="6" l="1"/>
  <c r="M3373" i="6" s="1"/>
  <c r="S3373" i="6" s="1"/>
  <c r="Q3374" i="6"/>
  <c r="N3374" i="6"/>
  <c r="O3375" i="6"/>
  <c r="P3375" i="6" s="1"/>
  <c r="R3374" i="6" l="1"/>
  <c r="M3374" i="6" s="1"/>
  <c r="S3374" i="6" s="1"/>
  <c r="Q3375" i="6"/>
  <c r="O3376" i="6"/>
  <c r="P3376" i="6" s="1"/>
  <c r="N3375" i="6"/>
  <c r="R3375" i="6" l="1"/>
  <c r="M3375" i="6" s="1"/>
  <c r="S3375" i="6" s="1"/>
  <c r="Q3376" i="6"/>
  <c r="O3377" i="6"/>
  <c r="P3377" i="6" s="1"/>
  <c r="N3376" i="6"/>
  <c r="R3376" i="6" l="1"/>
  <c r="M3376" i="6" s="1"/>
  <c r="S3376" i="6" s="1"/>
  <c r="Q3377" i="6"/>
  <c r="N3377" i="6"/>
  <c r="O3378" i="6"/>
  <c r="P3378" i="6" s="1"/>
  <c r="R3377" i="6" l="1"/>
  <c r="M3377" i="6" s="1"/>
  <c r="S3377" i="6" s="1"/>
  <c r="Q3378" i="6"/>
  <c r="N3378" i="6"/>
  <c r="O3379" i="6"/>
  <c r="P3379" i="6" s="1"/>
  <c r="R3378" i="6" l="1"/>
  <c r="M3378" i="6" s="1"/>
  <c r="S3378" i="6" s="1"/>
  <c r="Q3379" i="6"/>
  <c r="O3380" i="6"/>
  <c r="P3380" i="6" s="1"/>
  <c r="N3379" i="6"/>
  <c r="R3379" i="6" l="1"/>
  <c r="M3379" i="6" s="1"/>
  <c r="S3379" i="6" s="1"/>
  <c r="Q3380" i="6"/>
  <c r="N3380" i="6"/>
  <c r="O3381" i="6"/>
  <c r="P3381" i="6" s="1"/>
  <c r="R3380" i="6" l="1"/>
  <c r="M3380" i="6" s="1"/>
  <c r="S3380" i="6" s="1"/>
  <c r="Q3381" i="6"/>
  <c r="N3381" i="6"/>
  <c r="O3382" i="6"/>
  <c r="P3382" i="6" s="1"/>
  <c r="R3381" i="6" l="1"/>
  <c r="M3381" i="6" s="1"/>
  <c r="S3381" i="6" s="1"/>
  <c r="Q3382" i="6"/>
  <c r="N3382" i="6"/>
  <c r="O3383" i="6"/>
  <c r="P3383" i="6" s="1"/>
  <c r="R3382" i="6" l="1"/>
  <c r="M3382" i="6" s="1"/>
  <c r="S3382" i="6" s="1"/>
  <c r="Q3383" i="6"/>
  <c r="N3383" i="6"/>
  <c r="O3384" i="6"/>
  <c r="P3384" i="6" s="1"/>
  <c r="R3383" i="6" l="1"/>
  <c r="M3383" i="6" s="1"/>
  <c r="S3383" i="6" s="1"/>
  <c r="Q3384" i="6"/>
  <c r="O3385" i="6"/>
  <c r="P3385" i="6" s="1"/>
  <c r="N3384" i="6"/>
  <c r="R3384" i="6" l="1"/>
  <c r="M3384" i="6" s="1"/>
  <c r="S3384" i="6" s="1"/>
  <c r="Q3385" i="6"/>
  <c r="O3386" i="6"/>
  <c r="P3386" i="6" s="1"/>
  <c r="N3385" i="6"/>
  <c r="R3385" i="6" l="1"/>
  <c r="M3385" i="6" s="1"/>
  <c r="S3385" i="6" s="1"/>
  <c r="Q3386" i="6"/>
  <c r="N3386" i="6"/>
  <c r="O3387" i="6"/>
  <c r="P3387" i="6" s="1"/>
  <c r="R3386" i="6" l="1"/>
  <c r="M3386" i="6" s="1"/>
  <c r="S3386" i="6" s="1"/>
  <c r="Q3387" i="6"/>
  <c r="N3387" i="6"/>
  <c r="O3388" i="6"/>
  <c r="P3388" i="6" s="1"/>
  <c r="R3387" i="6" l="1"/>
  <c r="M3387" i="6" s="1"/>
  <c r="S3387" i="6" s="1"/>
  <c r="Q3388" i="6"/>
  <c r="N3388" i="6"/>
  <c r="O3389" i="6"/>
  <c r="P3389" i="6" s="1"/>
  <c r="R3388" i="6" l="1"/>
  <c r="M3388" i="6" s="1"/>
  <c r="S3388" i="6" s="1"/>
  <c r="Q3389" i="6"/>
  <c r="N3389" i="6"/>
  <c r="O3390" i="6"/>
  <c r="P3390" i="6" s="1"/>
  <c r="R3389" i="6" l="1"/>
  <c r="M3389" i="6" s="1"/>
  <c r="S3389" i="6" s="1"/>
  <c r="Q3390" i="6"/>
  <c r="N3390" i="6"/>
  <c r="O3391" i="6"/>
  <c r="P3391" i="6" s="1"/>
  <c r="R3390" i="6" l="1"/>
  <c r="M3390" i="6" s="1"/>
  <c r="S3390" i="6" s="1"/>
  <c r="Q3391" i="6"/>
  <c r="N3391" i="6"/>
  <c r="O3392" i="6"/>
  <c r="P3392" i="6" s="1"/>
  <c r="R3391" i="6" l="1"/>
  <c r="M3391" i="6" s="1"/>
  <c r="S3391" i="6" s="1"/>
  <c r="Q3392" i="6"/>
  <c r="O3393" i="6"/>
  <c r="P3393" i="6" s="1"/>
  <c r="N3392" i="6"/>
  <c r="R3392" i="6" l="1"/>
  <c r="M3392" i="6" s="1"/>
  <c r="S3392" i="6" s="1"/>
  <c r="Q3393" i="6"/>
  <c r="O3394" i="6"/>
  <c r="P3394" i="6" s="1"/>
  <c r="N3393" i="6"/>
  <c r="R3393" i="6" l="1"/>
  <c r="M3393" i="6" s="1"/>
  <c r="S3393" i="6" s="1"/>
  <c r="Q3394" i="6"/>
  <c r="N3394" i="6"/>
  <c r="O3395" i="6"/>
  <c r="P3395" i="6" s="1"/>
  <c r="R3394" i="6" l="1"/>
  <c r="M3394" i="6" s="1"/>
  <c r="S3394" i="6" s="1"/>
  <c r="Q3395" i="6"/>
  <c r="O3396" i="6"/>
  <c r="P3396" i="6" s="1"/>
  <c r="N3395" i="6"/>
  <c r="R3395" i="6" l="1"/>
  <c r="M3395" i="6" s="1"/>
  <c r="S3395" i="6" s="1"/>
  <c r="Q3396" i="6"/>
  <c r="N3396" i="6"/>
  <c r="O3397" i="6"/>
  <c r="P3397" i="6" s="1"/>
  <c r="R3396" i="6" l="1"/>
  <c r="M3396" i="6" s="1"/>
  <c r="S3396" i="6" s="1"/>
  <c r="Q3397" i="6"/>
  <c r="O3398" i="6"/>
  <c r="P3398" i="6" s="1"/>
  <c r="N3397" i="6"/>
  <c r="R3397" i="6" l="1"/>
  <c r="M3397" i="6" s="1"/>
  <c r="S3397" i="6" s="1"/>
  <c r="Q3398" i="6"/>
  <c r="O3399" i="6"/>
  <c r="P3399" i="6" s="1"/>
  <c r="N3398" i="6"/>
  <c r="R3398" i="6" l="1"/>
  <c r="M3398" i="6" s="1"/>
  <c r="S3398" i="6" s="1"/>
  <c r="Q3399" i="6"/>
  <c r="O3400" i="6"/>
  <c r="P3400" i="6" s="1"/>
  <c r="N3399" i="6"/>
  <c r="R3399" i="6" l="1"/>
  <c r="M3399" i="6" s="1"/>
  <c r="S3399" i="6" s="1"/>
  <c r="Q3400" i="6"/>
  <c r="O3401" i="6"/>
  <c r="P3401" i="6" s="1"/>
  <c r="N3400" i="6"/>
  <c r="R3400" i="6" l="1"/>
  <c r="M3400" i="6" s="1"/>
  <c r="S3400" i="6" s="1"/>
  <c r="Q3401" i="6"/>
  <c r="N3401" i="6"/>
  <c r="O3402" i="6"/>
  <c r="P3402" i="6" s="1"/>
  <c r="R3401" i="6" l="1"/>
  <c r="M3401" i="6" s="1"/>
  <c r="S3401" i="6" s="1"/>
  <c r="Q3402" i="6"/>
  <c r="O3403" i="6"/>
  <c r="P3403" i="6" s="1"/>
  <c r="N3402" i="6"/>
  <c r="R3402" i="6" l="1"/>
  <c r="M3402" i="6" s="1"/>
  <c r="S3402" i="6" s="1"/>
  <c r="Q3403" i="6"/>
  <c r="N3403" i="6"/>
  <c r="O3404" i="6"/>
  <c r="P3404" i="6" s="1"/>
  <c r="R3403" i="6" l="1"/>
  <c r="M3403" i="6" s="1"/>
  <c r="S3403" i="6" s="1"/>
  <c r="Q3404" i="6"/>
  <c r="N3404" i="6"/>
  <c r="O3405" i="6"/>
  <c r="P3405" i="6" s="1"/>
  <c r="R3404" i="6" l="1"/>
  <c r="M3404" i="6" s="1"/>
  <c r="S3404" i="6" s="1"/>
  <c r="Q3405" i="6"/>
  <c r="O3406" i="6"/>
  <c r="P3406" i="6" s="1"/>
  <c r="N3405" i="6"/>
  <c r="R3405" i="6" l="1"/>
  <c r="M3405" i="6" s="1"/>
  <c r="S3405" i="6" s="1"/>
  <c r="Q3406" i="6"/>
  <c r="O3407" i="6"/>
  <c r="P3407" i="6" s="1"/>
  <c r="N3406" i="6"/>
  <c r="R3406" i="6" l="1"/>
  <c r="M3406" i="6" s="1"/>
  <c r="S3406" i="6" s="1"/>
  <c r="Q3407" i="6"/>
  <c r="O3408" i="6"/>
  <c r="P3408" i="6" s="1"/>
  <c r="N3407" i="6"/>
  <c r="R3407" i="6" l="1"/>
  <c r="M3407" i="6" s="1"/>
  <c r="S3407" i="6" s="1"/>
  <c r="Q3408" i="6"/>
  <c r="O3409" i="6"/>
  <c r="P3409" i="6" s="1"/>
  <c r="N3408" i="6"/>
  <c r="R3408" i="6" l="1"/>
  <c r="M3408" i="6" s="1"/>
  <c r="S3408" i="6" s="1"/>
  <c r="Q3409" i="6"/>
  <c r="N3409" i="6"/>
  <c r="O3410" i="6"/>
  <c r="P3410" i="6" s="1"/>
  <c r="R3409" i="6" l="1"/>
  <c r="M3409" i="6" s="1"/>
  <c r="S3409" i="6" s="1"/>
  <c r="Q3410" i="6"/>
  <c r="N3410" i="6"/>
  <c r="O3411" i="6"/>
  <c r="P3411" i="6" s="1"/>
  <c r="R3410" i="6" l="1"/>
  <c r="M3410" i="6" s="1"/>
  <c r="S3410" i="6" s="1"/>
  <c r="Q3411" i="6"/>
  <c r="O3412" i="6"/>
  <c r="P3412" i="6" s="1"/>
  <c r="N3411" i="6"/>
  <c r="R3411" i="6" l="1"/>
  <c r="M3411" i="6" s="1"/>
  <c r="S3411" i="6" s="1"/>
  <c r="Q3412" i="6"/>
  <c r="N3412" i="6"/>
  <c r="O3413" i="6"/>
  <c r="P3413" i="6" s="1"/>
  <c r="R3412" i="6" l="1"/>
  <c r="M3412" i="6" s="1"/>
  <c r="S3412" i="6" s="1"/>
  <c r="Q3413" i="6"/>
  <c r="O3414" i="6"/>
  <c r="P3414" i="6" s="1"/>
  <c r="N3413" i="6"/>
  <c r="R3413" i="6" l="1"/>
  <c r="M3413" i="6" s="1"/>
  <c r="S3413" i="6" s="1"/>
  <c r="Q3414" i="6"/>
  <c r="O3415" i="6"/>
  <c r="P3415" i="6" s="1"/>
  <c r="N3414" i="6"/>
  <c r="R3414" i="6" l="1"/>
  <c r="M3414" i="6" s="1"/>
  <c r="S3414" i="6" s="1"/>
  <c r="Q3415" i="6"/>
  <c r="O3416" i="6"/>
  <c r="P3416" i="6" s="1"/>
  <c r="N3415" i="6"/>
  <c r="R3415" i="6" l="1"/>
  <c r="M3415" i="6" s="1"/>
  <c r="S3415" i="6" s="1"/>
  <c r="Q3416" i="6"/>
  <c r="O3417" i="6"/>
  <c r="P3417" i="6" s="1"/>
  <c r="N3416" i="6"/>
  <c r="R3416" i="6" l="1"/>
  <c r="M3416" i="6" s="1"/>
  <c r="S3416" i="6" s="1"/>
  <c r="Q3417" i="6"/>
  <c r="N3417" i="6"/>
  <c r="O3418" i="6"/>
  <c r="P3418" i="6" s="1"/>
  <c r="R3417" i="6" l="1"/>
  <c r="M3417" i="6" s="1"/>
  <c r="S3417" i="6" s="1"/>
  <c r="Q3418" i="6"/>
  <c r="O3419" i="6"/>
  <c r="P3419" i="6" s="1"/>
  <c r="N3418" i="6"/>
  <c r="R3418" i="6" l="1"/>
  <c r="M3418" i="6" s="1"/>
  <c r="S3418" i="6" s="1"/>
  <c r="Q3419" i="6"/>
  <c r="N3419" i="6"/>
  <c r="O3420" i="6"/>
  <c r="P3420" i="6" s="1"/>
  <c r="R3419" i="6" l="1"/>
  <c r="M3419" i="6" s="1"/>
  <c r="S3419" i="6" s="1"/>
  <c r="Q3420" i="6"/>
  <c r="N3420" i="6"/>
  <c r="O3421" i="6"/>
  <c r="P3421" i="6" s="1"/>
  <c r="R3420" i="6" l="1"/>
  <c r="M3420" i="6" s="1"/>
  <c r="S3420" i="6" s="1"/>
  <c r="Q3421" i="6"/>
  <c r="O3422" i="6"/>
  <c r="P3422" i="6" s="1"/>
  <c r="N3421" i="6"/>
  <c r="R3421" i="6" l="1"/>
  <c r="M3421" i="6" s="1"/>
  <c r="S3421" i="6" s="1"/>
  <c r="Q3422" i="6"/>
  <c r="O3423" i="6"/>
  <c r="P3423" i="6" s="1"/>
  <c r="N3422" i="6"/>
  <c r="R3422" i="6" l="1"/>
  <c r="M3422" i="6" s="1"/>
  <c r="S3422" i="6" s="1"/>
  <c r="Q3423" i="6"/>
  <c r="O3424" i="6"/>
  <c r="P3424" i="6" s="1"/>
  <c r="N3423" i="6"/>
  <c r="R3423" i="6" l="1"/>
  <c r="M3423" i="6" s="1"/>
  <c r="S3423" i="6" s="1"/>
  <c r="Q3424" i="6"/>
  <c r="O3425" i="6"/>
  <c r="P3425" i="6" s="1"/>
  <c r="N3424" i="6"/>
  <c r="R3424" i="6" l="1"/>
  <c r="M3424" i="6" s="1"/>
  <c r="S3424" i="6" s="1"/>
  <c r="Q3425" i="6"/>
  <c r="N3425" i="6"/>
  <c r="O3426" i="6"/>
  <c r="P3426" i="6" s="1"/>
  <c r="R3425" i="6" l="1"/>
  <c r="M3425" i="6" s="1"/>
  <c r="S3425" i="6" s="1"/>
  <c r="Q3426" i="6"/>
  <c r="O3427" i="6"/>
  <c r="P3427" i="6" s="1"/>
  <c r="N3426" i="6"/>
  <c r="R3426" i="6" l="1"/>
  <c r="M3426" i="6" s="1"/>
  <c r="S3426" i="6" s="1"/>
  <c r="Q3427" i="6"/>
  <c r="N3427" i="6"/>
  <c r="O3428" i="6"/>
  <c r="P3428" i="6" s="1"/>
  <c r="R3427" i="6" l="1"/>
  <c r="M3427" i="6" s="1"/>
  <c r="S3427" i="6" s="1"/>
  <c r="Q3428" i="6"/>
  <c r="N3428" i="6"/>
  <c r="O3429" i="6"/>
  <c r="P3429" i="6" s="1"/>
  <c r="R3428" i="6" l="1"/>
  <c r="M3428" i="6" s="1"/>
  <c r="S3428" i="6" s="1"/>
  <c r="Q3429" i="6"/>
  <c r="O3430" i="6"/>
  <c r="P3430" i="6" s="1"/>
  <c r="N3429" i="6"/>
  <c r="R3429" i="6" l="1"/>
  <c r="M3429" i="6" s="1"/>
  <c r="S3429" i="6" s="1"/>
  <c r="Q3430" i="6"/>
  <c r="O3431" i="6"/>
  <c r="P3431" i="6" s="1"/>
  <c r="N3430" i="6"/>
  <c r="R3430" i="6" l="1"/>
  <c r="M3430" i="6" s="1"/>
  <c r="S3430" i="6" s="1"/>
  <c r="Q3431" i="6"/>
  <c r="O3432" i="6"/>
  <c r="P3432" i="6" s="1"/>
  <c r="N3431" i="6"/>
  <c r="R3431" i="6" l="1"/>
  <c r="M3431" i="6" s="1"/>
  <c r="S3431" i="6" s="1"/>
  <c r="Q3432" i="6"/>
  <c r="O3433" i="6"/>
  <c r="P3433" i="6" s="1"/>
  <c r="N3432" i="6"/>
  <c r="R3432" i="6" l="1"/>
  <c r="M3432" i="6" s="1"/>
  <c r="S3432" i="6" s="1"/>
  <c r="Q3433" i="6"/>
  <c r="N3433" i="6"/>
  <c r="O3434" i="6"/>
  <c r="P3434" i="6" s="1"/>
  <c r="R3433" i="6" l="1"/>
  <c r="M3433" i="6" s="1"/>
  <c r="S3433" i="6" s="1"/>
  <c r="Q3434" i="6"/>
  <c r="O3435" i="6"/>
  <c r="P3435" i="6" s="1"/>
  <c r="N3434" i="6"/>
  <c r="R3434" i="6" l="1"/>
  <c r="M3434" i="6" s="1"/>
  <c r="S3434" i="6" s="1"/>
  <c r="Q3435" i="6"/>
  <c r="N3435" i="6"/>
  <c r="O3436" i="6"/>
  <c r="P3436" i="6" s="1"/>
  <c r="R3435" i="6" l="1"/>
  <c r="M3435" i="6" s="1"/>
  <c r="S3435" i="6" s="1"/>
  <c r="Q3436" i="6"/>
  <c r="N3436" i="6"/>
  <c r="O3437" i="6"/>
  <c r="P3437" i="6" s="1"/>
  <c r="R3436" i="6" l="1"/>
  <c r="M3436" i="6" s="1"/>
  <c r="S3436" i="6" s="1"/>
  <c r="Q3437" i="6"/>
  <c r="O3438" i="6"/>
  <c r="P3438" i="6" s="1"/>
  <c r="N3437" i="6"/>
  <c r="R3437" i="6" l="1"/>
  <c r="M3437" i="6" s="1"/>
  <c r="S3437" i="6" s="1"/>
  <c r="Q3438" i="6"/>
  <c r="O3439" i="6"/>
  <c r="P3439" i="6" s="1"/>
  <c r="N3438" i="6"/>
  <c r="R3438" i="6" l="1"/>
  <c r="M3438" i="6" s="1"/>
  <c r="S3438" i="6" s="1"/>
  <c r="Q3439" i="6"/>
  <c r="O3440" i="6"/>
  <c r="P3440" i="6" s="1"/>
  <c r="N3439" i="6"/>
  <c r="R3439" i="6" l="1"/>
  <c r="M3439" i="6" s="1"/>
  <c r="S3439" i="6" s="1"/>
  <c r="Q3440" i="6"/>
  <c r="O3441" i="6"/>
  <c r="P3441" i="6" s="1"/>
  <c r="N3440" i="6"/>
  <c r="R3440" i="6" l="1"/>
  <c r="M3440" i="6" s="1"/>
  <c r="S3440" i="6" s="1"/>
  <c r="Q3441" i="6"/>
  <c r="N3441" i="6"/>
  <c r="O3442" i="6"/>
  <c r="P3442" i="6" s="1"/>
  <c r="R3441" i="6" l="1"/>
  <c r="M3441" i="6" s="1"/>
  <c r="S3441" i="6" s="1"/>
  <c r="Q3442" i="6"/>
  <c r="N3442" i="6"/>
  <c r="O3443" i="6"/>
  <c r="P3443" i="6" s="1"/>
  <c r="R3442" i="6" l="1"/>
  <c r="M3442" i="6" s="1"/>
  <c r="S3442" i="6" s="1"/>
  <c r="Q3443" i="6"/>
  <c r="O3444" i="6"/>
  <c r="P3444" i="6" s="1"/>
  <c r="N3443" i="6"/>
  <c r="R3443" i="6" l="1"/>
  <c r="M3443" i="6" s="1"/>
  <c r="S3443" i="6" s="1"/>
  <c r="Q3444" i="6"/>
  <c r="O3445" i="6"/>
  <c r="P3445" i="6" s="1"/>
  <c r="N3444" i="6"/>
  <c r="R3444" i="6" l="1"/>
  <c r="M3444" i="6" s="1"/>
  <c r="S3444" i="6" s="1"/>
  <c r="Q3445" i="6"/>
  <c r="O3446" i="6"/>
  <c r="P3446" i="6" s="1"/>
  <c r="N3445" i="6"/>
  <c r="R3445" i="6" l="1"/>
  <c r="M3445" i="6" s="1"/>
  <c r="S3445" i="6" s="1"/>
  <c r="Q3446" i="6"/>
  <c r="O3447" i="6"/>
  <c r="P3447" i="6" s="1"/>
  <c r="N3446" i="6"/>
  <c r="R3446" i="6" l="1"/>
  <c r="M3446" i="6" s="1"/>
  <c r="S3446" i="6" s="1"/>
  <c r="Q3447" i="6"/>
  <c r="N3447" i="6"/>
  <c r="O3448" i="6"/>
  <c r="P3448" i="6" s="1"/>
  <c r="R3447" i="6" l="1"/>
  <c r="M3447" i="6" s="1"/>
  <c r="S3447" i="6" s="1"/>
  <c r="Q3448" i="6"/>
  <c r="O3449" i="6"/>
  <c r="P3449" i="6" s="1"/>
  <c r="N3448" i="6"/>
  <c r="R3448" i="6" l="1"/>
  <c r="M3448" i="6" s="1"/>
  <c r="S3448" i="6" s="1"/>
  <c r="Q3449" i="6"/>
  <c r="N3449" i="6"/>
  <c r="O3450" i="6"/>
  <c r="P3450" i="6" s="1"/>
  <c r="R3449" i="6" l="1"/>
  <c r="M3449" i="6" s="1"/>
  <c r="S3449" i="6" s="1"/>
  <c r="Q3450" i="6"/>
  <c r="N3450" i="6"/>
  <c r="O3451" i="6"/>
  <c r="P3451" i="6" s="1"/>
  <c r="R3450" i="6" l="1"/>
  <c r="M3450" i="6" s="1"/>
  <c r="S3450" i="6" s="1"/>
  <c r="Q3451" i="6"/>
  <c r="O3452" i="6"/>
  <c r="P3452" i="6" s="1"/>
  <c r="N3451" i="6"/>
  <c r="R3451" i="6" l="1"/>
  <c r="M3451" i="6" s="1"/>
  <c r="S3451" i="6" s="1"/>
  <c r="Q3452" i="6"/>
  <c r="N3452" i="6"/>
  <c r="O3453" i="6"/>
  <c r="P3453" i="6" s="1"/>
  <c r="R3452" i="6" l="1"/>
  <c r="M3452" i="6" s="1"/>
  <c r="S3452" i="6" s="1"/>
  <c r="Q3453" i="6"/>
  <c r="O3454" i="6"/>
  <c r="P3454" i="6" s="1"/>
  <c r="N3453" i="6"/>
  <c r="R3453" i="6" l="1"/>
  <c r="M3453" i="6" s="1"/>
  <c r="S3453" i="6" s="1"/>
  <c r="Q3454" i="6"/>
  <c r="O3455" i="6"/>
  <c r="P3455" i="6" s="1"/>
  <c r="N3454" i="6"/>
  <c r="R3454" i="6" l="1"/>
  <c r="M3454" i="6" s="1"/>
  <c r="S3454" i="6" s="1"/>
  <c r="Q3455" i="6"/>
  <c r="O3456" i="6"/>
  <c r="P3456" i="6" s="1"/>
  <c r="N3455" i="6"/>
  <c r="R3455" i="6" l="1"/>
  <c r="M3455" i="6" s="1"/>
  <c r="S3455" i="6" s="1"/>
  <c r="Q3456" i="6"/>
  <c r="O3457" i="6"/>
  <c r="P3457" i="6" s="1"/>
  <c r="N3456" i="6"/>
  <c r="R3456" i="6" l="1"/>
  <c r="M3456" i="6" s="1"/>
  <c r="S3456" i="6" s="1"/>
  <c r="Q3457" i="6"/>
  <c r="N3457" i="6"/>
  <c r="O3458" i="6"/>
  <c r="P3458" i="6" s="1"/>
  <c r="R3457" i="6" l="1"/>
  <c r="M3457" i="6" s="1"/>
  <c r="S3457" i="6" s="1"/>
  <c r="Q3458" i="6"/>
  <c r="N3458" i="6"/>
  <c r="O3459" i="6"/>
  <c r="P3459" i="6" s="1"/>
  <c r="R3458" i="6" l="1"/>
  <c r="M3458" i="6" s="1"/>
  <c r="S3458" i="6" s="1"/>
  <c r="Q3459" i="6"/>
  <c r="N3459" i="6"/>
  <c r="O3460" i="6"/>
  <c r="P3460" i="6" s="1"/>
  <c r="R3459" i="6" l="1"/>
  <c r="M3459" i="6" s="1"/>
  <c r="S3459" i="6" s="1"/>
  <c r="Q3460" i="6"/>
  <c r="O3461" i="6"/>
  <c r="P3461" i="6" s="1"/>
  <c r="N3460" i="6"/>
  <c r="R3460" i="6" l="1"/>
  <c r="M3460" i="6" s="1"/>
  <c r="S3460" i="6" s="1"/>
  <c r="Q3461" i="6"/>
  <c r="O3462" i="6"/>
  <c r="P3462" i="6" s="1"/>
  <c r="N3461" i="6"/>
  <c r="R3461" i="6" l="1"/>
  <c r="M3461" i="6" s="1"/>
  <c r="S3461" i="6" s="1"/>
  <c r="Q3462" i="6"/>
  <c r="N3462" i="6"/>
  <c r="O3463" i="6"/>
  <c r="P3463" i="6" s="1"/>
  <c r="R3462" i="6" l="1"/>
  <c r="M3462" i="6" s="1"/>
  <c r="S3462" i="6" s="1"/>
  <c r="Q3463" i="6"/>
  <c r="O3464" i="6"/>
  <c r="P3464" i="6" s="1"/>
  <c r="N3463" i="6"/>
  <c r="R3463" i="6" l="1"/>
  <c r="M3463" i="6" s="1"/>
  <c r="S3463" i="6" s="1"/>
  <c r="Q3464" i="6"/>
  <c r="O3465" i="6"/>
  <c r="P3465" i="6" s="1"/>
  <c r="N3464" i="6"/>
  <c r="R3464" i="6" l="1"/>
  <c r="M3464" i="6" s="1"/>
  <c r="S3464" i="6" s="1"/>
  <c r="Q3465" i="6"/>
  <c r="N3465" i="6"/>
  <c r="O3466" i="6"/>
  <c r="P3466" i="6" s="1"/>
  <c r="R3465" i="6" l="1"/>
  <c r="M3465" i="6" s="1"/>
  <c r="S3465" i="6" s="1"/>
  <c r="Q3466" i="6"/>
  <c r="N3466" i="6"/>
  <c r="O3467" i="6"/>
  <c r="P3467" i="6" s="1"/>
  <c r="R3466" i="6" l="1"/>
  <c r="M3466" i="6" s="1"/>
  <c r="S3466" i="6" s="1"/>
  <c r="Q3467" i="6"/>
  <c r="N3467" i="6"/>
  <c r="O3468" i="6"/>
  <c r="P3468" i="6" s="1"/>
  <c r="R3467" i="6" l="1"/>
  <c r="M3467" i="6" s="1"/>
  <c r="S3467" i="6" s="1"/>
  <c r="Q3468" i="6"/>
  <c r="N3468" i="6"/>
  <c r="O3469" i="6"/>
  <c r="P3469" i="6" s="1"/>
  <c r="R3468" i="6" l="1"/>
  <c r="M3468" i="6" s="1"/>
  <c r="S3468" i="6" s="1"/>
  <c r="Q3469" i="6"/>
  <c r="O3470" i="6"/>
  <c r="P3470" i="6" s="1"/>
  <c r="N3469" i="6"/>
  <c r="R3469" i="6" l="1"/>
  <c r="M3469" i="6" s="1"/>
  <c r="S3469" i="6" s="1"/>
  <c r="Q3470" i="6"/>
  <c r="O3471" i="6"/>
  <c r="P3471" i="6" s="1"/>
  <c r="N3470" i="6"/>
  <c r="R3470" i="6" l="1"/>
  <c r="M3470" i="6" s="1"/>
  <c r="S3470" i="6" s="1"/>
  <c r="Q3471" i="6"/>
  <c r="O3472" i="6"/>
  <c r="P3472" i="6" s="1"/>
  <c r="N3471" i="6"/>
  <c r="R3471" i="6" l="1"/>
  <c r="M3471" i="6" s="1"/>
  <c r="S3471" i="6" s="1"/>
  <c r="Q3472" i="6"/>
  <c r="O3473" i="6"/>
  <c r="P3473" i="6" s="1"/>
  <c r="N3472" i="6"/>
  <c r="R3472" i="6" l="1"/>
  <c r="M3472" i="6" s="1"/>
  <c r="S3472" i="6" s="1"/>
  <c r="Q3473" i="6"/>
  <c r="N3473" i="6"/>
  <c r="O3474" i="6"/>
  <c r="P3474" i="6" s="1"/>
  <c r="R3473" i="6" l="1"/>
  <c r="M3473" i="6" s="1"/>
  <c r="S3473" i="6" s="1"/>
  <c r="Q3474" i="6"/>
  <c r="N3474" i="6"/>
  <c r="O3475" i="6"/>
  <c r="P3475" i="6" s="1"/>
  <c r="R3474" i="6" l="1"/>
  <c r="M3474" i="6" s="1"/>
  <c r="S3474" i="6" s="1"/>
  <c r="Q3475" i="6"/>
  <c r="N3475" i="6"/>
  <c r="O3476" i="6"/>
  <c r="P3476" i="6" s="1"/>
  <c r="R3475" i="6" l="1"/>
  <c r="M3475" i="6" s="1"/>
  <c r="S3475" i="6" s="1"/>
  <c r="Q3476" i="6"/>
  <c r="O3477" i="6"/>
  <c r="P3477" i="6" s="1"/>
  <c r="N3476" i="6"/>
  <c r="R3476" i="6" l="1"/>
  <c r="M3476" i="6" s="1"/>
  <c r="S3476" i="6" s="1"/>
  <c r="Q3477" i="6"/>
  <c r="N3477" i="6"/>
  <c r="R3477" i="6" l="1"/>
  <c r="M3477" i="6" s="1"/>
  <c r="S3477" i="6" l="1"/>
  <c r="V28" i="7" l="1"/>
  <c r="T28" i="7"/>
  <c r="U28" i="7"/>
  <c r="T25" i="7" s="1"/>
  <c r="W28" i="7" l="1"/>
  <c r="G5" i="6"/>
  <c r="H5" i="6" l="1"/>
  <c r="F6" i="6" s="1"/>
  <c r="L12" i="5"/>
  <c r="AF5" i="6"/>
  <c r="D6" i="6" l="1"/>
  <c r="G6" i="6"/>
  <c r="L13" i="5" s="1"/>
  <c r="E6" i="6"/>
  <c r="I6" i="6"/>
  <c r="H6" i="6" l="1"/>
  <c r="F7" i="6" s="1"/>
  <c r="AE6" i="6"/>
  <c r="AF6" i="6"/>
  <c r="D7" i="6" l="1"/>
  <c r="G7" i="6"/>
  <c r="L14" i="5" s="1"/>
  <c r="I7" i="6"/>
  <c r="E7" i="6"/>
  <c r="AF7" i="6" l="1"/>
  <c r="H7" i="6"/>
  <c r="F8" i="6" s="1"/>
  <c r="AE7" i="6"/>
  <c r="D8" i="6" l="1"/>
  <c r="G8" i="6"/>
  <c r="AF8" i="6" s="1"/>
  <c r="I8" i="6"/>
  <c r="E8" i="6"/>
  <c r="H8" i="6" l="1"/>
  <c r="E9" i="6" s="1"/>
  <c r="AE8" i="6"/>
  <c r="L15" i="5"/>
  <c r="I9" i="6" l="1"/>
  <c r="F9" i="6"/>
  <c r="D9" i="6"/>
  <c r="G9" i="6"/>
  <c r="AF9" i="6" s="1"/>
  <c r="AE9" i="6" l="1"/>
  <c r="L16" i="5"/>
  <c r="H9" i="6"/>
  <c r="D10" i="6" s="1"/>
  <c r="G10" i="6" l="1"/>
  <c r="AF10" i="6" s="1"/>
  <c r="E10" i="6"/>
  <c r="F10" i="6"/>
  <c r="I10" i="6"/>
  <c r="L17" i="5" l="1"/>
  <c r="H10" i="6"/>
  <c r="I11" i="6" s="1"/>
  <c r="AE10" i="6"/>
  <c r="F11" i="6" l="1"/>
  <c r="G11" i="6"/>
  <c r="AF11" i="6" s="1"/>
  <c r="E11" i="6"/>
  <c r="D11" i="6"/>
  <c r="H11" i="6" l="1"/>
  <c r="G12" i="6" s="1"/>
  <c r="AF12" i="6" s="1"/>
  <c r="AE11" i="6"/>
  <c r="L18" i="5"/>
  <c r="D12" i="6" l="1"/>
  <c r="H12" i="6" s="1"/>
  <c r="E13" i="6" s="1"/>
  <c r="E12" i="6"/>
  <c r="I12" i="6"/>
  <c r="F12" i="6"/>
  <c r="L19" i="5"/>
  <c r="AE12" i="6"/>
  <c r="D13" i="6" l="1"/>
  <c r="G13" i="6"/>
  <c r="AF13" i="6" s="1"/>
  <c r="I13" i="6"/>
  <c r="F13" i="6"/>
  <c r="H13" i="6" l="1"/>
  <c r="F14" i="6" s="1"/>
  <c r="L20" i="5"/>
  <c r="AE13" i="6"/>
  <c r="G14" i="6" l="1"/>
  <c r="AF14" i="6" s="1"/>
  <c r="E14" i="6"/>
  <c r="D14" i="6"/>
  <c r="I14" i="6"/>
  <c r="H14" i="6" l="1"/>
  <c r="D15" i="6" s="1"/>
  <c r="AE14" i="6"/>
  <c r="L21" i="5"/>
  <c r="G15" i="6" l="1"/>
  <c r="H15" i="6" s="1"/>
  <c r="F16" i="6" s="1"/>
  <c r="E15" i="6"/>
  <c r="F15" i="6"/>
  <c r="I15" i="6"/>
  <c r="L22" i="5" l="1"/>
  <c r="AF15" i="6"/>
  <c r="AE15" i="6"/>
  <c r="D16" i="6"/>
  <c r="E16" i="6"/>
  <c r="I16" i="6"/>
  <c r="G16" i="6"/>
  <c r="AF16" i="6" l="1"/>
  <c r="L23" i="5"/>
  <c r="H16" i="6"/>
  <c r="D17" i="6" s="1"/>
  <c r="AE16" i="6"/>
  <c r="F17" i="6" l="1"/>
  <c r="I17" i="6"/>
  <c r="G17" i="6"/>
  <c r="E17" i="6"/>
  <c r="AF17" i="6" l="1"/>
  <c r="L24" i="5"/>
  <c r="H17" i="6"/>
  <c r="F18" i="6" s="1"/>
  <c r="AE17" i="6"/>
  <c r="G18" i="6" l="1"/>
  <c r="E18" i="6"/>
  <c r="D18" i="6"/>
  <c r="I18" i="6"/>
  <c r="AF18" i="6" l="1"/>
  <c r="L25" i="5"/>
  <c r="H18" i="6"/>
  <c r="G19" i="6" s="1"/>
  <c r="AE18" i="6"/>
  <c r="AF19" i="6" l="1"/>
  <c r="L26" i="5"/>
  <c r="I19" i="6"/>
  <c r="F19" i="6"/>
  <c r="E19" i="6"/>
  <c r="D19" i="6"/>
  <c r="H19" i="6" s="1"/>
  <c r="F20" i="6" s="1"/>
  <c r="AE19" i="6"/>
  <c r="G20" i="6" l="1"/>
  <c r="I20" i="6"/>
  <c r="E20" i="6"/>
  <c r="D20" i="6"/>
  <c r="AF20" i="6" l="1"/>
  <c r="L27" i="5"/>
  <c r="H20" i="6"/>
  <c r="G21" i="6" s="1"/>
  <c r="AE20" i="6"/>
  <c r="AF21" i="6" l="1"/>
  <c r="L28" i="5"/>
  <c r="I21" i="6"/>
  <c r="E21" i="6"/>
  <c r="D21" i="6"/>
  <c r="H21" i="6" s="1"/>
  <c r="G22" i="6" s="1"/>
  <c r="F21" i="6"/>
  <c r="AE21" i="6"/>
  <c r="AF22" i="6" l="1"/>
  <c r="L29" i="5"/>
  <c r="E22" i="6"/>
  <c r="F22" i="6"/>
  <c r="AE22" i="6"/>
  <c r="D22" i="6"/>
  <c r="H22" i="6" s="1"/>
  <c r="I23" i="6" s="1"/>
  <c r="I22" i="6"/>
  <c r="F23" i="6" l="1"/>
  <c r="E23" i="6"/>
  <c r="D23" i="6"/>
  <c r="G23" i="6"/>
  <c r="AF23" i="6" l="1"/>
  <c r="L30" i="5"/>
  <c r="H23" i="6"/>
  <c r="G24" i="6" s="1"/>
  <c r="AE23" i="6"/>
  <c r="AF24" i="6" l="1"/>
  <c r="L31" i="5"/>
  <c r="E24" i="6"/>
  <c r="I24" i="6"/>
  <c r="F24" i="6"/>
  <c r="AE24" i="6"/>
  <c r="D24" i="6"/>
  <c r="H24" i="6" s="1"/>
  <c r="I25" i="6" s="1"/>
  <c r="D25" i="6" l="1"/>
  <c r="G25" i="6"/>
  <c r="F25" i="6"/>
  <c r="E25" i="6"/>
  <c r="AF25" i="6" l="1"/>
  <c r="L32" i="5"/>
  <c r="H25" i="6"/>
  <c r="G26" i="6" s="1"/>
  <c r="AE25" i="6"/>
  <c r="AF26" i="6" l="1"/>
  <c r="L33" i="5"/>
  <c r="I26" i="6"/>
  <c r="E26" i="6"/>
  <c r="F26" i="6"/>
  <c r="D26" i="6"/>
  <c r="H26" i="6" s="1"/>
  <c r="AE26" i="6"/>
  <c r="F27" i="6" l="1"/>
  <c r="D27" i="6"/>
  <c r="G27" i="6"/>
  <c r="E27" i="6"/>
  <c r="I27" i="6"/>
  <c r="AF27" i="6" l="1"/>
  <c r="L34" i="5"/>
  <c r="H27" i="6"/>
  <c r="I28" i="6" s="1"/>
  <c r="AE27" i="6"/>
  <c r="G28" i="6" l="1"/>
  <c r="E28" i="6"/>
  <c r="D28" i="6"/>
  <c r="F28" i="6"/>
  <c r="AF28" i="6" l="1"/>
  <c r="L35" i="5"/>
  <c r="AE28" i="6"/>
  <c r="H28" i="6"/>
  <c r="E29" i="6" s="1"/>
  <c r="I29" i="6" l="1"/>
  <c r="D29" i="6"/>
  <c r="G29" i="6"/>
  <c r="F29" i="6"/>
  <c r="AF29" i="6" l="1"/>
  <c r="L36" i="5"/>
  <c r="H29" i="6"/>
  <c r="F30" i="6" s="1"/>
  <c r="AE29" i="6"/>
  <c r="I30" i="6" l="1"/>
  <c r="E30" i="6"/>
  <c r="D30" i="6"/>
  <c r="G30" i="6"/>
  <c r="AF30" i="6" l="1"/>
  <c r="L37" i="5"/>
  <c r="AE30" i="6"/>
  <c r="H30" i="6"/>
  <c r="G31" i="6" l="1"/>
  <c r="E31" i="6"/>
  <c r="F31" i="6"/>
  <c r="I31" i="6"/>
  <c r="D31" i="6"/>
  <c r="AF31" i="6" l="1"/>
  <c r="L38" i="5"/>
  <c r="H31" i="6"/>
  <c r="G32" i="6" s="1"/>
  <c r="AE31" i="6"/>
  <c r="AF32" i="6" l="1"/>
  <c r="L39" i="5"/>
  <c r="D32" i="6"/>
  <c r="H32" i="6" s="1"/>
  <c r="D33" i="6" s="1"/>
  <c r="E32" i="6"/>
  <c r="I32" i="6"/>
  <c r="AE32" i="6"/>
  <c r="F32" i="6"/>
  <c r="G33" i="6" l="1"/>
  <c r="F33" i="6"/>
  <c r="I33" i="6"/>
  <c r="E33" i="6"/>
  <c r="AF33" i="6" l="1"/>
  <c r="L40" i="5"/>
  <c r="AE33" i="6"/>
  <c r="H33" i="6"/>
  <c r="E34" i="6" s="1"/>
  <c r="F34" i="6" l="1"/>
  <c r="I34" i="6"/>
  <c r="G34" i="6"/>
  <c r="D34" i="6"/>
  <c r="AF34" i="6" l="1"/>
  <c r="L41" i="5"/>
  <c r="H34" i="6"/>
  <c r="AE34" i="6"/>
  <c r="I35" i="6" l="1"/>
  <c r="G35" i="6"/>
  <c r="D35" i="6"/>
  <c r="F35" i="6"/>
  <c r="E35" i="6"/>
  <c r="AF35" i="6" l="1"/>
  <c r="L42" i="5"/>
  <c r="H35" i="6"/>
  <c r="I36" i="6" s="1"/>
  <c r="AE35" i="6"/>
  <c r="D36" i="6" l="1"/>
  <c r="G36" i="6"/>
  <c r="F36" i="6"/>
  <c r="E36" i="6"/>
  <c r="AF36" i="6" l="1"/>
  <c r="L43" i="5"/>
  <c r="AE36" i="6"/>
  <c r="H36" i="6"/>
  <c r="D37" i="6" s="1"/>
  <c r="F37" i="6" l="1"/>
  <c r="G37" i="6"/>
  <c r="I37" i="6"/>
  <c r="E37" i="6"/>
  <c r="AF37" i="6" l="1"/>
  <c r="L44" i="5"/>
  <c r="AE37" i="6"/>
  <c r="H37" i="6"/>
  <c r="G38" i="6" s="1"/>
  <c r="AF38" i="6" l="1"/>
  <c r="L45" i="5"/>
  <c r="I38" i="6"/>
  <c r="E38" i="6"/>
  <c r="F38" i="6"/>
  <c r="D38" i="6"/>
  <c r="H38" i="6" s="1"/>
  <c r="AE38" i="6"/>
  <c r="I39" i="6" l="1"/>
  <c r="G39" i="6"/>
  <c r="D39" i="6"/>
  <c r="F39" i="6"/>
  <c r="E39" i="6"/>
  <c r="AF39" i="6" l="1"/>
  <c r="L46" i="5"/>
  <c r="H39" i="6"/>
  <c r="F40" i="6" s="1"/>
  <c r="AE39" i="6"/>
  <c r="D40" i="6" l="1"/>
  <c r="E40" i="6"/>
  <c r="G40" i="6"/>
  <c r="I40" i="6"/>
  <c r="AF40" i="6" l="1"/>
  <c r="L47" i="5"/>
  <c r="AE40" i="6"/>
  <c r="H40" i="6"/>
  <c r="I41" i="6" s="1"/>
  <c r="F41" i="6" l="1"/>
  <c r="E41" i="6"/>
  <c r="G41" i="6"/>
  <c r="D41" i="6"/>
  <c r="AF41" i="6" l="1"/>
  <c r="L48" i="5"/>
  <c r="H41" i="6"/>
  <c r="G42" i="6" s="1"/>
  <c r="AE41" i="6"/>
  <c r="AF42" i="6" l="1"/>
  <c r="L49" i="5"/>
  <c r="E42" i="6"/>
  <c r="D42" i="6"/>
  <c r="H42" i="6" s="1"/>
  <c r="I42" i="6"/>
  <c r="F42" i="6"/>
  <c r="AE42" i="6"/>
  <c r="E43" i="6" l="1"/>
  <c r="G43" i="6"/>
  <c r="I43" i="6"/>
  <c r="D43" i="6"/>
  <c r="F43" i="6"/>
  <c r="AF43" i="6" l="1"/>
  <c r="L50" i="5"/>
  <c r="H43" i="6"/>
  <c r="D44" i="6" s="1"/>
  <c r="AE43" i="6"/>
  <c r="F44" i="6" l="1"/>
  <c r="G44" i="6"/>
  <c r="I44" i="6"/>
  <c r="E44" i="6"/>
  <c r="AF44" i="6" l="1"/>
  <c r="L51" i="5"/>
  <c r="AE44" i="6"/>
  <c r="H44" i="6"/>
  <c r="E45" i="6" s="1"/>
  <c r="G45" i="6" l="1"/>
  <c r="D45" i="6"/>
  <c r="F45" i="6"/>
  <c r="I45" i="6"/>
  <c r="AF45" i="6" l="1"/>
  <c r="L52" i="5"/>
  <c r="H45" i="6"/>
  <c r="F46" i="6" s="1"/>
  <c r="AE45" i="6"/>
  <c r="I46" i="6" l="1"/>
  <c r="G46" i="6"/>
  <c r="D46" i="6"/>
  <c r="E46" i="6"/>
  <c r="AF46" i="6" l="1"/>
  <c r="L53" i="5"/>
  <c r="H46" i="6"/>
  <c r="F47" i="6" s="1"/>
  <c r="AE46" i="6"/>
  <c r="I47" i="6" l="1"/>
  <c r="D47" i="6"/>
  <c r="G47" i="6"/>
  <c r="E47" i="6"/>
  <c r="AF47" i="6" l="1"/>
  <c r="L54" i="5"/>
  <c r="H47" i="6"/>
  <c r="I48" i="6" s="1"/>
  <c r="AE47" i="6"/>
  <c r="D48" i="6" l="1"/>
  <c r="F48" i="6"/>
  <c r="E48" i="6"/>
  <c r="G48" i="6"/>
  <c r="AF48" i="6" l="1"/>
  <c r="L55" i="5"/>
  <c r="AE48" i="6"/>
  <c r="H48" i="6"/>
  <c r="F49" i="6" l="1"/>
  <c r="G49" i="6"/>
  <c r="I49" i="6"/>
  <c r="E49" i="6"/>
  <c r="D49" i="6"/>
  <c r="AF49" i="6" l="1"/>
  <c r="L56" i="5"/>
  <c r="H49" i="6"/>
  <c r="AE49" i="6"/>
  <c r="G50" i="6" l="1"/>
  <c r="E50" i="6"/>
  <c r="D50" i="6"/>
  <c r="F50" i="6"/>
  <c r="I50" i="6"/>
  <c r="AF50" i="6" l="1"/>
  <c r="L57" i="5"/>
  <c r="H50" i="6"/>
  <c r="I51" i="6" s="1"/>
  <c r="AE50" i="6"/>
  <c r="D51" i="6" l="1"/>
  <c r="G51" i="6"/>
  <c r="E51" i="6"/>
  <c r="F51" i="6"/>
  <c r="AF51" i="6" l="1"/>
  <c r="L58" i="5"/>
  <c r="H51" i="6"/>
  <c r="I52" i="6" s="1"/>
  <c r="AE51" i="6"/>
  <c r="E52" i="6" l="1"/>
  <c r="D52" i="6"/>
  <c r="F52" i="6"/>
  <c r="G52" i="6"/>
  <c r="AF52" i="6" l="1"/>
  <c r="L59" i="5"/>
  <c r="AE52" i="6"/>
  <c r="H52" i="6"/>
  <c r="E53" i="6" s="1"/>
  <c r="I53" i="6" l="1"/>
  <c r="G53" i="6"/>
  <c r="D53" i="6"/>
  <c r="F53" i="6"/>
  <c r="AF53" i="6" l="1"/>
  <c r="L60" i="5"/>
  <c r="H53" i="6"/>
  <c r="F54" i="6" s="1"/>
  <c r="AE53" i="6"/>
  <c r="G54" i="6" l="1"/>
  <c r="E54" i="6"/>
  <c r="D54" i="6"/>
  <c r="I54" i="6"/>
  <c r="AF54" i="6" l="1"/>
  <c r="L61" i="5"/>
  <c r="H54" i="6"/>
  <c r="E55" i="6" s="1"/>
  <c r="AE54" i="6"/>
  <c r="D55" i="6" l="1"/>
  <c r="F55" i="6"/>
  <c r="G55" i="6"/>
  <c r="I55" i="6"/>
  <c r="AF55" i="6" l="1"/>
  <c r="L62" i="5"/>
  <c r="AE55" i="6"/>
  <c r="H55" i="6"/>
  <c r="D56" i="6" s="1"/>
  <c r="G56" i="6" l="1"/>
  <c r="E56" i="6"/>
  <c r="F56" i="6"/>
  <c r="I56" i="6"/>
  <c r="AF56" i="6" l="1"/>
  <c r="L63" i="5"/>
  <c r="H56" i="6"/>
  <c r="D57" i="6" s="1"/>
  <c r="AE56" i="6"/>
  <c r="F57" i="6" l="1"/>
  <c r="I57" i="6"/>
  <c r="G57" i="6"/>
  <c r="E57" i="6"/>
  <c r="AF57" i="6" l="1"/>
  <c r="L64" i="5"/>
  <c r="H57" i="6"/>
  <c r="G58" i="6" s="1"/>
  <c r="AE57" i="6"/>
  <c r="AF58" i="6" l="1"/>
  <c r="L65" i="5"/>
  <c r="D58" i="6"/>
  <c r="H58" i="6" s="1"/>
  <c r="E58" i="6"/>
  <c r="F58" i="6"/>
  <c r="AE58" i="6"/>
  <c r="I58" i="6"/>
  <c r="D59" i="6" l="1"/>
  <c r="I59" i="6"/>
  <c r="E59" i="6"/>
  <c r="F59" i="6"/>
  <c r="G59" i="6"/>
  <c r="AF59" i="6" l="1"/>
  <c r="L66" i="5"/>
  <c r="H59" i="6"/>
  <c r="E60" i="6" s="1"/>
  <c r="AE59" i="6"/>
  <c r="I60" i="6" l="1"/>
  <c r="D60" i="6"/>
  <c r="G60" i="6"/>
  <c r="F60" i="6"/>
  <c r="AF60" i="6" l="1"/>
  <c r="L67" i="5"/>
  <c r="AE60" i="6"/>
  <c r="H60" i="6"/>
  <c r="E61" i="6" s="1"/>
  <c r="I61" i="6" l="1"/>
  <c r="D61" i="6"/>
  <c r="F61" i="6"/>
  <c r="G61" i="6"/>
  <c r="AF61" i="6" l="1"/>
  <c r="L68" i="5"/>
  <c r="AE61" i="6"/>
  <c r="H61" i="6"/>
  <c r="D62" i="6" s="1"/>
  <c r="F62" i="6" l="1"/>
  <c r="E62" i="6"/>
  <c r="I62" i="6"/>
  <c r="G62" i="6"/>
  <c r="AF62" i="6" l="1"/>
  <c r="L69" i="5"/>
  <c r="H62" i="6"/>
  <c r="G63" i="6" s="1"/>
  <c r="AE62" i="6"/>
  <c r="AF63" i="6" l="1"/>
  <c r="L70" i="5"/>
  <c r="I63" i="6"/>
  <c r="E63" i="6"/>
  <c r="D63" i="6"/>
  <c r="H63" i="6" s="1"/>
  <c r="F63" i="6"/>
  <c r="AE63" i="6"/>
  <c r="D64" i="6" l="1"/>
  <c r="E64" i="6"/>
  <c r="I64" i="6"/>
  <c r="G64" i="6"/>
  <c r="L71" i="5" s="1"/>
  <c r="F64" i="6"/>
  <c r="H64" i="6" l="1"/>
  <c r="AF64" i="6"/>
  <c r="AE64" i="6"/>
  <c r="F65" i="6" l="1"/>
  <c r="I65" i="6"/>
  <c r="D65" i="6"/>
  <c r="G65" i="6"/>
  <c r="E65" i="6"/>
  <c r="AF65" i="6" l="1"/>
  <c r="L72" i="5"/>
  <c r="H65" i="6"/>
  <c r="E66" i="6" s="1"/>
  <c r="AE65" i="6"/>
  <c r="I66" i="6" l="1"/>
  <c r="D66" i="6"/>
  <c r="G66" i="6"/>
  <c r="F66" i="6"/>
  <c r="AF66" i="6" l="1"/>
  <c r="L73" i="5"/>
  <c r="H66" i="6"/>
  <c r="D67" i="6" s="1"/>
  <c r="AE66" i="6"/>
  <c r="F67" i="6" l="1"/>
  <c r="G67" i="6"/>
  <c r="I67" i="6"/>
  <c r="E67" i="6"/>
  <c r="AF67" i="6" l="1"/>
  <c r="L74" i="5"/>
  <c r="H67" i="6"/>
  <c r="D68" i="6" s="1"/>
  <c r="AE67" i="6"/>
  <c r="E68" i="6" l="1"/>
  <c r="I68" i="6"/>
  <c r="F68" i="6"/>
  <c r="G68" i="6"/>
  <c r="AF68" i="6" l="1"/>
  <c r="L75" i="5"/>
  <c r="AE68" i="6"/>
  <c r="H68" i="6"/>
  <c r="D69" i="6" s="1"/>
  <c r="G69" i="6" l="1"/>
  <c r="I69" i="6"/>
  <c r="F69" i="6"/>
  <c r="E69" i="6"/>
  <c r="AF69" i="6" l="1"/>
  <c r="L76" i="5"/>
  <c r="H69" i="6"/>
  <c r="D70" i="6" s="1"/>
  <c r="AE69" i="6"/>
  <c r="G70" i="6" l="1"/>
  <c r="L77" i="5" s="1"/>
  <c r="E70" i="6"/>
  <c r="I70" i="6"/>
  <c r="F70" i="6"/>
  <c r="AF70" i="6" l="1"/>
  <c r="AE70" i="6"/>
  <c r="H70" i="6"/>
  <c r="F71" i="6" l="1"/>
  <c r="E71" i="6"/>
  <c r="I71" i="6"/>
  <c r="D71" i="6"/>
  <c r="G71" i="6"/>
  <c r="AF71" i="6" l="1"/>
  <c r="L78" i="5"/>
  <c r="H71" i="6"/>
  <c r="G72" i="6" s="1"/>
  <c r="AE71" i="6"/>
  <c r="AF72" i="6" l="1"/>
  <c r="L79" i="5"/>
  <c r="F72" i="6"/>
  <c r="D72" i="6"/>
  <c r="H72" i="6" s="1"/>
  <c r="I72" i="6"/>
  <c r="AE72" i="6"/>
  <c r="E72" i="6"/>
  <c r="E73" i="6" l="1"/>
  <c r="G73" i="6"/>
  <c r="I73" i="6"/>
  <c r="F73" i="6"/>
  <c r="D73" i="6"/>
  <c r="AF73" i="6" l="1"/>
  <c r="L80" i="5"/>
  <c r="H73" i="6"/>
  <c r="F74" i="6" s="1"/>
  <c r="AE73" i="6"/>
  <c r="E74" i="6" l="1"/>
  <c r="D74" i="6"/>
  <c r="I74" i="6"/>
  <c r="G74" i="6"/>
  <c r="AF74" i="6" l="1"/>
  <c r="L81" i="5"/>
  <c r="AE74" i="6"/>
  <c r="H74" i="6"/>
  <c r="I75" i="6" l="1"/>
  <c r="E75" i="6"/>
  <c r="D75" i="6"/>
  <c r="G75" i="6"/>
  <c r="F75" i="6"/>
  <c r="AF75" i="6" l="1"/>
  <c r="L82" i="5"/>
  <c r="H75" i="6"/>
  <c r="G76" i="6" s="1"/>
  <c r="AE75" i="6"/>
  <c r="AF76" i="6" l="1"/>
  <c r="L83" i="5"/>
  <c r="D76" i="6"/>
  <c r="H76" i="6" s="1"/>
  <c r="D77" i="6" s="1"/>
  <c r="F76" i="6"/>
  <c r="I76" i="6"/>
  <c r="AE76" i="6"/>
  <c r="E76" i="6"/>
  <c r="F77" i="6" l="1"/>
  <c r="E77" i="6"/>
  <c r="I77" i="6"/>
  <c r="G77" i="6"/>
  <c r="AF77" i="6" l="1"/>
  <c r="L84" i="5"/>
  <c r="AE77" i="6"/>
  <c r="H77" i="6"/>
  <c r="F78" i="6" s="1"/>
  <c r="G78" i="6" l="1"/>
  <c r="I78" i="6"/>
  <c r="E78" i="6"/>
  <c r="D78" i="6"/>
  <c r="AF78" i="6" l="1"/>
  <c r="L85" i="5"/>
  <c r="H78" i="6"/>
  <c r="D79" i="6" s="1"/>
  <c r="AE78" i="6"/>
  <c r="E79" i="6" l="1"/>
  <c r="G79" i="6"/>
  <c r="F79" i="6"/>
  <c r="I79" i="6"/>
  <c r="AF79" i="6" l="1"/>
  <c r="L86" i="5"/>
  <c r="H79" i="6"/>
  <c r="D80" i="6" s="1"/>
  <c r="AE79" i="6"/>
  <c r="I80" i="6" l="1"/>
  <c r="G80" i="6"/>
  <c r="AF80" i="6" s="1"/>
  <c r="F80" i="6"/>
  <c r="E80" i="6"/>
  <c r="AE80" i="6" l="1"/>
  <c r="H80" i="6"/>
  <c r="F81" i="6" s="1"/>
  <c r="G81" i="6" l="1"/>
  <c r="AF81" i="6" s="1"/>
  <c r="E81" i="6"/>
  <c r="D81" i="6"/>
  <c r="I81" i="6"/>
  <c r="AE81" i="6" l="1"/>
  <c r="H81" i="6"/>
  <c r="I82" i="6" s="1"/>
  <c r="E82" i="6" l="1"/>
  <c r="G82" i="6"/>
  <c r="AF82" i="6" s="1"/>
  <c r="F82" i="6"/>
  <c r="D82" i="6"/>
  <c r="H82" i="6" l="1"/>
  <c r="E83" i="6" s="1"/>
  <c r="AE82" i="6"/>
  <c r="F83" i="6" l="1"/>
  <c r="D83" i="6"/>
  <c r="G83" i="6"/>
  <c r="AF83" i="6" s="1"/>
  <c r="I83" i="6"/>
  <c r="H83" i="6" l="1"/>
  <c r="F84" i="6" s="1"/>
  <c r="AE83" i="6"/>
  <c r="D84" i="6" l="1"/>
  <c r="I84" i="6"/>
  <c r="E84" i="6"/>
  <c r="G84" i="6"/>
  <c r="AE84" i="6" s="1"/>
  <c r="AF84" i="6" l="1"/>
  <c r="H84" i="6"/>
  <c r="D85" i="6" s="1"/>
  <c r="I85" i="6" l="1"/>
  <c r="G85" i="6"/>
  <c r="AF85" i="6" s="1"/>
  <c r="F85" i="6"/>
  <c r="E85" i="6"/>
  <c r="AE85" i="6" l="1"/>
  <c r="H85" i="6"/>
  <c r="I86" i="6" s="1"/>
  <c r="G86" i="6" l="1"/>
  <c r="AF86" i="6" s="1"/>
  <c r="E86" i="6"/>
  <c r="D86" i="6"/>
  <c r="F86" i="6"/>
  <c r="H86" i="6" l="1"/>
  <c r="I87" i="6" s="1"/>
  <c r="AE86" i="6"/>
  <c r="F87" i="6" l="1"/>
  <c r="E87" i="6"/>
  <c r="G87" i="6"/>
  <c r="AF87" i="6" s="1"/>
  <c r="D87" i="6"/>
  <c r="H87" i="6" l="1"/>
  <c r="I88" i="6" s="1"/>
  <c r="AE87" i="6"/>
  <c r="D88" i="6" l="1"/>
  <c r="E88" i="6"/>
  <c r="F88" i="6"/>
  <c r="G88" i="6"/>
  <c r="AF88" i="6" s="1"/>
  <c r="AE88" i="6" l="1"/>
  <c r="H88" i="6"/>
  <c r="I89" i="6" s="1"/>
  <c r="G89" i="6" l="1"/>
  <c r="AF89" i="6" s="1"/>
  <c r="D89" i="6"/>
  <c r="F89" i="6"/>
  <c r="E89" i="6"/>
  <c r="H89" i="6" l="1"/>
  <c r="E90" i="6" s="1"/>
  <c r="AE89" i="6"/>
  <c r="D90" i="6" l="1"/>
  <c r="F90" i="6"/>
  <c r="G90" i="6"/>
  <c r="AF90" i="6" s="1"/>
  <c r="I90" i="6"/>
  <c r="AE90" i="6" l="1"/>
  <c r="H90" i="6"/>
  <c r="G91" i="6" s="1"/>
  <c r="AF91" i="6" s="1"/>
  <c r="I91" i="6" l="1"/>
  <c r="D91" i="6"/>
  <c r="H91" i="6" s="1"/>
  <c r="AE91" i="6"/>
  <c r="F91" i="6"/>
  <c r="E91" i="6"/>
  <c r="D92" i="6" l="1"/>
  <c r="E92" i="6"/>
  <c r="I92" i="6"/>
  <c r="G92" i="6"/>
  <c r="AF92" i="6" s="1"/>
  <c r="F92" i="6"/>
  <c r="H92" i="6" l="1"/>
  <c r="E93" i="6" s="1"/>
  <c r="AE92" i="6"/>
  <c r="I93" i="6" l="1"/>
  <c r="F93" i="6"/>
  <c r="G93" i="6"/>
  <c r="AF93" i="6" s="1"/>
  <c r="D93" i="6"/>
  <c r="H93" i="6" l="1"/>
  <c r="G94" i="6" s="1"/>
  <c r="AF94" i="6" s="1"/>
  <c r="AE93" i="6"/>
  <c r="AE94" i="6" l="1"/>
  <c r="D94" i="6"/>
  <c r="H94" i="6" s="1"/>
  <c r="F95" i="6" s="1"/>
  <c r="E94" i="6"/>
  <c r="I94" i="6"/>
  <c r="F94" i="6"/>
  <c r="I95" i="6" l="1"/>
  <c r="D95" i="6"/>
  <c r="G95" i="6"/>
  <c r="AE95" i="6" s="1"/>
  <c r="E95" i="6"/>
  <c r="H95" i="6" l="1"/>
  <c r="F96" i="6" s="1"/>
  <c r="AF95" i="6"/>
  <c r="E96" i="6" l="1"/>
  <c r="D96" i="6"/>
  <c r="G96" i="6"/>
  <c r="I96" i="6"/>
  <c r="H96" i="6" l="1"/>
  <c r="D97" i="6" s="1"/>
  <c r="AF96" i="6"/>
  <c r="AE96" i="6"/>
  <c r="G97" i="6" l="1"/>
  <c r="H97" i="6" s="1"/>
  <c r="D98" i="6" s="1"/>
  <c r="F97" i="6"/>
  <c r="E97" i="6"/>
  <c r="I97" i="6"/>
  <c r="AF97" i="6" l="1"/>
  <c r="AE97" i="6"/>
  <c r="G98" i="6"/>
  <c r="AF98" i="6" s="1"/>
  <c r="F98" i="6"/>
  <c r="I98" i="6"/>
  <c r="E98" i="6"/>
  <c r="AE98" i="6" l="1"/>
  <c r="H98" i="6"/>
  <c r="D99" i="6" s="1"/>
  <c r="E99" i="6" l="1"/>
  <c r="G99" i="6"/>
  <c r="AF99" i="6" s="1"/>
  <c r="I99" i="6"/>
  <c r="F99" i="6"/>
  <c r="AE99" i="6" l="1"/>
  <c r="H99" i="6"/>
  <c r="F100" i="6" s="1"/>
  <c r="I100" i="6" l="1"/>
  <c r="E100" i="6"/>
  <c r="G100" i="6"/>
  <c r="AE100" i="6" s="1"/>
  <c r="D100" i="6"/>
  <c r="H100" i="6" l="1"/>
  <c r="G101" i="6" s="1"/>
  <c r="AF101" i="6" s="1"/>
  <c r="AF100" i="6"/>
  <c r="I101" i="6" l="1"/>
  <c r="F101" i="6"/>
  <c r="E101" i="6"/>
  <c r="D101" i="6"/>
  <c r="H101" i="6" s="1"/>
  <c r="AE101" i="6"/>
  <c r="F102" i="6" l="1"/>
  <c r="G102" i="6"/>
  <c r="AF102" i="6" s="1"/>
  <c r="E102" i="6"/>
  <c r="D102" i="6"/>
  <c r="I102" i="6"/>
  <c r="AE102" i="6" l="1"/>
  <c r="H102" i="6"/>
  <c r="G103" i="6" s="1"/>
  <c r="AF103" i="6" s="1"/>
  <c r="AE103" i="6" l="1"/>
  <c r="E103" i="6"/>
  <c r="D103" i="6"/>
  <c r="H103" i="6" s="1"/>
  <c r="I104" i="6" s="1"/>
  <c r="F103" i="6"/>
  <c r="I103" i="6"/>
  <c r="E104" i="6" l="1"/>
  <c r="F104" i="6"/>
  <c r="D104" i="6"/>
  <c r="G104" i="6"/>
  <c r="AF104" i="6" s="1"/>
  <c r="H104" i="6" l="1"/>
  <c r="F105" i="6" s="1"/>
  <c r="AE104" i="6"/>
  <c r="G105" i="6" l="1"/>
  <c r="AF105" i="6" s="1"/>
  <c r="I105" i="6"/>
  <c r="E105" i="6"/>
  <c r="D105" i="6"/>
  <c r="AE105" i="6" l="1"/>
  <c r="H105" i="6"/>
  <c r="E106" i="6" s="1"/>
  <c r="F106" i="6" l="1"/>
  <c r="I106" i="6"/>
  <c r="G106" i="6"/>
  <c r="AF106" i="6" s="1"/>
  <c r="D106" i="6"/>
  <c r="H106" i="6" l="1"/>
  <c r="E107" i="6" s="1"/>
  <c r="AE106" i="6"/>
  <c r="G107" i="6" l="1"/>
  <c r="AE107" i="6" s="1"/>
  <c r="F107" i="6"/>
  <c r="D107" i="6"/>
  <c r="I107" i="6"/>
  <c r="H107" i="6" l="1"/>
  <c r="G108" i="6" s="1"/>
  <c r="AF108" i="6" s="1"/>
  <c r="AF107" i="6"/>
  <c r="E108" i="6" l="1"/>
  <c r="D108" i="6"/>
  <c r="H108" i="6" s="1"/>
  <c r="G109" i="6" s="1"/>
  <c r="AF109" i="6" s="1"/>
  <c r="I108" i="6"/>
  <c r="F108" i="6"/>
  <c r="AE108" i="6"/>
  <c r="E109" i="6" l="1"/>
  <c r="I109" i="6"/>
  <c r="F109" i="6"/>
  <c r="D109" i="6"/>
  <c r="H109" i="6" s="1"/>
  <c r="D110" i="6" s="1"/>
  <c r="AE109" i="6"/>
  <c r="I110" i="6" l="1"/>
  <c r="F110" i="6"/>
  <c r="G110" i="6"/>
  <c r="AF110" i="6" s="1"/>
  <c r="E110" i="6"/>
  <c r="H110" i="6" l="1"/>
  <c r="F111" i="6" s="1"/>
  <c r="AE110" i="6"/>
  <c r="G111" i="6" l="1"/>
  <c r="AF111" i="6" s="1"/>
  <c r="D111" i="6"/>
  <c r="E111" i="6"/>
  <c r="I111" i="6"/>
  <c r="H111" i="6" l="1"/>
  <c r="I112" i="6" s="1"/>
  <c r="AE111" i="6"/>
  <c r="F112" i="6" l="1"/>
  <c r="E112" i="6"/>
  <c r="G112" i="6"/>
  <c r="AF112" i="6" s="1"/>
  <c r="D112" i="6"/>
  <c r="H112" i="6" l="1"/>
  <c r="I113" i="6" s="1"/>
  <c r="AE112" i="6"/>
  <c r="E113" i="6" l="1"/>
  <c r="D113" i="6"/>
  <c r="G113" i="6"/>
  <c r="AF113" i="6" s="1"/>
  <c r="F113" i="6"/>
  <c r="H113" i="6" l="1"/>
  <c r="F114" i="6" s="1"/>
  <c r="AE113" i="6"/>
  <c r="I114" i="6" l="1"/>
  <c r="E114" i="6"/>
  <c r="G114" i="6"/>
  <c r="AF114" i="6" s="1"/>
  <c r="D114" i="6"/>
  <c r="H114" i="6" l="1"/>
  <c r="E115" i="6" s="1"/>
  <c r="AE114" i="6"/>
  <c r="D115" i="6" l="1"/>
  <c r="I115" i="6"/>
  <c r="G115" i="6"/>
  <c r="AF115" i="6" s="1"/>
  <c r="F115" i="6"/>
  <c r="H115" i="6" l="1"/>
  <c r="D116" i="6" s="1"/>
  <c r="AE115" i="6"/>
  <c r="F116" i="6" l="1"/>
  <c r="I116" i="6"/>
  <c r="E116" i="6"/>
  <c r="G116" i="6"/>
  <c r="AF116" i="6" s="1"/>
  <c r="AE116" i="6" l="1"/>
  <c r="H116" i="6"/>
  <c r="D117" i="6" s="1"/>
  <c r="F117" i="6" l="1"/>
  <c r="G117" i="6"/>
  <c r="AF117" i="6" s="1"/>
  <c r="E117" i="6"/>
  <c r="I117" i="6"/>
  <c r="AE117" i="6" l="1"/>
  <c r="H117" i="6"/>
  <c r="F118" i="6" s="1"/>
  <c r="E118" i="6" l="1"/>
  <c r="G118" i="6"/>
  <c r="AF118" i="6" s="1"/>
  <c r="I118" i="6"/>
  <c r="D118" i="6"/>
  <c r="H118" i="6" l="1"/>
  <c r="I119" i="6" s="1"/>
  <c r="AE118" i="6"/>
  <c r="F119" i="6" l="1"/>
  <c r="E119" i="6"/>
  <c r="D119" i="6"/>
  <c r="G119" i="6"/>
  <c r="AF119" i="6" s="1"/>
  <c r="H119" i="6" l="1"/>
  <c r="F120" i="6" s="1"/>
  <c r="AE119" i="6"/>
  <c r="G120" i="6" l="1"/>
  <c r="AF120" i="6" s="1"/>
  <c r="D120" i="6"/>
  <c r="E120" i="6"/>
  <c r="I120" i="6"/>
  <c r="AE120" i="6" l="1"/>
  <c r="H120" i="6"/>
  <c r="F121" i="6" s="1"/>
  <c r="I121" i="6" l="1"/>
  <c r="D121" i="6"/>
  <c r="G121" i="6"/>
  <c r="AF121" i="6" s="1"/>
  <c r="E121" i="6"/>
  <c r="AE121" i="6" l="1"/>
  <c r="H121" i="6"/>
  <c r="G122" i="6" s="1"/>
  <c r="AF122" i="6" s="1"/>
  <c r="D122" i="6" l="1"/>
  <c r="H122" i="6" s="1"/>
  <c r="F123" i="6" s="1"/>
  <c r="I122" i="6"/>
  <c r="AE122" i="6"/>
  <c r="F122" i="6"/>
  <c r="E122" i="6"/>
  <c r="D123" i="6" l="1"/>
  <c r="G123" i="6"/>
  <c r="AF123" i="6" s="1"/>
  <c r="E123" i="6"/>
  <c r="I123" i="6"/>
  <c r="H123" i="6" l="1"/>
  <c r="G124" i="6" s="1"/>
  <c r="AF124" i="6" s="1"/>
  <c r="AE123" i="6"/>
  <c r="I124" i="6" l="1"/>
  <c r="F124" i="6"/>
  <c r="D124" i="6"/>
  <c r="H124" i="6" s="1"/>
  <c r="F125" i="6" s="1"/>
  <c r="E124" i="6"/>
  <c r="AE124" i="6"/>
  <c r="I125" i="6" l="1"/>
  <c r="E125" i="6"/>
  <c r="D125" i="6"/>
  <c r="G125" i="6"/>
  <c r="AF125" i="6" s="1"/>
  <c r="H125" i="6" l="1"/>
  <c r="AE125" i="6"/>
  <c r="E126" i="6" l="1"/>
  <c r="D126" i="6"/>
  <c r="I126" i="6"/>
  <c r="F126" i="6"/>
  <c r="G126" i="6"/>
  <c r="AF126" i="6" l="1"/>
  <c r="H126" i="6"/>
  <c r="AE126" i="6"/>
  <c r="E127" i="6" l="1"/>
  <c r="I127" i="6"/>
  <c r="F127" i="6"/>
  <c r="D127" i="6"/>
  <c r="G127" i="6"/>
  <c r="AF127" i="6" l="1"/>
  <c r="H127" i="6"/>
  <c r="AE127" i="6"/>
  <c r="G128" i="6" l="1"/>
  <c r="I128" i="6"/>
  <c r="F128" i="6"/>
  <c r="E128" i="6"/>
  <c r="D128" i="6"/>
  <c r="H128" i="6" l="1"/>
  <c r="I129" i="6" s="1"/>
  <c r="AF128" i="6"/>
  <c r="AE128" i="6"/>
  <c r="E129" i="6" l="1"/>
  <c r="D129" i="6"/>
  <c r="F129" i="6"/>
  <c r="G129" i="6"/>
  <c r="AF129" i="6" s="1"/>
  <c r="AE129" i="6" l="1"/>
  <c r="H129" i="6"/>
  <c r="D130" i="6" s="1"/>
  <c r="F130" i="6" l="1"/>
  <c r="E130" i="6"/>
  <c r="G130" i="6"/>
  <c r="AF130" i="6" s="1"/>
  <c r="I130" i="6"/>
  <c r="H130" i="6" l="1"/>
  <c r="I131" i="6" s="1"/>
  <c r="AE130" i="6"/>
  <c r="F131" i="6" l="1"/>
  <c r="D131" i="6"/>
  <c r="G131" i="6"/>
  <c r="AE131" i="6" s="1"/>
  <c r="E131" i="6"/>
  <c r="H131" i="6" l="1"/>
  <c r="E132" i="6" s="1"/>
  <c r="AF131" i="6"/>
  <c r="F132" i="6" l="1"/>
  <c r="I132" i="6"/>
  <c r="D132" i="6"/>
  <c r="G132" i="6"/>
  <c r="AF132" i="6" s="1"/>
  <c r="AE132" i="6" l="1"/>
  <c r="H132" i="6"/>
  <c r="G133" i="6" s="1"/>
  <c r="AF133" i="6" s="1"/>
  <c r="AE133" i="6" l="1"/>
  <c r="D133" i="6"/>
  <c r="H133" i="6" s="1"/>
  <c r="D134" i="6" s="1"/>
  <c r="F133" i="6"/>
  <c r="I133" i="6"/>
  <c r="E133" i="6"/>
  <c r="E134" i="6" l="1"/>
  <c r="I134" i="6"/>
  <c r="G134" i="6"/>
  <c r="AF134" i="6" s="1"/>
  <c r="F134" i="6"/>
  <c r="AE134" i="6" l="1"/>
  <c r="H134" i="6"/>
  <c r="D135" i="6" s="1"/>
  <c r="G135" i="6" l="1"/>
  <c r="AF135" i="6" s="1"/>
  <c r="E135" i="6"/>
  <c r="I135" i="6"/>
  <c r="F135" i="6"/>
  <c r="AE135" i="6" l="1"/>
  <c r="H135" i="6"/>
  <c r="F136" i="6" l="1"/>
  <c r="E136" i="6"/>
  <c r="G136" i="6"/>
  <c r="AF136" i="6" s="1"/>
  <c r="I136" i="6"/>
  <c r="D136" i="6"/>
  <c r="H136" i="6" l="1"/>
  <c r="AE136" i="6"/>
  <c r="E137" i="6" l="1"/>
  <c r="F137" i="6"/>
  <c r="D137" i="6"/>
  <c r="G137" i="6"/>
  <c r="AF137" i="6" s="1"/>
  <c r="I137" i="6"/>
  <c r="H137" i="6" l="1"/>
  <c r="AE137" i="6"/>
  <c r="I138" i="6" l="1"/>
  <c r="D138" i="6"/>
  <c r="E138" i="6"/>
  <c r="G138" i="6"/>
  <c r="AF138" i="6" s="1"/>
  <c r="F138" i="6"/>
  <c r="H138" i="6" l="1"/>
  <c r="F139" i="6" s="1"/>
  <c r="AE138" i="6"/>
  <c r="G139" i="6" l="1"/>
  <c r="AF139" i="6" s="1"/>
  <c r="I139" i="6"/>
  <c r="E139" i="6"/>
  <c r="D139" i="6"/>
  <c r="H139" i="6" l="1"/>
  <c r="G140" i="6" s="1"/>
  <c r="AF140" i="6" s="1"/>
  <c r="AE139" i="6"/>
  <c r="E140" i="6" l="1"/>
  <c r="F140" i="6"/>
  <c r="D140" i="6"/>
  <c r="H140" i="6" s="1"/>
  <c r="E141" i="6" s="1"/>
  <c r="I140" i="6"/>
  <c r="AE140" i="6"/>
  <c r="G141" i="6" l="1"/>
  <c r="AF141" i="6" s="1"/>
  <c r="I141" i="6"/>
  <c r="F141" i="6"/>
  <c r="D141" i="6"/>
  <c r="H141" i="6" l="1"/>
  <c r="G142" i="6" s="1"/>
  <c r="AF142" i="6" s="1"/>
  <c r="AE141" i="6"/>
  <c r="E142" i="6" l="1"/>
  <c r="I142" i="6"/>
  <c r="D142" i="6"/>
  <c r="H142" i="6" s="1"/>
  <c r="E143" i="6" s="1"/>
  <c r="F142" i="6"/>
  <c r="AE142" i="6"/>
  <c r="I143" i="6" l="1"/>
  <c r="D143" i="6"/>
  <c r="G143" i="6"/>
  <c r="AF143" i="6" s="1"/>
  <c r="F143" i="6"/>
  <c r="AE143" i="6" l="1"/>
  <c r="H143" i="6"/>
  <c r="G144" i="6" l="1"/>
  <c r="AF144" i="6" s="1"/>
  <c r="I144" i="6"/>
  <c r="F144" i="6"/>
  <c r="E144" i="6"/>
  <c r="D144" i="6"/>
  <c r="AE144" i="6" l="1"/>
  <c r="H144" i="6"/>
  <c r="E145" i="6" l="1"/>
  <c r="F145" i="6"/>
  <c r="D145" i="6"/>
  <c r="G145" i="6"/>
  <c r="AF145" i="6" s="1"/>
  <c r="I145" i="6"/>
  <c r="H145" i="6" l="1"/>
  <c r="I146" i="6" s="1"/>
  <c r="AE145" i="6"/>
  <c r="E146" i="6" l="1"/>
  <c r="F146" i="6"/>
  <c r="D146" i="6"/>
  <c r="G146" i="6"/>
  <c r="AF146" i="6" s="1"/>
  <c r="AE146" i="6" l="1"/>
  <c r="H146" i="6"/>
  <c r="D147" i="6" l="1"/>
  <c r="E147" i="6"/>
  <c r="G147" i="6"/>
  <c r="AF147" i="6" s="1"/>
  <c r="F147" i="6"/>
  <c r="I147" i="6"/>
  <c r="H147" i="6" l="1"/>
  <c r="AE147" i="6"/>
  <c r="F148" i="6" l="1"/>
  <c r="E148" i="6"/>
  <c r="I148" i="6"/>
  <c r="G148" i="6"/>
  <c r="AF148" i="6" s="1"/>
  <c r="D148" i="6"/>
  <c r="H148" i="6" l="1"/>
  <c r="I149" i="6" s="1"/>
  <c r="AE148" i="6"/>
  <c r="G149" i="6" l="1"/>
  <c r="AF149" i="6" s="1"/>
  <c r="D149" i="6"/>
  <c r="F149" i="6"/>
  <c r="E149" i="6"/>
  <c r="H149" i="6" l="1"/>
  <c r="D150" i="6" s="1"/>
  <c r="AE149" i="6"/>
  <c r="G150" i="6" l="1"/>
  <c r="AF150" i="6" s="1"/>
  <c r="E150" i="6"/>
  <c r="F150" i="6"/>
  <c r="I150" i="6"/>
  <c r="H150" i="6" l="1"/>
  <c r="D151" i="6" s="1"/>
  <c r="AE150" i="6"/>
  <c r="G151" i="6" l="1"/>
  <c r="AF151" i="6" s="1"/>
  <c r="E151" i="6"/>
  <c r="I151" i="6"/>
  <c r="F151" i="6"/>
  <c r="AE151" i="6" l="1"/>
  <c r="H151" i="6"/>
  <c r="E152" i="6" s="1"/>
  <c r="F152" i="6" l="1"/>
  <c r="G152" i="6"/>
  <c r="AF152" i="6" s="1"/>
  <c r="I152" i="6"/>
  <c r="D152" i="6"/>
  <c r="H152" i="6" l="1"/>
  <c r="I153" i="6" s="1"/>
  <c r="AE152" i="6"/>
  <c r="F153" i="6" l="1"/>
  <c r="G153" i="6"/>
  <c r="AF153" i="6" s="1"/>
  <c r="D153" i="6"/>
  <c r="E153" i="6"/>
  <c r="H153" i="6" l="1"/>
  <c r="G154" i="6" s="1"/>
  <c r="AF154" i="6" s="1"/>
  <c r="AE153" i="6"/>
  <c r="D154" i="6" l="1"/>
  <c r="H154" i="6" s="1"/>
  <c r="E155" i="6" s="1"/>
  <c r="F154" i="6"/>
  <c r="I154" i="6"/>
  <c r="E154" i="6"/>
  <c r="AE154" i="6"/>
  <c r="D155" i="6" l="1"/>
  <c r="F155" i="6"/>
  <c r="G155" i="6"/>
  <c r="AF155" i="6" s="1"/>
  <c r="I155" i="6"/>
  <c r="AE155" i="6" l="1"/>
  <c r="H155" i="6"/>
  <c r="E156" i="6" s="1"/>
  <c r="D156" i="6" l="1"/>
  <c r="G156" i="6"/>
  <c r="AF156" i="6" s="1"/>
  <c r="F156" i="6"/>
  <c r="I156" i="6"/>
  <c r="AE156" i="6" l="1"/>
  <c r="H156" i="6"/>
  <c r="I157" i="6" s="1"/>
  <c r="D157" i="6" l="1"/>
  <c r="E157" i="6"/>
  <c r="G157" i="6"/>
  <c r="AF157" i="6" s="1"/>
  <c r="F157" i="6"/>
  <c r="AE157" i="6" l="1"/>
  <c r="H157" i="6"/>
  <c r="F158" i="6" s="1"/>
  <c r="I158" i="6"/>
  <c r="G158" i="6" l="1"/>
  <c r="AF158" i="6" s="1"/>
  <c r="D158" i="6"/>
  <c r="H158" i="6" s="1"/>
  <c r="E159" i="6" s="1"/>
  <c r="E158" i="6"/>
  <c r="AE158" i="6" l="1"/>
  <c r="G159" i="6"/>
  <c r="AF159" i="6" s="1"/>
  <c r="I159" i="6"/>
  <c r="F159" i="6"/>
  <c r="D159" i="6"/>
  <c r="H159" i="6" l="1"/>
  <c r="D160" i="6" s="1"/>
  <c r="AE159" i="6"/>
  <c r="E160" i="6" l="1"/>
  <c r="G160" i="6"/>
  <c r="AE160" i="6" s="1"/>
  <c r="I160" i="6"/>
  <c r="F160" i="6"/>
  <c r="AF160" i="6" l="1"/>
  <c r="H160" i="6"/>
  <c r="G161" i="6" s="1"/>
  <c r="E161" i="6" l="1"/>
  <c r="F161" i="6"/>
  <c r="I161" i="6"/>
  <c r="D161" i="6"/>
  <c r="H161" i="6" s="1"/>
  <c r="I162" i="6" s="1"/>
  <c r="AF161" i="6"/>
  <c r="AE161" i="6"/>
  <c r="D162" i="6" l="1"/>
  <c r="G162" i="6"/>
  <c r="AF162" i="6" s="1"/>
  <c r="F162" i="6"/>
  <c r="E162" i="6"/>
  <c r="AE162" i="6" l="1"/>
  <c r="H162" i="6"/>
  <c r="D163" i="6" l="1"/>
  <c r="G163" i="6"/>
  <c r="AF163" i="6" s="1"/>
  <c r="E163" i="6"/>
  <c r="F163" i="6"/>
  <c r="I163" i="6"/>
  <c r="H163" i="6" l="1"/>
  <c r="AE163" i="6"/>
  <c r="E164" i="6" l="1"/>
  <c r="F164" i="6"/>
  <c r="D164" i="6"/>
  <c r="G164" i="6"/>
  <c r="AF164" i="6" s="1"/>
  <c r="I164" i="6"/>
  <c r="H164" i="6" l="1"/>
  <c r="AE164" i="6"/>
  <c r="F165" i="6" l="1"/>
  <c r="I165" i="6"/>
  <c r="D165" i="6"/>
  <c r="G165" i="6"/>
  <c r="AF165" i="6" s="1"/>
  <c r="E165" i="6"/>
  <c r="H165" i="6" l="1"/>
  <c r="D166" i="6" s="1"/>
  <c r="AE165" i="6"/>
  <c r="I166" i="6" l="1"/>
  <c r="E166" i="6"/>
  <c r="G166" i="6"/>
  <c r="AF166" i="6" s="1"/>
  <c r="F166" i="6"/>
  <c r="H166" i="6" l="1"/>
  <c r="F167" i="6" s="1"/>
  <c r="AE166" i="6"/>
  <c r="I167" i="6" l="1"/>
  <c r="D167" i="6"/>
  <c r="G167" i="6"/>
  <c r="AE167" i="6" s="1"/>
  <c r="E167" i="6"/>
  <c r="H167" i="6" l="1"/>
  <c r="D168" i="6" s="1"/>
  <c r="AF167" i="6"/>
  <c r="G168" i="6" l="1"/>
  <c r="AF168" i="6" s="1"/>
  <c r="F168" i="6"/>
  <c r="E168" i="6"/>
  <c r="I168" i="6"/>
  <c r="AE168" i="6" l="1"/>
  <c r="H168" i="6"/>
  <c r="G169" i="6" l="1"/>
  <c r="AF169" i="6" s="1"/>
  <c r="E169" i="6"/>
  <c r="F169" i="6"/>
  <c r="I169" i="6"/>
  <c r="D169" i="6"/>
  <c r="H169" i="6" l="1"/>
  <c r="AE169" i="6"/>
  <c r="E170" i="6"/>
  <c r="G170" i="6"/>
  <c r="AF170" i="6" s="1"/>
  <c r="F170" i="6"/>
  <c r="D170" i="6"/>
  <c r="I170" i="6"/>
  <c r="H170" i="6" l="1"/>
  <c r="G171" i="6" s="1"/>
  <c r="AF171" i="6" s="1"/>
  <c r="E171" i="6"/>
  <c r="AE170" i="6"/>
  <c r="D171" i="6" l="1"/>
  <c r="H171" i="6" s="1"/>
  <c r="D172" i="6" s="1"/>
  <c r="AE171" i="6"/>
  <c r="I171" i="6"/>
  <c r="F171" i="6"/>
  <c r="E172" i="6" l="1"/>
  <c r="F172" i="6"/>
  <c r="I172" i="6"/>
  <c r="G172" i="6"/>
  <c r="AF172" i="6" s="1"/>
  <c r="AE172" i="6" l="1"/>
  <c r="H172" i="6"/>
  <c r="E173" i="6"/>
  <c r="I173" i="6"/>
  <c r="F173" i="6"/>
  <c r="G173" i="6"/>
  <c r="AF173" i="6" s="1"/>
  <c r="D173" i="6"/>
  <c r="H173" i="6" s="1"/>
  <c r="E174" i="6" l="1"/>
  <c r="D174" i="6"/>
  <c r="G174" i="6"/>
  <c r="AF174" i="6" s="1"/>
  <c r="I174" i="6"/>
  <c r="F174" i="6"/>
  <c r="AE173" i="6"/>
  <c r="AE174" i="6" l="1"/>
  <c r="H174" i="6"/>
  <c r="E175" i="6" l="1"/>
  <c r="F175" i="6"/>
  <c r="D175" i="6"/>
  <c r="I175" i="6"/>
  <c r="G175" i="6"/>
  <c r="AF175" i="6" s="1"/>
  <c r="AE175" i="6" l="1"/>
  <c r="H175" i="6"/>
  <c r="F176" i="6" l="1"/>
  <c r="G176" i="6"/>
  <c r="AF176" i="6" s="1"/>
  <c r="D176" i="6"/>
  <c r="E176" i="6"/>
  <c r="I176" i="6"/>
  <c r="AE176" i="6" l="1"/>
  <c r="H176" i="6"/>
  <c r="I177" i="6" l="1"/>
  <c r="F177" i="6"/>
  <c r="E177" i="6"/>
  <c r="G177" i="6"/>
  <c r="AF177" i="6" s="1"/>
  <c r="D177" i="6"/>
  <c r="H177" i="6" l="1"/>
  <c r="G178" i="6" s="1"/>
  <c r="AF178" i="6" s="1"/>
  <c r="AE177" i="6"/>
  <c r="I178" i="6" l="1"/>
  <c r="D178" i="6"/>
  <c r="H178" i="6" s="1"/>
  <c r="E178" i="6"/>
  <c r="F178" i="6"/>
  <c r="AE178" i="6"/>
  <c r="F179" i="6" l="1"/>
  <c r="E179" i="6"/>
  <c r="G179" i="6"/>
  <c r="AF179" i="6" s="1"/>
  <c r="I179" i="6"/>
  <c r="D179" i="6"/>
  <c r="H179" i="6" l="1"/>
  <c r="D180" i="6" s="1"/>
  <c r="F180" i="6"/>
  <c r="I180" i="6"/>
  <c r="AE179" i="6"/>
  <c r="G180" i="6" l="1"/>
  <c r="AF180" i="6" s="1"/>
  <c r="E180" i="6"/>
  <c r="AE180" i="6" l="1"/>
  <c r="H180" i="6"/>
  <c r="E181" i="6"/>
  <c r="F181" i="6"/>
  <c r="I181" i="6"/>
  <c r="G181" i="6"/>
  <c r="AF181" i="6" s="1"/>
  <c r="D181" i="6"/>
  <c r="AE181" i="6" l="1"/>
  <c r="H181" i="6"/>
  <c r="D182" i="6" l="1"/>
  <c r="G182" i="6"/>
  <c r="AF182" i="6" s="1"/>
  <c r="I182" i="6"/>
  <c r="E182" i="6"/>
  <c r="F182" i="6"/>
  <c r="H182" i="6" l="1"/>
  <c r="E183" i="6" s="1"/>
  <c r="AE182" i="6"/>
  <c r="G183" i="6" l="1"/>
  <c r="AF183" i="6" s="1"/>
  <c r="D183" i="6"/>
  <c r="F183" i="6"/>
  <c r="I183" i="6"/>
  <c r="H183" i="6" l="1"/>
  <c r="D184" i="6" s="1"/>
  <c r="AE183" i="6"/>
  <c r="F184" i="6"/>
  <c r="E184" i="6"/>
  <c r="G184" i="6"/>
  <c r="AF184" i="6" s="1"/>
  <c r="I184" i="6" l="1"/>
  <c r="H184" i="6"/>
  <c r="AE184" i="6"/>
  <c r="G185" i="6" l="1"/>
  <c r="E185" i="6"/>
  <c r="D185" i="6"/>
  <c r="F185" i="6"/>
  <c r="I185" i="6"/>
  <c r="AP6" i="6" s="1"/>
  <c r="H185" i="6" l="1"/>
  <c r="AI6" i="3"/>
  <c r="F30" i="3"/>
  <c r="E34" i="3" s="1"/>
  <c r="AS6" i="6"/>
  <c r="AF185" i="6"/>
  <c r="AP4" i="6"/>
  <c r="AE185" i="6"/>
  <c r="AP9" i="6" s="1"/>
  <c r="AS7" i="6" s="1"/>
  <c r="G197" i="3" l="1"/>
  <c r="F45" i="3"/>
  <c r="C60" i="7"/>
  <c r="AE3" i="3"/>
  <c r="F37" i="3" s="1"/>
  <c r="AS5" i="6"/>
  <c r="AP7" i="6"/>
  <c r="AE4" i="3"/>
  <c r="C59" i="7"/>
  <c r="G196" i="3"/>
  <c r="F44" i="3"/>
  <c r="F39" i="3"/>
  <c r="H34" i="3"/>
  <c r="C58" i="7" l="1"/>
  <c r="F43" i="3"/>
  <c r="C197" i="3"/>
  <c r="F34" i="3"/>
  <c r="AS4" i="6"/>
  <c r="AE5" i="3"/>
  <c r="F38" i="3" s="1"/>
  <c r="C57" i="7" l="1"/>
  <c r="C196" i="3"/>
  <c r="F4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Marcus Nóbrega</author>
  </authors>
  <commentList>
    <comment ref="B6" authorId="0" shapeId="0" xr:uid="{FF8CBD3C-D09A-4895-BDAF-2C39A583894D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Catchment area </t>
        </r>
      </text>
    </comment>
    <comment ref="F6" authorId="0" shapeId="0" xr:uid="{5CEF5CB3-F062-40F9-A152-A8AE5EEB9128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IDF k parameter</t>
        </r>
      </text>
    </comment>
    <comment ref="B8" authorId="0" shapeId="0" xr:uid="{53E878EF-F3B5-44FE-B225-0186DCDFC25C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Length of the channel</t>
        </r>
      </text>
    </comment>
    <comment ref="F8" authorId="0" shapeId="0" xr:uid="{E1FE515D-27E7-44EB-94A8-423085C3CB39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IDF a parameter</t>
        </r>
      </text>
    </comment>
    <comment ref="B10" authorId="0" shapeId="0" xr:uid="{85A5B0C1-17B9-4FE9-A463-3DEA50685210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Average slope of the main channel</t>
        </r>
      </text>
    </comment>
    <comment ref="F10" authorId="0" shapeId="0" xr:uid="{CFDE5B19-813E-468D-9294-A9FB6FA59D13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IDF b parameter</t>
        </r>
      </text>
    </comment>
    <comment ref="B12" authorId="0" shapeId="0" xr:uid="{8DE1A1BB-BB37-423F-A453-FC8C0E7BEE6D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Manning's roughness coefficient of the catchment</t>
        </r>
      </text>
    </comment>
    <comment ref="F12" authorId="0" shapeId="0" xr:uid="{70C99D26-5553-41FE-8A70-C192D601DC27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IDF c parameter</t>
        </r>
      </text>
    </comment>
    <comment ref="B14" authorId="0" shapeId="0" xr:uid="{F82A89CD-3506-428C-BFA5-490A6D33877F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Runoff coefficient of the drainage pipe design</t>
        </r>
      </text>
    </comment>
    <comment ref="F14" authorId="0" shapeId="0" xr:uid="{D50700BB-A75C-4B51-B4E0-E7B8E879ADEC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Return period</t>
        </r>
      </text>
    </comment>
    <comment ref="B16" authorId="0" shapeId="0" xr:uid="{68F15875-B44D-405B-B162-10FCE4CD04A4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Contributing area to the lot reference</t>
        </r>
      </text>
    </comment>
    <comment ref="F16" authorId="0" shapeId="0" xr:uid="{F6980729-7D38-4CD8-87B9-7F206C9D0449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Minimum time of concentration</t>
        </r>
      </text>
    </comment>
    <comment ref="B18" authorId="0" shapeId="0" xr:uid="{1268BFC7-3E6B-412B-ABCE-09A0E54F5E4B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Lot area</t>
        </r>
      </text>
    </comment>
    <comment ref="F18" authorId="0" shapeId="0" xr:uid="{B2D96A5A-AA54-4109-BF6A-8E30E019DA89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Time-step increments in the analysis</t>
        </r>
      </text>
    </comment>
    <comment ref="B20" authorId="0" shapeId="0" xr:uid="{F9C9B99C-444E-4003-810C-674BE90A551D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Length of the channel up to the reference lot</t>
        </r>
      </text>
    </comment>
    <comment ref="F20" authorId="0" shapeId="0" xr:uid="{D23D18DE-07D7-40C7-AE77-602D5DD7ECA0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Maximum reservoir water depth</t>
        </r>
      </text>
    </comment>
    <comment ref="B22" authorId="0" shapeId="0" xr:uid="{62C2E2F1-736E-4C82-B53F-0F5A5F86B662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Lot post-development CN</t>
        </r>
      </text>
    </comment>
    <comment ref="F22" authorId="0" shapeId="0" xr:uid="{8B67C1ED-37DF-443F-AB44-04D14D2D98AD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Increments for the PULS solution</t>
        </r>
      </text>
    </comment>
    <comment ref="B24" authorId="0" shapeId="0" xr:uid="{7F235677-3ACC-4E02-BF0E-FFA9D2413F47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Initial abstraction SCS-CN coefficient</t>
        </r>
      </text>
    </comment>
    <comment ref="F24" authorId="0" shapeId="0" xr:uid="{604D81AF-AE3C-46E2-AD26-E6C70D6B7511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Simulation time</t>
        </r>
      </text>
    </comment>
    <comment ref="F26" authorId="0" shapeId="0" xr:uid="{E40D99DB-8A77-4C15-8FF4-F24C7F112ADD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Lot-scale time of concentration</t>
        </r>
      </text>
    </comment>
    <comment ref="F28" authorId="0" shapeId="0" xr:uid="{F4BB6EDB-9F0C-4EEC-88E3-B94768CBA32C}">
      <text>
        <r>
          <rPr>
            <b/>
            <sz val="9"/>
            <color indexed="81"/>
            <rFont val="Tahoma"/>
            <family val="2"/>
          </rPr>
          <t>Marcus Nóbrega:</t>
        </r>
        <r>
          <rPr>
            <sz val="9"/>
            <color indexed="81"/>
            <rFont val="Tahoma"/>
            <family val="2"/>
          </rPr>
          <t xml:space="preserve">
Slackness in the optimization</t>
        </r>
      </text>
    </comment>
  </commentList>
</comments>
</file>

<file path=xl/sharedStrings.xml><?xml version="1.0" encoding="utf-8"?>
<sst xmlns="http://schemas.openxmlformats.org/spreadsheetml/2006/main" count="2009" uniqueCount="288">
  <si>
    <t>min</t>
  </si>
  <si>
    <t>tc8</t>
  </si>
  <si>
    <t>tc7</t>
  </si>
  <si>
    <t>S em m/km</t>
  </si>
  <si>
    <t>tc6</t>
  </si>
  <si>
    <t>L em km</t>
  </si>
  <si>
    <t>tc5</t>
  </si>
  <si>
    <t>tc4</t>
  </si>
  <si>
    <t>tc3</t>
  </si>
  <si>
    <t>tc2</t>
  </si>
  <si>
    <t>tc1</t>
  </si>
  <si>
    <t>[min]</t>
  </si>
  <si>
    <t>[m²]</t>
  </si>
  <si>
    <t>[m]</t>
  </si>
  <si>
    <t>CN-pós</t>
  </si>
  <si>
    <t>c</t>
  </si>
  <si>
    <t>b</t>
  </si>
  <si>
    <t>a</t>
  </si>
  <si>
    <t>K</t>
  </si>
  <si>
    <t>n</t>
  </si>
  <si>
    <t>m/m</t>
  </si>
  <si>
    <t>S</t>
  </si>
  <si>
    <t>m</t>
  </si>
  <si>
    <t>L</t>
  </si>
  <si>
    <t>t</t>
  </si>
  <si>
    <t>tc</t>
  </si>
  <si>
    <t>C</t>
  </si>
  <si>
    <t>A</t>
  </si>
  <si>
    <t xml:space="preserve">ha </t>
  </si>
  <si>
    <t>m³/m³</t>
  </si>
  <si>
    <t>[L/s]</t>
  </si>
  <si>
    <t>m^(3- c)</t>
  </si>
  <si>
    <t xml:space="preserve">Cálculo de b e c conhecendo-se o intervalo de dados </t>
  </si>
  <si>
    <t>Altura</t>
  </si>
  <si>
    <t>i = (K . TR ^ a ) / [( tc + b ) ^ c]</t>
  </si>
  <si>
    <t>i</t>
  </si>
  <si>
    <t>mm/h</t>
  </si>
  <si>
    <t>Q</t>
  </si>
  <si>
    <t>L/s</t>
  </si>
  <si>
    <t>Ad,i</t>
  </si>
  <si>
    <t>m²</t>
  </si>
  <si>
    <t xml:space="preserve">L/s/ha </t>
  </si>
  <si>
    <t>Qref,i,máx</t>
  </si>
  <si>
    <t>Alot,i</t>
  </si>
  <si>
    <t>mm</t>
  </si>
  <si>
    <t>Ia</t>
  </si>
  <si>
    <t>Coef.Ia</t>
  </si>
  <si>
    <t>Determinação do hidrograma afluente</t>
  </si>
  <si>
    <r>
      <t>tc</t>
    </r>
    <r>
      <rPr>
        <vertAlign val="subscript"/>
        <sz val="12"/>
        <color theme="1"/>
        <rFont val="Times New Roman"/>
        <family val="1"/>
      </rPr>
      <t>i</t>
    </r>
  </si>
  <si>
    <t>Qmáx</t>
  </si>
  <si>
    <r>
      <t>t</t>
    </r>
    <r>
      <rPr>
        <vertAlign val="subscript"/>
        <sz val="12"/>
        <color theme="1"/>
        <rFont val="Times New Roman"/>
        <family val="1"/>
      </rPr>
      <t>c,lot,i</t>
    </r>
  </si>
  <si>
    <t>L/s/min</t>
  </si>
  <si>
    <t xml:space="preserve">i </t>
  </si>
  <si>
    <t>Simulação hidráulica do reservatório</t>
  </si>
  <si>
    <t>Qlot,i(t)</t>
  </si>
  <si>
    <t>Qlot,i(t+1)</t>
  </si>
  <si>
    <t>2S(t)/Δt</t>
  </si>
  <si>
    <t>Tabela Auxiliar</t>
  </si>
  <si>
    <t>h</t>
  </si>
  <si>
    <t>h-max</t>
  </si>
  <si>
    <t>cm</t>
  </si>
  <si>
    <t>[cm]</t>
  </si>
  <si>
    <t>[m³]</t>
  </si>
  <si>
    <t>Qhi</t>
  </si>
  <si>
    <t>Qsi</t>
  </si>
  <si>
    <t>Qout,i</t>
  </si>
  <si>
    <t>PROPAGAÇÃO DE VAZÃO- PULS</t>
  </si>
  <si>
    <t>Simul.</t>
  </si>
  <si>
    <t>Vol</t>
  </si>
  <si>
    <t>m³</t>
  </si>
  <si>
    <r>
      <t>Vol</t>
    </r>
    <r>
      <rPr>
        <vertAlign val="subscript"/>
        <sz val="12"/>
        <color theme="1"/>
        <rFont val="Times New Roman"/>
        <family val="1"/>
      </rPr>
      <t>p</t>
    </r>
  </si>
  <si>
    <t>Cálculo auxiliares</t>
  </si>
  <si>
    <t>ΔQi/Δt</t>
  </si>
  <si>
    <t>ΔQmax/Δt</t>
  </si>
  <si>
    <r>
      <t>Q</t>
    </r>
    <r>
      <rPr>
        <b/>
        <vertAlign val="subscript"/>
        <sz val="12"/>
        <color theme="1"/>
        <rFont val="Times New Roman"/>
        <family val="1"/>
      </rPr>
      <t>sis,i</t>
    </r>
  </si>
  <si>
    <t>Δqmax,i/Δt</t>
  </si>
  <si>
    <r>
      <t>Q</t>
    </r>
    <r>
      <rPr>
        <b/>
        <vertAlign val="subscript"/>
        <sz val="12"/>
        <color theme="1"/>
        <rFont val="Times New Roman"/>
        <family val="1"/>
      </rPr>
      <t>sis,exut</t>
    </r>
  </si>
  <si>
    <r>
      <t>q</t>
    </r>
    <r>
      <rPr>
        <vertAlign val="subscript"/>
        <sz val="12"/>
        <color theme="1"/>
        <rFont val="Times New Roman"/>
        <family val="1"/>
      </rPr>
      <t>sis,exut</t>
    </r>
  </si>
  <si>
    <r>
      <t>q</t>
    </r>
    <r>
      <rPr>
        <vertAlign val="subscript"/>
        <sz val="12"/>
        <color theme="1"/>
        <rFont val="Times New Roman"/>
        <family val="1"/>
      </rPr>
      <t>sis,i</t>
    </r>
  </si>
  <si>
    <t>[L/s]/(100m²)</t>
  </si>
  <si>
    <r>
      <t>Q</t>
    </r>
    <r>
      <rPr>
        <vertAlign val="subscript"/>
        <sz val="12"/>
        <color theme="1"/>
        <rFont val="Times New Roman"/>
        <family val="1"/>
      </rPr>
      <t>ref,lot,i</t>
    </r>
  </si>
  <si>
    <t>hmáx</t>
  </si>
  <si>
    <t>Qmaxef</t>
  </si>
  <si>
    <t>Qmaxaf</t>
  </si>
  <si>
    <t>Tmaxef</t>
  </si>
  <si>
    <t>Tmaxaf</t>
  </si>
  <si>
    <t>Restrições</t>
  </si>
  <si>
    <t>&lt;=</t>
  </si>
  <si>
    <t>=</t>
  </si>
  <si>
    <t>&gt;=</t>
  </si>
  <si>
    <t>hmax</t>
  </si>
  <si>
    <t>Vol.ef</t>
  </si>
  <si>
    <r>
      <t>Q</t>
    </r>
    <r>
      <rPr>
        <vertAlign val="subscript"/>
        <sz val="11"/>
        <color theme="1"/>
        <rFont val="Times New Roman"/>
        <family val="1"/>
      </rPr>
      <t>hi</t>
    </r>
    <r>
      <rPr>
        <sz val="11"/>
        <color theme="1"/>
        <rFont val="Times New Roman"/>
        <family val="1"/>
      </rPr>
      <t>(t)</t>
    </r>
  </si>
  <si>
    <r>
      <t>Qs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>(t)</t>
    </r>
  </si>
  <si>
    <r>
      <t>Q</t>
    </r>
    <r>
      <rPr>
        <vertAlign val="subscript"/>
        <sz val="11"/>
        <color theme="1"/>
        <rFont val="Times New Roman"/>
        <family val="1"/>
      </rPr>
      <t>out</t>
    </r>
    <r>
      <rPr>
        <sz val="11"/>
        <color theme="1"/>
        <rFont val="Times New Roman"/>
        <family val="1"/>
      </rPr>
      <t>(t)</t>
    </r>
  </si>
  <si>
    <t>2S/Δt + Qout</t>
  </si>
  <si>
    <t>2S(t+1)/Δt + Qout(t+1)</t>
  </si>
  <si>
    <t xml:space="preserve">2S/Δt </t>
  </si>
  <si>
    <t>h(t)</t>
  </si>
  <si>
    <t>Qref</t>
  </si>
  <si>
    <t>Vol.prec</t>
  </si>
  <si>
    <t>Configuração do coeficiente de descarga</t>
  </si>
  <si>
    <t>Carga</t>
  </si>
  <si>
    <t>Diâmetro [mm]</t>
  </si>
  <si>
    <t>Diamtro comercial</t>
  </si>
  <si>
    <t>diametro</t>
  </si>
  <si>
    <t>volume</t>
  </si>
  <si>
    <t>Qmax</t>
  </si>
  <si>
    <t>lnh</t>
  </si>
  <si>
    <t>lnV</t>
  </si>
  <si>
    <t>lnh . lnV</t>
  </si>
  <si>
    <t>(lnh)^2</t>
  </si>
  <si>
    <t>Vcalc</t>
  </si>
  <si>
    <t>[m4]</t>
  </si>
  <si>
    <t>CURVA GEOMÉTRICA</t>
  </si>
  <si>
    <t>k1</t>
  </si>
  <si>
    <t>k2</t>
  </si>
  <si>
    <t>k3</t>
  </si>
  <si>
    <t>alfa1</t>
  </si>
  <si>
    <t>k4</t>
  </si>
  <si>
    <t>alfa2</t>
  </si>
  <si>
    <t>y = alfa1.(x^alfa2)</t>
  </si>
  <si>
    <r>
      <t>R</t>
    </r>
    <r>
      <rPr>
        <vertAlign val="superscript"/>
        <sz val="12"/>
        <color theme="1"/>
        <rFont val="Times New Roman"/>
        <family val="1"/>
      </rPr>
      <t>2</t>
    </r>
  </si>
  <si>
    <t>V&gt;0 =&gt; h &gt; 0</t>
  </si>
  <si>
    <t xml:space="preserve">Volume </t>
  </si>
  <si>
    <t>[m6]</t>
  </si>
  <si>
    <t>Indicadores</t>
  </si>
  <si>
    <t>Variáveis Definidoras</t>
  </si>
  <si>
    <t>Volep[m³]</t>
  </si>
  <si>
    <t>Volef [m³]</t>
  </si>
  <si>
    <t>Area</t>
  </si>
  <si>
    <t>Qsis-Qref</t>
  </si>
  <si>
    <t>Qsis,efl [L/s]</t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</si>
  <si>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1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</si>
  <si>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2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</si>
  <si>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3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</si>
  <si>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4</t>
    </r>
  </si>
  <si>
    <r>
      <rPr>
        <sz val="10"/>
        <color theme="1"/>
        <rFont val="Calibri"/>
        <family val="2"/>
      </rPr>
      <t>η</t>
    </r>
    <r>
      <rPr>
        <vertAlign val="subscript"/>
        <sz val="10"/>
        <color theme="1"/>
        <rFont val="Garamond"/>
        <family val="1"/>
      </rPr>
      <t>5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</si>
  <si>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1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</si>
  <si>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2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</si>
  <si>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3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</si>
  <si>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4</t>
    </r>
  </si>
  <si>
    <r>
      <rPr>
        <sz val="12"/>
        <color theme="1"/>
        <rFont val="Calibri"/>
        <family val="2"/>
      </rPr>
      <t>η</t>
    </r>
    <r>
      <rPr>
        <vertAlign val="subscript"/>
        <sz val="12"/>
        <color theme="1"/>
        <rFont val="Times New Roman"/>
        <family val="1"/>
      </rPr>
      <t>5</t>
    </r>
  </si>
  <si>
    <r>
      <t>t</t>
    </r>
    <r>
      <rPr>
        <b/>
        <vertAlign val="subscript"/>
        <sz val="10"/>
        <color theme="1"/>
        <rFont val="Garamond"/>
        <family val="1"/>
      </rPr>
      <t xml:space="preserve">c </t>
    </r>
  </si>
  <si>
    <r>
      <t>t</t>
    </r>
    <r>
      <rPr>
        <b/>
        <vertAlign val="subscript"/>
        <sz val="10"/>
        <color theme="1"/>
        <rFont val="Garamond"/>
        <family val="1"/>
      </rPr>
      <t>ci</t>
    </r>
  </si>
  <si>
    <r>
      <t>Q</t>
    </r>
    <r>
      <rPr>
        <b/>
        <vertAlign val="subscript"/>
        <sz val="10"/>
        <color theme="1"/>
        <rFont val="Garamond"/>
        <family val="1"/>
      </rPr>
      <t>max</t>
    </r>
  </si>
  <si>
    <r>
      <t>Q</t>
    </r>
    <r>
      <rPr>
        <b/>
        <vertAlign val="subscript"/>
        <sz val="10"/>
        <color theme="1"/>
        <rFont val="Garamond"/>
        <family val="1"/>
      </rPr>
      <t>max,i</t>
    </r>
  </si>
  <si>
    <r>
      <t>C</t>
    </r>
    <r>
      <rPr>
        <b/>
        <vertAlign val="subscript"/>
        <sz val="10"/>
        <color theme="1"/>
        <rFont val="Garamond"/>
        <family val="1"/>
      </rPr>
      <t>i</t>
    </r>
  </si>
  <si>
    <r>
      <t>q</t>
    </r>
    <r>
      <rPr>
        <b/>
        <vertAlign val="subscript"/>
        <sz val="10"/>
        <color theme="1"/>
        <rFont val="Garamond"/>
        <family val="1"/>
      </rPr>
      <t>max,i</t>
    </r>
  </si>
  <si>
    <r>
      <t>Q</t>
    </r>
    <r>
      <rPr>
        <b/>
        <vertAlign val="subscript"/>
        <sz val="10"/>
        <color theme="1"/>
        <rFont val="Garamond"/>
        <family val="1"/>
      </rPr>
      <t>max,lot,i</t>
    </r>
  </si>
  <si>
    <r>
      <t>Q</t>
    </r>
    <r>
      <rPr>
        <b/>
        <vertAlign val="subscript"/>
        <sz val="10"/>
        <color theme="1"/>
        <rFont val="Garamond"/>
        <family val="1"/>
      </rPr>
      <t>ref,i,máx</t>
    </r>
  </si>
  <si>
    <r>
      <t>η</t>
    </r>
    <r>
      <rPr>
        <b/>
        <vertAlign val="subscript"/>
        <sz val="10"/>
        <color theme="1"/>
        <rFont val="Garamond"/>
        <family val="1"/>
      </rPr>
      <t>5</t>
    </r>
  </si>
  <si>
    <t>Rótulo</t>
  </si>
  <si>
    <t>Reservatório 01</t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</si>
  <si>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1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</si>
  <si>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2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</si>
  <si>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3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</si>
  <si>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4</t>
    </r>
  </si>
  <si>
    <r>
      <rPr>
        <b/>
        <sz val="10"/>
        <color theme="1"/>
        <rFont val="Calibri"/>
        <family val="2"/>
      </rPr>
      <t>η</t>
    </r>
    <r>
      <rPr>
        <b/>
        <vertAlign val="subscript"/>
        <sz val="10"/>
        <color theme="1"/>
        <rFont val="Garamond"/>
        <family val="1"/>
      </rPr>
      <t>5</t>
    </r>
  </si>
  <si>
    <t>Q1,3</t>
  </si>
  <si>
    <t/>
  </si>
  <si>
    <t>Q1,2</t>
  </si>
  <si>
    <t>H1</t>
  </si>
  <si>
    <t>H2</t>
  </si>
  <si>
    <t>Vertedor</t>
  </si>
  <si>
    <t>Circular</t>
  </si>
  <si>
    <t>Retangular</t>
  </si>
  <si>
    <t>Espessura</t>
  </si>
  <si>
    <t>Diâmetro interno</t>
  </si>
  <si>
    <t>Diâmetro Nominal</t>
  </si>
  <si>
    <t>Qsis,sem res</t>
  </si>
  <si>
    <t>Li</t>
  </si>
  <si>
    <t>1.0 - Criar a cota-volume</t>
  </si>
  <si>
    <t>Cota</t>
  </si>
  <si>
    <t>Volume</t>
  </si>
  <si>
    <t>a + bxi - y</t>
  </si>
  <si>
    <t>(lnV - lnVmed)^2</t>
  </si>
  <si>
    <t>(lnVcalc - lnVmed)^2</t>
  </si>
  <si>
    <t>n_dados</t>
  </si>
  <si>
    <t>b e c calculados ou adotados</t>
  </si>
  <si>
    <t>Reservatório prismatico</t>
  </si>
  <si>
    <t>Reservatório variável</t>
  </si>
  <si>
    <t>Tipo de vertedor</t>
  </si>
  <si>
    <t>Tipo res</t>
  </si>
  <si>
    <t>2.0 - Colocar os dados de cota volume  e tipo do vertedor</t>
  </si>
  <si>
    <t>3.0 - Colocar os diametros dos orificios</t>
  </si>
  <si>
    <t>Linha orificio</t>
  </si>
  <si>
    <t>Linha vertedor</t>
  </si>
  <si>
    <t>Diam</t>
  </si>
  <si>
    <t>4.0 - Fazer o gráfico de otimização</t>
  </si>
  <si>
    <t>Diametros</t>
  </si>
  <si>
    <t>SIMULAÇÕES</t>
  </si>
  <si>
    <t>Vol.</t>
  </si>
  <si>
    <t>Vol - OK</t>
  </si>
  <si>
    <t>ÓTIMO</t>
  </si>
  <si>
    <t>Diametro</t>
  </si>
  <si>
    <t>Vol [m³]</t>
  </si>
  <si>
    <t>Qmaxef [L/s]</t>
  </si>
  <si>
    <t>Qmax [L/s]</t>
  </si>
  <si>
    <t>hmax [m]</t>
  </si>
  <si>
    <t>MELHOR SOLUÇÃO</t>
  </si>
  <si>
    <t>fis</t>
  </si>
  <si>
    <t>Rotulo</t>
  </si>
  <si>
    <t>Posição</t>
  </si>
  <si>
    <t>médialnh</t>
  </si>
  <si>
    <t>Variable</t>
  </si>
  <si>
    <t>Value</t>
  </si>
  <si>
    <t xml:space="preserve">Vol = 4.93m³ / Qmaxef = 2.51L/s / φs = 32 mm / φh = 25 mm /  h = 1.32m </t>
  </si>
  <si>
    <t>Vol = 5.06m³ / Qmaxef = 1.98L/s / φs = 20 mm / φh = 25 mm / h = 1.35m</t>
  </si>
  <si>
    <t xml:space="preserve">Vol = 4.98m³ / Qmaxef = 2.32L/s / φs = 25 mm / φh = 25 mm / h = 1.33m </t>
  </si>
  <si>
    <t>Qsem o res</t>
  </si>
  <si>
    <t>Qcom</t>
  </si>
  <si>
    <t>Input data</t>
  </si>
  <si>
    <t>Watershed</t>
  </si>
  <si>
    <t>Rainfall</t>
  </si>
  <si>
    <t>Hydraulic Model</t>
  </si>
  <si>
    <t>Spill</t>
  </si>
  <si>
    <t>Type</t>
  </si>
  <si>
    <t>Step</t>
  </si>
  <si>
    <t>tc-lot,i</t>
  </si>
  <si>
    <t>f</t>
  </si>
  <si>
    <t>Main results summary</t>
  </si>
  <si>
    <t>Verifications</t>
  </si>
  <si>
    <t>Indicators</t>
  </si>
  <si>
    <t>Project criterion and simplifications</t>
  </si>
  <si>
    <t xml:space="preserve">1. - Rainfall is considered constant in all watershed
2. - Lot's time of concentration are assumed
3. - The pre development runoff coefficient is the receptor system runoff project coefficient
4. - For rectangular spills, a constant discharge coefficient is assumed
5. - Time of concentration are calculated by kinematic wave and is assumed a constant mean manning coefficient </t>
  </si>
  <si>
    <t>01) Watershed time of concentration</t>
  </si>
  <si>
    <t>L  [km]</t>
  </si>
  <si>
    <t>S  [m/km]</t>
  </si>
  <si>
    <t>02) Lot catchment reference time of concentration</t>
  </si>
  <si>
    <t>Rounded for the nearest integer</t>
  </si>
  <si>
    <t>03) Rainfall rate</t>
  </si>
  <si>
    <t>04) Maximum outflow in the watershed</t>
  </si>
  <si>
    <t>06) Lot reference outflow</t>
  </si>
  <si>
    <t>05) Maximum catchment reference outflow and maximum specific outflow</t>
  </si>
  <si>
    <t>07) Lot's Runoff coefficient</t>
  </si>
  <si>
    <t>08) Maximum inflow</t>
  </si>
  <si>
    <t>09) Hydrographs</t>
  </si>
  <si>
    <t>n5 indicator aims to explain the resilience</t>
  </si>
  <si>
    <t>Summary</t>
  </si>
  <si>
    <t>Main results</t>
  </si>
  <si>
    <r>
      <t>tc</t>
    </r>
    <r>
      <rPr>
        <vertAlign val="subscript"/>
        <sz val="11"/>
        <color theme="1"/>
        <rFont val="Segoe UI Semilight"/>
        <family val="2"/>
      </rPr>
      <t>min</t>
    </r>
  </si>
  <si>
    <r>
      <t>h</t>
    </r>
    <r>
      <rPr>
        <vertAlign val="subscript"/>
        <sz val="11"/>
        <color theme="1"/>
        <rFont val="Segoe UI Semilight"/>
        <family val="2"/>
      </rPr>
      <t>maxmax</t>
    </r>
  </si>
  <si>
    <r>
      <t>C</t>
    </r>
    <r>
      <rPr>
        <vertAlign val="subscript"/>
        <sz val="11"/>
        <color theme="1"/>
        <rFont val="Segoe UI Semilight"/>
        <family val="2"/>
      </rPr>
      <t>s</t>
    </r>
  </si>
  <si>
    <r>
      <t>ϕ</t>
    </r>
    <r>
      <rPr>
        <vertAlign val="subscript"/>
        <sz val="11"/>
        <color theme="1"/>
        <rFont val="Segoe UI Semilight"/>
        <family val="2"/>
      </rPr>
      <t>h</t>
    </r>
  </si>
  <si>
    <r>
      <t>Q</t>
    </r>
    <r>
      <rPr>
        <vertAlign val="subscript"/>
        <sz val="11"/>
        <color theme="1"/>
        <rFont val="Segoe UI Semilight"/>
        <family val="2"/>
      </rPr>
      <t>maxef</t>
    </r>
  </si>
  <si>
    <r>
      <t>C</t>
    </r>
    <r>
      <rPr>
        <vertAlign val="subscript"/>
        <sz val="11"/>
        <color theme="1"/>
        <rFont val="Segoe UI Semilight"/>
        <family val="2"/>
      </rPr>
      <t>dsr</t>
    </r>
  </si>
  <si>
    <r>
      <rPr>
        <sz val="11"/>
        <color theme="1"/>
        <rFont val="Segoe UI Semilight"/>
        <family val="2"/>
      </rPr>
      <t>t</t>
    </r>
    <r>
      <rPr>
        <vertAlign val="subscript"/>
        <sz val="11"/>
        <color theme="1"/>
        <rFont val="Segoe UI Semilight"/>
        <family val="2"/>
      </rPr>
      <t>max</t>
    </r>
  </si>
  <si>
    <r>
      <t>h</t>
    </r>
    <r>
      <rPr>
        <vertAlign val="subscript"/>
        <sz val="11"/>
        <color theme="1"/>
        <rFont val="Segoe UI Semilight"/>
        <family val="2"/>
      </rPr>
      <t>max</t>
    </r>
  </si>
  <si>
    <r>
      <t>L</t>
    </r>
    <r>
      <rPr>
        <vertAlign val="subscript"/>
        <sz val="11"/>
        <color theme="1"/>
        <rFont val="Segoe UI Semilight"/>
        <family val="2"/>
      </rPr>
      <t>ef</t>
    </r>
  </si>
  <si>
    <r>
      <t>ϕ</t>
    </r>
    <r>
      <rPr>
        <vertAlign val="subscript"/>
        <sz val="11"/>
        <color theme="1"/>
        <rFont val="Segoe UI Semilight"/>
        <family val="2"/>
      </rPr>
      <t>s</t>
    </r>
  </si>
  <si>
    <r>
      <t>n</t>
    </r>
    <r>
      <rPr>
        <vertAlign val="subscript"/>
        <sz val="11"/>
        <color theme="1"/>
        <rFont val="Segoe UI Semilight"/>
        <family val="2"/>
      </rPr>
      <t>1</t>
    </r>
  </si>
  <si>
    <r>
      <t>n</t>
    </r>
    <r>
      <rPr>
        <vertAlign val="subscript"/>
        <sz val="11"/>
        <color theme="1"/>
        <rFont val="Segoe UI Semilight"/>
        <family val="2"/>
      </rPr>
      <t>2</t>
    </r>
  </si>
  <si>
    <r>
      <t>h</t>
    </r>
    <r>
      <rPr>
        <vertAlign val="subscript"/>
        <sz val="11"/>
        <color theme="1"/>
        <rFont val="Segoe UI Semilight"/>
        <family val="2"/>
      </rPr>
      <t>0</t>
    </r>
  </si>
  <si>
    <r>
      <t>n</t>
    </r>
    <r>
      <rPr>
        <vertAlign val="subscript"/>
        <sz val="11"/>
        <color theme="1"/>
        <rFont val="Segoe UI Semilight"/>
        <family val="2"/>
      </rPr>
      <t>3</t>
    </r>
  </si>
  <si>
    <r>
      <t>n</t>
    </r>
    <r>
      <rPr>
        <vertAlign val="subscript"/>
        <sz val="11"/>
        <color theme="1"/>
        <rFont val="Segoe UI Semilight"/>
        <family val="2"/>
      </rPr>
      <t>4</t>
    </r>
  </si>
  <si>
    <r>
      <t>n</t>
    </r>
    <r>
      <rPr>
        <vertAlign val="subscript"/>
        <sz val="11"/>
        <color theme="1"/>
        <rFont val="Segoe UI Semilight"/>
        <family val="2"/>
      </rPr>
      <t>5</t>
    </r>
  </si>
  <si>
    <r>
      <t>t</t>
    </r>
    <r>
      <rPr>
        <vertAlign val="subscript"/>
        <sz val="11"/>
        <color theme="1"/>
        <rFont val="Segoe UI Semilight"/>
        <family val="2"/>
      </rPr>
      <t xml:space="preserve">c </t>
    </r>
  </si>
  <si>
    <r>
      <t>tc</t>
    </r>
    <r>
      <rPr>
        <vertAlign val="subscript"/>
        <sz val="11"/>
        <color theme="1"/>
        <rFont val="Segoe UI Semilight"/>
        <family val="2"/>
      </rPr>
      <t>i</t>
    </r>
  </si>
  <si>
    <r>
      <t>Q</t>
    </r>
    <r>
      <rPr>
        <vertAlign val="subscript"/>
        <sz val="11"/>
        <color theme="1"/>
        <rFont val="Segoe UI Semilight"/>
        <family val="2"/>
      </rPr>
      <t>max</t>
    </r>
    <r>
      <rPr>
        <sz val="11"/>
        <color theme="1"/>
        <rFont val="Segoe UI Semilight"/>
        <family val="2"/>
      </rPr>
      <t xml:space="preserve"> = 2,78 x C . i . A </t>
    </r>
  </si>
  <si>
    <r>
      <t>Q</t>
    </r>
    <r>
      <rPr>
        <vertAlign val="subscript"/>
        <sz val="11"/>
        <color theme="1"/>
        <rFont val="Segoe UI Semilight"/>
        <family val="2"/>
      </rPr>
      <t>max</t>
    </r>
  </si>
  <si>
    <r>
      <t>Q</t>
    </r>
    <r>
      <rPr>
        <vertAlign val="subscript"/>
        <sz val="11"/>
        <color theme="1"/>
        <rFont val="Segoe UI Semilight"/>
        <family val="2"/>
      </rPr>
      <t xml:space="preserve">max,i </t>
    </r>
    <r>
      <rPr>
        <sz val="11"/>
        <color theme="1"/>
        <rFont val="Segoe UI Semilight"/>
        <family val="2"/>
      </rPr>
      <t>= (t</t>
    </r>
    <r>
      <rPr>
        <vertAlign val="subscript"/>
        <sz val="11"/>
        <color theme="1"/>
        <rFont val="Segoe UI Semilight"/>
        <family val="2"/>
      </rPr>
      <t>ci</t>
    </r>
    <r>
      <rPr>
        <sz val="11"/>
        <color theme="1"/>
        <rFont val="Segoe UI Semilight"/>
        <family val="2"/>
      </rPr>
      <t xml:space="preserve"> / t</t>
    </r>
    <r>
      <rPr>
        <vertAlign val="subscript"/>
        <sz val="11"/>
        <color theme="1"/>
        <rFont val="Segoe UI Semilight"/>
        <family val="2"/>
      </rPr>
      <t>c</t>
    </r>
    <r>
      <rPr>
        <sz val="11"/>
        <color theme="1"/>
        <rFont val="Segoe UI Semilight"/>
        <family val="2"/>
      </rPr>
      <t>) . Qmax</t>
    </r>
  </si>
  <si>
    <r>
      <t>Q</t>
    </r>
    <r>
      <rPr>
        <vertAlign val="subscript"/>
        <sz val="11"/>
        <color theme="1"/>
        <rFont val="Segoe UI Semilight"/>
        <family val="2"/>
      </rPr>
      <t>max,i</t>
    </r>
  </si>
  <si>
    <r>
      <t>q</t>
    </r>
    <r>
      <rPr>
        <vertAlign val="subscript"/>
        <sz val="11"/>
        <color theme="1"/>
        <rFont val="Segoe UI Semilight"/>
        <family val="2"/>
      </rPr>
      <t>max,i</t>
    </r>
    <r>
      <rPr>
        <sz val="11"/>
        <color theme="1"/>
        <rFont val="Segoe UI Semilight"/>
        <family val="2"/>
      </rPr>
      <t xml:space="preserve">  = Q</t>
    </r>
    <r>
      <rPr>
        <vertAlign val="subscript"/>
        <sz val="11"/>
        <color theme="1"/>
        <rFont val="Segoe UI Semilight"/>
        <family val="2"/>
      </rPr>
      <t>max,i</t>
    </r>
    <r>
      <rPr>
        <sz val="11"/>
        <color theme="1"/>
        <rFont val="Segoe UI Semilight"/>
        <family val="2"/>
      </rPr>
      <t xml:space="preserve"> / A</t>
    </r>
    <r>
      <rPr>
        <vertAlign val="subscript"/>
        <sz val="11"/>
        <color theme="1"/>
        <rFont val="Segoe UI Semilight"/>
        <family val="2"/>
      </rPr>
      <t>d,i</t>
    </r>
  </si>
  <si>
    <r>
      <t>q</t>
    </r>
    <r>
      <rPr>
        <vertAlign val="subscript"/>
        <sz val="11"/>
        <color theme="1"/>
        <rFont val="Segoe UI Semilight"/>
        <family val="2"/>
      </rPr>
      <t>max,i</t>
    </r>
  </si>
  <si>
    <r>
      <t>Q</t>
    </r>
    <r>
      <rPr>
        <vertAlign val="subscript"/>
        <sz val="11"/>
        <color theme="1"/>
        <rFont val="Segoe UI Semilight"/>
        <family val="2"/>
      </rPr>
      <t>ref,i,máx</t>
    </r>
    <r>
      <rPr>
        <sz val="11"/>
        <color theme="1"/>
        <rFont val="Segoe UI Semilight"/>
        <family val="2"/>
      </rPr>
      <t xml:space="preserve"> = q</t>
    </r>
    <r>
      <rPr>
        <vertAlign val="subscript"/>
        <sz val="11"/>
        <color theme="1"/>
        <rFont val="Segoe UI Semilight"/>
        <family val="2"/>
      </rPr>
      <t>imáx</t>
    </r>
    <r>
      <rPr>
        <sz val="11"/>
        <color theme="1"/>
        <rFont val="Segoe UI Semilight"/>
        <family val="2"/>
      </rPr>
      <t>.A</t>
    </r>
    <r>
      <rPr>
        <vertAlign val="subscript"/>
        <sz val="11"/>
        <color theme="1"/>
        <rFont val="Segoe UI Semilight"/>
        <family val="2"/>
      </rPr>
      <t>lot,i.</t>
    </r>
    <r>
      <rPr>
        <sz val="11"/>
        <color theme="1"/>
        <rFont val="Segoe UI Semilight"/>
        <family val="2"/>
      </rPr>
      <t>/10^4</t>
    </r>
  </si>
  <si>
    <r>
      <t>Q</t>
    </r>
    <r>
      <rPr>
        <vertAlign val="subscript"/>
        <sz val="11"/>
        <color theme="1"/>
        <rFont val="Segoe UI Semilight"/>
        <family val="2"/>
      </rPr>
      <t>ref,i,máx</t>
    </r>
  </si>
  <si>
    <r>
      <t>C</t>
    </r>
    <r>
      <rPr>
        <vertAlign val="subscript"/>
        <sz val="11"/>
        <color theme="1"/>
        <rFont val="Segoe UI Semilight"/>
        <family val="2"/>
      </rPr>
      <t>i</t>
    </r>
  </si>
  <si>
    <r>
      <t>Q</t>
    </r>
    <r>
      <rPr>
        <vertAlign val="subscript"/>
        <sz val="12"/>
        <color theme="1"/>
        <rFont val="Segoe UI Semilight"/>
        <family val="2"/>
      </rPr>
      <t>max,lot,i</t>
    </r>
    <r>
      <rPr>
        <sz val="12"/>
        <color theme="1"/>
        <rFont val="Segoe UI Semilight"/>
        <family val="2"/>
      </rPr>
      <t xml:space="preserve"> = C</t>
    </r>
    <r>
      <rPr>
        <vertAlign val="subscript"/>
        <sz val="12"/>
        <color theme="1"/>
        <rFont val="Segoe UI Semilight"/>
        <family val="2"/>
      </rPr>
      <t>i</t>
    </r>
    <r>
      <rPr>
        <sz val="12"/>
        <color theme="1"/>
        <rFont val="Segoe UI Semilight"/>
        <family val="2"/>
      </rPr>
      <t>.i.A</t>
    </r>
    <r>
      <rPr>
        <vertAlign val="subscript"/>
        <sz val="12"/>
        <color theme="1"/>
        <rFont val="Segoe UI Semilight"/>
        <family val="2"/>
      </rPr>
      <t xml:space="preserve">lot,i </t>
    </r>
    <r>
      <rPr>
        <sz val="12"/>
        <color theme="1"/>
        <rFont val="Segoe UI Semilight"/>
        <family val="2"/>
      </rPr>
      <t>/ 3600</t>
    </r>
  </si>
  <si>
    <r>
      <t>Q</t>
    </r>
    <r>
      <rPr>
        <vertAlign val="subscript"/>
        <sz val="12"/>
        <color theme="1"/>
        <rFont val="Segoe UI Semilight"/>
        <family val="2"/>
      </rPr>
      <t>max,lot,i</t>
    </r>
  </si>
  <si>
    <r>
      <t>η</t>
    </r>
    <r>
      <rPr>
        <vertAlign val="subscript"/>
        <sz val="12"/>
        <color theme="1"/>
        <rFont val="Segoe UI Semilight"/>
        <family val="2"/>
      </rPr>
      <t xml:space="preserve">1 </t>
    </r>
    <r>
      <rPr>
        <sz val="12"/>
        <color theme="1"/>
        <rFont val="Segoe UI Semilight"/>
        <family val="2"/>
      </rPr>
      <t>=</t>
    </r>
    <r>
      <rPr>
        <vertAlign val="subscript"/>
        <sz val="12"/>
        <color theme="1"/>
        <rFont val="Segoe UI Semilight"/>
        <family val="2"/>
      </rPr>
      <t xml:space="preserve"> </t>
    </r>
  </si>
  <si>
    <r>
      <t>η</t>
    </r>
    <r>
      <rPr>
        <vertAlign val="subscript"/>
        <sz val="12"/>
        <color theme="1"/>
        <rFont val="Segoe UI Semilight"/>
        <family val="2"/>
      </rPr>
      <t xml:space="preserve">3 </t>
    </r>
    <r>
      <rPr>
        <sz val="12"/>
        <color theme="1"/>
        <rFont val="Segoe UI Semilight"/>
        <family val="2"/>
      </rPr>
      <t xml:space="preserve">= </t>
    </r>
  </si>
  <si>
    <r>
      <t>η</t>
    </r>
    <r>
      <rPr>
        <vertAlign val="subscript"/>
        <sz val="12"/>
        <color theme="1"/>
        <rFont val="Segoe UI Semilight"/>
        <family val="2"/>
      </rPr>
      <t xml:space="preserve">2 </t>
    </r>
    <r>
      <rPr>
        <sz val="12"/>
        <color theme="1"/>
        <rFont val="Segoe UI Semilight"/>
        <family val="2"/>
      </rPr>
      <t xml:space="preserve">= </t>
    </r>
  </si>
  <si>
    <r>
      <t>η</t>
    </r>
    <r>
      <rPr>
        <vertAlign val="subscript"/>
        <sz val="12"/>
        <color theme="1"/>
        <rFont val="Segoe UI Semilight"/>
        <family val="2"/>
      </rPr>
      <t xml:space="preserve">4 </t>
    </r>
    <r>
      <rPr>
        <sz val="12"/>
        <color theme="1"/>
        <rFont val="Segoe UI Semilight"/>
        <family val="2"/>
      </rPr>
      <t xml:space="preserve">= </t>
    </r>
  </si>
  <si>
    <r>
      <t>η</t>
    </r>
    <r>
      <rPr>
        <vertAlign val="subscript"/>
        <sz val="12"/>
        <color theme="1"/>
        <rFont val="Segoe UI Semilight"/>
        <family val="2"/>
      </rPr>
      <t xml:space="preserve">5 </t>
    </r>
    <r>
      <rPr>
        <sz val="12"/>
        <color theme="1"/>
        <rFont val="Segoe UI Semilight"/>
        <family val="2"/>
      </rPr>
      <t>=</t>
    </r>
    <r>
      <rPr>
        <vertAlign val="subscript"/>
        <sz val="12"/>
        <color theme="1"/>
        <rFont val="Segoe UI Semilight"/>
        <family val="2"/>
      </rPr>
      <t xml:space="preserve"> </t>
    </r>
  </si>
  <si>
    <r>
      <t>t</t>
    </r>
    <r>
      <rPr>
        <vertAlign val="subscript"/>
        <sz val="11"/>
        <color theme="1"/>
        <rFont val="Segoe UI Semilight"/>
        <family val="2"/>
      </rPr>
      <t>ci</t>
    </r>
  </si>
  <si>
    <r>
      <t>η</t>
    </r>
    <r>
      <rPr>
        <vertAlign val="subscript"/>
        <sz val="12"/>
        <color theme="1"/>
        <rFont val="Segoe UI Semilight"/>
        <family val="2"/>
      </rPr>
      <t>5</t>
    </r>
  </si>
  <si>
    <t>Design of Lot-Scale Reservoirs</t>
  </si>
  <si>
    <t>Developed by Marcus Nobrega, PhD</t>
  </si>
  <si>
    <t>CN-post</t>
  </si>
  <si>
    <t>Sherman IDF type</t>
  </si>
  <si>
    <t>years</t>
  </si>
  <si>
    <t>RP</t>
  </si>
  <si>
    <t>φo = 25 - h = 1.35m - OK</t>
  </si>
  <si>
    <t>φo = 25 - h = 1.33m - OK</t>
  </si>
  <si>
    <t>φo = 25 - h = 1.32m - OK</t>
  </si>
  <si>
    <t>φo = 15 - h = 1.58m - OK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</si>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</sst>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%"/>
    <numFmt numFmtId="166" formatCode="0.000"/>
    <numFmt numFmtId="167" formatCode="0&quot;min&quot;"/>
    <numFmt numFmtId="168" formatCode="0.0&quot;L/s&quot;"/>
    <numFmt numFmtId="169" formatCode="0.0&quot;L/s/ha&quot;"/>
    <numFmt numFmtId="170" formatCode="0.00&quot;mm&quot;"/>
  </numFmts>
  <fonts count="40">
    <font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Times New Roman"/>
      <family val="1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Verdana"/>
      <family val="2"/>
    </font>
    <font>
      <b/>
      <sz val="9"/>
      <color theme="1"/>
      <name val="Garamond"/>
      <family val="1"/>
    </font>
    <font>
      <sz val="9"/>
      <color theme="1"/>
      <name val="Garamond"/>
      <family val="1"/>
    </font>
    <font>
      <sz val="10"/>
      <color theme="1"/>
      <name val="Garamond"/>
      <family val="1"/>
    </font>
    <font>
      <vertAlign val="superscript"/>
      <sz val="12"/>
      <color theme="1"/>
      <name val="Times New Roman"/>
      <family val="1"/>
    </font>
    <font>
      <sz val="10"/>
      <color theme="1"/>
      <name val="Calibri"/>
      <family val="2"/>
    </font>
    <font>
      <sz val="10"/>
      <color theme="1"/>
      <name val="Garamond"/>
      <family val="2"/>
    </font>
    <font>
      <vertAlign val="subscript"/>
      <sz val="10"/>
      <color theme="1"/>
      <name val="Garamond"/>
      <family val="1"/>
    </font>
    <font>
      <sz val="12"/>
      <color theme="1"/>
      <name val="Calibri"/>
      <family val="2"/>
    </font>
    <font>
      <sz val="12"/>
      <color theme="1"/>
      <name val="Times New Roman"/>
      <family val="2"/>
    </font>
    <font>
      <b/>
      <sz val="10"/>
      <color theme="1"/>
      <name val="Garamond"/>
      <family val="1"/>
    </font>
    <font>
      <b/>
      <vertAlign val="subscript"/>
      <sz val="10"/>
      <color theme="1"/>
      <name val="Garamond"/>
      <family val="1"/>
    </font>
    <font>
      <b/>
      <sz val="10"/>
      <color theme="1"/>
      <name val="Garamond"/>
      <family val="2"/>
    </font>
    <font>
      <b/>
      <sz val="10"/>
      <color theme="1"/>
      <name val="Calibri"/>
      <family val="2"/>
    </font>
    <font>
      <sz val="10"/>
      <color theme="1"/>
      <name val="Garamobd"/>
    </font>
    <font>
      <sz val="11"/>
      <color theme="1"/>
      <name val="Segoe UI Semilight"/>
      <family val="2"/>
    </font>
    <font>
      <b/>
      <sz val="11"/>
      <color theme="1"/>
      <name val="Segoe UI Semilight"/>
      <family val="2"/>
    </font>
    <font>
      <u/>
      <sz val="11"/>
      <color theme="1"/>
      <name val="Segoe UI Semilight"/>
      <family val="2"/>
    </font>
    <font>
      <sz val="8"/>
      <color theme="1"/>
      <name val="Segoe UI Semilight"/>
      <family val="2"/>
    </font>
    <font>
      <vertAlign val="subscript"/>
      <sz val="11"/>
      <color theme="1"/>
      <name val="Segoe UI Semilight"/>
      <family val="2"/>
    </font>
    <font>
      <sz val="12"/>
      <color theme="1"/>
      <name val="Segoe UI Semilight"/>
      <family val="2"/>
    </font>
    <font>
      <sz val="9"/>
      <color theme="1"/>
      <name val="Segoe UI Semilight"/>
      <family val="2"/>
    </font>
    <font>
      <i/>
      <sz val="11"/>
      <color theme="1"/>
      <name val="Segoe UI Semilight"/>
      <family val="2"/>
    </font>
    <font>
      <sz val="10"/>
      <color theme="1"/>
      <name val="Segoe UI Semilight"/>
      <family val="2"/>
    </font>
    <font>
      <vertAlign val="subscript"/>
      <sz val="12"/>
      <color theme="1"/>
      <name val="Segoe UI Semilight"/>
      <family val="2"/>
    </font>
    <font>
      <b/>
      <sz val="14"/>
      <color theme="1"/>
      <name val="Segoe UI Semi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DotDot">
        <color theme="0" tint="-0.499984740745262"/>
      </left>
      <right style="dashDotDot">
        <color theme="0" tint="-0.499984740745262"/>
      </right>
      <top/>
      <bottom/>
      <diagonal/>
    </border>
    <border>
      <left/>
      <right style="dashDotDot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dashDotDot">
        <color theme="0" tint="-0.499984740745262"/>
      </left>
      <right/>
      <top/>
      <bottom style="thin">
        <color theme="1"/>
      </bottom>
      <diagonal/>
    </border>
    <border>
      <left style="dashed">
        <color indexed="64"/>
      </left>
      <right/>
      <top style="thin">
        <color auto="1"/>
      </top>
      <bottom/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10">
    <xf numFmtId="0" fontId="0" fillId="0" borderId="0" xfId="0"/>
    <xf numFmtId="0" fontId="2" fillId="3" borderId="0" xfId="0" applyFont="1" applyFill="1"/>
    <xf numFmtId="0" fontId="3" fillId="3" borderId="0" xfId="0" applyFont="1" applyFill="1"/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" fontId="2" fillId="2" borderId="6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2" fontId="2" fillId="2" borderId="1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1" fontId="2" fillId="3" borderId="0" xfId="0" applyNumberFormat="1" applyFont="1" applyFill="1"/>
    <xf numFmtId="2" fontId="2" fillId="3" borderId="0" xfId="0" applyNumberFormat="1" applyFont="1" applyFill="1"/>
    <xf numFmtId="0" fontId="2" fillId="3" borderId="0" xfId="0" applyFont="1" applyFill="1" applyAlignment="1">
      <alignment horizontal="left" vertical="center"/>
    </xf>
    <xf numFmtId="2" fontId="3" fillId="2" borderId="0" xfId="0" applyNumberFormat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2" fontId="7" fillId="2" borderId="0" xfId="0" applyNumberFormat="1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2" fontId="10" fillId="2" borderId="0" xfId="0" applyNumberFormat="1" applyFont="1" applyFill="1" applyAlignment="1">
      <alignment horizontal="center"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vertical="center"/>
    </xf>
    <xf numFmtId="10" fontId="2" fillId="3" borderId="0" xfId="1" applyNumberFormat="1" applyFont="1" applyFill="1"/>
    <xf numFmtId="0" fontId="1" fillId="3" borderId="0" xfId="0" applyFont="1" applyFill="1"/>
    <xf numFmtId="0" fontId="11" fillId="3" borderId="0" xfId="0" applyFont="1" applyFill="1"/>
    <xf numFmtId="0" fontId="1" fillId="3" borderId="11" xfId="0" applyFont="1" applyFill="1" applyBorder="1"/>
    <xf numFmtId="0" fontId="12" fillId="2" borderId="0" xfId="0" applyFont="1" applyFill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center"/>
    </xf>
    <xf numFmtId="0" fontId="3" fillId="2" borderId="17" xfId="0" applyFont="1" applyFill="1" applyBorder="1" applyAlignment="1">
      <alignment horizontal="center"/>
    </xf>
    <xf numFmtId="165" fontId="2" fillId="3" borderId="0" xfId="1" applyNumberFormat="1" applyFont="1" applyFill="1" applyAlignment="1">
      <alignment horizontal="center" vertical="center"/>
    </xf>
    <xf numFmtId="0" fontId="2" fillId="5" borderId="19" xfId="0" applyFont="1" applyFill="1" applyBorder="1"/>
    <xf numFmtId="0" fontId="2" fillId="5" borderId="19" xfId="0" applyFont="1" applyFill="1" applyBorder="1" applyAlignment="1">
      <alignment horizontal="center" vertical="center"/>
    </xf>
    <xf numFmtId="0" fontId="2" fillId="6" borderId="22" xfId="0" applyFont="1" applyFill="1" applyBorder="1"/>
    <xf numFmtId="0" fontId="17" fillId="2" borderId="0" xfId="0" applyFont="1" applyFill="1" applyAlignment="1">
      <alignment vertical="center"/>
    </xf>
    <xf numFmtId="165" fontId="14" fillId="2" borderId="0" xfId="1" applyNumberFormat="1" applyFont="1" applyFill="1" applyAlignment="1">
      <alignment horizontal="center" vertical="center"/>
    </xf>
    <xf numFmtId="165" fontId="14" fillId="2" borderId="11" xfId="1" applyNumberFormat="1" applyFont="1" applyFill="1" applyBorder="1" applyAlignment="1">
      <alignment horizontal="center" vertical="center"/>
    </xf>
    <xf numFmtId="165" fontId="14" fillId="2" borderId="0" xfId="1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right"/>
    </xf>
    <xf numFmtId="2" fontId="14" fillId="2" borderId="13" xfId="0" applyNumberFormat="1" applyFont="1" applyFill="1" applyBorder="1" applyAlignment="1">
      <alignment horizontal="right"/>
    </xf>
    <xf numFmtId="0" fontId="14" fillId="2" borderId="14" xfId="0" applyFont="1" applyFill="1" applyBorder="1"/>
    <xf numFmtId="0" fontId="14" fillId="2" borderId="14" xfId="0" applyFont="1" applyFill="1" applyBorder="1" applyAlignment="1">
      <alignment horizontal="left"/>
    </xf>
    <xf numFmtId="0" fontId="21" fillId="0" borderId="12" xfId="0" applyFont="1" applyBorder="1" applyAlignment="1">
      <alignment horizontal="center"/>
    </xf>
    <xf numFmtId="165" fontId="17" fillId="2" borderId="11" xfId="1" applyNumberFormat="1" applyFont="1" applyFill="1" applyBorder="1" applyAlignment="1">
      <alignment horizontal="left" vertical="center"/>
    </xf>
    <xf numFmtId="0" fontId="23" fillId="2" borderId="0" xfId="0" applyFont="1" applyFill="1" applyAlignment="1">
      <alignment vertical="center"/>
    </xf>
    <xf numFmtId="165" fontId="21" fillId="2" borderId="0" xfId="1" applyNumberFormat="1" applyFont="1" applyFill="1" applyAlignment="1">
      <alignment horizontal="left" vertical="center"/>
    </xf>
    <xf numFmtId="165" fontId="23" fillId="2" borderId="11" xfId="1" applyNumberFormat="1" applyFont="1" applyFill="1" applyBorder="1" applyAlignment="1">
      <alignment horizontal="left" vertical="center"/>
    </xf>
    <xf numFmtId="164" fontId="14" fillId="2" borderId="13" xfId="0" applyNumberFormat="1" applyFont="1" applyFill="1" applyBorder="1" applyAlignment="1">
      <alignment horizontal="right"/>
    </xf>
    <xf numFmtId="9" fontId="14" fillId="2" borderId="13" xfId="1" applyFont="1" applyFill="1" applyBorder="1" applyAlignment="1">
      <alignment horizontal="right"/>
    </xf>
    <xf numFmtId="0" fontId="21" fillId="2" borderId="12" xfId="0" applyFont="1" applyFill="1" applyBorder="1" applyAlignment="1">
      <alignment horizontal="center" vertical="center"/>
    </xf>
    <xf numFmtId="2" fontId="1" fillId="3" borderId="8" xfId="0" applyNumberFormat="1" applyFont="1" applyFill="1" applyBorder="1" applyAlignment="1">
      <alignment horizontal="center"/>
    </xf>
    <xf numFmtId="164" fontId="1" fillId="3" borderId="8" xfId="0" applyNumberFormat="1" applyFont="1" applyFill="1" applyBorder="1" applyAlignment="1">
      <alignment horizontal="center"/>
    </xf>
    <xf numFmtId="1" fontId="1" fillId="3" borderId="8" xfId="0" applyNumberFormat="1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7" borderId="0" xfId="0" applyFont="1" applyFill="1"/>
    <xf numFmtId="0" fontId="1" fillId="3" borderId="0" xfId="0" applyFont="1" applyFill="1" applyAlignment="1">
      <alignment horizontal="center"/>
    </xf>
    <xf numFmtId="0" fontId="1" fillId="3" borderId="15" xfId="0" applyFont="1" applyFill="1" applyBorder="1" applyAlignment="1">
      <alignment horizontal="center"/>
    </xf>
    <xf numFmtId="164" fontId="2" fillId="3" borderId="0" xfId="0" applyNumberFormat="1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0" fontId="26" fillId="2" borderId="0" xfId="0" applyFont="1" applyFill="1" applyAlignment="1">
      <alignment horizontal="center"/>
    </xf>
    <xf numFmtId="0" fontId="26" fillId="2" borderId="0" xfId="0" applyFont="1" applyFill="1"/>
    <xf numFmtId="0" fontId="26" fillId="6" borderId="23" xfId="0" applyFont="1" applyFill="1" applyBorder="1"/>
    <xf numFmtId="2" fontId="26" fillId="6" borderId="6" xfId="0" applyNumberFormat="1" applyFont="1" applyFill="1" applyBorder="1"/>
    <xf numFmtId="0" fontId="26" fillId="6" borderId="6" xfId="0" applyFont="1" applyFill="1" applyBorder="1" applyAlignment="1">
      <alignment horizontal="center"/>
    </xf>
    <xf numFmtId="0" fontId="26" fillId="6" borderId="6" xfId="0" applyFont="1" applyFill="1" applyBorder="1"/>
    <xf numFmtId="0" fontId="26" fillId="6" borderId="24" xfId="0" applyFont="1" applyFill="1" applyBorder="1"/>
    <xf numFmtId="0" fontId="27" fillId="2" borderId="0" xfId="0" applyFont="1" applyFill="1"/>
    <xf numFmtId="0" fontId="26" fillId="6" borderId="25" xfId="0" applyFont="1" applyFill="1" applyBorder="1"/>
    <xf numFmtId="2" fontId="26" fillId="6" borderId="0" xfId="0" applyNumberFormat="1" applyFont="1" applyFill="1"/>
    <xf numFmtId="0" fontId="26" fillId="6" borderId="0" xfId="0" applyFont="1" applyFill="1" applyAlignment="1">
      <alignment horizontal="center"/>
    </xf>
    <xf numFmtId="0" fontId="26" fillId="6" borderId="0" xfId="0" applyFont="1" applyFill="1"/>
    <xf numFmtId="0" fontId="26" fillId="6" borderId="26" xfId="0" applyFont="1" applyFill="1" applyBorder="1"/>
    <xf numFmtId="0" fontId="28" fillId="2" borderId="0" xfId="0" applyFont="1" applyFill="1"/>
    <xf numFmtId="0" fontId="26" fillId="2" borderId="9" xfId="0" applyFont="1" applyFill="1" applyBorder="1" applyProtection="1">
      <protection locked="0"/>
    </xf>
    <xf numFmtId="0" fontId="26" fillId="6" borderId="27" xfId="0" applyFont="1" applyFill="1" applyBorder="1"/>
    <xf numFmtId="0" fontId="26" fillId="6" borderId="28" xfId="0" applyFont="1" applyFill="1" applyBorder="1"/>
    <xf numFmtId="0" fontId="26" fillId="6" borderId="28" xfId="0" applyFont="1" applyFill="1" applyBorder="1" applyAlignment="1">
      <alignment horizontal="center"/>
    </xf>
    <xf numFmtId="2" fontId="26" fillId="6" borderId="28" xfId="0" applyNumberFormat="1" applyFont="1" applyFill="1" applyBorder="1"/>
    <xf numFmtId="0" fontId="26" fillId="6" borderId="29" xfId="0" applyFont="1" applyFill="1" applyBorder="1"/>
    <xf numFmtId="165" fontId="29" fillId="2" borderId="0" xfId="1" applyNumberFormat="1" applyFont="1" applyFill="1" applyAlignment="1">
      <alignment horizontal="left"/>
    </xf>
    <xf numFmtId="0" fontId="31" fillId="2" borderId="0" xfId="0" applyFont="1" applyFill="1"/>
    <xf numFmtId="0" fontId="26" fillId="2" borderId="9" xfId="0" applyFont="1" applyFill="1" applyBorder="1" applyAlignment="1" applyProtection="1">
      <alignment horizontal="right"/>
      <protection locked="0"/>
    </xf>
    <xf numFmtId="0" fontId="26" fillId="2" borderId="9" xfId="0" applyFont="1" applyFill="1" applyBorder="1"/>
    <xf numFmtId="2" fontId="27" fillId="2" borderId="0" xfId="0" applyNumberFormat="1" applyFont="1" applyFill="1"/>
    <xf numFmtId="0" fontId="26" fillId="2" borderId="11" xfId="0" applyFont="1" applyFill="1" applyBorder="1"/>
    <xf numFmtId="0" fontId="29" fillId="2" borderId="11" xfId="0" applyFont="1" applyFill="1" applyBorder="1" applyAlignment="1">
      <alignment horizontal="center"/>
    </xf>
    <xf numFmtId="2" fontId="26" fillId="2" borderId="13" xfId="0" applyNumberFormat="1" applyFont="1" applyFill="1" applyBorder="1" applyAlignment="1" applyProtection="1">
      <alignment horizontal="center"/>
      <protection locked="0"/>
    </xf>
    <xf numFmtId="0" fontId="26" fillId="2" borderId="13" xfId="0" applyFont="1" applyFill="1" applyBorder="1"/>
    <xf numFmtId="0" fontId="30" fillId="2" borderId="0" xfId="0" applyFont="1" applyFill="1" applyAlignment="1">
      <alignment horizontal="center"/>
    </xf>
    <xf numFmtId="0" fontId="26" fillId="2" borderId="11" xfId="0" applyFont="1" applyFill="1" applyBorder="1" applyAlignment="1">
      <alignment horizontal="center"/>
    </xf>
    <xf numFmtId="9" fontId="26" fillId="2" borderId="0" xfId="1" applyFont="1" applyFill="1" applyBorder="1" applyAlignment="1">
      <alignment horizontal="center"/>
    </xf>
    <xf numFmtId="0" fontId="32" fillId="2" borderId="9" xfId="0" applyFont="1" applyFill="1" applyBorder="1" applyAlignment="1" applyProtection="1">
      <alignment horizontal="right"/>
      <protection locked="0"/>
    </xf>
    <xf numFmtId="9" fontId="26" fillId="2" borderId="11" xfId="1" applyFont="1" applyFill="1" applyBorder="1" applyAlignment="1">
      <alignment horizontal="center"/>
    </xf>
    <xf numFmtId="0" fontId="34" fillId="2" borderId="0" xfId="0" applyFont="1" applyFill="1"/>
    <xf numFmtId="0" fontId="26" fillId="2" borderId="7" xfId="0" applyFont="1" applyFill="1" applyBorder="1"/>
    <xf numFmtId="2" fontId="26" fillId="2" borderId="6" xfId="0" applyNumberFormat="1" applyFont="1" applyFill="1" applyBorder="1"/>
    <xf numFmtId="0" fontId="26" fillId="2" borderId="5" xfId="0" applyFont="1" applyFill="1" applyBorder="1"/>
    <xf numFmtId="0" fontId="26" fillId="2" borderId="4" xfId="0" applyFont="1" applyFill="1" applyBorder="1"/>
    <xf numFmtId="2" fontId="26" fillId="2" borderId="0" xfId="0" applyNumberFormat="1" applyFont="1" applyFill="1"/>
    <xf numFmtId="0" fontId="26" fillId="2" borderId="3" xfId="0" applyFont="1" applyFill="1" applyBorder="1"/>
    <xf numFmtId="0" fontId="26" fillId="2" borderId="2" xfId="0" applyFont="1" applyFill="1" applyBorder="1"/>
    <xf numFmtId="2" fontId="26" fillId="2" borderId="10" xfId="0" applyNumberFormat="1" applyFont="1" applyFill="1" applyBorder="1"/>
    <xf numFmtId="0" fontId="26" fillId="2" borderId="1" xfId="0" applyFont="1" applyFill="1" applyBorder="1"/>
    <xf numFmtId="0" fontId="26" fillId="2" borderId="0" xfId="0" applyFont="1" applyFill="1" applyAlignment="1">
      <alignment vertical="center" wrapText="1"/>
    </xf>
    <xf numFmtId="1" fontId="26" fillId="2" borderId="0" xfId="0" applyNumberFormat="1" applyFont="1" applyFill="1"/>
    <xf numFmtId="165" fontId="26" fillId="2" borderId="0" xfId="1" applyNumberFormat="1" applyFont="1" applyFill="1"/>
    <xf numFmtId="0" fontId="26" fillId="0" borderId="0" xfId="0" applyFont="1"/>
    <xf numFmtId="164" fontId="26" fillId="2" borderId="0" xfId="0" applyNumberFormat="1" applyFont="1" applyFill="1"/>
    <xf numFmtId="2" fontId="31" fillId="2" borderId="0" xfId="0" applyNumberFormat="1" applyFont="1" applyFill="1"/>
    <xf numFmtId="0" fontId="31" fillId="2" borderId="0" xfId="0" applyFont="1" applyFill="1" applyAlignment="1">
      <alignment horizontal="right"/>
    </xf>
    <xf numFmtId="165" fontId="26" fillId="2" borderId="0" xfId="1" applyNumberFormat="1" applyFont="1" applyFill="1" applyAlignment="1">
      <alignment horizontal="left"/>
    </xf>
    <xf numFmtId="9" fontId="26" fillId="2" borderId="0" xfId="1" applyFont="1" applyFill="1" applyAlignment="1">
      <alignment horizontal="left"/>
    </xf>
    <xf numFmtId="0" fontId="33" fillId="2" borderId="0" xfId="0" applyFont="1" applyFill="1"/>
    <xf numFmtId="0" fontId="31" fillId="2" borderId="15" xfId="0" applyFont="1" applyFill="1" applyBorder="1"/>
    <xf numFmtId="0" fontId="31" fillId="2" borderId="0" xfId="0" applyFont="1" applyFill="1" applyAlignment="1">
      <alignment horizontal="center"/>
    </xf>
    <xf numFmtId="2" fontId="31" fillId="2" borderId="0" xfId="0" applyNumberFormat="1" applyFont="1" applyFill="1" applyAlignment="1">
      <alignment horizontal="center"/>
    </xf>
    <xf numFmtId="9" fontId="31" fillId="2" borderId="0" xfId="0" applyNumberFormat="1" applyFont="1" applyFill="1"/>
    <xf numFmtId="0" fontId="31" fillId="2" borderId="12" xfId="0" applyFont="1" applyFill="1" applyBorder="1" applyAlignment="1">
      <alignment horizontal="center"/>
    </xf>
    <xf numFmtId="0" fontId="31" fillId="2" borderId="13" xfId="0" applyFont="1" applyFill="1" applyBorder="1" applyAlignment="1">
      <alignment horizontal="center"/>
    </xf>
    <xf numFmtId="0" fontId="26" fillId="2" borderId="15" xfId="0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0" fontId="31" fillId="2" borderId="15" xfId="0" applyFont="1" applyFill="1" applyBorder="1" applyAlignment="1">
      <alignment horizontal="center"/>
    </xf>
    <xf numFmtId="0" fontId="26" fillId="2" borderId="10" xfId="0" applyFont="1" applyFill="1" applyBorder="1" applyAlignment="1">
      <alignment horizontal="center"/>
    </xf>
    <xf numFmtId="0" fontId="31" fillId="2" borderId="11" xfId="0" applyFont="1" applyFill="1" applyBorder="1" applyAlignment="1">
      <alignment horizontal="center"/>
    </xf>
    <xf numFmtId="0" fontId="39" fillId="2" borderId="0" xfId="0" applyFont="1" applyFill="1"/>
    <xf numFmtId="0" fontId="31" fillId="2" borderId="0" xfId="0" applyFont="1" applyFill="1" applyAlignment="1">
      <alignment horizontal="center"/>
    </xf>
    <xf numFmtId="0" fontId="31" fillId="2" borderId="0" xfId="0" applyFont="1" applyFill="1" applyAlignment="1">
      <alignment horizontal="right"/>
    </xf>
    <xf numFmtId="0" fontId="33" fillId="2" borderId="0" xfId="0" applyFont="1" applyFill="1" applyAlignment="1">
      <alignment horizontal="left" vertical="center" wrapText="1"/>
    </xf>
    <xf numFmtId="0" fontId="26" fillId="2" borderId="0" xfId="0" applyFont="1" applyFill="1" applyAlignment="1">
      <alignment horizontal="left" vertical="center" wrapText="1"/>
    </xf>
    <xf numFmtId="169" fontId="31" fillId="2" borderId="0" xfId="0" applyNumberFormat="1" applyFont="1" applyFill="1" applyAlignment="1">
      <alignment horizontal="center"/>
    </xf>
    <xf numFmtId="169" fontId="31" fillId="2" borderId="3" xfId="0" applyNumberFormat="1" applyFont="1" applyFill="1" applyBorder="1" applyAlignment="1">
      <alignment horizontal="center"/>
    </xf>
    <xf numFmtId="168" fontId="31" fillId="2" borderId="0" xfId="0" applyNumberFormat="1" applyFont="1" applyFill="1" applyAlignment="1">
      <alignment horizontal="center"/>
    </xf>
    <xf numFmtId="168" fontId="31" fillId="2" borderId="3" xfId="0" applyNumberFormat="1" applyFont="1" applyFill="1" applyBorder="1" applyAlignment="1">
      <alignment horizontal="center"/>
    </xf>
    <xf numFmtId="168" fontId="31" fillId="2" borderId="11" xfId="0" applyNumberFormat="1" applyFont="1" applyFill="1" applyBorder="1" applyAlignment="1">
      <alignment horizontal="center"/>
    </xf>
    <xf numFmtId="168" fontId="31" fillId="2" borderId="1" xfId="0" applyNumberFormat="1" applyFont="1" applyFill="1" applyBorder="1" applyAlignment="1">
      <alignment horizontal="center"/>
    </xf>
    <xf numFmtId="9" fontId="31" fillId="2" borderId="11" xfId="0" applyNumberFormat="1" applyFont="1" applyFill="1" applyBorder="1" applyAlignment="1">
      <alignment horizontal="center"/>
    </xf>
    <xf numFmtId="9" fontId="31" fillId="2" borderId="1" xfId="0" applyNumberFormat="1" applyFont="1" applyFill="1" applyBorder="1" applyAlignment="1">
      <alignment horizontal="center"/>
    </xf>
    <xf numFmtId="170" fontId="31" fillId="2" borderId="0" xfId="0" applyNumberFormat="1" applyFont="1" applyFill="1" applyAlignment="1">
      <alignment horizontal="center"/>
    </xf>
    <xf numFmtId="170" fontId="31" fillId="2" borderId="3" xfId="0" applyNumberFormat="1" applyFont="1" applyFill="1" applyBorder="1" applyAlignment="1">
      <alignment horizontal="center"/>
    </xf>
    <xf numFmtId="2" fontId="31" fillId="2" borderId="0" xfId="0" applyNumberFormat="1" applyFont="1" applyFill="1" applyAlignment="1">
      <alignment horizontal="center"/>
    </xf>
    <xf numFmtId="2" fontId="31" fillId="2" borderId="3" xfId="0" applyNumberFormat="1" applyFont="1" applyFill="1" applyBorder="1" applyAlignment="1">
      <alignment horizontal="center"/>
    </xf>
    <xf numFmtId="0" fontId="36" fillId="2" borderId="0" xfId="0" applyFont="1" applyFill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167" fontId="31" fillId="2" borderId="0" xfId="0" applyNumberFormat="1" applyFont="1" applyFill="1" applyAlignment="1">
      <alignment horizontal="center"/>
    </xf>
    <xf numFmtId="167" fontId="31" fillId="2" borderId="3" xfId="0" applyNumberFormat="1" applyFont="1" applyFill="1" applyBorder="1" applyAlignment="1">
      <alignment horizontal="center"/>
    </xf>
    <xf numFmtId="0" fontId="31" fillId="2" borderId="12" xfId="0" applyFont="1" applyFill="1" applyBorder="1" applyAlignment="1">
      <alignment horizontal="center"/>
    </xf>
    <xf numFmtId="0" fontId="31" fillId="2" borderId="13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167" fontId="31" fillId="2" borderId="6" xfId="0" applyNumberFormat="1" applyFont="1" applyFill="1" applyBorder="1" applyAlignment="1">
      <alignment horizontal="center"/>
    </xf>
    <xf numFmtId="167" fontId="31" fillId="2" borderId="5" xfId="0" applyNumberFormat="1" applyFont="1" applyFill="1" applyBorder="1" applyAlignment="1">
      <alignment horizontal="center"/>
    </xf>
    <xf numFmtId="170" fontId="31" fillId="2" borderId="6" xfId="0" applyNumberFormat="1" applyFont="1" applyFill="1" applyBorder="1" applyAlignment="1">
      <alignment horizontal="center"/>
    </xf>
    <xf numFmtId="170" fontId="31" fillId="2" borderId="5" xfId="0" applyNumberFormat="1" applyFont="1" applyFill="1" applyBorder="1" applyAlignment="1">
      <alignment horizontal="center"/>
    </xf>
    <xf numFmtId="0" fontId="26" fillId="6" borderId="30" xfId="0" applyFont="1" applyFill="1" applyBorder="1" applyAlignment="1">
      <alignment horizontal="center"/>
    </xf>
    <xf numFmtId="0" fontId="26" fillId="6" borderId="31" xfId="0" applyFont="1" applyFill="1" applyBorder="1" applyAlignment="1">
      <alignment horizontal="center"/>
    </xf>
    <xf numFmtId="0" fontId="26" fillId="6" borderId="32" xfId="0" applyFont="1" applyFill="1" applyBorder="1" applyAlignment="1">
      <alignment horizontal="center"/>
    </xf>
    <xf numFmtId="0" fontId="26" fillId="2" borderId="0" xfId="0" applyFont="1" applyFill="1" applyAlignment="1">
      <alignment horizontal="left"/>
    </xf>
    <xf numFmtId="0" fontId="26" fillId="2" borderId="11" xfId="0" applyFont="1" applyFill="1" applyBorder="1" applyAlignment="1">
      <alignment horizontal="center"/>
    </xf>
    <xf numFmtId="0" fontId="26" fillId="2" borderId="0" xfId="0" applyFont="1" applyFill="1" applyAlignment="1">
      <alignment horizontal="center"/>
    </xf>
    <xf numFmtId="0" fontId="33" fillId="2" borderId="15" xfId="0" applyFont="1" applyFill="1" applyBorder="1" applyAlignment="1">
      <alignment horizontal="left" vertical="center" wrapText="1"/>
    </xf>
    <xf numFmtId="1" fontId="2" fillId="2" borderId="6" xfId="0" applyNumberFormat="1" applyFont="1" applyFill="1" applyBorder="1" applyAlignment="1">
      <alignment horizontal="center" vertical="center"/>
    </xf>
    <xf numFmtId="1" fontId="2" fillId="2" borderId="5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2" fillId="3" borderId="1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1" fillId="3" borderId="0" xfId="0" applyFont="1" applyFill="1" applyAlignment="1">
      <alignment horizontal="left"/>
    </xf>
    <xf numFmtId="0" fontId="1" fillId="3" borderId="8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1" fillId="2" borderId="13" xfId="0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12" fillId="2" borderId="1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/>
    </xf>
    <xf numFmtId="0" fontId="14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4" fillId="2" borderId="13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57"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ill>
        <patternFill>
          <bgColor theme="0"/>
        </patternFill>
      </fill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C143C"/>
      <color rgb="FF008080"/>
      <color rgb="FF000080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Dados_de_entrada!$N$66</c:f>
          <c:strCache>
            <c:ptCount val="1"/>
            <c:pt idx="0">
              <c:v>Simulation : Reservoir type (Stage-Area) - Spill (Retangular) - Elevation = 0.6 m ; Lef = 0.6m</c:v>
            </c:pt>
          </c:strCache>
        </c:strRef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89418465428943E-2"/>
          <c:y val="0.10620032722456718"/>
          <c:w val="0.80062146730694039"/>
          <c:h val="0.6343599532220302"/>
        </c:manualLayout>
      </c:layout>
      <c:barChart>
        <c:barDir val="col"/>
        <c:grouping val="clustered"/>
        <c:varyColors val="0"/>
        <c:ser>
          <c:idx val="0"/>
          <c:order val="0"/>
          <c:tx>
            <c:v>Volume</c:v>
          </c:tx>
          <c:spPr>
            <a:solidFill>
              <a:srgbClr val="008080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B8-4E07-A4AF-AC65AB6F3859}"/>
              </c:ext>
            </c:extLst>
          </c:dPt>
          <c:dPt>
            <c:idx val="1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B8-4E07-A4AF-AC65AB6F3859}"/>
              </c:ext>
            </c:extLst>
          </c:dPt>
          <c:dPt>
            <c:idx val="2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B8-4E07-A4AF-AC65AB6F3859}"/>
              </c:ext>
            </c:extLst>
          </c:dPt>
          <c:dPt>
            <c:idx val="3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B8-4E07-A4AF-AC65AB6F3859}"/>
              </c:ext>
            </c:extLst>
          </c:dPt>
          <c:dPt>
            <c:idx val="4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B8-4E07-A4AF-AC65AB6F3859}"/>
              </c:ext>
            </c:extLst>
          </c:dPt>
          <c:dPt>
            <c:idx val="5"/>
            <c:invertIfNegative val="0"/>
            <c:bubble3D val="0"/>
            <c:spPr>
              <a:solidFill>
                <a:srgbClr val="008080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B8-4E07-A4AF-AC65AB6F3859}"/>
              </c:ext>
            </c:extLst>
          </c:dPt>
          <c:cat>
            <c:strRef>
              <c:f>'Base de dados'!$P$28:$R$40</c:f>
              <c:strCache>
                <c:ptCount val="13"/>
                <c:pt idx="0">
                  <c:v>φo = 15 - h = 0.69m - N-OK</c:v>
                </c:pt>
                <c:pt idx="1">
                  <c:v>φo = 20 - h = 0.69m - N-OK</c:v>
                </c:pt>
                <c:pt idx="2">
                  <c:v>φo = 25 - h = 0.69m - N-OK</c:v>
                </c:pt>
                <c:pt idx="3">
                  <c:v>φo = 32 - h = 0.69m - N-OK</c:v>
                </c:pt>
                <c:pt idx="4">
                  <c:v>φo = 40 - h = 0.68m - N-OK</c:v>
                </c:pt>
                <c:pt idx="5">
                  <c:v>φo = 50 - h = 0.68m - N-OK</c:v>
                </c:pt>
                <c:pt idx="6">
                  <c:v>φo = 60 - h = 0.68m - N-OK</c:v>
                </c:pt>
                <c:pt idx="7">
                  <c:v>φo = 75 - h = 0.67m - N-OK</c:v>
                </c:pt>
                <c:pt idx="8">
                  <c:v>φo = 100 - h = 0.64m - OK</c:v>
                </c:pt>
                <c:pt idx="9">
                  <c:v>φo = 110 - h = 0.6m - OK</c:v>
                </c:pt>
                <c:pt idx="10">
                  <c:v>φo = 125 - h = 0.46m - OK</c:v>
                </c:pt>
                <c:pt idx="11">
                  <c:v>φo = 150 - h = 0.34m - N-OK</c:v>
                </c:pt>
                <c:pt idx="12">
                  <c:v>φo = 180 - h = 0.26m - N-OK</c:v>
                </c:pt>
              </c:strCache>
            </c:strRef>
          </c:cat>
          <c:val>
            <c:numRef>
              <c:f>'Base de dados'!$L$28:$L$40</c:f>
              <c:numCache>
                <c:formatCode>0</c:formatCode>
                <c:ptCount val="13"/>
                <c:pt idx="0">
                  <c:v>39.941313737718552</c:v>
                </c:pt>
                <c:pt idx="1">
                  <c:v>39.778607821934855</c:v>
                </c:pt>
                <c:pt idx="2">
                  <c:v>39.778607821934855</c:v>
                </c:pt>
                <c:pt idx="3">
                  <c:v>39.615975595056547</c:v>
                </c:pt>
                <c:pt idx="4">
                  <c:v>39.453417292466035</c:v>
                </c:pt>
                <c:pt idx="5">
                  <c:v>39.290933151162349</c:v>
                </c:pt>
                <c:pt idx="6" formatCode="General">
                  <c:v>38.966188308597609</c:v>
                </c:pt>
                <c:pt idx="7" formatCode="General">
                  <c:v>38.641742996342984</c:v>
                </c:pt>
                <c:pt idx="8" formatCode="General">
                  <c:v>36.862736697849378</c:v>
                </c:pt>
                <c:pt idx="9" formatCode="General">
                  <c:v>33.812406568682604</c:v>
                </c:pt>
                <c:pt idx="10" formatCode="General">
                  <c:v>25.006729597847951</c:v>
                </c:pt>
                <c:pt idx="11" formatCode="General">
                  <c:v>18.020287121387167</c:v>
                </c:pt>
                <c:pt idx="12" formatCode="General">
                  <c:v>13.183286152552366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B8-4E07-A4AF-AC65AB6F3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05083632"/>
        <c:axId val="805084192"/>
      </c:barChart>
      <c:lineChart>
        <c:grouping val="standard"/>
        <c:varyColors val="0"/>
        <c:ser>
          <c:idx val="1"/>
          <c:order val="1"/>
          <c:tx>
            <c:v>Maximum outflow</c:v>
          </c:tx>
          <c:spPr>
            <a:ln w="28575" cap="rnd">
              <a:solidFill>
                <a:srgbClr val="DC143C"/>
              </a:solidFill>
              <a:round/>
            </a:ln>
            <a:effectLst/>
          </c:spPr>
          <c:marker>
            <c:symbol val="star"/>
            <c:size val="9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'Base de dados'!$K$28:$K$40</c:f>
              <c:numCache>
                <c:formatCode>General</c:formatCode>
                <c:ptCount val="13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32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75</c:v>
                </c:pt>
                <c:pt idx="8">
                  <c:v>100</c:v>
                </c:pt>
                <c:pt idx="9">
                  <c:v>110</c:v>
                </c:pt>
                <c:pt idx="10">
                  <c:v>125</c:v>
                </c:pt>
                <c:pt idx="11">
                  <c:v>150</c:v>
                </c:pt>
                <c:pt idx="12">
                  <c:v>180</c:v>
                </c:pt>
              </c:numCache>
            </c:numRef>
          </c:cat>
          <c:val>
            <c:numRef>
              <c:f>'Base de dados'!$M$28:$M$40</c:f>
              <c:numCache>
                <c:formatCode>0.0</c:formatCode>
                <c:ptCount val="13"/>
                <c:pt idx="0">
                  <c:v>30.181340216673661</c:v>
                </c:pt>
                <c:pt idx="1">
                  <c:v>29.280569580550186</c:v>
                </c:pt>
                <c:pt idx="2">
                  <c:v>29.842646232527294</c:v>
                </c:pt>
                <c:pt idx="3">
                  <c:v>29.403981599059428</c:v>
                </c:pt>
                <c:pt idx="4">
                  <c:v>29.357518564037214</c:v>
                </c:pt>
                <c:pt idx="5">
                  <c:v>29.711966295158938</c:v>
                </c:pt>
                <c:pt idx="6" formatCode="General">
                  <c:v>30.067968708526912</c:v>
                </c:pt>
                <c:pt idx="7" formatCode="General">
                  <c:v>29.947245390944815</c:v>
                </c:pt>
                <c:pt idx="8" formatCode="General">
                  <c:v>25.20741861374168</c:v>
                </c:pt>
                <c:pt idx="9" formatCode="General">
                  <c:v>19.751238626088682</c:v>
                </c:pt>
                <c:pt idx="10" formatCode="General">
                  <c:v>24.956937885430911</c:v>
                </c:pt>
                <c:pt idx="11" formatCode="General">
                  <c:v>28.461064225995635</c:v>
                </c:pt>
                <c:pt idx="12" formatCode="General">
                  <c:v>30.123879347470808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4B8-4E07-A4AF-AC65AB6F3859}"/>
            </c:ext>
          </c:extLst>
        </c:ser>
        <c:ser>
          <c:idx val="2"/>
          <c:order val="2"/>
          <c:tx>
            <c:v>Reference outflow</c:v>
          </c:tx>
          <c:spPr>
            <a:ln w="28575" cap="rnd">
              <a:solidFill>
                <a:srgbClr val="000080"/>
              </a:solidFill>
              <a:prstDash val="dash"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000080"/>
                </a:solidFill>
                <a:prstDash val="dash"/>
              </a:ln>
              <a:effectLst/>
            </c:spPr>
          </c:marker>
          <c:cat>
            <c:numRef>
              <c:f>'Base de dados'!$K$28:$K$40</c:f>
              <c:numCache>
                <c:formatCode>General</c:formatCode>
                <c:ptCount val="13"/>
                <c:pt idx="0">
                  <c:v>15</c:v>
                </c:pt>
                <c:pt idx="1">
                  <c:v>20</c:v>
                </c:pt>
                <c:pt idx="2">
                  <c:v>25</c:v>
                </c:pt>
                <c:pt idx="3">
                  <c:v>32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75</c:v>
                </c:pt>
                <c:pt idx="8">
                  <c:v>100</c:v>
                </c:pt>
                <c:pt idx="9">
                  <c:v>110</c:v>
                </c:pt>
                <c:pt idx="10">
                  <c:v>125</c:v>
                </c:pt>
                <c:pt idx="11">
                  <c:v>150</c:v>
                </c:pt>
                <c:pt idx="12">
                  <c:v>180</c:v>
                </c:pt>
              </c:numCache>
            </c:numRef>
          </c:cat>
          <c:val>
            <c:numRef>
              <c:f>'Base de dados'!$N$28:$N$40</c:f>
              <c:numCache>
                <c:formatCode>0.0</c:formatCode>
                <c:ptCount val="13"/>
                <c:pt idx="0">
                  <c:v>26.866247820013307</c:v>
                </c:pt>
                <c:pt idx="1">
                  <c:v>26.866247820013307</c:v>
                </c:pt>
                <c:pt idx="2">
                  <c:v>26.866247820013307</c:v>
                </c:pt>
                <c:pt idx="3">
                  <c:v>26.866247820013307</c:v>
                </c:pt>
                <c:pt idx="4">
                  <c:v>26.866247820013307</c:v>
                </c:pt>
                <c:pt idx="5">
                  <c:v>26.866247820013307</c:v>
                </c:pt>
                <c:pt idx="6" formatCode="General">
                  <c:v>26.866247820013307</c:v>
                </c:pt>
                <c:pt idx="7" formatCode="General">
                  <c:v>26.866247820013307</c:v>
                </c:pt>
                <c:pt idx="8" formatCode="General">
                  <c:v>26.866247820013307</c:v>
                </c:pt>
                <c:pt idx="9" formatCode="General">
                  <c:v>26.866247820013307</c:v>
                </c:pt>
                <c:pt idx="10" formatCode="General">
                  <c:v>26.866247820013307</c:v>
                </c:pt>
                <c:pt idx="11" formatCode="General">
                  <c:v>26.866247820013307</c:v>
                </c:pt>
                <c:pt idx="12" formatCode="General">
                  <c:v>26.866247820013307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4B8-4E07-A4AF-AC65AB6F3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85312"/>
        <c:axId val="805084752"/>
      </c:lineChart>
      <c:catAx>
        <c:axId val="805083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Orifice diameter [mm]</a:t>
                </a:r>
              </a:p>
            </c:rich>
          </c:tx>
          <c:layout>
            <c:manualLayout>
              <c:xMode val="edge"/>
              <c:yMode val="edge"/>
              <c:x val="0.38967811665335983"/>
              <c:y val="0.920459908688692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38100" cap="flat" cmpd="sng" algn="ctr">
            <a:solidFill>
              <a:schemeClr val="tx1">
                <a:alpha val="96000"/>
              </a:schemeClr>
            </a:solidFill>
            <a:round/>
          </a:ln>
          <a:effectLst/>
        </c:spPr>
        <c:txPr>
          <a:bodyPr rot="144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084192"/>
        <c:crosses val="autoZero"/>
        <c:auto val="1"/>
        <c:lblAlgn val="ctr"/>
        <c:lblOffset val="100"/>
        <c:noMultiLvlLbl val="0"/>
      </c:catAx>
      <c:valAx>
        <c:axId val="8050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Volume [m³]</a:t>
                </a:r>
              </a:p>
            </c:rich>
          </c:tx>
          <c:layout>
            <c:manualLayout>
              <c:xMode val="edge"/>
              <c:yMode val="edge"/>
              <c:x val="6.6774019297872831E-3"/>
              <c:y val="0.221090321438220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083632"/>
        <c:crosses val="autoZero"/>
        <c:crossBetween val="between"/>
      </c:valAx>
      <c:valAx>
        <c:axId val="805084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Outflow [L/s]</a:t>
                </a:r>
              </a:p>
            </c:rich>
          </c:tx>
          <c:layout>
            <c:manualLayout>
              <c:xMode val="edge"/>
              <c:yMode val="edge"/>
              <c:x val="0.91866660729922689"/>
              <c:y val="0.29174873559773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81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085312"/>
        <c:crosses val="max"/>
        <c:crossBetween val="between"/>
      </c:valAx>
      <c:catAx>
        <c:axId val="8050853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084752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 w="38100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0.21931968980106012"/>
          <c:y val="0.14825374152952461"/>
          <c:w val="0.56070646033634908"/>
          <c:h val="5.9692643517586165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600" b="0">
          <a:solidFill>
            <a:sysClr val="windowText" lastClr="000000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Lot scale reservoir simulation</a:t>
            </a:r>
          </a:p>
        </c:rich>
      </c:tx>
      <c:layout>
        <c:manualLayout>
          <c:xMode val="edge"/>
          <c:yMode val="edge"/>
          <c:x val="0.18619644880455516"/>
          <c:y val="4.629629629629629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484675071353786"/>
          <c:y val="0.1191349043039544"/>
          <c:w val="0.72121771151556879"/>
          <c:h val="0.53347258675998832"/>
        </c:manualLayout>
      </c:layout>
      <c:scatterChart>
        <c:scatterStyle val="lineMarker"/>
        <c:varyColors val="0"/>
        <c:ser>
          <c:idx val="0"/>
          <c:order val="0"/>
          <c:tx>
            <c:v>Outflow</c:v>
          </c:tx>
          <c:spPr>
            <a:ln w="57150" cap="rnd">
              <a:solidFill>
                <a:srgbClr val="DC143C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[0]!Outflow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3.9029006916637665</c:v>
                </c:pt>
                <c:pt idx="6">
                  <c:v>5.9233092579048678</c:v>
                </c:pt>
                <c:pt idx="7">
                  <c:v>7.5328192433456307</c:v>
                </c:pt>
                <c:pt idx="8">
                  <c:v>8.9557776531912481</c:v>
                </c:pt>
                <c:pt idx="9">
                  <c:v>10.181774943195375</c:v>
                </c:pt>
                <c:pt idx="10">
                  <c:v>11.194923589824896</c:v>
                </c:pt>
                <c:pt idx="11">
                  <c:v>12.12369940942758</c:v>
                </c:pt>
                <c:pt idx="12">
                  <c:v>12.916541569860977</c:v>
                </c:pt>
                <c:pt idx="13">
                  <c:v>13.66345508580237</c:v>
                </c:pt>
                <c:pt idx="14">
                  <c:v>14.308673914978494</c:v>
                </c:pt>
                <c:pt idx="15">
                  <c:v>14.926027386033876</c:v>
                </c:pt>
                <c:pt idx="16">
                  <c:v>15.518841382399671</c:v>
                </c:pt>
                <c:pt idx="17">
                  <c:v>16.060059439135358</c:v>
                </c:pt>
                <c:pt idx="18">
                  <c:v>16.559661928854325</c:v>
                </c:pt>
                <c:pt idx="19">
                  <c:v>17.044626637369745</c:v>
                </c:pt>
                <c:pt idx="20">
                  <c:v>17.516169421900464</c:v>
                </c:pt>
                <c:pt idx="21">
                  <c:v>17.924907788467554</c:v>
                </c:pt>
                <c:pt idx="22">
                  <c:v>18.324531296418154</c:v>
                </c:pt>
                <c:pt idx="23">
                  <c:v>18.715623827213246</c:v>
                </c:pt>
                <c:pt idx="24">
                  <c:v>19.098709465565886</c:v>
                </c:pt>
                <c:pt idx="25">
                  <c:v>19.474260737148398</c:v>
                </c:pt>
                <c:pt idx="26">
                  <c:v>19.84270544222192</c:v>
                </c:pt>
                <c:pt idx="27">
                  <c:v>22.701477027721246</c:v>
                </c:pt>
                <c:pt idx="28">
                  <c:v>26.860464035253568</c:v>
                </c:pt>
                <c:pt idx="29">
                  <c:v>30.224021806644814</c:v>
                </c:pt>
                <c:pt idx="30">
                  <c:v>33.011207415184309</c:v>
                </c:pt>
                <c:pt idx="31">
                  <c:v>34.985049623523182</c:v>
                </c:pt>
                <c:pt idx="32">
                  <c:v>36.005016423372723</c:v>
                </c:pt>
                <c:pt idx="33">
                  <c:v>36.005016423372723</c:v>
                </c:pt>
                <c:pt idx="34">
                  <c:v>34.985049623523182</c:v>
                </c:pt>
                <c:pt idx="35">
                  <c:v>32.058402796483072</c:v>
                </c:pt>
                <c:pt idx="36">
                  <c:v>29.343796090512949</c:v>
                </c:pt>
                <c:pt idx="37">
                  <c:v>26.088264048423817</c:v>
                </c:pt>
                <c:pt idx="38">
                  <c:v>22.701477027721246</c:v>
                </c:pt>
                <c:pt idx="39">
                  <c:v>20.025531103902033</c:v>
                </c:pt>
                <c:pt idx="40">
                  <c:v>19.567022340165238</c:v>
                </c:pt>
                <c:pt idx="41">
                  <c:v>19.193286202528785</c:v>
                </c:pt>
                <c:pt idx="42">
                  <c:v>18.812126600781692</c:v>
                </c:pt>
                <c:pt idx="43">
                  <c:v>18.423082783168901</c:v>
                </c:pt>
                <c:pt idx="44">
                  <c:v>18.07580198022189</c:v>
                </c:pt>
                <c:pt idx="45">
                  <c:v>17.721717050582114</c:v>
                </c:pt>
                <c:pt idx="46">
                  <c:v>17.36041166601737</c:v>
                </c:pt>
                <c:pt idx="47">
                  <c:v>16.991425225868817</c:v>
                </c:pt>
                <c:pt idx="48">
                  <c:v>16.614245971424353</c:v>
                </c:pt>
                <c:pt idx="49">
                  <c:v>16.228302658987158</c:v>
                </c:pt>
                <c:pt idx="50">
                  <c:v>15.832954404797258</c:v>
                </c:pt>
                <c:pt idx="51">
                  <c:v>15.402104044168482</c:v>
                </c:pt>
                <c:pt idx="52">
                  <c:v>14.98636406741068</c:v>
                </c:pt>
                <c:pt idx="53">
                  <c:v>14.620609473168674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1-4D9A-8C10-B374439E94A0}"/>
            </c:ext>
          </c:extLst>
        </c:ser>
        <c:ser>
          <c:idx val="2"/>
          <c:order val="2"/>
          <c:tx>
            <c:v>Inflow</c:v>
          </c:tx>
          <c:spPr>
            <a:ln w="57150" cap="rnd">
              <a:solidFill>
                <a:srgbClr val="00808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06"/>
                <c:pt idx="0">
                  <c:v>0</c:v>
                </c:pt>
                <c:pt idx="1">
                  <c:v>5.117411171832984</c:v>
                </c:pt>
                <c:pt idx="2">
                  <c:v>10.234822343665968</c:v>
                </c:pt>
                <c:pt idx="3">
                  <c:v>15.352233515498952</c:v>
                </c:pt>
                <c:pt idx="4">
                  <c:v>20.469644687331936</c:v>
                </c:pt>
                <c:pt idx="5">
                  <c:v>25.58705585916492</c:v>
                </c:pt>
                <c:pt idx="6">
                  <c:v>30.704467030997904</c:v>
                </c:pt>
                <c:pt idx="7">
                  <c:v>35.821878202830888</c:v>
                </c:pt>
                <c:pt idx="8">
                  <c:v>40.939289374663872</c:v>
                </c:pt>
                <c:pt idx="9">
                  <c:v>40.939289374663872</c:v>
                </c:pt>
                <c:pt idx="10">
                  <c:v>40.939289374663872</c:v>
                </c:pt>
                <c:pt idx="11">
                  <c:v>40.939289374663872</c:v>
                </c:pt>
                <c:pt idx="12">
                  <c:v>40.939289374663872</c:v>
                </c:pt>
                <c:pt idx="13">
                  <c:v>40.939289374663872</c:v>
                </c:pt>
                <c:pt idx="14">
                  <c:v>40.939289374663872</c:v>
                </c:pt>
                <c:pt idx="15">
                  <c:v>40.939289374663872</c:v>
                </c:pt>
                <c:pt idx="16">
                  <c:v>40.939289374663872</c:v>
                </c:pt>
                <c:pt idx="17">
                  <c:v>40.939289374663872</c:v>
                </c:pt>
                <c:pt idx="18">
                  <c:v>40.939289374663872</c:v>
                </c:pt>
                <c:pt idx="19">
                  <c:v>40.939289374663872</c:v>
                </c:pt>
                <c:pt idx="20">
                  <c:v>40.939289374663872</c:v>
                </c:pt>
                <c:pt idx="21">
                  <c:v>40.939289374663872</c:v>
                </c:pt>
                <c:pt idx="22">
                  <c:v>40.939289374663872</c:v>
                </c:pt>
                <c:pt idx="23">
                  <c:v>40.939289374663872</c:v>
                </c:pt>
                <c:pt idx="24">
                  <c:v>40.939289374663872</c:v>
                </c:pt>
                <c:pt idx="25">
                  <c:v>40.939289374663872</c:v>
                </c:pt>
                <c:pt idx="26">
                  <c:v>40.939289374663872</c:v>
                </c:pt>
                <c:pt idx="27">
                  <c:v>40.939289374663872</c:v>
                </c:pt>
                <c:pt idx="28">
                  <c:v>40.939289374663872</c:v>
                </c:pt>
                <c:pt idx="29">
                  <c:v>40.939289374663872</c:v>
                </c:pt>
                <c:pt idx="30">
                  <c:v>40.939289374663872</c:v>
                </c:pt>
                <c:pt idx="31">
                  <c:v>40.939289374663872</c:v>
                </c:pt>
                <c:pt idx="32">
                  <c:v>40.939289374663872</c:v>
                </c:pt>
                <c:pt idx="33">
                  <c:v>35.821878202830888</c:v>
                </c:pt>
                <c:pt idx="34">
                  <c:v>30.704467030997904</c:v>
                </c:pt>
                <c:pt idx="35">
                  <c:v>25.58705585916492</c:v>
                </c:pt>
                <c:pt idx="36">
                  <c:v>20.469644687331936</c:v>
                </c:pt>
                <c:pt idx="37">
                  <c:v>15.352233515498952</c:v>
                </c:pt>
                <c:pt idx="38">
                  <c:v>10.234822343665968</c:v>
                </c:pt>
                <c:pt idx="39">
                  <c:v>5.117411171832984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61-4D9A-8C10-B374439E94A0}"/>
            </c:ext>
          </c:extLst>
        </c:ser>
        <c:ser>
          <c:idx val="3"/>
          <c:order val="3"/>
          <c:tx>
            <c:v>Lot reference hydrograph</c:v>
          </c:tx>
          <c:spPr>
            <a:ln w="57150" cap="rnd">
              <a:solidFill>
                <a:srgbClr val="00008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55"/>
                <c:pt idx="0">
                  <c:v>0</c:v>
                </c:pt>
                <c:pt idx="1">
                  <c:v>1.5206130394258743</c:v>
                </c:pt>
                <c:pt idx="2">
                  <c:v>3.0412260788517487</c:v>
                </c:pt>
                <c:pt idx="3">
                  <c:v>4.5618391182776232</c:v>
                </c:pt>
                <c:pt idx="4">
                  <c:v>6.0824521577034973</c:v>
                </c:pt>
                <c:pt idx="5">
                  <c:v>7.6030651971293715</c:v>
                </c:pt>
                <c:pt idx="6">
                  <c:v>9.1236782365552465</c:v>
                </c:pt>
                <c:pt idx="7">
                  <c:v>10.64429127598112</c:v>
                </c:pt>
                <c:pt idx="8">
                  <c:v>12.164904315406995</c:v>
                </c:pt>
                <c:pt idx="9">
                  <c:v>13.685517354832871</c:v>
                </c:pt>
                <c:pt idx="10">
                  <c:v>15.206130394258743</c:v>
                </c:pt>
                <c:pt idx="11">
                  <c:v>16.726743433684618</c:v>
                </c:pt>
                <c:pt idx="12">
                  <c:v>18.247356473110493</c:v>
                </c:pt>
                <c:pt idx="13">
                  <c:v>19.767969512536364</c:v>
                </c:pt>
                <c:pt idx="14">
                  <c:v>21.288582551962239</c:v>
                </c:pt>
                <c:pt idx="15">
                  <c:v>22.809195591388114</c:v>
                </c:pt>
                <c:pt idx="16">
                  <c:v>24.329808630813989</c:v>
                </c:pt>
                <c:pt idx="17">
                  <c:v>25.850421670239868</c:v>
                </c:pt>
                <c:pt idx="18">
                  <c:v>27.371034709665743</c:v>
                </c:pt>
                <c:pt idx="19">
                  <c:v>28.891647749091611</c:v>
                </c:pt>
                <c:pt idx="20">
                  <c:v>30.412260788517486</c:v>
                </c:pt>
                <c:pt idx="21">
                  <c:v>31.932873827943364</c:v>
                </c:pt>
                <c:pt idx="22">
                  <c:v>33.453486867369236</c:v>
                </c:pt>
                <c:pt idx="23">
                  <c:v>33.453486867369236</c:v>
                </c:pt>
                <c:pt idx="24">
                  <c:v>33.453486867369236</c:v>
                </c:pt>
                <c:pt idx="25">
                  <c:v>33.453486867369236</c:v>
                </c:pt>
                <c:pt idx="26">
                  <c:v>33.453486867369236</c:v>
                </c:pt>
                <c:pt idx="27">
                  <c:v>33.453486867369236</c:v>
                </c:pt>
                <c:pt idx="28">
                  <c:v>33.453486867369236</c:v>
                </c:pt>
                <c:pt idx="29">
                  <c:v>33.453486867369236</c:v>
                </c:pt>
                <c:pt idx="30">
                  <c:v>33.453486867369236</c:v>
                </c:pt>
                <c:pt idx="31">
                  <c:v>33.453486867369236</c:v>
                </c:pt>
                <c:pt idx="32">
                  <c:v>33.453486867369236</c:v>
                </c:pt>
                <c:pt idx="33">
                  <c:v>31.932873827943364</c:v>
                </c:pt>
                <c:pt idx="34">
                  <c:v>30.412260788517482</c:v>
                </c:pt>
                <c:pt idx="35">
                  <c:v>28.891647749091611</c:v>
                </c:pt>
                <c:pt idx="36">
                  <c:v>27.371034709665743</c:v>
                </c:pt>
                <c:pt idx="37">
                  <c:v>25.850421670239861</c:v>
                </c:pt>
                <c:pt idx="38">
                  <c:v>24.329808630813986</c:v>
                </c:pt>
                <c:pt idx="39">
                  <c:v>22.809195591388114</c:v>
                </c:pt>
                <c:pt idx="40">
                  <c:v>21.288582551962239</c:v>
                </c:pt>
                <c:pt idx="41">
                  <c:v>19.767969512536364</c:v>
                </c:pt>
                <c:pt idx="42">
                  <c:v>18.247356473110489</c:v>
                </c:pt>
                <c:pt idx="43">
                  <c:v>16.726743433684618</c:v>
                </c:pt>
                <c:pt idx="44">
                  <c:v>15.206130394258741</c:v>
                </c:pt>
                <c:pt idx="45">
                  <c:v>13.685517354832871</c:v>
                </c:pt>
                <c:pt idx="46">
                  <c:v>12.164904315406993</c:v>
                </c:pt>
                <c:pt idx="47">
                  <c:v>10.64429127598112</c:v>
                </c:pt>
                <c:pt idx="48">
                  <c:v>9.1236782365552447</c:v>
                </c:pt>
                <c:pt idx="49">
                  <c:v>7.6030651971293697</c:v>
                </c:pt>
                <c:pt idx="50">
                  <c:v>6.0824521577034965</c:v>
                </c:pt>
                <c:pt idx="51">
                  <c:v>4.5618391182776241</c:v>
                </c:pt>
                <c:pt idx="52">
                  <c:v>3.0412260788517447</c:v>
                </c:pt>
                <c:pt idx="53">
                  <c:v>1.5206130394258723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61-4D9A-8C10-B374439E9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571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1-4D9A-8C10-B374439E9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3207296500625758"/>
              <c:y val="0.7621315384289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8384"/>
        <c:crosses val="autoZero"/>
        <c:crossBetween val="midCat"/>
      </c:valAx>
      <c:valAx>
        <c:axId val="8052783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Water depth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 w="38100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193092666695354E-2"/>
          <c:y val="0.85328740157480309"/>
          <c:w val="0.96844423647863676"/>
          <c:h val="0.11893482064741907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>
        <a:lumMod val="95000"/>
      </a:sysClr>
    </a:solidFill>
    <a:ln w="19050" cap="flat" cmpd="sng" algn="ctr">
      <a:noFill/>
      <a:round/>
    </a:ln>
    <a:effectLst/>
    <a:scene3d>
      <a:camera prst="orthographicFront"/>
      <a:lightRig rig="threePt" dir="t"/>
    </a:scene3d>
    <a:sp3d>
      <a:bevelT w="190500" h="38100"/>
    </a:sp3d>
    <a:extLst>
      <a:ext uri="{91240B29-F687-4F45-9708-019B960494DF}">
        <a14:hiddenLine xmlns:a14="http://schemas.microsoft.com/office/drawing/2010/main" w="19050" cap="flat" cmpd="sng" algn="ctr">
          <a:solidFill>
            <a:sysClr val="window" lastClr="FFFFFF">
              <a:lumMod val="95000"/>
            </a:sysClr>
          </a:solidFill>
          <a:round/>
        </a14:hiddenLine>
      </a:ext>
    </a:extLst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System's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26205125998596"/>
          <c:y val="0.17560112277631962"/>
          <c:w val="0.81885998881287381"/>
          <c:h val="0.50452209098862644"/>
        </c:manualLayout>
      </c:layout>
      <c:scatterChart>
        <c:scatterStyle val="lineMarker"/>
        <c:varyColors val="0"/>
        <c:ser>
          <c:idx val="1"/>
          <c:order val="0"/>
          <c:tx>
            <c:v>Outlet hydrograph</c:v>
          </c:tx>
          <c:spPr>
            <a:ln w="571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[0]!Vazao_exutorio</c:f>
              <c:numCache>
                <c:formatCode>0.0</c:formatCode>
                <c:ptCount val="6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641.19183162457705</c:v>
                </c:pt>
                <c:pt idx="24">
                  <c:v>669.06973734738483</c:v>
                </c:pt>
                <c:pt idx="25">
                  <c:v>696.9476430701925</c:v>
                </c:pt>
                <c:pt idx="26">
                  <c:v>724.82554879300017</c:v>
                </c:pt>
                <c:pt idx="27">
                  <c:v>752.70345451580795</c:v>
                </c:pt>
                <c:pt idx="28">
                  <c:v>780.58136023861562</c:v>
                </c:pt>
                <c:pt idx="29">
                  <c:v>808.45926596142328</c:v>
                </c:pt>
                <c:pt idx="30">
                  <c:v>836.33717168423095</c:v>
                </c:pt>
                <c:pt idx="31">
                  <c:v>864.21507740703873</c:v>
                </c:pt>
                <c:pt idx="32">
                  <c:v>892.0929831298464</c:v>
                </c:pt>
                <c:pt idx="33">
                  <c:v>864.21507740703873</c:v>
                </c:pt>
                <c:pt idx="34">
                  <c:v>836.33717168423095</c:v>
                </c:pt>
                <c:pt idx="35">
                  <c:v>808.45926596142328</c:v>
                </c:pt>
                <c:pt idx="36">
                  <c:v>780.58136023861562</c:v>
                </c:pt>
                <c:pt idx="37">
                  <c:v>752.70345451580783</c:v>
                </c:pt>
                <c:pt idx="38">
                  <c:v>724.82554879300017</c:v>
                </c:pt>
                <c:pt idx="39">
                  <c:v>696.9476430701925</c:v>
                </c:pt>
                <c:pt idx="40">
                  <c:v>669.06973734738483</c:v>
                </c:pt>
                <c:pt idx="41">
                  <c:v>641.19183162457716</c:v>
                </c:pt>
                <c:pt idx="42">
                  <c:v>613.31392590176938</c:v>
                </c:pt>
                <c:pt idx="43">
                  <c:v>585.43602017896171</c:v>
                </c:pt>
                <c:pt idx="44">
                  <c:v>557.55811445615404</c:v>
                </c:pt>
                <c:pt idx="45">
                  <c:v>529.68020873334626</c:v>
                </c:pt>
                <c:pt idx="46">
                  <c:v>501.80230301053859</c:v>
                </c:pt>
                <c:pt idx="47">
                  <c:v>473.92439728773093</c:v>
                </c:pt>
                <c:pt idx="48">
                  <c:v>446.0464915649232</c:v>
                </c:pt>
                <c:pt idx="49">
                  <c:v>418.16858584211548</c:v>
                </c:pt>
                <c:pt idx="50">
                  <c:v>390.29068011930781</c:v>
                </c:pt>
                <c:pt idx="51">
                  <c:v>362.41277439650014</c:v>
                </c:pt>
                <c:pt idx="52">
                  <c:v>334.53486867369236</c:v>
                </c:pt>
                <c:pt idx="53">
                  <c:v>306.65696295088469</c:v>
                </c:pt>
                <c:pt idx="54">
                  <c:v>278.77905722807702</c:v>
                </c:pt>
                <c:pt idx="55">
                  <c:v>250.90115150526935</c:v>
                </c:pt>
                <c:pt idx="56">
                  <c:v>223.02324578246157</c:v>
                </c:pt>
                <c:pt idx="57">
                  <c:v>195.1453400596539</c:v>
                </c:pt>
                <c:pt idx="58">
                  <c:v>167.26743433684624</c:v>
                </c:pt>
                <c:pt idx="59">
                  <c:v>139.38952861403845</c:v>
                </c:pt>
                <c:pt idx="60">
                  <c:v>111.51162289123079</c:v>
                </c:pt>
                <c:pt idx="61">
                  <c:v>83.633717168423118</c:v>
                </c:pt>
                <c:pt idx="62">
                  <c:v>55.75581144561545</c:v>
                </c:pt>
                <c:pt idx="63">
                  <c:v>27.877905722807668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9-48DC-B970-1898441CD6CA}"/>
            </c:ext>
          </c:extLst>
        </c:ser>
        <c:ser>
          <c:idx val="0"/>
          <c:order val="1"/>
          <c:tx>
            <c:v>Lot reference hydrograph</c:v>
          </c:tx>
          <c:spPr>
            <a:ln w="57150" cap="rnd">
              <a:solidFill>
                <a:srgbClr val="00008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[0]!Vazao_secao_i</c:f>
              <c:numCache>
                <c:formatCode>0.0</c:formatCode>
                <c:ptCount val="5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613.31392590176938</c:v>
                </c:pt>
                <c:pt idx="24">
                  <c:v>613.31392590176938</c:v>
                </c:pt>
                <c:pt idx="25">
                  <c:v>613.31392590176938</c:v>
                </c:pt>
                <c:pt idx="26">
                  <c:v>613.31392590176938</c:v>
                </c:pt>
                <c:pt idx="27">
                  <c:v>613.31392590176938</c:v>
                </c:pt>
                <c:pt idx="28">
                  <c:v>613.31392590176938</c:v>
                </c:pt>
                <c:pt idx="29">
                  <c:v>613.31392590176938</c:v>
                </c:pt>
                <c:pt idx="30">
                  <c:v>613.31392590176938</c:v>
                </c:pt>
                <c:pt idx="31">
                  <c:v>613.31392590176938</c:v>
                </c:pt>
                <c:pt idx="32">
                  <c:v>613.31392590176938</c:v>
                </c:pt>
                <c:pt idx="33">
                  <c:v>585.43602017896171</c:v>
                </c:pt>
                <c:pt idx="34">
                  <c:v>557.55811445615393</c:v>
                </c:pt>
                <c:pt idx="35">
                  <c:v>529.68020873334626</c:v>
                </c:pt>
                <c:pt idx="36">
                  <c:v>501.80230301053859</c:v>
                </c:pt>
                <c:pt idx="37">
                  <c:v>473.92439728773087</c:v>
                </c:pt>
                <c:pt idx="38">
                  <c:v>446.04649156492314</c:v>
                </c:pt>
                <c:pt idx="39">
                  <c:v>418.16858584211548</c:v>
                </c:pt>
                <c:pt idx="40">
                  <c:v>390.29068011930781</c:v>
                </c:pt>
                <c:pt idx="41">
                  <c:v>362.41277439650008</c:v>
                </c:pt>
                <c:pt idx="42">
                  <c:v>334.53486867369236</c:v>
                </c:pt>
                <c:pt idx="43">
                  <c:v>306.65696295088469</c:v>
                </c:pt>
                <c:pt idx="44">
                  <c:v>278.77905722807697</c:v>
                </c:pt>
                <c:pt idx="45">
                  <c:v>250.9011515052693</c:v>
                </c:pt>
                <c:pt idx="46">
                  <c:v>223.02324578246157</c:v>
                </c:pt>
                <c:pt idx="47">
                  <c:v>195.1453400596539</c:v>
                </c:pt>
                <c:pt idx="48">
                  <c:v>167.26743433684618</c:v>
                </c:pt>
                <c:pt idx="49">
                  <c:v>139.38952861403845</c:v>
                </c:pt>
                <c:pt idx="50">
                  <c:v>111.51162289123079</c:v>
                </c:pt>
                <c:pt idx="51">
                  <c:v>83.633717168423118</c:v>
                </c:pt>
                <c:pt idx="52">
                  <c:v>55.755811445615336</c:v>
                </c:pt>
                <c:pt idx="53">
                  <c:v>27.877905722807668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9-48DC-B970-1898441CD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9216"/>
        <c:axId val="805259776"/>
      </c:scatterChart>
      <c:valAx>
        <c:axId val="8052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7396375657960788"/>
              <c:y val="0.76501130067074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59776"/>
        <c:crosses val="autoZero"/>
        <c:crossBetween val="midCat"/>
      </c:valAx>
      <c:valAx>
        <c:axId val="80525977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59216"/>
        <c:crosses val="autoZero"/>
        <c:crossBetween val="midCat"/>
      </c:valAx>
      <c:spPr>
        <a:solidFill>
          <a:schemeClr val="bg1"/>
        </a:solidFill>
        <a:ln w="38100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0.05"/>
          <c:y val="0.87015055409740449"/>
          <c:w val="0.9"/>
          <c:h val="0.1020716681248177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>
        <a:lumMod val="95000"/>
      </a:sysClr>
    </a:solidFill>
    <a:ln w="19050" cap="flat" cmpd="sng" algn="ctr">
      <a:noFill/>
      <a:round/>
    </a:ln>
    <a:effectLst/>
    <a:scene3d>
      <a:camera prst="orthographicFront"/>
      <a:lightRig rig="threePt" dir="t"/>
    </a:scene3d>
    <a:sp3d>
      <a:bevelT w="190500" h="38100"/>
    </a:sp3d>
    <a:extLst>
      <a:ext uri="{91240B29-F687-4F45-9708-019B960494DF}">
        <a14:hiddenLine xmlns:a14="http://schemas.microsoft.com/office/drawing/2010/main" w="19050" cap="flat" cmpd="sng" algn="ctr">
          <a:solidFill>
            <a:sysClr val="window" lastClr="FFFFFF">
              <a:lumMod val="95000"/>
            </a:sysClr>
          </a:solidFill>
          <a:round/>
        </a14:hiddenLine>
      </a:ext>
    </a:extLst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Specifc discharge</a:t>
            </a:r>
          </a:p>
        </c:rich>
      </c:tx>
      <c:layout>
        <c:manualLayout>
          <c:xMode val="edge"/>
          <c:yMode val="edge"/>
          <c:x val="0.332386849620220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6533855399222638"/>
          <c:y val="0.13075568678915137"/>
          <c:w val="0.80178348608063332"/>
          <c:h val="0.49643591426071743"/>
        </c:manualLayout>
      </c:layout>
      <c:scatterChart>
        <c:scatterStyle val="lineMarker"/>
        <c:varyColors val="0"/>
        <c:ser>
          <c:idx val="1"/>
          <c:order val="0"/>
          <c:tx>
            <c:v>Outlet specific discharge</c:v>
          </c:tx>
          <c:spPr>
            <a:ln w="5715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[0]!qsis_exut</c:f>
              <c:numCache>
                <c:formatCode>0.0</c:formatCode>
                <c:ptCount val="65"/>
                <c:pt idx="0">
                  <c:v>0</c:v>
                </c:pt>
                <c:pt idx="1">
                  <c:v>9.2926352409358995E-2</c:v>
                </c:pt>
                <c:pt idx="2">
                  <c:v>0.18585270481871799</c:v>
                </c:pt>
                <c:pt idx="3">
                  <c:v>0.278779057228077</c:v>
                </c:pt>
                <c:pt idx="4">
                  <c:v>0.37170540963743598</c:v>
                </c:pt>
                <c:pt idx="5">
                  <c:v>0.46463176204679502</c:v>
                </c:pt>
                <c:pt idx="6">
                  <c:v>0.557558114456154</c:v>
                </c:pt>
                <c:pt idx="7">
                  <c:v>0.65048446686551298</c:v>
                </c:pt>
                <c:pt idx="8">
                  <c:v>0.74341081927487196</c:v>
                </c:pt>
                <c:pt idx="9">
                  <c:v>0.83633717168423094</c:v>
                </c:pt>
                <c:pt idx="10">
                  <c:v>0.92926352409359003</c:v>
                </c:pt>
                <c:pt idx="11">
                  <c:v>1.0221898765029489</c:v>
                </c:pt>
                <c:pt idx="12">
                  <c:v>1.115116228912308</c:v>
                </c:pt>
                <c:pt idx="13">
                  <c:v>1.2080425813216669</c:v>
                </c:pt>
                <c:pt idx="14">
                  <c:v>1.300968933731026</c:v>
                </c:pt>
                <c:pt idx="15">
                  <c:v>1.3938952861403848</c:v>
                </c:pt>
                <c:pt idx="16">
                  <c:v>1.4868216385497439</c:v>
                </c:pt>
                <c:pt idx="17">
                  <c:v>1.579747990959103</c:v>
                </c:pt>
                <c:pt idx="18">
                  <c:v>1.6726743433684619</c:v>
                </c:pt>
                <c:pt idx="19">
                  <c:v>1.765600695777821</c:v>
                </c:pt>
                <c:pt idx="20">
                  <c:v>1.8585270481871801</c:v>
                </c:pt>
                <c:pt idx="21">
                  <c:v>1.9514534005965389</c:v>
                </c:pt>
                <c:pt idx="22">
                  <c:v>2.0443797530058978</c:v>
                </c:pt>
                <c:pt idx="23">
                  <c:v>2.1373061054152567</c:v>
                </c:pt>
                <c:pt idx="24">
                  <c:v>2.230232457824616</c:v>
                </c:pt>
                <c:pt idx="25">
                  <c:v>2.3231588102339749</c:v>
                </c:pt>
                <c:pt idx="26">
                  <c:v>2.4160851626433337</c:v>
                </c:pt>
                <c:pt idx="27">
                  <c:v>2.509011515052693</c:v>
                </c:pt>
                <c:pt idx="28">
                  <c:v>2.6019378674620519</c:v>
                </c:pt>
                <c:pt idx="29">
                  <c:v>2.6948642198714108</c:v>
                </c:pt>
                <c:pt idx="30">
                  <c:v>2.7877905722807697</c:v>
                </c:pt>
                <c:pt idx="31">
                  <c:v>2.880716924690129</c:v>
                </c:pt>
                <c:pt idx="32">
                  <c:v>2.9736432770994878</c:v>
                </c:pt>
                <c:pt idx="33">
                  <c:v>2.880716924690129</c:v>
                </c:pt>
                <c:pt idx="34">
                  <c:v>2.7877905722807697</c:v>
                </c:pt>
                <c:pt idx="35">
                  <c:v>2.6948642198714108</c:v>
                </c:pt>
                <c:pt idx="36">
                  <c:v>2.6019378674620519</c:v>
                </c:pt>
                <c:pt idx="37">
                  <c:v>2.5090115150526926</c:v>
                </c:pt>
                <c:pt idx="38">
                  <c:v>2.4160851626433337</c:v>
                </c:pt>
                <c:pt idx="39">
                  <c:v>2.3231588102339749</c:v>
                </c:pt>
                <c:pt idx="40">
                  <c:v>2.230232457824616</c:v>
                </c:pt>
                <c:pt idx="41">
                  <c:v>2.1373061054152571</c:v>
                </c:pt>
                <c:pt idx="42">
                  <c:v>2.0443797530058978</c:v>
                </c:pt>
                <c:pt idx="43">
                  <c:v>1.9514534005965389</c:v>
                </c:pt>
                <c:pt idx="44">
                  <c:v>1.8585270481871801</c:v>
                </c:pt>
                <c:pt idx="45">
                  <c:v>1.765600695777821</c:v>
                </c:pt>
                <c:pt idx="46">
                  <c:v>1.6726743433684619</c:v>
                </c:pt>
                <c:pt idx="47">
                  <c:v>1.579747990959103</c:v>
                </c:pt>
                <c:pt idx="48">
                  <c:v>1.4868216385497439</c:v>
                </c:pt>
                <c:pt idx="49">
                  <c:v>1.3938952861403848</c:v>
                </c:pt>
                <c:pt idx="50">
                  <c:v>1.300968933731026</c:v>
                </c:pt>
                <c:pt idx="51">
                  <c:v>1.2080425813216671</c:v>
                </c:pt>
                <c:pt idx="52">
                  <c:v>1.1151162289123078</c:v>
                </c:pt>
                <c:pt idx="53">
                  <c:v>1.0221898765029489</c:v>
                </c:pt>
                <c:pt idx="54">
                  <c:v>0.92926352409359003</c:v>
                </c:pt>
                <c:pt idx="55">
                  <c:v>0.83633717168423116</c:v>
                </c:pt>
                <c:pt idx="56">
                  <c:v>0.74341081927487196</c:v>
                </c:pt>
                <c:pt idx="57">
                  <c:v>0.65048446686551298</c:v>
                </c:pt>
                <c:pt idx="58">
                  <c:v>0.55755811445615411</c:v>
                </c:pt>
                <c:pt idx="59">
                  <c:v>0.46463176204679485</c:v>
                </c:pt>
                <c:pt idx="60">
                  <c:v>0.37170540963743598</c:v>
                </c:pt>
                <c:pt idx="61">
                  <c:v>0.27877905722807705</c:v>
                </c:pt>
                <c:pt idx="62">
                  <c:v>0.18585270481871816</c:v>
                </c:pt>
                <c:pt idx="63">
                  <c:v>9.2926352409358898E-2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6-4360-B3B1-943E9C31E117}"/>
            </c:ext>
          </c:extLst>
        </c:ser>
        <c:ser>
          <c:idx val="0"/>
          <c:order val="1"/>
          <c:tx>
            <c:v>Lot reference specific discharge</c:v>
          </c:tx>
          <c:spPr>
            <a:ln w="57150" cap="rnd">
              <a:solidFill>
                <a:srgbClr val="00008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[0]!qsis_i</c:f>
              <c:numCache>
                <c:formatCode>0.0</c:formatCode>
                <c:ptCount val="55"/>
                <c:pt idx="0">
                  <c:v>0</c:v>
                </c:pt>
                <c:pt idx="1">
                  <c:v>0.12671775328548954</c:v>
                </c:pt>
                <c:pt idx="2">
                  <c:v>0.25343550657097907</c:v>
                </c:pt>
                <c:pt idx="3">
                  <c:v>0.38015325985646858</c:v>
                </c:pt>
                <c:pt idx="4">
                  <c:v>0.50687101314195815</c:v>
                </c:pt>
                <c:pt idx="5">
                  <c:v>0.63358876642744766</c:v>
                </c:pt>
                <c:pt idx="6">
                  <c:v>0.76030651971293717</c:v>
                </c:pt>
                <c:pt idx="7">
                  <c:v>0.88702427299842668</c:v>
                </c:pt>
                <c:pt idx="8">
                  <c:v>1.0137420262839163</c:v>
                </c:pt>
                <c:pt idx="9">
                  <c:v>1.1404597795694058</c:v>
                </c:pt>
                <c:pt idx="10">
                  <c:v>1.2671775328548953</c:v>
                </c:pt>
                <c:pt idx="11">
                  <c:v>1.3938952861403848</c:v>
                </c:pt>
                <c:pt idx="12">
                  <c:v>1.5206130394258743</c:v>
                </c:pt>
                <c:pt idx="13">
                  <c:v>1.6473307927113638</c:v>
                </c:pt>
                <c:pt idx="14">
                  <c:v>1.7740485459968534</c:v>
                </c:pt>
                <c:pt idx="15">
                  <c:v>1.9007662992823429</c:v>
                </c:pt>
                <c:pt idx="16">
                  <c:v>2.0274840525678326</c:v>
                </c:pt>
                <c:pt idx="17">
                  <c:v>2.1542018058533223</c:v>
                </c:pt>
                <c:pt idx="18">
                  <c:v>2.2809195591388116</c:v>
                </c:pt>
                <c:pt idx="19">
                  <c:v>2.4076373124243009</c:v>
                </c:pt>
                <c:pt idx="20">
                  <c:v>2.5343550657097906</c:v>
                </c:pt>
                <c:pt idx="21">
                  <c:v>2.6610728189952804</c:v>
                </c:pt>
                <c:pt idx="22">
                  <c:v>2.7877905722807697</c:v>
                </c:pt>
                <c:pt idx="23">
                  <c:v>2.7877905722807697</c:v>
                </c:pt>
                <c:pt idx="24">
                  <c:v>2.7877905722807697</c:v>
                </c:pt>
                <c:pt idx="25">
                  <c:v>2.7877905722807697</c:v>
                </c:pt>
                <c:pt idx="26">
                  <c:v>2.7877905722807697</c:v>
                </c:pt>
                <c:pt idx="27">
                  <c:v>2.7877905722807697</c:v>
                </c:pt>
                <c:pt idx="28">
                  <c:v>2.7877905722807697</c:v>
                </c:pt>
                <c:pt idx="29">
                  <c:v>2.7877905722807697</c:v>
                </c:pt>
                <c:pt idx="30">
                  <c:v>2.7877905722807697</c:v>
                </c:pt>
                <c:pt idx="31">
                  <c:v>2.7877905722807697</c:v>
                </c:pt>
                <c:pt idx="32">
                  <c:v>2.7877905722807697</c:v>
                </c:pt>
                <c:pt idx="33">
                  <c:v>2.6610728189952804</c:v>
                </c:pt>
                <c:pt idx="34">
                  <c:v>2.5343550657097902</c:v>
                </c:pt>
                <c:pt idx="35">
                  <c:v>2.4076373124243009</c:v>
                </c:pt>
                <c:pt idx="36">
                  <c:v>2.2809195591388116</c:v>
                </c:pt>
                <c:pt idx="37">
                  <c:v>2.1542018058533219</c:v>
                </c:pt>
                <c:pt idx="38">
                  <c:v>2.0274840525678322</c:v>
                </c:pt>
                <c:pt idx="39">
                  <c:v>1.9007662992823429</c:v>
                </c:pt>
                <c:pt idx="40">
                  <c:v>1.7740485459968534</c:v>
                </c:pt>
                <c:pt idx="41">
                  <c:v>1.6473307927113638</c:v>
                </c:pt>
                <c:pt idx="42">
                  <c:v>1.5206130394258741</c:v>
                </c:pt>
                <c:pt idx="43">
                  <c:v>1.3938952861403848</c:v>
                </c:pt>
                <c:pt idx="44">
                  <c:v>1.2671775328548951</c:v>
                </c:pt>
                <c:pt idx="45">
                  <c:v>1.1404597795694058</c:v>
                </c:pt>
                <c:pt idx="46">
                  <c:v>1.0137420262839161</c:v>
                </c:pt>
                <c:pt idx="47">
                  <c:v>0.88702427299842668</c:v>
                </c:pt>
                <c:pt idx="48">
                  <c:v>0.76030651971293706</c:v>
                </c:pt>
                <c:pt idx="49">
                  <c:v>0.63358876642744744</c:v>
                </c:pt>
                <c:pt idx="50">
                  <c:v>0.50687101314195804</c:v>
                </c:pt>
                <c:pt idx="51">
                  <c:v>0.38015325985646869</c:v>
                </c:pt>
                <c:pt idx="52">
                  <c:v>0.25343550657097874</c:v>
                </c:pt>
                <c:pt idx="53">
                  <c:v>0.12671775328548937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6-4360-B3B1-943E9C31E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427920"/>
        <c:axId val="805428480"/>
      </c:scatterChart>
      <c:valAx>
        <c:axId val="805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6932145776859857"/>
              <c:y val="0.71240485564304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428480"/>
        <c:crosses val="autoZero"/>
        <c:crossBetween val="midCat"/>
      </c:valAx>
      <c:valAx>
        <c:axId val="8054284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q   [L/s/100m²]</a:t>
                </a:r>
              </a:p>
            </c:rich>
          </c:tx>
          <c:layout>
            <c:manualLayout>
              <c:xMode val="edge"/>
              <c:yMode val="edge"/>
              <c:x val="2.4254884806065909E-2"/>
              <c:y val="0.140450568678915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427920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1.5938069216757743E-2"/>
          <c:y val="0.85372703412073492"/>
          <c:w val="0.94369971171636335"/>
          <c:h val="0.1184951881014873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>
        <a:lumMod val="95000"/>
      </a:sysClr>
    </a:solidFill>
    <a:ln w="19050" cap="flat" cmpd="sng" algn="ctr">
      <a:noFill/>
      <a:round/>
    </a:ln>
    <a:effectLst/>
    <a:scene3d>
      <a:camera prst="orthographicFront"/>
      <a:lightRig rig="threePt" dir="t"/>
    </a:scene3d>
    <a:sp3d>
      <a:bevelT w="190500" h="38100"/>
    </a:sp3d>
    <a:extLst>
      <a:ext uri="{91240B29-F687-4F45-9708-019B960494DF}">
        <a14:hiddenLine xmlns:a14="http://schemas.microsoft.com/office/drawing/2010/main" w="19050" cap="flat" cmpd="sng" algn="ctr">
          <a:solidFill>
            <a:sysClr val="window" lastClr="FFFFFF">
              <a:lumMod val="95000"/>
            </a:sysClr>
          </a:solidFill>
          <a:round/>
        </a14:hiddenLine>
      </a:ext>
    </a:extLst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US" b="1"/>
              <a:t>Inflow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30084664464609"/>
          <c:y val="0.1587295858850977"/>
          <c:w val="0.82349573197361881"/>
          <c:h val="0.50586687080781567"/>
        </c:manualLayout>
      </c:layout>
      <c:scatterChart>
        <c:scatterStyle val="lineMarker"/>
        <c:varyColors val="0"/>
        <c:ser>
          <c:idx val="0"/>
          <c:order val="0"/>
          <c:tx>
            <c:v>Inflow </c:v>
          </c:tx>
          <c:spPr>
            <a:ln w="57150" cap="rnd">
              <a:solidFill>
                <a:srgbClr val="00808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06"/>
                <c:pt idx="0">
                  <c:v>0</c:v>
                </c:pt>
                <c:pt idx="1">
                  <c:v>5.117411171832984</c:v>
                </c:pt>
                <c:pt idx="2">
                  <c:v>10.234822343665968</c:v>
                </c:pt>
                <c:pt idx="3">
                  <c:v>15.352233515498952</c:v>
                </c:pt>
                <c:pt idx="4">
                  <c:v>20.469644687331936</c:v>
                </c:pt>
                <c:pt idx="5">
                  <c:v>25.58705585916492</c:v>
                </c:pt>
                <c:pt idx="6">
                  <c:v>30.704467030997904</c:v>
                </c:pt>
                <c:pt idx="7">
                  <c:v>35.821878202830888</c:v>
                </c:pt>
                <c:pt idx="8">
                  <c:v>40.939289374663872</c:v>
                </c:pt>
                <c:pt idx="9">
                  <c:v>40.939289374663872</c:v>
                </c:pt>
                <c:pt idx="10">
                  <c:v>40.939289374663872</c:v>
                </c:pt>
                <c:pt idx="11">
                  <c:v>40.939289374663872</c:v>
                </c:pt>
                <c:pt idx="12">
                  <c:v>40.939289374663872</c:v>
                </c:pt>
                <c:pt idx="13">
                  <c:v>40.939289374663872</c:v>
                </c:pt>
                <c:pt idx="14">
                  <c:v>40.939289374663872</c:v>
                </c:pt>
                <c:pt idx="15">
                  <c:v>40.939289374663872</c:v>
                </c:pt>
                <c:pt idx="16">
                  <c:v>40.939289374663872</c:v>
                </c:pt>
                <c:pt idx="17">
                  <c:v>40.939289374663872</c:v>
                </c:pt>
                <c:pt idx="18">
                  <c:v>40.939289374663872</c:v>
                </c:pt>
                <c:pt idx="19">
                  <c:v>40.939289374663872</c:v>
                </c:pt>
                <c:pt idx="20">
                  <c:v>40.939289374663872</c:v>
                </c:pt>
                <c:pt idx="21">
                  <c:v>40.939289374663872</c:v>
                </c:pt>
                <c:pt idx="22">
                  <c:v>40.939289374663872</c:v>
                </c:pt>
                <c:pt idx="23">
                  <c:v>40.939289374663872</c:v>
                </c:pt>
                <c:pt idx="24">
                  <c:v>40.939289374663872</c:v>
                </c:pt>
                <c:pt idx="25">
                  <c:v>40.939289374663872</c:v>
                </c:pt>
                <c:pt idx="26">
                  <c:v>40.939289374663872</c:v>
                </c:pt>
                <c:pt idx="27">
                  <c:v>40.939289374663872</c:v>
                </c:pt>
                <c:pt idx="28">
                  <c:v>40.939289374663872</c:v>
                </c:pt>
                <c:pt idx="29">
                  <c:v>40.939289374663872</c:v>
                </c:pt>
                <c:pt idx="30">
                  <c:v>40.939289374663872</c:v>
                </c:pt>
                <c:pt idx="31">
                  <c:v>40.939289374663872</c:v>
                </c:pt>
                <c:pt idx="32">
                  <c:v>40.939289374663872</c:v>
                </c:pt>
                <c:pt idx="33">
                  <c:v>35.821878202830888</c:v>
                </c:pt>
                <c:pt idx="34">
                  <c:v>30.704467030997904</c:v>
                </c:pt>
                <c:pt idx="35">
                  <c:v>25.58705585916492</c:v>
                </c:pt>
                <c:pt idx="36">
                  <c:v>20.469644687331936</c:v>
                </c:pt>
                <c:pt idx="37">
                  <c:v>15.352233515498952</c:v>
                </c:pt>
                <c:pt idx="38">
                  <c:v>10.234822343665968</c:v>
                </c:pt>
                <c:pt idx="39">
                  <c:v>5.117411171832984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59-49D9-973C-56F2C041084D}"/>
            </c:ext>
          </c:extLst>
        </c:ser>
        <c:ser>
          <c:idx val="1"/>
          <c:order val="1"/>
          <c:tx>
            <c:v>Lot reference hydrograph</c:v>
          </c:tx>
          <c:spPr>
            <a:ln w="57150" cap="rnd">
              <a:solidFill>
                <a:srgbClr val="00008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55"/>
                <c:pt idx="0">
                  <c:v>0</c:v>
                </c:pt>
                <c:pt idx="1">
                  <c:v>1.5206130394258743</c:v>
                </c:pt>
                <c:pt idx="2">
                  <c:v>3.0412260788517487</c:v>
                </c:pt>
                <c:pt idx="3">
                  <c:v>4.5618391182776232</c:v>
                </c:pt>
                <c:pt idx="4">
                  <c:v>6.0824521577034973</c:v>
                </c:pt>
                <c:pt idx="5">
                  <c:v>7.6030651971293715</c:v>
                </c:pt>
                <c:pt idx="6">
                  <c:v>9.1236782365552465</c:v>
                </c:pt>
                <c:pt idx="7">
                  <c:v>10.64429127598112</c:v>
                </c:pt>
                <c:pt idx="8">
                  <c:v>12.164904315406995</c:v>
                </c:pt>
                <c:pt idx="9">
                  <c:v>13.685517354832871</c:v>
                </c:pt>
                <c:pt idx="10">
                  <c:v>15.206130394258743</c:v>
                </c:pt>
                <c:pt idx="11">
                  <c:v>16.726743433684618</c:v>
                </c:pt>
                <c:pt idx="12">
                  <c:v>18.247356473110493</c:v>
                </c:pt>
                <c:pt idx="13">
                  <c:v>19.767969512536364</c:v>
                </c:pt>
                <c:pt idx="14">
                  <c:v>21.288582551962239</c:v>
                </c:pt>
                <c:pt idx="15">
                  <c:v>22.809195591388114</c:v>
                </c:pt>
                <c:pt idx="16">
                  <c:v>24.329808630813989</c:v>
                </c:pt>
                <c:pt idx="17">
                  <c:v>25.850421670239868</c:v>
                </c:pt>
                <c:pt idx="18">
                  <c:v>27.371034709665743</c:v>
                </c:pt>
                <c:pt idx="19">
                  <c:v>28.891647749091611</c:v>
                </c:pt>
                <c:pt idx="20">
                  <c:v>30.412260788517486</c:v>
                </c:pt>
                <c:pt idx="21">
                  <c:v>31.932873827943364</c:v>
                </c:pt>
                <c:pt idx="22">
                  <c:v>33.453486867369236</c:v>
                </c:pt>
                <c:pt idx="23">
                  <c:v>33.453486867369236</c:v>
                </c:pt>
                <c:pt idx="24">
                  <c:v>33.453486867369236</c:v>
                </c:pt>
                <c:pt idx="25">
                  <c:v>33.453486867369236</c:v>
                </c:pt>
                <c:pt idx="26">
                  <c:v>33.453486867369236</c:v>
                </c:pt>
                <c:pt idx="27">
                  <c:v>33.453486867369236</c:v>
                </c:pt>
                <c:pt idx="28">
                  <c:v>33.453486867369236</c:v>
                </c:pt>
                <c:pt idx="29">
                  <c:v>33.453486867369236</c:v>
                </c:pt>
                <c:pt idx="30">
                  <c:v>33.453486867369236</c:v>
                </c:pt>
                <c:pt idx="31">
                  <c:v>33.453486867369236</c:v>
                </c:pt>
                <c:pt idx="32">
                  <c:v>33.453486867369236</c:v>
                </c:pt>
                <c:pt idx="33">
                  <c:v>31.932873827943364</c:v>
                </c:pt>
                <c:pt idx="34">
                  <c:v>30.412260788517482</c:v>
                </c:pt>
                <c:pt idx="35">
                  <c:v>28.891647749091611</c:v>
                </c:pt>
                <c:pt idx="36">
                  <c:v>27.371034709665743</c:v>
                </c:pt>
                <c:pt idx="37">
                  <c:v>25.850421670239861</c:v>
                </c:pt>
                <c:pt idx="38">
                  <c:v>24.329808630813986</c:v>
                </c:pt>
                <c:pt idx="39">
                  <c:v>22.809195591388114</c:v>
                </c:pt>
                <c:pt idx="40">
                  <c:v>21.288582551962239</c:v>
                </c:pt>
                <c:pt idx="41">
                  <c:v>19.767969512536364</c:v>
                </c:pt>
                <c:pt idx="42">
                  <c:v>18.247356473110489</c:v>
                </c:pt>
                <c:pt idx="43">
                  <c:v>16.726743433684618</c:v>
                </c:pt>
                <c:pt idx="44">
                  <c:v>15.206130394258741</c:v>
                </c:pt>
                <c:pt idx="45">
                  <c:v>13.685517354832871</c:v>
                </c:pt>
                <c:pt idx="46">
                  <c:v>12.164904315406993</c:v>
                </c:pt>
                <c:pt idx="47">
                  <c:v>10.64429127598112</c:v>
                </c:pt>
                <c:pt idx="48">
                  <c:v>9.1236782365552447</c:v>
                </c:pt>
                <c:pt idx="49">
                  <c:v>7.6030651971293697</c:v>
                </c:pt>
                <c:pt idx="50">
                  <c:v>6.0824521577034965</c:v>
                </c:pt>
                <c:pt idx="51">
                  <c:v>4.5618391182776241</c:v>
                </c:pt>
                <c:pt idx="52">
                  <c:v>3.0412260788517447</c:v>
                </c:pt>
                <c:pt idx="53">
                  <c:v>1.5206130394258723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59-49D9-973C-56F2C0410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3280"/>
        <c:axId val="805593840"/>
      </c:scatterChart>
      <c:valAx>
        <c:axId val="80559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7595361079118986"/>
              <c:y val="0.764260742259247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593840"/>
        <c:crosses val="autoZero"/>
        <c:crossBetween val="midCat"/>
      </c:valAx>
      <c:valAx>
        <c:axId val="80559384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593280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7330920212842249"/>
          <c:y val="0.8619444444444444"/>
          <c:w val="0.72554764611535294"/>
          <c:h val="0.11178466208044355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9050" cap="flat" cmpd="sng" algn="ctr">
      <a:noFill/>
      <a:round/>
    </a:ln>
    <a:effectLst/>
    <a:scene3d>
      <a:camera prst="orthographicFront"/>
      <a:lightRig rig="threePt" dir="t"/>
    </a:scene3d>
    <a:sp3d>
      <a:bevelT w="190500" h="38100"/>
    </a:sp3d>
    <a:extLst>
      <a:ext uri="{91240B29-F687-4F45-9708-019B960494DF}">
        <a14:hiddenLine xmlns:a14="http://schemas.microsoft.com/office/drawing/2010/main" w="19050" cap="flat" cmpd="sng" algn="ctr">
          <a:solidFill>
            <a:sysClr val="window" lastClr="FFFFFF">
              <a:lumMod val="95000"/>
            </a:sysClr>
          </a:solidFill>
          <a:round/>
        </a14:hiddenLine>
      </a:ext>
    </a:extLst>
  </c:spPr>
  <c:txPr>
    <a:bodyPr/>
    <a:lstStyle/>
    <a:p>
      <a:pPr>
        <a:defRPr sz="1800" b="0">
          <a:solidFill>
            <a:sysClr val="windowText" lastClr="000000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Orifice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58067401828198"/>
          <c:y val="0.13923097033789089"/>
          <c:w val="0.71037616419393135"/>
          <c:h val="0.53090004374453192"/>
        </c:manualLayout>
      </c:layout>
      <c:scatterChart>
        <c:scatterStyle val="lineMarker"/>
        <c:varyColors val="0"/>
        <c:ser>
          <c:idx val="0"/>
          <c:order val="0"/>
          <c:tx>
            <c:v>Orifice Discharge</c:v>
          </c:tx>
          <c:spPr>
            <a:ln w="3810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[0]!Orificio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3.9029006916637665</c:v>
                </c:pt>
                <c:pt idx="6">
                  <c:v>5.9233092579048678</c:v>
                </c:pt>
                <c:pt idx="7">
                  <c:v>7.5328192433456307</c:v>
                </c:pt>
                <c:pt idx="8">
                  <c:v>8.9557776531912481</c:v>
                </c:pt>
                <c:pt idx="9">
                  <c:v>10.181774943195375</c:v>
                </c:pt>
                <c:pt idx="10">
                  <c:v>11.194923589824896</c:v>
                </c:pt>
                <c:pt idx="11">
                  <c:v>12.12369940942758</c:v>
                </c:pt>
                <c:pt idx="12">
                  <c:v>12.916541569860977</c:v>
                </c:pt>
                <c:pt idx="13">
                  <c:v>13.66345508580237</c:v>
                </c:pt>
                <c:pt idx="14">
                  <c:v>14.308673914978494</c:v>
                </c:pt>
                <c:pt idx="15">
                  <c:v>14.926027386033876</c:v>
                </c:pt>
                <c:pt idx="16">
                  <c:v>15.518841382399671</c:v>
                </c:pt>
                <c:pt idx="17">
                  <c:v>16.060059439135358</c:v>
                </c:pt>
                <c:pt idx="18">
                  <c:v>16.559661928854325</c:v>
                </c:pt>
                <c:pt idx="19">
                  <c:v>17.044626637369745</c:v>
                </c:pt>
                <c:pt idx="20">
                  <c:v>17.516169421900464</c:v>
                </c:pt>
                <c:pt idx="21">
                  <c:v>17.924907788467554</c:v>
                </c:pt>
                <c:pt idx="22">
                  <c:v>18.324531296418154</c:v>
                </c:pt>
                <c:pt idx="23">
                  <c:v>18.715623827213246</c:v>
                </c:pt>
                <c:pt idx="24">
                  <c:v>19.098709465565886</c:v>
                </c:pt>
                <c:pt idx="25">
                  <c:v>19.474260737148398</c:v>
                </c:pt>
                <c:pt idx="26">
                  <c:v>19.84270544222192</c:v>
                </c:pt>
                <c:pt idx="27">
                  <c:v>20.159571455615925</c:v>
                </c:pt>
                <c:pt idx="28">
                  <c:v>20.427259172006949</c:v>
                </c:pt>
                <c:pt idx="29">
                  <c:v>20.603785605672417</c:v>
                </c:pt>
                <c:pt idx="30">
                  <c:v>20.73519421871044</c:v>
                </c:pt>
                <c:pt idx="31">
                  <c:v>20.822339236736319</c:v>
                </c:pt>
                <c:pt idx="32">
                  <c:v>20.865775262155292</c:v>
                </c:pt>
                <c:pt idx="33">
                  <c:v>20.865775262155292</c:v>
                </c:pt>
                <c:pt idx="34">
                  <c:v>20.822339236736319</c:v>
                </c:pt>
                <c:pt idx="35">
                  <c:v>20.691484076464885</c:v>
                </c:pt>
                <c:pt idx="36">
                  <c:v>20.559796090512936</c:v>
                </c:pt>
                <c:pt idx="37">
                  <c:v>20.382888688291928</c:v>
                </c:pt>
                <c:pt idx="38">
                  <c:v>20.159571455615925</c:v>
                </c:pt>
                <c:pt idx="39">
                  <c:v>19.888281103902028</c:v>
                </c:pt>
                <c:pt idx="40">
                  <c:v>19.567022340165238</c:v>
                </c:pt>
                <c:pt idx="41">
                  <c:v>19.193286202528785</c:v>
                </c:pt>
                <c:pt idx="42">
                  <c:v>18.812126600781692</c:v>
                </c:pt>
                <c:pt idx="43">
                  <c:v>18.423082783168901</c:v>
                </c:pt>
                <c:pt idx="44">
                  <c:v>18.07580198022189</c:v>
                </c:pt>
                <c:pt idx="45">
                  <c:v>17.721717050582114</c:v>
                </c:pt>
                <c:pt idx="46">
                  <c:v>17.36041166601737</c:v>
                </c:pt>
                <c:pt idx="47">
                  <c:v>16.991425225868817</c:v>
                </c:pt>
                <c:pt idx="48">
                  <c:v>16.614245971424353</c:v>
                </c:pt>
                <c:pt idx="49">
                  <c:v>16.228302658987158</c:v>
                </c:pt>
                <c:pt idx="50">
                  <c:v>15.832954404797258</c:v>
                </c:pt>
                <c:pt idx="51">
                  <c:v>15.402104044168482</c:v>
                </c:pt>
                <c:pt idx="52">
                  <c:v>14.98636406741068</c:v>
                </c:pt>
                <c:pt idx="53">
                  <c:v>14.620609473168674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7-4E40-BCF8-59E5E350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6640"/>
        <c:axId val="805597200"/>
      </c:scatterChart>
      <c:scatterChart>
        <c:scatterStyle val="lineMarker"/>
        <c:varyColors val="0"/>
        <c:ser>
          <c:idx val="1"/>
          <c:order val="1"/>
          <c:tx>
            <c:v>Orifice water depth</c:v>
          </c:tx>
          <c:spPr>
            <a:ln w="381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7-4E40-BCF8-59E5E350C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8320"/>
        <c:axId val="805597760"/>
      </c:scatterChart>
      <c:valAx>
        <c:axId val="8055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3948822483255173"/>
              <c:y val="0.771774205307669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597200"/>
        <c:crosses val="autoZero"/>
        <c:crossBetween val="midCat"/>
      </c:valAx>
      <c:valAx>
        <c:axId val="8055972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596640"/>
        <c:crosses val="autoZero"/>
        <c:crossBetween val="midCat"/>
      </c:valAx>
      <c:valAx>
        <c:axId val="805597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/>
                  <a:t>Water depth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598320"/>
        <c:crosses val="max"/>
        <c:crossBetween val="midCat"/>
      </c:valAx>
      <c:valAx>
        <c:axId val="80559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597760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735101759821003E-2"/>
          <c:y val="0.88403944298629333"/>
          <c:w val="0.88252979648035801"/>
          <c:h val="8.8182779235928849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Weir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83603164294693"/>
          <c:y val="0.15320465150189561"/>
          <c:w val="0.70295634152288344"/>
          <c:h val="0.50865923009623792"/>
        </c:manualLayout>
      </c:layout>
      <c:scatterChart>
        <c:scatterStyle val="lineMarker"/>
        <c:varyColors val="0"/>
        <c:ser>
          <c:idx val="0"/>
          <c:order val="0"/>
          <c:tx>
            <c:v>Weir discharge</c:v>
          </c:tx>
          <c:spPr>
            <a:ln w="3810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[0]!Vertedor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2.5419055721053216</c:v>
                </c:pt>
                <c:pt idx="28">
                  <c:v>6.433204863246619</c:v>
                </c:pt>
                <c:pt idx="29">
                  <c:v>9.6202362009723945</c:v>
                </c:pt>
                <c:pt idx="30">
                  <c:v>12.276013196473867</c:v>
                </c:pt>
                <c:pt idx="31">
                  <c:v>14.162710386786864</c:v>
                </c:pt>
                <c:pt idx="32">
                  <c:v>15.139241161217427</c:v>
                </c:pt>
                <c:pt idx="33">
                  <c:v>15.139241161217427</c:v>
                </c:pt>
                <c:pt idx="34">
                  <c:v>14.162710386786864</c:v>
                </c:pt>
                <c:pt idx="35">
                  <c:v>11.366918720018189</c:v>
                </c:pt>
                <c:pt idx="36">
                  <c:v>8.7840000000000131</c:v>
                </c:pt>
                <c:pt idx="37">
                  <c:v>5.7053753601318888</c:v>
                </c:pt>
                <c:pt idx="38">
                  <c:v>2.5419055721053216</c:v>
                </c:pt>
                <c:pt idx="39">
                  <c:v>0.13725000000000487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63-4A1D-A7C2-C164C37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49712"/>
        <c:axId val="805850272"/>
      </c:scatterChart>
      <c:scatterChart>
        <c:scatterStyle val="lineMarker"/>
        <c:varyColors val="0"/>
        <c:ser>
          <c:idx val="1"/>
          <c:order val="1"/>
          <c:tx>
            <c:v>Weir water depth</c:v>
          </c:tx>
          <c:spPr>
            <a:ln w="38100" cap="rnd">
              <a:solidFill>
                <a:srgbClr val="00008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63-4A1D-A7C2-C164C37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1392"/>
        <c:axId val="805850832"/>
      </c:scatterChart>
      <c:valAx>
        <c:axId val="80584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3812955672207643"/>
              <c:y val="0.762023184601924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50272"/>
        <c:crosses val="autoZero"/>
        <c:crossBetween val="midCat"/>
      </c:valAx>
      <c:valAx>
        <c:axId val="80585027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49712"/>
        <c:crosses val="autoZero"/>
        <c:crossBetween val="midCat"/>
      </c:valAx>
      <c:valAx>
        <c:axId val="805850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Water depth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51392"/>
        <c:crosses val="max"/>
        <c:crossBetween val="midCat"/>
      </c:valAx>
      <c:valAx>
        <c:axId val="80585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850832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6.3531489850082487E-2"/>
          <c:y val="0.86681903098133295"/>
          <c:w val="0.87663833297467897"/>
          <c:h val="0.11075313502478856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Auxiliary Curve for PULS method</a:t>
            </a:r>
          </a:p>
        </c:rich>
      </c:tx>
      <c:layout>
        <c:manualLayout>
          <c:xMode val="edge"/>
          <c:yMode val="edge"/>
          <c:x val="0.18981164751946991"/>
          <c:y val="3.90201224846894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1795272648649888"/>
          <c:y val="0.10894963714279109"/>
          <c:w val="0.69664196055891192"/>
          <c:h val="0.64424722951297753"/>
        </c:manualLayout>
      </c:layout>
      <c:scatterChart>
        <c:scatterStyle val="lineMarker"/>
        <c:varyColors val="0"/>
        <c:ser>
          <c:idx val="0"/>
          <c:order val="0"/>
          <c:tx>
            <c:v>Curva auxiliar</c:v>
          </c:tx>
          <c:spPr>
            <a:ln w="38100" cap="rnd">
              <a:solidFill>
                <a:srgbClr val="000080"/>
              </a:solidFill>
              <a:round/>
            </a:ln>
            <a:effectLst/>
          </c:spPr>
          <c:marker>
            <c:symbol val="none"/>
          </c:marker>
          <c:xVal>
            <c:numRef>
              <c:f>[0]!Vazão_de_saida</c:f>
              <c:numCache>
                <c:formatCode>0.00</c:formatCode>
                <c:ptCount val="34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0.89113318321768431</c:v>
                </c:pt>
                <c:pt idx="20">
                  <c:v>1.6121205856189567</c:v>
                </c:pt>
                <c:pt idx="21">
                  <c:v>2.0985107135588175</c:v>
                </c:pt>
                <c:pt idx="22">
                  <c:v>2.4916985466275539</c:v>
                </c:pt>
                <c:pt idx="23">
                  <c:v>2.8307907163212538</c:v>
                </c:pt>
                <c:pt idx="24">
                  <c:v>3.1333991944779918</c:v>
                </c:pt>
                <c:pt idx="25">
                  <c:v>3.4092528425301705</c:v>
                </c:pt>
                <c:pt idx="26">
                  <c:v>3.6643989106870958</c:v>
                </c:pt>
                <c:pt idx="27">
                  <c:v>3.9029006916637665</c:v>
                </c:pt>
                <c:pt idx="28">
                  <c:v>4.1276443937595007</c:v>
                </c:pt>
                <c:pt idx="29">
                  <c:v>4.3407675212661374</c:v>
                </c:pt>
                <c:pt idx="30">
                  <c:v>4.5439054904370204</c:v>
                </c:pt>
                <c:pt idx="31">
                  <c:v>4.7383426995489062</c:v>
                </c:pt>
                <c:pt idx="32">
                  <c:v>4.9251097419969385</c:v>
                </c:pt>
                <c:pt idx="33">
                  <c:v>5.1050485211266974</c:v>
                </c:pt>
                <c:pt idx="34">
                  <c:v>5.2788573418309577</c:v>
                </c:pt>
                <c:pt idx="35">
                  <c:v>5.447123026676314</c:v>
                </c:pt>
                <c:pt idx="36">
                  <c:v>5.6103443477287609</c:v>
                </c:pt>
                <c:pt idx="37">
                  <c:v>5.7689494825693162</c:v>
                </c:pt>
                <c:pt idx="38">
                  <c:v>5.9233092579048678</c:v>
                </c:pt>
                <c:pt idx="39">
                  <c:v>6.0737473603308727</c:v>
                </c:pt>
                <c:pt idx="40">
                  <c:v>6.2205483222519042</c:v>
                </c:pt>
                <c:pt idx="41">
                  <c:v>6.3639638482486456</c:v>
                </c:pt>
                <c:pt idx="42">
                  <c:v>6.5042178848928822</c:v>
                </c:pt>
                <c:pt idx="43">
                  <c:v>6.6415107262207407</c:v>
                </c:pt>
                <c:pt idx="44">
                  <c:v>6.7760223700080768</c:v>
                </c:pt>
                <c:pt idx="45">
                  <c:v>6.9079152854674328</c:v>
                </c:pt>
                <c:pt idx="46">
                  <c:v>7.0373367138100855</c:v>
                </c:pt>
                <c:pt idx="47">
                  <c:v>7.1644205945689743</c:v>
                </c:pt>
                <c:pt idx="48">
                  <c:v>7.2892891895046112</c:v>
                </c:pt>
                <c:pt idx="49">
                  <c:v>7.4120544601732066</c:v>
                </c:pt>
                <c:pt idx="50">
                  <c:v>7.5328192433456307</c:v>
                </c:pt>
                <c:pt idx="51">
                  <c:v>7.6516782593927051</c:v>
                </c:pt>
                <c:pt idx="52">
                  <c:v>7.7687189817631905</c:v>
                </c:pt>
                <c:pt idx="53">
                  <c:v>7.8840223902493092</c:v>
                </c:pt>
                <c:pt idx="54">
                  <c:v>7.9976636264784942</c:v>
                </c:pt>
                <c:pt idx="55">
                  <c:v>8.1097125667092467</c:v>
                </c:pt>
                <c:pt idx="56">
                  <c:v>8.2202343243356886</c:v>
                </c:pt>
                <c:pt idx="57">
                  <c:v>8.3292896923646094</c:v>
                </c:pt>
                <c:pt idx="58">
                  <c:v>8.4369355344032382</c:v>
                </c:pt>
                <c:pt idx="59">
                  <c:v>8.543225131296774</c:v>
                </c:pt>
                <c:pt idx="60">
                  <c:v>8.6482084894136033</c:v>
                </c:pt>
                <c:pt idx="61">
                  <c:v>8.7519326156404045</c:v>
                </c:pt>
                <c:pt idx="62">
                  <c:v>8.8544417633781389</c:v>
                </c:pt>
                <c:pt idx="63">
                  <c:v>8.9557776531912481</c:v>
                </c:pt>
                <c:pt idx="64">
                  <c:v>9.055979671230741</c:v>
                </c:pt>
                <c:pt idx="65">
                  <c:v>9.1550850481079173</c:v>
                </c:pt>
                <c:pt idx="66">
                  <c:v>9.2531290205224046</c:v>
                </c:pt>
                <c:pt idx="67">
                  <c:v>9.3501449776342298</c:v>
                </c:pt>
                <c:pt idx="68">
                  <c:v>9.4461645939038839</c:v>
                </c:pt>
                <c:pt idx="69">
                  <c:v>9.5412179498986447</c:v>
                </c:pt>
                <c:pt idx="70">
                  <c:v>9.6353336423713323</c:v>
                </c:pt>
                <c:pt idx="71">
                  <c:v>9.7285388847533305</c:v>
                </c:pt>
                <c:pt idx="72">
                  <c:v>9.8208595990627146</c:v>
                </c:pt>
                <c:pt idx="73">
                  <c:v>9.9123205001072794</c:v>
                </c:pt>
                <c:pt idx="74">
                  <c:v>10.002945172757457</c:v>
                </c:pt>
                <c:pt idx="75">
                  <c:v>10.092756142973853</c:v>
                </c:pt>
                <c:pt idx="76">
                  <c:v>10.181774943195375</c:v>
                </c:pt>
                <c:pt idx="77">
                  <c:v>10.270022172625817</c:v>
                </c:pt>
                <c:pt idx="78">
                  <c:v>10.357517552897056</c:v>
                </c:pt>
                <c:pt idx="79">
                  <c:v>10.444279979534988</c:v>
                </c:pt>
                <c:pt idx="80">
                  <c:v>10.530327569608653</c:v>
                </c:pt>
                <c:pt idx="81">
                  <c:v>10.615677705902945</c:v>
                </c:pt>
                <c:pt idx="82">
                  <c:v>10.700347077919929</c:v>
                </c:pt>
                <c:pt idx="83">
                  <c:v>10.78435171998272</c:v>
                </c:pt>
                <c:pt idx="84">
                  <c:v>10.86770704668832</c:v>
                </c:pt>
                <c:pt idx="85">
                  <c:v>10.950427885931386</c:v>
                </c:pt>
                <c:pt idx="86">
                  <c:v>11.032528509699326</c:v>
                </c:pt>
                <c:pt idx="87">
                  <c:v>11.114022662819847</c:v>
                </c:pt>
                <c:pt idx="88">
                  <c:v>11.194923589824896</c:v>
                </c:pt>
                <c:pt idx="89">
                  <c:v>11.275244060079704</c:v>
                </c:pt>
                <c:pt idx="90">
                  <c:v>11.354996391311948</c:v>
                </c:pt>
                <c:pt idx="91">
                  <c:v>11.434192471663756</c:v>
                </c:pt>
                <c:pt idx="92">
                  <c:v>11.512843780378365</c:v>
                </c:pt>
                <c:pt idx="93">
                  <c:v>11.59096140722337</c:v>
                </c:pt>
                <c:pt idx="94">
                  <c:v>11.668556070743556</c:v>
                </c:pt>
                <c:pt idx="95">
                  <c:v>11.745638135428445</c:v>
                </c:pt>
                <c:pt idx="96">
                  <c:v>11.82221762787235</c:v>
                </c:pt>
                <c:pt idx="97">
                  <c:v>11.898304251998285</c:v>
                </c:pt>
                <c:pt idx="98">
                  <c:v>11.973907403411186</c:v>
                </c:pt>
                <c:pt idx="99">
                  <c:v>12.049036182940522</c:v>
                </c:pt>
                <c:pt idx="100">
                  <c:v>12.12369940942758</c:v>
                </c:pt>
                <c:pt idx="101">
                  <c:v>12.197905631808249</c:v>
                </c:pt>
                <c:pt idx="102">
                  <c:v>12.271663140538211</c:v>
                </c:pt>
                <c:pt idx="103">
                  <c:v>12.344979978403725</c:v>
                </c:pt>
                <c:pt idx="104">
                  <c:v>12.417863950757939</c:v>
                </c:pt>
                <c:pt idx="105">
                  <c:v>12.49032263521957</c:v>
                </c:pt>
                <c:pt idx="106">
                  <c:v>12.562363390868098</c:v>
                </c:pt>
                <c:pt idx="107">
                  <c:v>12.633993366967061</c:v>
                </c:pt>
                <c:pt idx="108">
                  <c:v>12.705219511244678</c:v>
                </c:pt>
                <c:pt idx="109">
                  <c:v>12.776048577758978</c:v>
                </c:pt>
                <c:pt idx="110">
                  <c:v>12.846487134372644</c:v>
                </c:pt>
                <c:pt idx="111">
                  <c:v>12.916541569860977</c:v>
                </c:pt>
                <c:pt idx="112">
                  <c:v>12.986218100674705</c:v>
                </c:pt>
                <c:pt idx="113">
                  <c:v>13.055522777378014</c:v>
                </c:pt>
                <c:pt idx="114">
                  <c:v>13.12446149078052</c:v>
                </c:pt>
                <c:pt idx="115">
                  <c:v>13.193039977780918</c:v>
                </c:pt>
                <c:pt idx="116">
                  <c:v>13.261263826938603</c:v>
                </c:pt>
                <c:pt idx="117">
                  <c:v>13.329138483788627</c:v>
                </c:pt>
                <c:pt idx="118">
                  <c:v>13.396669255914315</c:v>
                </c:pt>
                <c:pt idx="119">
                  <c:v>13.463861317790839</c:v>
                </c:pt>
                <c:pt idx="120">
                  <c:v>13.530719715412378</c:v>
                </c:pt>
                <c:pt idx="121">
                  <c:v>13.597249370714428</c:v>
                </c:pt>
                <c:pt idx="122">
                  <c:v>13.66345508580237</c:v>
                </c:pt>
                <c:pt idx="123">
                  <c:v>13.729341546996469</c:v>
                </c:pt>
                <c:pt idx="124">
                  <c:v>13.794913328703014</c:v>
                </c:pt>
                <c:pt idx="125">
                  <c:v>13.860174897120629</c:v>
                </c:pt>
                <c:pt idx="126">
                  <c:v>13.925130613790222</c:v>
                </c:pt>
                <c:pt idx="127">
                  <c:v>13.989784738996605</c:v>
                </c:pt>
                <c:pt idx="128">
                  <c:v>14.054141435029289</c:v>
                </c:pt>
                <c:pt idx="129">
                  <c:v>14.118204769309438</c:v>
                </c:pt>
                <c:pt idx="130">
                  <c:v>14.181978717389773</c:v>
                </c:pt>
                <c:pt idx="131">
                  <c:v>14.24546716583353</c:v>
                </c:pt>
                <c:pt idx="132">
                  <c:v>14.308673914978494</c:v>
                </c:pt>
                <c:pt idx="133">
                  <c:v>14.371602681591595</c:v>
                </c:pt>
                <c:pt idx="134">
                  <c:v>14.434257101419364</c:v>
                </c:pt>
                <c:pt idx="135">
                  <c:v>14.496640731639181</c:v>
                </c:pt>
                <c:pt idx="136">
                  <c:v>14.558757053215938</c:v>
                </c:pt>
                <c:pt idx="137">
                  <c:v>14.620609473168674</c:v>
                </c:pt>
                <c:pt idx="138">
                  <c:v>14.682201326751187</c:v>
                </c:pt>
                <c:pt idx="139">
                  <c:v>14.743535879550706</c:v>
                </c:pt>
                <c:pt idx="140">
                  <c:v>14.804616329508299</c:v>
                </c:pt>
                <c:pt idx="141">
                  <c:v>14.865445808864546</c:v>
                </c:pt>
                <c:pt idx="142">
                  <c:v>14.926027386033876</c:v>
                </c:pt>
                <c:pt idx="143">
                  <c:v>14.98636406741068</c:v>
                </c:pt>
                <c:pt idx="144">
                  <c:v>15.046458799110264</c:v>
                </c:pt>
                <c:pt idx="145">
                  <c:v>15.106314468647453</c:v>
                </c:pt>
                <c:pt idx="146">
                  <c:v>15.165933906555578</c:v>
                </c:pt>
                <c:pt idx="147">
                  <c:v>15.225319887948393</c:v>
                </c:pt>
                <c:pt idx="148">
                  <c:v>15.284475134027391</c:v>
                </c:pt>
                <c:pt idx="149">
                  <c:v>15.343402313536796</c:v>
                </c:pt>
                <c:pt idx="150">
                  <c:v>15.402104044168482</c:v>
                </c:pt>
                <c:pt idx="151">
                  <c:v>15.460582893918838</c:v>
                </c:pt>
                <c:pt idx="152">
                  <c:v>15.518841382399671</c:v>
                </c:pt>
                <c:pt idx="153">
                  <c:v>15.576881982104931</c:v>
                </c:pt>
                <c:pt idx="154">
                  <c:v>15.63470711963515</c:v>
                </c:pt>
                <c:pt idx="155">
                  <c:v>15.692319176881238</c:v>
                </c:pt>
                <c:pt idx="156">
                  <c:v>15.775667313408515</c:v>
                </c:pt>
                <c:pt idx="157">
                  <c:v>15.832954404797258</c:v>
                </c:pt>
                <c:pt idx="158">
                  <c:v>15.890034964890159</c:v>
                </c:pt>
                <c:pt idx="159">
                  <c:v>15.946911211468969</c:v>
                </c:pt>
                <c:pt idx="160">
                  <c:v>16.003585322905543</c:v>
                </c:pt>
                <c:pt idx="161">
                  <c:v>16.060059439135358</c:v>
                </c:pt>
                <c:pt idx="162">
                  <c:v>16.116335662600342</c:v>
                </c:pt>
                <c:pt idx="163">
                  <c:v>16.172416059162174</c:v>
                </c:pt>
                <c:pt idx="164">
                  <c:v>16.228302658987158</c:v>
                </c:pt>
                <c:pt idx="165">
                  <c:v>16.283997457403775</c:v>
                </c:pt>
                <c:pt idx="166">
                  <c:v>16.33950241573395</c:v>
                </c:pt>
                <c:pt idx="167">
                  <c:v>16.394819462098951</c:v>
                </c:pt>
                <c:pt idx="168">
                  <c:v>16.449950492200927</c:v>
                </c:pt>
                <c:pt idx="169">
                  <c:v>16.504897370080933</c:v>
                </c:pt>
                <c:pt idx="170">
                  <c:v>16.559661928854325</c:v>
                </c:pt>
                <c:pt idx="171">
                  <c:v>16.614245971424353</c:v>
                </c:pt>
                <c:pt idx="172">
                  <c:v>16.668651271174681</c:v>
                </c:pt>
                <c:pt idx="173">
                  <c:v>16.722879572641681</c:v>
                </c:pt>
                <c:pt idx="174">
                  <c:v>16.776932592167118</c:v>
                </c:pt>
                <c:pt idx="175">
                  <c:v>16.830812018532033</c:v>
                </c:pt>
                <c:pt idx="176">
                  <c:v>16.884519513572343</c:v>
                </c:pt>
                <c:pt idx="177">
                  <c:v>16.938056712776948</c:v>
                </c:pt>
                <c:pt idx="178">
                  <c:v>16.991425225868817</c:v>
                </c:pt>
                <c:pt idx="179">
                  <c:v>17.044626637369745</c:v>
                </c:pt>
                <c:pt idx="180">
                  <c:v>17.097662507149249</c:v>
                </c:pt>
                <c:pt idx="181">
                  <c:v>17.150534370958244</c:v>
                </c:pt>
                <c:pt idx="182">
                  <c:v>17.203243740947901</c:v>
                </c:pt>
                <c:pt idx="183">
                  <c:v>17.255792106174265</c:v>
                </c:pt>
                <c:pt idx="184">
                  <c:v>17.308180933089098</c:v>
                </c:pt>
                <c:pt idx="185">
                  <c:v>17.36041166601737</c:v>
                </c:pt>
                <c:pt idx="186">
                  <c:v>17.41248572762186</c:v>
                </c:pt>
                <c:pt idx="187">
                  <c:v>17.464404519355305</c:v>
                </c:pt>
                <c:pt idx="188">
                  <c:v>17.516169421900464</c:v>
                </c:pt>
                <c:pt idx="189">
                  <c:v>17.567781795598549</c:v>
                </c:pt>
                <c:pt idx="190">
                  <c:v>17.619242980866311</c:v>
                </c:pt>
                <c:pt idx="191">
                  <c:v>17.67055429860223</c:v>
                </c:pt>
                <c:pt idx="192">
                  <c:v>17.721717050582114</c:v>
                </c:pt>
                <c:pt idx="193">
                  <c:v>17.772732519844432</c:v>
                </c:pt>
                <c:pt idx="194">
                  <c:v>17.823601971065745</c:v>
                </c:pt>
                <c:pt idx="195">
                  <c:v>17.874326650926509</c:v>
                </c:pt>
                <c:pt idx="196">
                  <c:v>17.924907788467554</c:v>
                </c:pt>
                <c:pt idx="197">
                  <c:v>17.975346595437529</c:v>
                </c:pt>
                <c:pt idx="198">
                  <c:v>18.025644266631655</c:v>
                </c:pt>
                <c:pt idx="199">
                  <c:v>18.07580198022189</c:v>
                </c:pt>
                <c:pt idx="200">
                  <c:v>18.125820898078977</c:v>
                </c:pt>
                <c:pt idx="201">
                  <c:v>18.175702166086445</c:v>
                </c:pt>
                <c:pt idx="202">
                  <c:v>18.225446914446913</c:v>
                </c:pt>
                <c:pt idx="203">
                  <c:v>18.275056257980864</c:v>
                </c:pt>
                <c:pt idx="204">
                  <c:v>18.324531296418154</c:v>
                </c:pt>
                <c:pt idx="205">
                  <c:v>18.373873114682471</c:v>
                </c:pt>
                <c:pt idx="206">
                  <c:v>18.423082783168901</c:v>
                </c:pt>
                <c:pt idx="207">
                  <c:v>18.472161358014858</c:v>
                </c:pt>
                <c:pt idx="208">
                  <c:v>18.52110988136457</c:v>
                </c:pt>
                <c:pt idx="209">
                  <c:v>18.569929381627261</c:v>
                </c:pt>
                <c:pt idx="210">
                  <c:v>18.618620873729245</c:v>
                </c:pt>
                <c:pt idx="211">
                  <c:v>18.667185359360133</c:v>
                </c:pt>
                <c:pt idx="212">
                  <c:v>18.715623827213246</c:v>
                </c:pt>
                <c:pt idx="213">
                  <c:v>18.763937253220472</c:v>
                </c:pt>
                <c:pt idx="214">
                  <c:v>18.812126600781692</c:v>
                </c:pt>
                <c:pt idx="215">
                  <c:v>18.860192820988896</c:v>
                </c:pt>
                <c:pt idx="216">
                  <c:v>18.908136852845235</c:v>
                </c:pt>
                <c:pt idx="217">
                  <c:v>18.955959623479028</c:v>
                </c:pt>
                <c:pt idx="218">
                  <c:v>19.003662048352947</c:v>
                </c:pt>
                <c:pt idx="219">
                  <c:v>19.051245031468497</c:v>
                </c:pt>
                <c:pt idx="220">
                  <c:v>19.098709465565886</c:v>
                </c:pt>
                <c:pt idx="221">
                  <c:v>19.146056232319459</c:v>
                </c:pt>
                <c:pt idx="222">
                  <c:v>19.193286202528785</c:v>
                </c:pt>
                <c:pt idx="223">
                  <c:v>19.240400236305504</c:v>
                </c:pt>
                <c:pt idx="224">
                  <c:v>19.287399183256095</c:v>
                </c:pt>
                <c:pt idx="225">
                  <c:v>19.334283882660635</c:v>
                </c:pt>
                <c:pt idx="226">
                  <c:v>19.381055163647662</c:v>
                </c:pt>
                <c:pt idx="227">
                  <c:v>19.427713845365254</c:v>
                </c:pt>
                <c:pt idx="228">
                  <c:v>19.474260737148398</c:v>
                </c:pt>
                <c:pt idx="229">
                  <c:v>19.520696638682818</c:v>
                </c:pt>
                <c:pt idx="230">
                  <c:v>19.567022340165238</c:v>
                </c:pt>
                <c:pt idx="231">
                  <c:v>19.613238622460308</c:v>
                </c:pt>
                <c:pt idx="232">
                  <c:v>19.659346257254121</c:v>
                </c:pt>
                <c:pt idx="233">
                  <c:v>19.705346007204607</c:v>
                </c:pt>
                <c:pt idx="234">
                  <c:v>19.751238626088682</c:v>
                </c:pt>
                <c:pt idx="235">
                  <c:v>19.797024858946372</c:v>
                </c:pt>
                <c:pt idx="236">
                  <c:v>19.84270544222192</c:v>
                </c:pt>
                <c:pt idx="237">
                  <c:v>20.025531103902033</c:v>
                </c:pt>
                <c:pt idx="238">
                  <c:v>20.321954186522582</c:v>
                </c:pt>
                <c:pt idx="239">
                  <c:v>20.692292452960693</c:v>
                </c:pt>
                <c:pt idx="240">
                  <c:v>21.122385715196245</c:v>
                </c:pt>
                <c:pt idx="241">
                  <c:v>21.604050455449183</c:v>
                </c:pt>
                <c:pt idx="242">
                  <c:v>22.131765295882058</c:v>
                </c:pt>
                <c:pt idx="243">
                  <c:v>22.701477027721246</c:v>
                </c:pt>
                <c:pt idx="244">
                  <c:v>23.310045350031949</c:v>
                </c:pt>
                <c:pt idx="245">
                  <c:v>23.954943892008913</c:v>
                </c:pt>
                <c:pt idx="246">
                  <c:v>24.634082776682884</c:v>
                </c:pt>
                <c:pt idx="247">
                  <c:v>25.345695682998553</c:v>
                </c:pt>
                <c:pt idx="248">
                  <c:v>26.088264048423817</c:v>
                </c:pt>
                <c:pt idx="249">
                  <c:v>26.860464035253568</c:v>
                </c:pt>
                <c:pt idx="250">
                  <c:v>27.661128155002817</c:v>
                </c:pt>
                <c:pt idx="251">
                  <c:v>28.489216717846155</c:v>
                </c:pt>
                <c:pt idx="252">
                  <c:v>29.343796090512949</c:v>
                </c:pt>
                <c:pt idx="253">
                  <c:v>30.224021806644814</c:v>
                </c:pt>
                <c:pt idx="254">
                  <c:v>31.129125219699176</c:v>
                </c:pt>
                <c:pt idx="255">
                  <c:v>32.058402796483072</c:v>
                </c:pt>
                <c:pt idx="256">
                  <c:v>33.011207415184309</c:v>
                </c:pt>
                <c:pt idx="257">
                  <c:v>33.98694120964312</c:v>
                </c:pt>
                <c:pt idx="258">
                  <c:v>34.985049623523182</c:v>
                </c:pt>
                <c:pt idx="259">
                  <c:v>36.005016423372723</c:v>
                </c:pt>
                <c:pt idx="260">
                  <c:v>37.046359480435768</c:v>
                </c:pt>
                <c:pt idx="261">
                  <c:v>38.108627175224242</c:v>
                </c:pt>
                <c:pt idx="262">
                  <c:v>39.191395311387858</c:v>
                </c:pt>
                <c:pt idx="263">
                  <c:v>40.294264449706951</c:v>
                </c:pt>
                <c:pt idx="264">
                  <c:v>41.416857591410093</c:v>
                </c:pt>
                <c:pt idx="265">
                  <c:v>42.558818154075368</c:v>
                </c:pt>
                <c:pt idx="266">
                  <c:v>43.719808194251542</c:v>
                </c:pt>
                <c:pt idx="267">
                  <c:v>44.899506839425811</c:v>
                </c:pt>
                <c:pt idx="268">
                  <c:v>46.097608898663381</c:v>
                </c:pt>
                <c:pt idx="269">
                  <c:v>47.313823626562254</c:v>
                </c:pt>
                <c:pt idx="270">
                  <c:v>48.54787361943422</c:v>
                </c:pt>
                <c:pt idx="271">
                  <c:v>49.799493826061038</c:v>
                </c:pt>
                <c:pt idx="272">
                  <c:v>51.068430658175316</c:v>
                </c:pt>
                <c:pt idx="273">
                  <c:v>52.354441188099244</c:v>
                </c:pt>
                <c:pt idx="274">
                  <c:v>53.657292422860266</c:v>
                </c:pt>
                <c:pt idx="275">
                  <c:v>54.976760645659198</c:v>
                </c:pt>
                <c:pt idx="276">
                  <c:v>56.312630816861869</c:v>
                </c:pt>
                <c:pt idx="277">
                  <c:v>57.664696027771711</c:v>
                </c:pt>
                <c:pt idx="278">
                  <c:v>59.032757001349069</c:v>
                </c:pt>
                <c:pt idx="279">
                  <c:v>60.416621634814845</c:v>
                </c:pt>
                <c:pt idx="280">
                  <c:v>61.816104579725156</c:v>
                </c:pt>
                <c:pt idx="281">
                  <c:v>63.231026855661682</c:v>
                </c:pt>
                <c:pt idx="282">
                  <c:v>64.66121549415395</c:v>
                </c:pt>
                <c:pt idx="283">
                  <c:v>66.10650320985944</c:v>
                </c:pt>
                <c:pt idx="284">
                  <c:v>67.566728096374788</c:v>
                </c:pt>
                <c:pt idx="285">
                  <c:v>69.04173334435724</c:v>
                </c:pt>
                <c:pt idx="286">
                  <c:v>70.531366979893775</c:v>
                </c:pt>
                <c:pt idx="287">
                  <c:v>72.03548162128773</c:v>
                </c:pt>
                <c:pt idx="288">
                  <c:v>73.553934252627016</c:v>
                </c:pt>
                <c:pt idx="289">
                  <c:v>75.086586012675582</c:v>
                </c:pt>
                <c:pt idx="290">
                  <c:v>76.633301997778702</c:v>
                </c:pt>
                <c:pt idx="291">
                  <c:v>78.193951077610279</c:v>
                </c:pt>
                <c:pt idx="292">
                  <c:v>79.768405722703775</c:v>
                </c:pt>
                <c:pt idx="293">
                  <c:v>81.356541842817762</c:v>
                </c:pt>
                <c:pt idx="294">
                  <c:v>82.958238635274157</c:v>
                </c:pt>
                <c:pt idx="295">
                  <c:v>84.573378442493976</c:v>
                </c:pt>
                <c:pt idx="296">
                  <c:v>86.201846618023623</c:v>
                </c:pt>
                <c:pt idx="297">
                  <c:v>87.84353140041425</c:v>
                </c:pt>
                <c:pt idx="298">
                  <c:v>89.498323794370364</c:v>
                </c:pt>
                <c:pt idx="299">
                  <c:v>91.166117458638411</c:v>
                </c:pt>
                <c:pt idx="300">
                  <c:v>92.846808600152855</c:v>
                </c:pt>
                <c:pt idx="301">
                  <c:v>94.540295873995404</c:v>
                </c:pt>
                <c:pt idx="302">
                  <c:v>96.246480288766378</c:v>
                </c:pt>
                <c:pt idx="303">
                  <c:v>97.965265116994644</c:v>
                </c:pt>
                <c:pt idx="304">
                  <c:v>99.696555810248711</c:v>
                </c:pt>
                <c:pt idx="305">
                  <c:v>101.44025991863481</c:v>
                </c:pt>
                <c:pt idx="306">
                  <c:v>103.19628701439629</c:v>
                </c:pt>
                <c:pt idx="307">
                  <c:v>104.96454861934821</c:v>
                </c:pt>
                <c:pt idx="308">
                  <c:v>106.74495813590427</c:v>
                </c:pt>
                <c:pt idx="309">
                  <c:v>108.5374307814694</c:v>
                </c:pt>
                <c:pt idx="310">
                  <c:v>110.34188352599196</c:v>
                </c:pt>
                <c:pt idx="311">
                  <c:v>112.1582350324795</c:v>
                </c:pt>
                <c:pt idx="312">
                  <c:v>113.98640560030286</c:v>
                </c:pt>
                <c:pt idx="313">
                  <c:v>115.82631711112046</c:v>
                </c:pt>
                <c:pt idx="314">
                  <c:v>117.67789297727069</c:v>
                </c:pt>
                <c:pt idx="315">
                  <c:v>119.54105809248853</c:v>
                </c:pt>
                <c:pt idx="316">
                  <c:v>121.41573878481407</c:v>
                </c:pt>
                <c:pt idx="317">
                  <c:v>123.30186277156879</c:v>
                </c:pt>
                <c:pt idx="318">
                  <c:v>125.19935911628494</c:v>
                </c:pt>
                <c:pt idx="319">
                  <c:v>127.10815818747973</c:v>
                </c:pt>
                <c:pt idx="320">
                  <c:v>129.02819161917461</c:v>
                </c:pt>
                <c:pt idx="321">
                  <c:v>130.95939227306542</c:v>
                </c:pt>
                <c:pt idx="322">
                  <c:v>132.90169420225592</c:v>
                </c:pt>
                <c:pt idx="323">
                  <c:v>134.85503261647284</c:v>
                </c:pt>
                <c:pt idx="324">
                  <c:v>136.8193438486845</c:v>
                </c:pt>
                <c:pt idx="325">
                  <c:v>138.79456532305312</c:v>
                </c:pt>
                <c:pt idx="326">
                  <c:v>140.78063552415028</c:v>
                </c:pt>
                <c:pt idx="327">
                  <c:v>142.77749396737553</c:v>
                </c:pt>
                <c:pt idx="328">
                  <c:v>144.78508117051484</c:v>
                </c:pt>
                <c:pt idx="329">
                  <c:v>146.80333862638659</c:v>
                </c:pt>
                <c:pt idx="330">
                  <c:v>148.83220877651888</c:v>
                </c:pt>
                <c:pt idx="331">
                  <c:v>150.87163498581202</c:v>
                </c:pt>
                <c:pt idx="332">
                  <c:v>152.92156151813569</c:v>
                </c:pt>
                <c:pt idx="333">
                  <c:v>154.98193351282106</c:v>
                </c:pt>
                <c:pt idx="334">
                  <c:v>157.05269696200165</c:v>
                </c:pt>
                <c:pt idx="335">
                  <c:v>159.13379868876828</c:v>
                </c:pt>
                <c:pt idx="336">
                  <c:v>161.22518632609729</c:v>
                </c:pt>
                <c:pt idx="337">
                  <c:v>163.3268082965198</c:v>
                </c:pt>
                <c:pt idx="338">
                  <c:v>165.43861379249697</c:v>
                </c:pt>
                <c:pt idx="339">
                  <c:v>167.56055275747167</c:v>
                </c:pt>
                <c:pt idx="340">
                  <c:v>169.69257586756558</c:v>
                </c:pt>
                <c:pt idx="341">
                  <c:v>171.83463451389457</c:v>
                </c:pt>
                <c:pt idx="342">
                  <c:v>173.98668078547493</c:v>
                </c:pt>
                <c:pt idx="343">
                  <c:v>176.14866745269705</c:v>
                </c:pt>
                <c:pt idx="344">
                  <c:v>178.32054795133976</c:v>
                </c:pt>
                <c:pt idx="345">
                  <c:v>180.50227636710622</c:v>
                </c:pt>
                <c:pt idx="346">
                  <c:v>182.69380742065607</c:v>
                </c:pt>
                <c:pt idx="347">
                  <c:v>184.89509645311699</c:v>
                </c:pt>
                <c:pt idx="348">
                  <c:v>187.10609941205385</c:v>
                </c:pt>
                <c:pt idx="349">
                  <c:v>189.32677283787683</c:v>
                </c:pt>
                <c:pt idx="350">
                  <c:v>191.55707385067424</c:v>
                </c:pt>
                <c:pt idx="351">
                  <c:v>193.79696013744802</c:v>
                </c:pt>
                <c:pt idx="352">
                  <c:v>196.04638993974126</c:v>
                </c:pt>
                <c:pt idx="353">
                  <c:v>198.30532204163868</c:v>
                </c:pt>
                <c:pt idx="354">
                  <c:v>200.57371575812809</c:v>
                </c:pt>
                <c:pt idx="355">
                  <c:v>202.85153092380762</c:v>
                </c:pt>
                <c:pt idx="356">
                  <c:v>205.13872788192674</c:v>
                </c:pt>
                <c:pt idx="357">
                  <c:v>207.43526747374682</c:v>
                </c:pt>
                <c:pt idx="358">
                  <c:v>209.74111102821175</c:v>
                </c:pt>
                <c:pt idx="359">
                  <c:v>212.05622035191456</c:v>
                </c:pt>
                <c:pt idx="360">
                  <c:v>214.3805577193516</c:v>
                </c:pt>
                <c:pt idx="361">
                  <c:v>216.71408586345146</c:v>
                </c:pt>
                <c:pt idx="362">
                  <c:v>219.05676796637101</c:v>
                </c:pt>
                <c:pt idx="363">
                  <c:v>221.40856765054673</c:v>
                </c:pt>
                <c:pt idx="364">
                  <c:v>223.76944896999512</c:v>
                </c:pt>
                <c:pt idx="365">
                  <c:v>226.13937640184912</c:v>
                </c:pt>
                <c:pt idx="366">
                  <c:v>228.51831483812808</c:v>
                </c:pt>
                <c:pt idx="367">
                  <c:v>230.90622957772666</c:v>
                </c:pt>
                <c:pt idx="368">
                  <c:v>233.3030863186215</c:v>
                </c:pt>
                <c:pt idx="369">
                  <c:v>235.70885115028256</c:v>
                </c:pt>
                <c:pt idx="370">
                  <c:v>238.12349054628706</c:v>
                </c:pt>
                <c:pt idx="371">
                  <c:v>240.54697135712416</c:v>
                </c:pt>
                <c:pt idx="372">
                  <c:v>242.97926080319033</c:v>
                </c:pt>
                <c:pt idx="373">
                  <c:v>245.42032646796196</c:v>
                </c:pt>
                <c:pt idx="374">
                  <c:v>247.87013629134537</c:v>
                </c:pt>
                <c:pt idx="375">
                  <c:v>250.32865856319489</c:v>
                </c:pt>
                <c:pt idx="376">
                  <c:v>252.79586191699491</c:v>
                </c:pt>
                <c:pt idx="377">
                  <c:v>255.2717153237005</c:v>
                </c:pt>
                <c:pt idx="378">
                  <c:v>257.75618808573091</c:v>
                </c:pt>
                <c:pt idx="379">
                  <c:v>260.24924983111225</c:v>
                </c:pt>
                <c:pt idx="380">
                  <c:v>262.75087050776301</c:v>
                </c:pt>
                <c:pt idx="381">
                  <c:v>265.26102037792049</c:v>
                </c:pt>
                <c:pt idx="382">
                  <c:v>267.77967001269985</c:v>
                </c:pt>
                <c:pt idx="383">
                  <c:v>270.30679028678651</c:v>
                </c:pt>
                <c:pt idx="384">
                  <c:v>272.84235237325277</c:v>
                </c:pt>
                <c:pt idx="385">
                  <c:v>275.38632773850003</c:v>
                </c:pt>
                <c:pt idx="386">
                  <c:v>277.93868813731774</c:v>
                </c:pt>
                <c:pt idx="387">
                  <c:v>280.49940560805976</c:v>
                </c:pt>
                <c:pt idx="388">
                  <c:v>283.06845246793154</c:v>
                </c:pt>
                <c:pt idx="389">
                  <c:v>285.64580130838726</c:v>
                </c:pt>
                <c:pt idx="390">
                  <c:v>288.23142499063158</c:v>
                </c:pt>
                <c:pt idx="391">
                  <c:v>290.82529664122507</c:v>
                </c:pt>
                <c:pt idx="392">
                  <c:v>293.42738964778772</c:v>
                </c:pt>
                <c:pt idx="393">
                  <c:v>296.03767765480075</c:v>
                </c:pt>
                <c:pt idx="394">
                  <c:v>298.65613455950052</c:v>
                </c:pt>
                <c:pt idx="395">
                  <c:v>301.28273450786554</c:v>
                </c:pt>
                <c:pt idx="396">
                  <c:v>303.91745189069042</c:v>
                </c:pt>
                <c:pt idx="397">
                  <c:v>306.56026133974683</c:v>
                </c:pt>
                <c:pt idx="398">
                  <c:v>309.21113772402856</c:v>
                </c:pt>
                <c:pt idx="399">
                  <c:v>311.87005614607671</c:v>
                </c:pt>
                <c:pt idx="400">
                  <c:v>314.53699193838452</c:v>
                </c:pt>
                <c:pt idx="401">
                  <c:v>317.21192065988032</c:v>
                </c:pt>
                <c:pt idx="402">
                  <c:v>319.8948180924836</c:v>
                </c:pt>
                <c:pt idx="403">
                  <c:v>322.58566023773471</c:v>
                </c:pt>
                <c:pt idx="404">
                  <c:v>325.28442331349476</c:v>
                </c:pt>
                <c:pt idx="405">
                  <c:v>327.99108375071648</c:v>
                </c:pt>
                <c:pt idx="406">
                  <c:v>330.70561819027944</c:v>
                </c:pt>
                <c:pt idx="407">
                  <c:v>333.42800347989242</c:v>
                </c:pt>
                <c:pt idx="408">
                  <c:v>336.15821667105791</c:v>
                </c:pt>
                <c:pt idx="409">
                  <c:v>338.89623501610117</c:v>
                </c:pt>
                <c:pt idx="410">
                  <c:v>341.64203596525635</c:v>
                </c:pt>
                <c:pt idx="411">
                  <c:v>344.39559716381382</c:v>
                </c:pt>
                <c:pt idx="412">
                  <c:v>347.15689644932291</c:v>
                </c:pt>
                <c:pt idx="413">
                  <c:v>349.92591184885208</c:v>
                </c:pt>
                <c:pt idx="414">
                  <c:v>352.70262157630299</c:v>
                </c:pt>
                <c:pt idx="415">
                  <c:v>355.48700402977636</c:v>
                </c:pt>
                <c:pt idx="416">
                  <c:v>358.27903778899008</c:v>
                </c:pt>
                <c:pt idx="417">
                  <c:v>361.07870161274991</c:v>
                </c:pt>
                <c:pt idx="418">
                  <c:v>363.88597443646478</c:v>
                </c:pt>
                <c:pt idx="419">
                  <c:v>366.70083536971447</c:v>
                </c:pt>
                <c:pt idx="420">
                  <c:v>369.52326369386077</c:v>
                </c:pt>
                <c:pt idx="421">
                  <c:v>372.35323885970564</c:v>
                </c:pt>
                <c:pt idx="422">
                  <c:v>375.19074048519411</c:v>
                </c:pt>
                <c:pt idx="423">
                  <c:v>378.03574835315987</c:v>
                </c:pt>
                <c:pt idx="424">
                  <c:v>380.88824240911265</c:v>
                </c:pt>
                <c:pt idx="425">
                  <c:v>383.74820275906791</c:v>
                </c:pt>
                <c:pt idx="426">
                  <c:v>386.61560966741689</c:v>
                </c:pt>
                <c:pt idx="427">
                  <c:v>389.49044355483522</c:v>
                </c:pt>
                <c:pt idx="428">
                  <c:v>392.37268499623065</c:v>
                </c:pt>
                <c:pt idx="429">
                  <c:v>395.26231471872723</c:v>
                </c:pt>
                <c:pt idx="430">
                  <c:v>398.15931359968801</c:v>
                </c:pt>
                <c:pt idx="431">
                  <c:v>401.06366266477181</c:v>
                </c:pt>
                <c:pt idx="432">
                  <c:v>403.97534308602576</c:v>
                </c:pt>
                <c:pt idx="433">
                  <c:v>406.89433618001152</c:v>
                </c:pt>
                <c:pt idx="434">
                  <c:v>409.82062340596542</c:v>
                </c:pt>
                <c:pt idx="435">
                  <c:v>412.75418636399155</c:v>
                </c:pt>
                <c:pt idx="436">
                  <c:v>415.69500679328547</c:v>
                </c:pt>
                <c:pt idx="437">
                  <c:v>418.64306657038924</c:v>
                </c:pt>
                <c:pt idx="438">
                  <c:v>421.59834770747898</c:v>
                </c:pt>
                <c:pt idx="439">
                  <c:v>424.56083235067968</c:v>
                </c:pt>
                <c:pt idx="440">
                  <c:v>427.53050277841078</c:v>
                </c:pt>
                <c:pt idx="441">
                  <c:v>430.50734139975793</c:v>
                </c:pt>
                <c:pt idx="442">
                  <c:v>433.49133075287671</c:v>
                </c:pt>
                <c:pt idx="443">
                  <c:v>436.48245350341932</c:v>
                </c:pt>
                <c:pt idx="444">
                  <c:v>439.48069244299097</c:v>
                </c:pt>
                <c:pt idx="445">
                  <c:v>442.48603048762914</c:v>
                </c:pt>
                <c:pt idx="446">
                  <c:v>445.49845067631298</c:v>
                </c:pt>
                <c:pt idx="447">
                  <c:v>448.51793616949311</c:v>
                </c:pt>
                <c:pt idx="448">
                  <c:v>451.54447024764818</c:v>
                </c:pt>
                <c:pt idx="449">
                  <c:v>454.57803630986558</c:v>
                </c:pt>
                <c:pt idx="450">
                  <c:v>457.61861787244311</c:v>
                </c:pt>
                <c:pt idx="451">
                  <c:v>460.66619856751748</c:v>
                </c:pt>
                <c:pt idx="452">
                  <c:v>463.72076214171182</c:v>
                </c:pt>
                <c:pt idx="453">
                  <c:v>466.78229245480662</c:v>
                </c:pt>
                <c:pt idx="454">
                  <c:v>469.85077347843134</c:v>
                </c:pt>
                <c:pt idx="455">
                  <c:v>472.92618929477891</c:v>
                </c:pt>
                <c:pt idx="456">
                  <c:v>476.00852409533894</c:v>
                </c:pt>
                <c:pt idx="457">
                  <c:v>479.09776217965157</c:v>
                </c:pt>
                <c:pt idx="458">
                  <c:v>482.19388795408156</c:v>
                </c:pt>
                <c:pt idx="459">
                  <c:v>485.29688593061172</c:v>
                </c:pt>
                <c:pt idx="460">
                  <c:v>488.40674072565508</c:v>
                </c:pt>
                <c:pt idx="461">
                  <c:v>491.5234370588858</c:v>
                </c:pt>
                <c:pt idx="462">
                  <c:v>494.6469597520877</c:v>
                </c:pt>
                <c:pt idx="463">
                  <c:v>497.77729372802207</c:v>
                </c:pt>
                <c:pt idx="464">
                  <c:v>500.9144240093118</c:v>
                </c:pt>
                <c:pt idx="465">
                  <c:v>504.05833571734331</c:v>
                </c:pt>
                <c:pt idx="466">
                  <c:v>507.20901407118356</c:v>
                </c:pt>
                <c:pt idx="467">
                  <c:v>510.36644438651757</c:v>
                </c:pt>
                <c:pt idx="468">
                  <c:v>513.53061207459791</c:v>
                </c:pt>
                <c:pt idx="469">
                  <c:v>516.70150264121196</c:v>
                </c:pt>
                <c:pt idx="470">
                  <c:v>519.87910168566475</c:v>
                </c:pt>
                <c:pt idx="471">
                  <c:v>523.06339489977665</c:v>
                </c:pt>
                <c:pt idx="472">
                  <c:v>526.25436806689663</c:v>
                </c:pt>
                <c:pt idx="473">
                  <c:v>529.45200706092908</c:v>
                </c:pt>
                <c:pt idx="474">
                  <c:v>532.65629784537668</c:v>
                </c:pt>
                <c:pt idx="475">
                  <c:v>535.8672264723948</c:v>
                </c:pt>
                <c:pt idx="476">
                  <c:v>539.08477908186376</c:v>
                </c:pt>
                <c:pt idx="477">
                  <c:v>542.30894190047013</c:v>
                </c:pt>
                <c:pt idx="478">
                  <c:v>545.53970124080524</c:v>
                </c:pt>
                <c:pt idx="479">
                  <c:v>548.77704350047372</c:v>
                </c:pt>
                <c:pt idx="480">
                  <c:v>552.02095516121699</c:v>
                </c:pt>
                <c:pt idx="481">
                  <c:v>555.27142278804899</c:v>
                </c:pt>
                <c:pt idx="482">
                  <c:v>558.52843302840438</c:v>
                </c:pt>
                <c:pt idx="483">
                  <c:v>561.79197261129616</c:v>
                </c:pt>
                <c:pt idx="484">
                  <c:v>565.06202834649071</c:v>
                </c:pt>
                <c:pt idx="485">
                  <c:v>568.33858712368885</c:v>
                </c:pt>
                <c:pt idx="486">
                  <c:v>571.62163591172316</c:v>
                </c:pt>
                <c:pt idx="487">
                  <c:v>574.91116175776199</c:v>
                </c:pt>
                <c:pt idx="488">
                  <c:v>578.20715178652927</c:v>
                </c:pt>
                <c:pt idx="489">
                  <c:v>581.50959319953131</c:v>
                </c:pt>
                <c:pt idx="490">
                  <c:v>584.8184732742975</c:v>
                </c:pt>
                <c:pt idx="491">
                  <c:v>588.1337793636277</c:v>
                </c:pt>
                <c:pt idx="492">
                  <c:v>591.45549889485449</c:v>
                </c:pt>
                <c:pt idx="493">
                  <c:v>594.78361936911188</c:v>
                </c:pt>
                <c:pt idx="494">
                  <c:v>598.11812836061597</c:v>
                </c:pt>
                <c:pt idx="495">
                  <c:v>601.45901351595398</c:v>
                </c:pt>
                <c:pt idx="496">
                  <c:v>604.80626255338541</c:v>
                </c:pt>
                <c:pt idx="497">
                  <c:v>608.15986326214966</c:v>
                </c:pt>
                <c:pt idx="498">
                  <c:v>611.51980350178394</c:v>
                </c:pt>
                <c:pt idx="499">
                  <c:v>614.88607120145252</c:v>
                </c:pt>
                <c:pt idx="500">
                  <c:v>618.25865435928051</c:v>
                </c:pt>
                <c:pt idx="501">
                  <c:v>621.63754104170096</c:v>
                </c:pt>
                <c:pt idx="502">
                  <c:v>625.02271938280842</c:v>
                </c:pt>
                <c:pt idx="503">
                  <c:v>628.41417758372086</c:v>
                </c:pt>
                <c:pt idx="504">
                  <c:v>631.81190391194946</c:v>
                </c:pt>
                <c:pt idx="505">
                  <c:v>635.21588670077995</c:v>
                </c:pt>
                <c:pt idx="506">
                  <c:v>638.62611434865801</c:v>
                </c:pt>
                <c:pt idx="507">
                  <c:v>642.04257531858514</c:v>
                </c:pt>
                <c:pt idx="508">
                  <c:v>645.46525813751987</c:v>
                </c:pt>
                <c:pt idx="509">
                  <c:v>648.89415139579069</c:v>
                </c:pt>
                <c:pt idx="510">
                  <c:v>652.32924374651304</c:v>
                </c:pt>
                <c:pt idx="511">
                  <c:v>655.7705239050149</c:v>
                </c:pt>
                <c:pt idx="512">
                  <c:v>659.21798064826942</c:v>
                </c:pt>
                <c:pt idx="513">
                  <c:v>662.67160281433587</c:v>
                </c:pt>
                <c:pt idx="514">
                  <c:v>666.13137930180665</c:v>
                </c:pt>
                <c:pt idx="515">
                  <c:v>669.59729906926168</c:v>
                </c:pt>
                <c:pt idx="516">
                  <c:v>673.06935113472809</c:v>
                </c:pt>
                <c:pt idx="517">
                  <c:v>676.54752457515031</c:v>
                </c:pt>
                <c:pt idx="518">
                  <c:v>680.03180852586286</c:v>
                </c:pt>
                <c:pt idx="519">
                  <c:v>683.52219218007247</c:v>
                </c:pt>
                <c:pt idx="520">
                  <c:v>687.01866478834393</c:v>
                </c:pt>
                <c:pt idx="521">
                  <c:v>690.52121565809614</c:v>
                </c:pt>
                <c:pt idx="522">
                  <c:v>694.02983415310041</c:v>
                </c:pt>
                <c:pt idx="523">
                  <c:v>697.54450969298762</c:v>
                </c:pt>
                <c:pt idx="524">
                  <c:v>701.06523175275993</c:v>
                </c:pt>
                <c:pt idx="525">
                  <c:v>704.59198986230786</c:v>
                </c:pt>
                <c:pt idx="526">
                  <c:v>708.12477360593698</c:v>
                </c:pt>
                <c:pt idx="527">
                  <c:v>711.66357262189513</c:v>
                </c:pt>
                <c:pt idx="528">
                  <c:v>715.20837660190978</c:v>
                </c:pt>
                <c:pt idx="529">
                  <c:v>718.75917529072672</c:v>
                </c:pt>
                <c:pt idx="530">
                  <c:v>722.31595848565894</c:v>
                </c:pt>
                <c:pt idx="531">
                  <c:v>725.87871603613723</c:v>
                </c:pt>
                <c:pt idx="532">
                  <c:v>729.44743784326806</c:v>
                </c:pt>
                <c:pt idx="533">
                  <c:v>733.02211385939495</c:v>
                </c:pt>
                <c:pt idx="534">
                  <c:v>736.60273408766761</c:v>
                </c:pt>
                <c:pt idx="535">
                  <c:v>740.18928858161394</c:v>
                </c:pt>
                <c:pt idx="536">
                  <c:v>743.78176744471796</c:v>
                </c:pt>
                <c:pt idx="537">
                  <c:v>747.38016083000173</c:v>
                </c:pt>
                <c:pt idx="538">
                  <c:v>750.98445893961434</c:v>
                </c:pt>
                <c:pt idx="539">
                  <c:v>754.59465202442345</c:v>
                </c:pt>
                <c:pt idx="540">
                  <c:v>758.21073038361271</c:v>
                </c:pt>
                <c:pt idx="541">
                  <c:v>761.8326843642825</c:v>
                </c:pt>
                <c:pt idx="542">
                  <c:v>765.46050436105759</c:v>
                </c:pt>
                <c:pt idx="543">
                  <c:v>769.09418081569754</c:v>
                </c:pt>
                <c:pt idx="544">
                  <c:v>772.73370421671177</c:v>
                </c:pt>
                <c:pt idx="545">
                  <c:v>776.37906509897834</c:v>
                </c:pt>
                <c:pt idx="546">
                  <c:v>780.03025404337029</c:v>
                </c:pt>
                <c:pt idx="547">
                  <c:v>783.68726167638192</c:v>
                </c:pt>
                <c:pt idx="548">
                  <c:v>787.35007866976139</c:v>
                </c:pt>
                <c:pt idx="549">
                  <c:v>791.01869574014859</c:v>
                </c:pt>
                <c:pt idx="550">
                  <c:v>794.69310364871342</c:v>
                </c:pt>
                <c:pt idx="551">
                  <c:v>798.37329320080312</c:v>
                </c:pt>
                <c:pt idx="552">
                  <c:v>802.05925524558927</c:v>
                </c:pt>
                <c:pt idx="553">
                  <c:v>805.75098067572071</c:v>
                </c:pt>
                <c:pt idx="554">
                  <c:v>809.44846042697941</c:v>
                </c:pt>
                <c:pt idx="555">
                  <c:v>813.15168547794144</c:v>
                </c:pt>
                <c:pt idx="556">
                  <c:v>816.86064684964083</c:v>
                </c:pt>
                <c:pt idx="557">
                  <c:v>820.57533560523643</c:v>
                </c:pt>
                <c:pt idx="558">
                  <c:v>824.29574284968317</c:v>
                </c:pt>
                <c:pt idx="559">
                  <c:v>828.02185972940754</c:v>
                </c:pt>
                <c:pt idx="560">
                  <c:v>831.75367743198535</c:v>
                </c:pt>
                <c:pt idx="561">
                  <c:v>835.49118718582451</c:v>
                </c:pt>
                <c:pt idx="562">
                  <c:v>839.23438025984819</c:v>
                </c:pt>
                <c:pt idx="563">
                  <c:v>842.98324796318548</c:v>
                </c:pt>
                <c:pt idx="564">
                  <c:v>846.73778164486271</c:v>
                </c:pt>
                <c:pt idx="565">
                  <c:v>850.49797269349847</c:v>
                </c:pt>
                <c:pt idx="566">
                  <c:v>854.26381253700197</c:v>
                </c:pt>
                <c:pt idx="567">
                  <c:v>858.03529264227518</c:v>
                </c:pt>
                <c:pt idx="568">
                  <c:v>861.81240451491794</c:v>
                </c:pt>
                <c:pt idx="569">
                  <c:v>865.59513969893567</c:v>
                </c:pt>
                <c:pt idx="570">
                  <c:v>869.38348977644944</c:v>
                </c:pt>
                <c:pt idx="571">
                  <c:v>873.1774463674119</c:v>
                </c:pt>
                <c:pt idx="572">
                  <c:v>876.97700112932353</c:v>
                </c:pt>
                <c:pt idx="573">
                  <c:v>880.7821457569521</c:v>
                </c:pt>
                <c:pt idx="574">
                  <c:v>884.59287198205698</c:v>
                </c:pt>
                <c:pt idx="575">
                  <c:v>888.40917157311287</c:v>
                </c:pt>
                <c:pt idx="576">
                  <c:v>892.23103633504104</c:v>
                </c:pt>
                <c:pt idx="577">
                  <c:v>896.0584581089397</c:v>
                </c:pt>
                <c:pt idx="578">
                  <c:v>899.89142877181735</c:v>
                </c:pt>
                <c:pt idx="579">
                  <c:v>903.72994023633078</c:v>
                </c:pt>
                <c:pt idx="580">
                  <c:v>907.57398445052445</c:v>
                </c:pt>
                <c:pt idx="581">
                  <c:v>911.42355339757319</c:v>
                </c:pt>
                <c:pt idx="582">
                  <c:v>915.27863909552696</c:v>
                </c:pt>
                <c:pt idx="583">
                  <c:v>919.13923359705723</c:v>
                </c:pt>
                <c:pt idx="584">
                  <c:v>923.00532898920869</c:v>
                </c:pt>
                <c:pt idx="585">
                  <c:v>926.87691739315142</c:v>
                </c:pt>
                <c:pt idx="586">
                  <c:v>930.75399096393562</c:v>
                </c:pt>
                <c:pt idx="587">
                  <c:v>934.6365418902484</c:v>
                </c:pt>
                <c:pt idx="588">
                  <c:v>938.52456239417609</c:v>
                </c:pt>
                <c:pt idx="589">
                  <c:v>942.41804473096363</c:v>
                </c:pt>
                <c:pt idx="590">
                  <c:v>946.31698118878205</c:v>
                </c:pt>
                <c:pt idx="591">
                  <c:v>950.22136408849303</c:v>
                </c:pt>
                <c:pt idx="592">
                  <c:v>954.13118578342039</c:v>
                </c:pt>
                <c:pt idx="593">
                  <c:v>958.04643865912021</c:v>
                </c:pt>
                <c:pt idx="594">
                  <c:v>961.96711513315574</c:v>
                </c:pt>
                <c:pt idx="595">
                  <c:v>965.89320765487196</c:v>
                </c:pt>
                <c:pt idx="596">
                  <c:v>969.82470870517591</c:v>
                </c:pt>
                <c:pt idx="597">
                  <c:v>973.76161079631572</c:v>
                </c:pt>
                <c:pt idx="598">
                  <c:v>977.70390647166346</c:v>
                </c:pt>
                <c:pt idx="599">
                  <c:v>981.65158830550001</c:v>
                </c:pt>
                <c:pt idx="600">
                  <c:v>985.60464890280116</c:v>
                </c:pt>
                <c:pt idx="601">
                  <c:v>989.56308089902757</c:v>
                </c:pt>
                <c:pt idx="602">
                  <c:v>993.52687695991483</c:v>
                </c:pt>
                <c:pt idx="603">
                  <c:v>997.4960297812662</c:v>
                </c:pt>
                <c:pt idx="604">
                  <c:v>1001.4705320887474</c:v>
                </c:pt>
                <c:pt idx="605">
                  <c:v>1005.4503766376843</c:v>
                </c:pt>
                <c:pt idx="606">
                  <c:v>1009.4355562128602</c:v>
                </c:pt>
                <c:pt idx="607">
                  <c:v>1013.4260636283183</c:v>
                </c:pt>
                <c:pt idx="608">
                  <c:v>1017.4218917271614</c:v>
                </c:pt>
                <c:pt idx="609">
                  <c:v>1021.4230333813598</c:v>
                </c:pt>
                <c:pt idx="610">
                  <c:v>1025.4294814915543</c:v>
                </c:pt>
                <c:pt idx="611">
                  <c:v>1029.4412289868667</c:v>
                </c:pt>
                <c:pt idx="612">
                  <c:v>1033.4582688247067</c:v>
                </c:pt>
                <c:pt idx="613">
                  <c:v>1037.4805939905875</c:v>
                </c:pt>
                <c:pt idx="614">
                  <c:v>1041.5081974979353</c:v>
                </c:pt>
                <c:pt idx="615">
                  <c:v>1045.541072387907</c:v>
                </c:pt>
                <c:pt idx="616">
                  <c:v>1049.5792117292046</c:v>
                </c:pt>
                <c:pt idx="617">
                  <c:v>1053.622608617897</c:v>
                </c:pt>
                <c:pt idx="618">
                  <c:v>1057.6712561772363</c:v>
                </c:pt>
                <c:pt idx="619">
                  <c:v>1061.7251475574831</c:v>
                </c:pt>
                <c:pt idx="620">
                  <c:v>1065.7842759357268</c:v>
                </c:pt>
                <c:pt idx="621">
                  <c:v>1069.848634515713</c:v>
                </c:pt>
                <c:pt idx="622">
                  <c:v>1073.9182165276695</c:v>
                </c:pt>
                <c:pt idx="623">
                  <c:v>1077.9930152281338</c:v>
                </c:pt>
                <c:pt idx="624">
                  <c:v>1082.0730238997839</c:v>
                </c:pt>
                <c:pt idx="625">
                  <c:v>1086.1582358512687</c:v>
                </c:pt>
                <c:pt idx="626">
                  <c:v>1090.2486444170409</c:v>
                </c:pt>
                <c:pt idx="627">
                  <c:v>1094.3442429571919</c:v>
                </c:pt>
                <c:pt idx="628">
                  <c:v>1098.445024857288</c:v>
                </c:pt>
                <c:pt idx="629">
                  <c:v>1102.550983528206</c:v>
                </c:pt>
                <c:pt idx="630">
                  <c:v>1106.6621124059739</c:v>
                </c:pt>
                <c:pt idx="631">
                  <c:v>1110.7784049516092</c:v>
                </c:pt>
                <c:pt idx="632">
                  <c:v>1114.8998546509624</c:v>
                </c:pt>
                <c:pt idx="633">
                  <c:v>1119.0264550145585</c:v>
                </c:pt>
                <c:pt idx="634">
                  <c:v>1123.1581995774418</c:v>
                </c:pt>
                <c:pt idx="635">
                  <c:v>1127.2950818990221</c:v>
                </c:pt>
                <c:pt idx="636">
                  <c:v>1131.437095562922</c:v>
                </c:pt>
                <c:pt idx="637">
                  <c:v>1135.5842341768232</c:v>
                </c:pt>
                <c:pt idx="638">
                  <c:v>1139.7364913723197</c:v>
                </c:pt>
                <c:pt idx="639">
                  <c:v>1143.8938608047663</c:v>
                </c:pt>
                <c:pt idx="640">
                  <c:v>1148.056336153132</c:v>
                </c:pt>
                <c:pt idx="641">
                  <c:v>1152.2239111198519</c:v>
                </c:pt>
                <c:pt idx="642">
                  <c:v>1156.3965794306862</c:v>
                </c:pt>
                <c:pt idx="643">
                  <c:v>1160.5743348345723</c:v>
                </c:pt>
                <c:pt idx="644">
                  <c:v>1164.7571711034846</c:v>
                </c:pt>
                <c:pt idx="645">
                  <c:v>1168.9450820322911</c:v>
                </c:pt>
                <c:pt idx="646">
                  <c:v>1173.1380614386158</c:v>
                </c:pt>
                <c:pt idx="647">
                  <c:v>1177.3361031626978</c:v>
                </c:pt>
                <c:pt idx="648">
                  <c:v>1181.539201067254</c:v>
                </c:pt>
                <c:pt idx="649">
                  <c:v>1185.7473490373443</c:v>
                </c:pt>
                <c:pt idx="650">
                  <c:v>1189.9605409802314</c:v>
                </c:pt>
                <c:pt idx="651">
                  <c:v>1194.1787708252523</c:v>
                </c:pt>
                <c:pt idx="652">
                  <c:v>1198.4020325236816</c:v>
                </c:pt>
                <c:pt idx="653">
                  <c:v>1202.6303200486009</c:v>
                </c:pt>
                <c:pt idx="654">
                  <c:v>1206.8636273947673</c:v>
                </c:pt>
                <c:pt idx="655">
                  <c:v>1211.1019485784834</c:v>
                </c:pt>
                <c:pt idx="656">
                  <c:v>1215.3452776374691</c:v>
                </c:pt>
                <c:pt idx="657">
                  <c:v>1219.5936086307345</c:v>
                </c:pt>
                <c:pt idx="658">
                  <c:v>1223.8469356384503</c:v>
                </c:pt>
                <c:pt idx="659">
                  <c:v>1228.1052527618267</c:v>
                </c:pt>
                <c:pt idx="660">
                  <c:v>1232.3685541229861</c:v>
                </c:pt>
                <c:pt idx="661">
                  <c:v>1236.6368338648401</c:v>
                </c:pt>
                <c:pt idx="662">
                  <c:v>1240.9100861509673</c:v>
                </c:pt>
                <c:pt idx="663">
                  <c:v>1245.1883051654918</c:v>
                </c:pt>
                <c:pt idx="664">
                  <c:v>1249.4714851129629</c:v>
                </c:pt>
                <c:pt idx="665">
                  <c:v>1253.759620218236</c:v>
                </c:pt>
                <c:pt idx="666">
                  <c:v>1258.0527047263508</c:v>
                </c:pt>
                <c:pt idx="667">
                  <c:v>1262.3507329024203</c:v>
                </c:pt>
                <c:pt idx="668">
                  <c:v>1266.6536990315085</c:v>
                </c:pt>
                <c:pt idx="669">
                  <c:v>1270.9615974185169</c:v>
                </c:pt>
                <c:pt idx="670">
                  <c:v>1275.2744223880709</c:v>
                </c:pt>
                <c:pt idx="671">
                  <c:v>1279.5921682844034</c:v>
                </c:pt>
                <c:pt idx="672">
                  <c:v>1283.9148294712443</c:v>
                </c:pt>
                <c:pt idx="673">
                  <c:v>1288.2424003317078</c:v>
                </c:pt>
                <c:pt idx="674">
                  <c:v>1292.5748752681818</c:v>
                </c:pt>
                <c:pt idx="675">
                  <c:v>1296.912248702215</c:v>
                </c:pt>
                <c:pt idx="676">
                  <c:v>1301.2545150744127</c:v>
                </c:pt>
                <c:pt idx="677">
                  <c:v>1305.6016688443237</c:v>
                </c:pt>
                <c:pt idx="678">
                  <c:v>1309.9537044903363</c:v>
                </c:pt>
                <c:pt idx="679">
                  <c:v>1314.3106165095692</c:v>
                </c:pt>
                <c:pt idx="680">
                  <c:v>1318.672399417766</c:v>
                </c:pt>
                <c:pt idx="681">
                  <c:v>1323.0390477491917</c:v>
                </c:pt>
                <c:pt idx="682">
                  <c:v>1327.4105560565285</c:v>
                </c:pt>
                <c:pt idx="683">
                  <c:v>1331.7869189107678</c:v>
                </c:pt>
                <c:pt idx="684">
                  <c:v>1336.1681309011151</c:v>
                </c:pt>
                <c:pt idx="685">
                  <c:v>1340.5541866348829</c:v>
                </c:pt>
                <c:pt idx="686">
                  <c:v>1344.9450807373921</c:v>
                </c:pt>
                <c:pt idx="687">
                  <c:v>1349.3408078518705</c:v>
                </c:pt>
                <c:pt idx="688">
                  <c:v>1353.7413626393547</c:v>
                </c:pt>
                <c:pt idx="689">
                  <c:v>1358.1467397785907</c:v>
                </c:pt>
                <c:pt idx="690">
                  <c:v>1362.5569339659369</c:v>
                </c:pt>
                <c:pt idx="691">
                  <c:v>1366.9719399152639</c:v>
                </c:pt>
                <c:pt idx="692">
                  <c:v>1371.3917523578627</c:v>
                </c:pt>
                <c:pt idx="693">
                  <c:v>1375.8163660423479</c:v>
                </c:pt>
                <c:pt idx="694">
                  <c:v>1380.2457757345596</c:v>
                </c:pt>
                <c:pt idx="695">
                  <c:v>1384.6799762174739</c:v>
                </c:pt>
                <c:pt idx="696">
                  <c:v>1389.1189622911056</c:v>
                </c:pt>
                <c:pt idx="697">
                  <c:v>1393.5627287724176</c:v>
                </c:pt>
                <c:pt idx="698">
                  <c:v>1398.0112704952289</c:v>
                </c:pt>
                <c:pt idx="699">
                  <c:v>1402.4645823101228</c:v>
                </c:pt>
                <c:pt idx="700">
                  <c:v>1406.9226590843548</c:v>
                </c:pt>
                <c:pt idx="701">
                  <c:v>1411.3854957017654</c:v>
                </c:pt>
                <c:pt idx="702">
                  <c:v>1415.8530870626905</c:v>
                </c:pt>
                <c:pt idx="703">
                  <c:v>1420.3254280838701</c:v>
                </c:pt>
                <c:pt idx="704">
                  <c:v>1424.802513698364</c:v>
                </c:pt>
                <c:pt idx="705">
                  <c:v>1429.2843388554616</c:v>
                </c:pt>
                <c:pt idx="706">
                  <c:v>1433.7708985205966</c:v>
                </c:pt>
                <c:pt idx="707">
                  <c:v>1438.2621876752626</c:v>
                </c:pt>
                <c:pt idx="708">
                  <c:v>1442.7582013169231</c:v>
                </c:pt>
                <c:pt idx="709">
                  <c:v>1447.2589344589319</c:v>
                </c:pt>
                <c:pt idx="710">
                  <c:v>1451.7643821304471</c:v>
                </c:pt>
                <c:pt idx="711">
                  <c:v>1456.2745393763466</c:v>
                </c:pt>
                <c:pt idx="712">
                  <c:v>1460.7894012571469</c:v>
                </c:pt>
                <c:pt idx="713">
                  <c:v>1465.3089628489206</c:v>
                </c:pt>
                <c:pt idx="714">
                  <c:v>1469.8332192432131</c:v>
                </c:pt>
                <c:pt idx="715">
                  <c:v>1474.3621655469651</c:v>
                </c:pt>
                <c:pt idx="716">
                  <c:v>1478.895796882427</c:v>
                </c:pt>
                <c:pt idx="717">
                  <c:v>1483.4341083870845</c:v>
                </c:pt>
                <c:pt idx="718">
                  <c:v>1487.9770952135764</c:v>
                </c:pt>
                <c:pt idx="719">
                  <c:v>1492.5247525296159</c:v>
                </c:pt>
                <c:pt idx="720">
                  <c:v>1497.0770755179142</c:v>
                </c:pt>
                <c:pt idx="721">
                  <c:v>1501.6340593761008</c:v>
                </c:pt>
                <c:pt idx="722">
                  <c:v>1506.1956993166484</c:v>
                </c:pt>
                <c:pt idx="723">
                  <c:v>1510.761990566795</c:v>
                </c:pt>
                <c:pt idx="724">
                  <c:v>1515.3329283684702</c:v>
                </c:pt>
                <c:pt idx="725">
                  <c:v>1519.9085079782153</c:v>
                </c:pt>
                <c:pt idx="726">
                  <c:v>1524.4887246671149</c:v>
                </c:pt>
                <c:pt idx="727">
                  <c:v>1529.0735737207178</c:v>
                </c:pt>
                <c:pt idx="728">
                  <c:v>1533.6630504389652</c:v>
                </c:pt>
                <c:pt idx="729">
                  <c:v>1538.2571501361174</c:v>
                </c:pt>
                <c:pt idx="730">
                  <c:v>1542.8558681406801</c:v>
                </c:pt>
                <c:pt idx="731">
                  <c:v>1547.4591997953346</c:v>
                </c:pt>
                <c:pt idx="732">
                  <c:v>1552.0671404568639</c:v>
                </c:pt>
                <c:pt idx="733">
                  <c:v>1556.6796854960805</c:v>
                </c:pt>
                <c:pt idx="734">
                  <c:v>1561.2968302977602</c:v>
                </c:pt>
                <c:pt idx="735">
                  <c:v>1565.9185702605682</c:v>
                </c:pt>
                <c:pt idx="736">
                  <c:v>1570.5449007969908</c:v>
                </c:pt>
                <c:pt idx="737">
                  <c:v>1575.1758173332653</c:v>
                </c:pt>
                <c:pt idx="738">
                  <c:v>1579.8113153093129</c:v>
                </c:pt>
                <c:pt idx="739">
                  <c:v>1584.4513901786697</c:v>
                </c:pt>
                <c:pt idx="740">
                  <c:v>1589.0960374084195</c:v>
                </c:pt>
                <c:pt idx="741">
                  <c:v>1593.7452524791231</c:v>
                </c:pt>
                <c:pt idx="742">
                  <c:v>1598.3990308847576</c:v>
                </c:pt>
                <c:pt idx="743">
                  <c:v>1603.0573681326457</c:v>
                </c:pt>
                <c:pt idx="744">
                  <c:v>1607.7202597433907</c:v>
                </c:pt>
                <c:pt idx="745">
                  <c:v>1612.3877012508121</c:v>
                </c:pt>
                <c:pt idx="746">
                  <c:v>1617.0596882018801</c:v>
                </c:pt>
                <c:pt idx="747">
                  <c:v>1621.7362161566502</c:v>
                </c:pt>
                <c:pt idx="748">
                  <c:v>1626.4172806882004</c:v>
                </c:pt>
                <c:pt idx="749">
                  <c:v>1631.1028773825678</c:v>
                </c:pt>
                <c:pt idx="750">
                  <c:v>1635.7930018386824</c:v>
                </c:pt>
                <c:pt idx="751">
                  <c:v>1640.4876496683089</c:v>
                </c:pt>
                <c:pt idx="752">
                  <c:v>1645.1868164959808</c:v>
                </c:pt>
                <c:pt idx="753">
                  <c:v>1649.8904979589418</c:v>
                </c:pt>
                <c:pt idx="754">
                  <c:v>1654.5986897070793</c:v>
                </c:pt>
                <c:pt idx="755">
                  <c:v>1659.3113874028688</c:v>
                </c:pt>
                <c:pt idx="756">
                  <c:v>1664.0285867213095</c:v>
                </c:pt>
                <c:pt idx="757">
                  <c:v>1668.7502833498663</c:v>
                </c:pt>
                <c:pt idx="758">
                  <c:v>1673.4764729884071</c:v>
                </c:pt>
                <c:pt idx="759">
                  <c:v>1678.2071513491469</c:v>
                </c:pt>
                <c:pt idx="760">
                  <c:v>1682.9423141565871</c:v>
                </c:pt>
                <c:pt idx="761">
                  <c:v>1687.6819571474559</c:v>
                </c:pt>
                <c:pt idx="762">
                  <c:v>1692.4260760706516</c:v>
                </c:pt>
                <c:pt idx="763">
                  <c:v>1697.1746666871836</c:v>
                </c:pt>
                <c:pt idx="764">
                  <c:v>1701.9277247701164</c:v>
                </c:pt>
                <c:pt idx="765">
                  <c:v>1706.6852461045105</c:v>
                </c:pt>
                <c:pt idx="766">
                  <c:v>1711.4472264873659</c:v>
                </c:pt>
                <c:pt idx="767">
                  <c:v>1716.2136617275687</c:v>
                </c:pt>
                <c:pt idx="768">
                  <c:v>1720.9845476458311</c:v>
                </c:pt>
                <c:pt idx="769">
                  <c:v>1725.7598800746391</c:v>
                </c:pt>
                <c:pt idx="770">
                  <c:v>1730.5396548581941</c:v>
                </c:pt>
                <c:pt idx="771">
                  <c:v>1735.3238678523614</c:v>
                </c:pt>
                <c:pt idx="772">
                  <c:v>1740.1125149246122</c:v>
                </c:pt>
                <c:pt idx="773">
                  <c:v>1744.9055919539733</c:v>
                </c:pt>
                <c:pt idx="774">
                  <c:v>1749.7030948309698</c:v>
                </c:pt>
                <c:pt idx="775">
                  <c:v>1754.5050194575715</c:v>
                </c:pt>
                <c:pt idx="776">
                  <c:v>1759.3113617471449</c:v>
                </c:pt>
                <c:pt idx="777">
                  <c:v>1764.1221176243939</c:v>
                </c:pt>
                <c:pt idx="778">
                  <c:v>1768.9372830253119</c:v>
                </c:pt>
                <c:pt idx="779">
                  <c:v>1773.7568538971275</c:v>
                </c:pt>
                <c:pt idx="780">
                  <c:v>1778.5808261982529</c:v>
                </c:pt>
                <c:pt idx="781">
                  <c:v>1783.4091958982342</c:v>
                </c:pt>
                <c:pt idx="782">
                  <c:v>1788.2419589776985</c:v>
                </c:pt>
                <c:pt idx="783">
                  <c:v>1793.079111428302</c:v>
                </c:pt>
                <c:pt idx="784">
                  <c:v>1797.9206492526835</c:v>
                </c:pt>
                <c:pt idx="785">
                  <c:v>1802.7665684644112</c:v>
                </c:pt>
                <c:pt idx="786">
                  <c:v>1807.6168650879335</c:v>
                </c:pt>
                <c:pt idx="787">
                  <c:v>1812.4715351585307</c:v>
                </c:pt>
                <c:pt idx="788">
                  <c:v>1817.3305747222635</c:v>
                </c:pt>
                <c:pt idx="789">
                  <c:v>1822.1939798359267</c:v>
                </c:pt>
                <c:pt idx="790">
                  <c:v>1827.0617465669993</c:v>
                </c:pt>
                <c:pt idx="791">
                  <c:v>1831.9338709935951</c:v>
                </c:pt>
                <c:pt idx="792">
                  <c:v>1836.8103492044177</c:v>
                </c:pt>
                <c:pt idx="793">
                  <c:v>1841.691177298711</c:v>
                </c:pt>
                <c:pt idx="794">
                  <c:v>1846.5763513862112</c:v>
                </c:pt>
                <c:pt idx="795">
                  <c:v>1851.4658675871026</c:v>
                </c:pt>
                <c:pt idx="796">
                  <c:v>1856.359722031968</c:v>
                </c:pt>
                <c:pt idx="797">
                  <c:v>1861.2579108617424</c:v>
                </c:pt>
                <c:pt idx="798">
                  <c:v>1866.1604302276685</c:v>
                </c:pt>
                <c:pt idx="799">
                  <c:v>1871.0672762912507</c:v>
                </c:pt>
                <c:pt idx="800">
                  <c:v>1875.9784452242081</c:v>
                </c:pt>
                <c:pt idx="801">
                  <c:v>1880.8939332084303</c:v>
                </c:pt>
                <c:pt idx="802">
                  <c:v>1885.8137364359307</c:v>
                </c:pt>
                <c:pt idx="803">
                  <c:v>1890.7378511088054</c:v>
                </c:pt>
                <c:pt idx="804">
                  <c:v>1895.6662734391844</c:v>
                </c:pt>
                <c:pt idx="805">
                  <c:v>1900.5989996491908</c:v>
                </c:pt>
                <c:pt idx="806">
                  <c:v>1905.5360259708953</c:v>
                </c:pt>
                <c:pt idx="807">
                  <c:v>1910.4773486462723</c:v>
                </c:pt>
                <c:pt idx="808">
                  <c:v>1915.4229639271578</c:v>
                </c:pt>
                <c:pt idx="809">
                  <c:v>1920.3728680752051</c:v>
                </c:pt>
                <c:pt idx="810">
                  <c:v>1925.3270573618415</c:v>
                </c:pt>
                <c:pt idx="811">
                  <c:v>1930.2855280682274</c:v>
                </c:pt>
                <c:pt idx="812">
                  <c:v>1935.2482764852139</c:v>
                </c:pt>
                <c:pt idx="813">
                  <c:v>1940.2152989132985</c:v>
                </c:pt>
                <c:pt idx="814">
                  <c:v>1945.1865916625864</c:v>
                </c:pt>
                <c:pt idx="815">
                  <c:v>1950.1621510527459</c:v>
                </c:pt>
                <c:pt idx="816">
                  <c:v>1955.1419734129686</c:v>
                </c:pt>
                <c:pt idx="817">
                  <c:v>1960.1260550819302</c:v>
                </c:pt>
                <c:pt idx="818">
                  <c:v>1965.1143924077442</c:v>
                </c:pt>
                <c:pt idx="819">
                  <c:v>1970.1069817479274</c:v>
                </c:pt>
                <c:pt idx="820">
                  <c:v>1975.1038194693576</c:v>
                </c:pt>
                <c:pt idx="821">
                  <c:v>1980.10490194823</c:v>
                </c:pt>
                <c:pt idx="822">
                  <c:v>1985.1102255700239</c:v>
                </c:pt>
                <c:pt idx="823">
                  <c:v>1990.119786729457</c:v>
                </c:pt>
                <c:pt idx="824">
                  <c:v>1995.1335818304494</c:v>
                </c:pt>
                <c:pt idx="825">
                  <c:v>2000.1516072860836</c:v>
                </c:pt>
                <c:pt idx="826">
                  <c:v>2005.1738595185666</c:v>
                </c:pt>
                <c:pt idx="827">
                  <c:v>2010.2003349591869</c:v>
                </c:pt>
                <c:pt idx="828">
                  <c:v>2015.2310300482834</c:v>
                </c:pt>
                <c:pt idx="829">
                  <c:v>2020.2659412352016</c:v>
                </c:pt>
                <c:pt idx="830">
                  <c:v>2025.3050649782567</c:v>
                </c:pt>
                <c:pt idx="831">
                  <c:v>2030.348397744697</c:v>
                </c:pt>
                <c:pt idx="832">
                  <c:v>2035.3959360106655</c:v>
                </c:pt>
                <c:pt idx="833">
                  <c:v>2040.4476762611625</c:v>
                </c:pt>
                <c:pt idx="834">
                  <c:v>2045.5036149900116</c:v>
                </c:pt>
                <c:pt idx="835">
                  <c:v>2050.5637486998139</c:v>
                </c:pt>
                <c:pt idx="836">
                  <c:v>2055.6280739019235</c:v>
                </c:pt>
                <c:pt idx="837">
                  <c:v>2060.6965871164016</c:v>
                </c:pt>
                <c:pt idx="838">
                  <c:v>2065.7692848719853</c:v>
                </c:pt>
                <c:pt idx="839">
                  <c:v>2070.8461637060495</c:v>
                </c:pt>
                <c:pt idx="840">
                  <c:v>2075.9272201645713</c:v>
                </c:pt>
                <c:pt idx="841">
                  <c:v>2081.0124508020945</c:v>
                </c:pt>
                <c:pt idx="842">
                  <c:v>2086.1018521816954</c:v>
                </c:pt>
                <c:pt idx="843">
                  <c:v>2091.1954208749439</c:v>
                </c:pt>
                <c:pt idx="844">
                  <c:v>2096.2931534618733</c:v>
                </c:pt>
                <c:pt idx="845">
                  <c:v>2101.3950465309435</c:v>
                </c:pt>
                <c:pt idx="846">
                  <c:v>2106.501096679006</c:v>
                </c:pt>
                <c:pt idx="847">
                  <c:v>2111.6113005112679</c:v>
                </c:pt>
                <c:pt idx="848">
                  <c:v>2116.7256546412614</c:v>
                </c:pt>
                <c:pt idx="849">
                  <c:v>2121.8441556908083</c:v>
                </c:pt>
                <c:pt idx="850">
                  <c:v>2126.966800289983</c:v>
                </c:pt>
                <c:pt idx="851">
                  <c:v>2132.0935850770861</c:v>
                </c:pt>
                <c:pt idx="852">
                  <c:v>2137.2245066986015</c:v>
                </c:pt>
                <c:pt idx="853">
                  <c:v>2142.3595618091717</c:v>
                </c:pt>
                <c:pt idx="854">
                  <c:v>2147.4987470715614</c:v>
                </c:pt>
                <c:pt idx="855">
                  <c:v>2152.6420591566221</c:v>
                </c:pt>
                <c:pt idx="856">
                  <c:v>2157.7894947432628</c:v>
                </c:pt>
                <c:pt idx="857">
                  <c:v>2162.9410505184183</c:v>
                </c:pt>
                <c:pt idx="858">
                  <c:v>2168.0967231770142</c:v>
                </c:pt>
                <c:pt idx="859">
                  <c:v>2173.2565094219349</c:v>
                </c:pt>
                <c:pt idx="860">
                  <c:v>2178.420405963991</c:v>
                </c:pt>
                <c:pt idx="861">
                  <c:v>2183.5884095218939</c:v>
                </c:pt>
                <c:pt idx="862">
                  <c:v>2188.7605168222144</c:v>
                </c:pt>
                <c:pt idx="863">
                  <c:v>2193.936724599359</c:v>
                </c:pt>
                <c:pt idx="864">
                  <c:v>2199.1170295955349</c:v>
                </c:pt>
                <c:pt idx="865">
                  <c:v>2204.301428560721</c:v>
                </c:pt>
                <c:pt idx="866">
                  <c:v>2209.4899182526337</c:v>
                </c:pt>
                <c:pt idx="867">
                  <c:v>2214.6824954367025</c:v>
                </c:pt>
                <c:pt idx="868">
                  <c:v>2219.8791568860302</c:v>
                </c:pt>
                <c:pt idx="869">
                  <c:v>2225.0798993813705</c:v>
                </c:pt>
                <c:pt idx="870">
                  <c:v>2230.2847197110959</c:v>
                </c:pt>
                <c:pt idx="871">
                  <c:v>2235.4936146711643</c:v>
                </c:pt>
                <c:pt idx="872">
                  <c:v>2240.7065810650947</c:v>
                </c:pt>
                <c:pt idx="873">
                  <c:v>2245.9236157039322</c:v>
                </c:pt>
                <c:pt idx="874">
                  <c:v>2251.1447154062212</c:v>
                </c:pt>
                <c:pt idx="875">
                  <c:v>2256.3698769979746</c:v>
                </c:pt>
                <c:pt idx="876">
                  <c:v>2261.5990973126482</c:v>
                </c:pt>
                <c:pt idx="877">
                  <c:v>2266.8323731911032</c:v>
                </c:pt>
                <c:pt idx="878">
                  <c:v>2272.0697014815901</c:v>
                </c:pt>
                <c:pt idx="879">
                  <c:v>2277.3110790397086</c:v>
                </c:pt>
                <c:pt idx="880">
                  <c:v>2282.5565027283833</c:v>
                </c:pt>
                <c:pt idx="881">
                  <c:v>2287.8059694178369</c:v>
                </c:pt>
                <c:pt idx="882">
                  <c:v>2293.059475985558</c:v>
                </c:pt>
                <c:pt idx="883">
                  <c:v>2298.3170193162787</c:v>
                </c:pt>
                <c:pt idx="884">
                  <c:v>2303.5785963019403</c:v>
                </c:pt>
                <c:pt idx="885">
                  <c:v>2308.8442038416661</c:v>
                </c:pt>
                <c:pt idx="886">
                  <c:v>2314.1138388417421</c:v>
                </c:pt>
                <c:pt idx="887">
                  <c:v>2319.3874982155789</c:v>
                </c:pt>
                <c:pt idx="888">
                  <c:v>2324.6651788836894</c:v>
                </c:pt>
                <c:pt idx="889">
                  <c:v>2329.946877773662</c:v>
                </c:pt>
                <c:pt idx="890">
                  <c:v>2335.2325918201313</c:v>
                </c:pt>
                <c:pt idx="891">
                  <c:v>2340.5223179647528</c:v>
                </c:pt>
                <c:pt idx="892">
                  <c:v>2345.8160531561771</c:v>
                </c:pt>
                <c:pt idx="893">
                  <c:v>2351.1137943500175</c:v>
                </c:pt>
                <c:pt idx="894">
                  <c:v>2356.4155385088316</c:v>
                </c:pt>
                <c:pt idx="895">
                  <c:v>2361.7212826020886</c:v>
                </c:pt>
                <c:pt idx="896">
                  <c:v>2367.0310236061491</c:v>
                </c:pt>
                <c:pt idx="897">
                  <c:v>2372.3447585042331</c:v>
                </c:pt>
                <c:pt idx="898">
                  <c:v>2377.6624842863935</c:v>
                </c:pt>
                <c:pt idx="899">
                  <c:v>2382.984197949499</c:v>
                </c:pt>
                <c:pt idx="900">
                  <c:v>2388.3098964971987</c:v>
                </c:pt>
                <c:pt idx="901">
                  <c:v>2393.6395769399028</c:v>
                </c:pt>
                <c:pt idx="902">
                  <c:v>2398.9732362947502</c:v>
                </c:pt>
                <c:pt idx="903">
                  <c:v>2404.3108715855956</c:v>
                </c:pt>
                <c:pt idx="904">
                  <c:v>2409.6524798429696</c:v>
                </c:pt>
                <c:pt idx="905">
                  <c:v>2414.9980581040641</c:v>
                </c:pt>
                <c:pt idx="906">
                  <c:v>2420.3476034127034</c:v>
                </c:pt>
                <c:pt idx="907">
                  <c:v>2425.7011128193199</c:v>
                </c:pt>
                <c:pt idx="908">
                  <c:v>2431.0585833809319</c:v>
                </c:pt>
                <c:pt idx="909">
                  <c:v>2436.4200121611138</c:v>
                </c:pt>
                <c:pt idx="910">
                  <c:v>2441.785396229975</c:v>
                </c:pt>
                <c:pt idx="911">
                  <c:v>2447.154732664138</c:v>
                </c:pt>
                <c:pt idx="912">
                  <c:v>2452.5280185467095</c:v>
                </c:pt>
                <c:pt idx="913">
                  <c:v>2457.9052509672601</c:v>
                </c:pt>
                <c:pt idx="914">
                  <c:v>2463.2864270217992</c:v>
                </c:pt>
                <c:pt idx="915">
                  <c:v>2468.6715438127494</c:v>
                </c:pt>
                <c:pt idx="916">
                  <c:v>2474.0605984489271</c:v>
                </c:pt>
                <c:pt idx="917">
                  <c:v>2479.4535880455155</c:v>
                </c:pt>
                <c:pt idx="918">
                  <c:v>2484.8505097240395</c:v>
                </c:pt>
                <c:pt idx="919">
                  <c:v>2490.2513606123498</c:v>
                </c:pt>
                <c:pt idx="920">
                  <c:v>2495.6561378445913</c:v>
                </c:pt>
                <c:pt idx="921">
                  <c:v>2501.0648385611862</c:v>
                </c:pt>
                <c:pt idx="922">
                  <c:v>2506.47745990881</c:v>
                </c:pt>
                <c:pt idx="923">
                  <c:v>2511.8939990403642</c:v>
                </c:pt>
                <c:pt idx="924">
                  <c:v>2517.3144531149592</c:v>
                </c:pt>
                <c:pt idx="925">
                  <c:v>2522.7388192978888</c:v>
                </c:pt>
                <c:pt idx="926">
                  <c:v>2528.1670947606099</c:v>
                </c:pt>
                <c:pt idx="927">
                  <c:v>2533.5992766807153</c:v>
                </c:pt>
                <c:pt idx="928">
                  <c:v>2539.0353622419198</c:v>
                </c:pt>
                <c:pt idx="929">
                  <c:v>2544.4753486340296</c:v>
                </c:pt>
                <c:pt idx="930">
                  <c:v>2549.9192330529249</c:v>
                </c:pt>
                <c:pt idx="931">
                  <c:v>2555.3670127005389</c:v>
                </c:pt>
                <c:pt idx="932">
                  <c:v>2560.8186847848319</c:v>
                </c:pt>
                <c:pt idx="933">
                  <c:v>2566.2742465197734</c:v>
                </c:pt>
                <c:pt idx="934">
                  <c:v>2571.7336951253201</c:v>
                </c:pt>
                <c:pt idx="935">
                  <c:v>2577.1970278273902</c:v>
                </c:pt>
                <c:pt idx="936">
                  <c:v>2582.6642418578481</c:v>
                </c:pt>
                <c:pt idx="937">
                  <c:v>2588.1353344544809</c:v>
                </c:pt>
                <c:pt idx="938">
                  <c:v>2593.6103028609759</c:v>
                </c:pt>
                <c:pt idx="939">
                  <c:v>2599.0891443268988</c:v>
                </c:pt>
                <c:pt idx="940">
                  <c:v>2604.5718561076792</c:v>
                </c:pt>
                <c:pt idx="941">
                  <c:v>2610.0584354645798</c:v>
                </c:pt>
                <c:pt idx="942">
                  <c:v>2615.5488796646855</c:v>
                </c:pt>
                <c:pt idx="943">
                  <c:v>2621.0431859808755</c:v>
                </c:pt>
                <c:pt idx="944">
                  <c:v>2626.541351691807</c:v>
                </c:pt>
                <c:pt idx="945">
                  <c:v>2632.0433740818935</c:v>
                </c:pt>
                <c:pt idx="946">
                  <c:v>2637.5492504412841</c:v>
                </c:pt>
                <c:pt idx="947">
                  <c:v>2643.0589780658433</c:v>
                </c:pt>
                <c:pt idx="948">
                  <c:v>2648.5725542571327</c:v>
                </c:pt>
                <c:pt idx="949">
                  <c:v>2654.0899763223879</c:v>
                </c:pt>
                <c:pt idx="950">
                  <c:v>2659.6112415745019</c:v>
                </c:pt>
                <c:pt idx="951">
                  <c:v>2665.1363473320039</c:v>
                </c:pt>
                <c:pt idx="952">
                  <c:v>2670.665290919037</c:v>
                </c:pt>
                <c:pt idx="953">
                  <c:v>2676.1980696653422</c:v>
                </c:pt>
                <c:pt idx="954">
                  <c:v>2681.7346809062401</c:v>
                </c:pt>
                <c:pt idx="955">
                  <c:v>2687.2751219826059</c:v>
                </c:pt>
                <c:pt idx="956">
                  <c:v>2692.8193902408543</c:v>
                </c:pt>
                <c:pt idx="957">
                  <c:v>2698.3674830329205</c:v>
                </c:pt>
                <c:pt idx="958">
                  <c:v>2703.9193977162386</c:v>
                </c:pt>
                <c:pt idx="959">
                  <c:v>2709.4751316537254</c:v>
                </c:pt>
                <c:pt idx="960">
                  <c:v>2715.0346822137553</c:v>
                </c:pt>
                <c:pt idx="961">
                  <c:v>2720.5980467701502</c:v>
                </c:pt>
                <c:pt idx="962">
                  <c:v>2726.1652227021568</c:v>
                </c:pt>
                <c:pt idx="963">
                  <c:v>2731.7362073944269</c:v>
                </c:pt>
                <c:pt idx="964">
                  <c:v>2737.310998236997</c:v>
                </c:pt>
                <c:pt idx="965">
                  <c:v>2742.8895926252762</c:v>
                </c:pt>
                <c:pt idx="966">
                  <c:v>2748.4719879600207</c:v>
                </c:pt>
                <c:pt idx="967">
                  <c:v>2754.0581816473223</c:v>
                </c:pt>
                <c:pt idx="968">
                  <c:v>2759.6481710985818</c:v>
                </c:pt>
                <c:pt idx="969">
                  <c:v>2765.2419537305013</c:v>
                </c:pt>
                <c:pt idx="970">
                  <c:v>2770.8395269650573</c:v>
                </c:pt>
                <c:pt idx="971">
                  <c:v>2776.4408882294842</c:v>
                </c:pt>
                <c:pt idx="972">
                  <c:v>2782.0460349562632</c:v>
                </c:pt>
                <c:pt idx="973">
                  <c:v>2787.6549645830946</c:v>
                </c:pt>
                <c:pt idx="974">
                  <c:v>2793.2676745528897</c:v>
                </c:pt>
                <c:pt idx="975">
                  <c:v>2798.8841623137419</c:v>
                </c:pt>
                <c:pt idx="976">
                  <c:v>2804.5044253189244</c:v>
                </c:pt>
                <c:pt idx="977">
                  <c:v>2810.1284610268553</c:v>
                </c:pt>
                <c:pt idx="978">
                  <c:v>2815.756266901094</c:v>
                </c:pt>
                <c:pt idx="979">
                  <c:v>2821.3878404103189</c:v>
                </c:pt>
                <c:pt idx="980">
                  <c:v>2827.0231790283074</c:v>
                </c:pt>
                <c:pt idx="981">
                  <c:v>2832.6622802339248</c:v>
                </c:pt>
                <c:pt idx="982">
                  <c:v>2838.3051415111017</c:v>
                </c:pt>
                <c:pt idx="983">
                  <c:v>2843.9517603488189</c:v>
                </c:pt>
                <c:pt idx="984">
                  <c:v>2849.6021342410941</c:v>
                </c:pt>
                <c:pt idx="985">
                  <c:v>2855.2562606869569</c:v>
                </c:pt>
                <c:pt idx="986">
                  <c:v>2860.9141371904407</c:v>
                </c:pt>
                <c:pt idx="987">
                  <c:v>2866.5757612605612</c:v>
                </c:pt>
                <c:pt idx="988">
                  <c:v>2872.2411304113016</c:v>
                </c:pt>
                <c:pt idx="989">
                  <c:v>2877.9102421615949</c:v>
                </c:pt>
                <c:pt idx="990">
                  <c:v>2883.583094035308</c:v>
                </c:pt>
                <c:pt idx="991">
                  <c:v>2889.2596835612258</c:v>
                </c:pt>
                <c:pt idx="992">
                  <c:v>2894.9400082730353</c:v>
                </c:pt>
                <c:pt idx="993">
                  <c:v>2900.6240657093053</c:v>
                </c:pt>
                <c:pt idx="994">
                  <c:v>2906.3118534134774</c:v>
                </c:pt>
                <c:pt idx="995">
                  <c:v>2912.0033689338434</c:v>
                </c:pt>
                <c:pt idx="996">
                  <c:v>2917.6986098235343</c:v>
                </c:pt>
                <c:pt idx="997">
                  <c:v>2923.3975736405014</c:v>
                </c:pt>
                <c:pt idx="998">
                  <c:v>2929.1002579475007</c:v>
                </c:pt>
                <c:pt idx="999">
                  <c:v>2934.8066603120778</c:v>
                </c:pt>
                <c:pt idx="1000">
                  <c:v>2940.5167783065522</c:v>
                </c:pt>
                <c:pt idx="1001">
                  <c:v>2946.230609508003</c:v>
                </c:pt>
                <c:pt idx="1002">
                  <c:v>2951.9481514982481</c:v>
                </c:pt>
                <c:pt idx="1003">
                  <c:v>2957.6694018638364</c:v>
                </c:pt>
                <c:pt idx="1004">
                  <c:v>2963.3943581960266</c:v>
                </c:pt>
                <c:pt idx="1005">
                  <c:v>2969.1230180907751</c:v>
                </c:pt>
                <c:pt idx="1006">
                  <c:v>2974.8553791487184</c:v>
                </c:pt>
                <c:pt idx="1007">
                  <c:v>2980.5914389751588</c:v>
                </c:pt>
                <c:pt idx="1008">
                  <c:v>2986.3311951800501</c:v>
                </c:pt>
                <c:pt idx="1009">
                  <c:v>2992.0746453779839</c:v>
                </c:pt>
                <c:pt idx="1010">
                  <c:v>2997.8217871881684</c:v>
                </c:pt>
                <c:pt idx="1011">
                  <c:v>3003.5726182344192</c:v>
                </c:pt>
                <c:pt idx="1012">
                  <c:v>3009.3271361451452</c:v>
                </c:pt>
                <c:pt idx="1013">
                  <c:v>3015.0853385533292</c:v>
                </c:pt>
                <c:pt idx="1014">
                  <c:v>3020.8472230965167</c:v>
                </c:pt>
                <c:pt idx="1015">
                  <c:v>3026.6127874167983</c:v>
                </c:pt>
                <c:pt idx="1016">
                  <c:v>3032.3820291607999</c:v>
                </c:pt>
                <c:pt idx="1017">
                  <c:v>3038.1549459796638</c:v>
                </c:pt>
                <c:pt idx="1018">
                  <c:v>3043.9315355290337</c:v>
                </c:pt>
                <c:pt idx="1019">
                  <c:v>3049.7117954690443</c:v>
                </c:pt>
                <c:pt idx="1020">
                  <c:v>3055.4957234643061</c:v>
                </c:pt>
                <c:pt idx="1021">
                  <c:v>3061.2833171838865</c:v>
                </c:pt>
                <c:pt idx="1022">
                  <c:v>3067.0745743013031</c:v>
                </c:pt>
                <c:pt idx="1023">
                  <c:v>3072.8694924945012</c:v>
                </c:pt>
                <c:pt idx="1024">
                  <c:v>3078.6680694458473</c:v>
                </c:pt>
                <c:pt idx="1025">
                  <c:v>3084.4703028421118</c:v>
                </c:pt>
                <c:pt idx="1026">
                  <c:v>3090.2761903744536</c:v>
                </c:pt>
                <c:pt idx="1027">
                  <c:v>3096.0857297384082</c:v>
                </c:pt>
                <c:pt idx="1028">
                  <c:v>3101.8989186338717</c:v>
                </c:pt>
                <c:pt idx="1029">
                  <c:v>3107.7157547650936</c:v>
                </c:pt>
                <c:pt idx="1030">
                  <c:v>3113.5362358406528</c:v>
                </c:pt>
                <c:pt idx="1031">
                  <c:v>3119.360359573453</c:v>
                </c:pt>
                <c:pt idx="1032">
                  <c:v>3125.1881236807039</c:v>
                </c:pt>
                <c:pt idx="1033">
                  <c:v>3131.0195258839099</c:v>
                </c:pt>
                <c:pt idx="1034">
                  <c:v>3136.8545639088561</c:v>
                </c:pt>
                <c:pt idx="1035">
                  <c:v>3142.6932354855926</c:v>
                </c:pt>
                <c:pt idx="1036">
                  <c:v>3148.535538348428</c:v>
                </c:pt>
                <c:pt idx="1037">
                  <c:v>3154.3814702359068</c:v>
                </c:pt>
                <c:pt idx="1038">
                  <c:v>3160.2310288908038</c:v>
                </c:pt>
                <c:pt idx="1039">
                  <c:v>3166.084212060106</c:v>
                </c:pt>
                <c:pt idx="1040">
                  <c:v>3171.941017495004</c:v>
                </c:pt>
                <c:pt idx="1041">
                  <c:v>3177.8014429508744</c:v>
                </c:pt>
                <c:pt idx="1042">
                  <c:v>3183.6654861872698</c:v>
                </c:pt>
                <c:pt idx="1043">
                  <c:v>3189.5331449679029</c:v>
                </c:pt>
                <c:pt idx="1044">
                  <c:v>3195.4044170606394</c:v>
                </c:pt>
                <c:pt idx="1045">
                  <c:v>3201.2793002374774</c:v>
                </c:pt>
                <c:pt idx="1046">
                  <c:v>3207.1577922745405</c:v>
                </c:pt>
                <c:pt idx="1047">
                  <c:v>3213.0398909520645</c:v>
                </c:pt>
                <c:pt idx="1048">
                  <c:v>3218.9255940543812</c:v>
                </c:pt>
                <c:pt idx="1049">
                  <c:v>3224.8148993699083</c:v>
                </c:pt>
                <c:pt idx="1050">
                  <c:v>3230.7078046911374</c:v>
                </c:pt>
                <c:pt idx="1051">
                  <c:v>3236.6043078146217</c:v>
                </c:pt>
                <c:pt idx="1052">
                  <c:v>3242.5044065409579</c:v>
                </c:pt>
                <c:pt idx="1053">
                  <c:v>3248.4080986747836</c:v>
                </c:pt>
                <c:pt idx="1054">
                  <c:v>3254.3153820247585</c:v>
                </c:pt>
                <c:pt idx="1055">
                  <c:v>3260.2262544035511</c:v>
                </c:pt>
                <c:pt idx="1056">
                  <c:v>3266.1407136278308</c:v>
                </c:pt>
                <c:pt idx="1057">
                  <c:v>3272.0587575182522</c:v>
                </c:pt>
                <c:pt idx="1058">
                  <c:v>3277.9803838994467</c:v>
                </c:pt>
                <c:pt idx="1059">
                  <c:v>3283.9055906000076</c:v>
                </c:pt>
                <c:pt idx="1060">
                  <c:v>3289.8343754524753</c:v>
                </c:pt>
                <c:pt idx="1061">
                  <c:v>3295.766736293333</c:v>
                </c:pt>
                <c:pt idx="1062">
                  <c:v>3301.7026709629877</c:v>
                </c:pt>
                <c:pt idx="1063">
                  <c:v>3307.6421773057618</c:v>
                </c:pt>
                <c:pt idx="1064">
                  <c:v>3313.5852531698802</c:v>
                </c:pt>
                <c:pt idx="1065">
                  <c:v>3319.5318964074613</c:v>
                </c:pt>
                <c:pt idx="1066">
                  <c:v>3325.4821048744984</c:v>
                </c:pt>
                <c:pt idx="1067">
                  <c:v>3331.4358764308572</c:v>
                </c:pt>
                <c:pt idx="1068">
                  <c:v>3337.3932089402547</c:v>
                </c:pt>
                <c:pt idx="1069">
                  <c:v>3343.3541002702545</c:v>
                </c:pt>
                <c:pt idx="1070">
                  <c:v>3349.3185482922545</c:v>
                </c:pt>
                <c:pt idx="1071">
                  <c:v>3355.2865508814716</c:v>
                </c:pt>
                <c:pt idx="1072">
                  <c:v>3361.2581059169343</c:v>
                </c:pt>
                <c:pt idx="1073">
                  <c:v>3367.2332112814688</c:v>
                </c:pt>
                <c:pt idx="1074">
                  <c:v>3373.2118648616888</c:v>
                </c:pt>
                <c:pt idx="1075">
                  <c:v>3379.1940645479858</c:v>
                </c:pt>
                <c:pt idx="1076">
                  <c:v>3385.1798082345131</c:v>
                </c:pt>
                <c:pt idx="1077">
                  <c:v>3391.1690938191778</c:v>
                </c:pt>
                <c:pt idx="1078">
                  <c:v>3397.1619192036305</c:v>
                </c:pt>
                <c:pt idx="1079">
                  <c:v>3403.1582822932533</c:v>
                </c:pt>
                <c:pt idx="1080">
                  <c:v>3409.1581809971481</c:v>
                </c:pt>
                <c:pt idx="1081">
                  <c:v>3415.1616132281247</c:v>
                </c:pt>
                <c:pt idx="1082">
                  <c:v>3421.1685769026931</c:v>
                </c:pt>
                <c:pt idx="1083">
                  <c:v>3427.1790699410521</c:v>
                </c:pt>
                <c:pt idx="1084">
                  <c:v>3433.193090267072</c:v>
                </c:pt>
                <c:pt idx="1085">
                  <c:v>3439.2106358082915</c:v>
                </c:pt>
                <c:pt idx="1086">
                  <c:v>3445.231704495905</c:v>
                </c:pt>
                <c:pt idx="1087">
                  <c:v>3451.2562942647487</c:v>
                </c:pt>
                <c:pt idx="1088">
                  <c:v>3457.2844030532947</c:v>
                </c:pt>
                <c:pt idx="1089">
                  <c:v>3463.3160288036352</c:v>
                </c:pt>
                <c:pt idx="1090">
                  <c:v>3469.351169461479</c:v>
                </c:pt>
                <c:pt idx="1091">
                  <c:v>3475.389822976128</c:v>
                </c:pt>
                <c:pt idx="1092">
                  <c:v>3481.431987300487</c:v>
                </c:pt>
                <c:pt idx="1093">
                  <c:v>3487.47766039103</c:v>
                </c:pt>
                <c:pt idx="1094">
                  <c:v>3493.5268402078073</c:v>
                </c:pt>
                <c:pt idx="1095">
                  <c:v>3499.579524714426</c:v>
                </c:pt>
                <c:pt idx="1096">
                  <c:v>3505.6357118780465</c:v>
                </c:pt>
                <c:pt idx="1097">
                  <c:v>3511.6953996693642</c:v>
                </c:pt>
                <c:pt idx="1098">
                  <c:v>3517.7585860626059</c:v>
                </c:pt>
                <c:pt idx="1099">
                  <c:v>3523.8252690355157</c:v>
                </c:pt>
                <c:pt idx="1100">
                  <c:v>3529.8954465693469</c:v>
                </c:pt>
                <c:pt idx="1101">
                  <c:v>3535.9691166488501</c:v>
                </c:pt>
                <c:pt idx="1102">
                  <c:v>3542.0462772622609</c:v>
                </c:pt>
                <c:pt idx="1103">
                  <c:v>3548.1269264013013</c:v>
                </c:pt>
                <c:pt idx="1104">
                  <c:v>3554.2110620611543</c:v>
                </c:pt>
                <c:pt idx="1105">
                  <c:v>3560.2986822404623</c:v>
                </c:pt>
                <c:pt idx="1106">
                  <c:v>3566.3897849413174</c:v>
                </c:pt>
                <c:pt idx="1107">
                  <c:v>3572.484368169251</c:v>
                </c:pt>
                <c:pt idx="1108">
                  <c:v>3578.5824299332166</c:v>
                </c:pt>
                <c:pt idx="1109">
                  <c:v>3584.6839682455957</c:v>
                </c:pt>
                <c:pt idx="1110">
                  <c:v>3590.7889811221698</c:v>
                </c:pt>
                <c:pt idx="1111">
                  <c:v>3596.8974665821243</c:v>
                </c:pt>
                <c:pt idx="1112">
                  <c:v>3603.0094226480314</c:v>
                </c:pt>
                <c:pt idx="1113">
                  <c:v>3609.1248473458459</c:v>
                </c:pt>
                <c:pt idx="1114">
                  <c:v>3615.2437387048899</c:v>
                </c:pt>
                <c:pt idx="1115">
                  <c:v>3621.3660947578469</c:v>
                </c:pt>
                <c:pt idx="1116">
                  <c:v>3627.4919135407517</c:v>
                </c:pt>
                <c:pt idx="1117">
                  <c:v>3633.6211930929812</c:v>
                </c:pt>
                <c:pt idx="1118">
                  <c:v>3639.7539314572409</c:v>
                </c:pt>
                <c:pt idx="1119">
                  <c:v>3645.8901266795601</c:v>
                </c:pt>
                <c:pt idx="1120">
                  <c:v>3652.0297768092846</c:v>
                </c:pt>
                <c:pt idx="1121">
                  <c:v>3658.1728798990598</c:v>
                </c:pt>
                <c:pt idx="1122">
                  <c:v>3664.3194340048267</c:v>
                </c:pt>
                <c:pt idx="1123">
                  <c:v>3670.4694371858113</c:v>
                </c:pt>
                <c:pt idx="1124">
                  <c:v>3676.6228875045172</c:v>
                </c:pt>
                <c:pt idx="1125">
                  <c:v>3682.7797830267114</c:v>
                </c:pt>
                <c:pt idx="1126">
                  <c:v>3688.9401218214211</c:v>
                </c:pt>
                <c:pt idx="1127">
                  <c:v>3695.1039019609202</c:v>
                </c:pt>
                <c:pt idx="1128">
                  <c:v>3701.2711215207205</c:v>
                </c:pt>
                <c:pt idx="1129">
                  <c:v>3707.4417785795677</c:v>
                </c:pt>
                <c:pt idx="1130">
                  <c:v>3713.6158712194265</c:v>
                </c:pt>
                <c:pt idx="1131">
                  <c:v>3719.7933975254723</c:v>
                </c:pt>
                <c:pt idx="1132">
                  <c:v>3725.9743555860864</c:v>
                </c:pt>
                <c:pt idx="1133">
                  <c:v>3732.1587434928415</c:v>
                </c:pt>
                <c:pt idx="1134">
                  <c:v>3738.346559340499</c:v>
                </c:pt>
                <c:pt idx="1135">
                  <c:v>3744.5378012269921</c:v>
                </c:pt>
                <c:pt idx="1136">
                  <c:v>3750.7324672534251</c:v>
                </c:pt>
                <c:pt idx="1137">
                  <c:v>3756.9305555240599</c:v>
                </c:pt>
                <c:pt idx="1138">
                  <c:v>3763.1320641463108</c:v>
                </c:pt>
                <c:pt idx="1139">
                  <c:v>3769.3369912307276</c:v>
                </c:pt>
                <c:pt idx="1140">
                  <c:v>3775.5453348909978</c:v>
                </c:pt>
                <c:pt idx="1141">
                  <c:v>3781.757093243933</c:v>
                </c:pt>
                <c:pt idx="1142">
                  <c:v>3787.9722644094595</c:v>
                </c:pt>
                <c:pt idx="1143">
                  <c:v>3794.1908465106048</c:v>
                </c:pt>
                <c:pt idx="1144">
                  <c:v>3800.4128376735034</c:v>
                </c:pt>
                <c:pt idx="1145">
                  <c:v>3806.6382360273724</c:v>
                </c:pt>
                <c:pt idx="1146">
                  <c:v>3812.8670397045153</c:v>
                </c:pt>
                <c:pt idx="1147">
                  <c:v>3819.099246840306</c:v>
                </c:pt>
                <c:pt idx="1148">
                  <c:v>3825.3348555731832</c:v>
                </c:pt>
                <c:pt idx="1149">
                  <c:v>3831.5738640446375</c:v>
                </c:pt>
                <c:pt idx="1150">
                  <c:v>3837.8162703992157</c:v>
                </c:pt>
                <c:pt idx="1151">
                  <c:v>3844.0620727844971</c:v>
                </c:pt>
                <c:pt idx="1152">
                  <c:v>3850.3112693510902</c:v>
                </c:pt>
                <c:pt idx="1153">
                  <c:v>3856.563858252634</c:v>
                </c:pt>
                <c:pt idx="1154">
                  <c:v>3862.8198376457754</c:v>
                </c:pt>
                <c:pt idx="1155">
                  <c:v>3869.079205690171</c:v>
                </c:pt>
                <c:pt idx="1156">
                  <c:v>3875.3419605484719</c:v>
                </c:pt>
                <c:pt idx="1157">
                  <c:v>3881.6081003863246</c:v>
                </c:pt>
                <c:pt idx="1158">
                  <c:v>3887.8776233723502</c:v>
                </c:pt>
                <c:pt idx="1159">
                  <c:v>3894.1505276781518</c:v>
                </c:pt>
                <c:pt idx="1160">
                  <c:v>3900.4268114782894</c:v>
                </c:pt>
                <c:pt idx="1161">
                  <c:v>3906.7064729502872</c:v>
                </c:pt>
                <c:pt idx="1162">
                  <c:v>3912.9895102746173</c:v>
                </c:pt>
                <c:pt idx="1163">
                  <c:v>3919.2759216346931</c:v>
                </c:pt>
                <c:pt idx="1164">
                  <c:v>3925.5657052168622</c:v>
                </c:pt>
                <c:pt idx="1165">
                  <c:v>3931.858859210397</c:v>
                </c:pt>
                <c:pt idx="1166">
                  <c:v>3938.1553818074872</c:v>
                </c:pt>
                <c:pt idx="1167">
                  <c:v>3944.4552712032387</c:v>
                </c:pt>
                <c:pt idx="1168">
                  <c:v>3950.7585255956515</c:v>
                </c:pt>
                <c:pt idx="1169">
                  <c:v>3957.0651431856249</c:v>
                </c:pt>
                <c:pt idx="1170">
                  <c:v>3963.3751221769435</c:v>
                </c:pt>
                <c:pt idx="1171">
                  <c:v>3969.6884607762745</c:v>
                </c:pt>
                <c:pt idx="1172">
                  <c:v>3976.0051571931504</c:v>
                </c:pt>
                <c:pt idx="1173">
                  <c:v>3982.325209639971</c:v>
                </c:pt>
                <c:pt idx="1174">
                  <c:v>3988.648616331996</c:v>
                </c:pt>
                <c:pt idx="1175">
                  <c:v>3994.975375487325</c:v>
                </c:pt>
                <c:pt idx="1176">
                  <c:v>4001.3054853269068</c:v>
                </c:pt>
                <c:pt idx="1177">
                  <c:v>4007.6389440745183</c:v>
                </c:pt>
                <c:pt idx="1178">
                  <c:v>4013.975749956765</c:v>
                </c:pt>
                <c:pt idx="1179">
                  <c:v>4020.3159012030678</c:v>
                </c:pt>
                <c:pt idx="1180">
                  <c:v>4026.659396045663</c:v>
                </c:pt>
                <c:pt idx="1181">
                  <c:v>4033.0062327195869</c:v>
                </c:pt>
                <c:pt idx="1182">
                  <c:v>4039.3564094626727</c:v>
                </c:pt>
                <c:pt idx="1183">
                  <c:v>4045.7099245155446</c:v>
                </c:pt>
                <c:pt idx="1184">
                  <c:v>4052.0667761216055</c:v>
                </c:pt>
                <c:pt idx="1185">
                  <c:v>4058.4269625270299</c:v>
                </c:pt>
                <c:pt idx="1186">
                  <c:v>4064.7904819807668</c:v>
                </c:pt>
                <c:pt idx="1187">
                  <c:v>4071.1573327345172</c:v>
                </c:pt>
                <c:pt idx="1188">
                  <c:v>4077.5275130427372</c:v>
                </c:pt>
                <c:pt idx="1189">
                  <c:v>4083.9010211626282</c:v>
                </c:pt>
                <c:pt idx="1190">
                  <c:v>4090.2778553541298</c:v>
                </c:pt>
                <c:pt idx="1191">
                  <c:v>4096.658013879909</c:v>
                </c:pt>
                <c:pt idx="1192">
                  <c:v>4103.0414950053628</c:v>
                </c:pt>
                <c:pt idx="1193">
                  <c:v>4109.428296998597</c:v>
                </c:pt>
                <c:pt idx="1194">
                  <c:v>4115.8184181304296</c:v>
                </c:pt>
                <c:pt idx="1195">
                  <c:v>4122.2118566743848</c:v>
                </c:pt>
                <c:pt idx="1196">
                  <c:v>4128.6086109066737</c:v>
                </c:pt>
                <c:pt idx="1197">
                  <c:v>4135.008679106204</c:v>
                </c:pt>
                <c:pt idx="1198">
                  <c:v>4141.4120595545619</c:v>
                </c:pt>
                <c:pt idx="1199">
                  <c:v>4147.818750536002</c:v>
                </c:pt>
                <c:pt idx="1200">
                  <c:v>4154.2287503374555</c:v>
                </c:pt>
                <c:pt idx="1201">
                  <c:v>4160.6420572485058</c:v>
                </c:pt>
                <c:pt idx="1202">
                  <c:v>4167.0586695613974</c:v>
                </c:pt>
                <c:pt idx="1203">
                  <c:v>4173.4785855710134</c:v>
                </c:pt>
                <c:pt idx="1204">
                  <c:v>4179.9018035748841</c:v>
                </c:pt>
                <c:pt idx="1205">
                  <c:v>4186.3283218731658</c:v>
                </c:pt>
                <c:pt idx="1206">
                  <c:v>4192.7581387686469</c:v>
                </c:pt>
                <c:pt idx="1207">
                  <c:v>4199.1912525667358</c:v>
                </c:pt>
                <c:pt idx="1208">
                  <c:v>4205.6276615754441</c:v>
                </c:pt>
                <c:pt idx="1209">
                  <c:v>4212.0673641054018</c:v>
                </c:pt>
                <c:pt idx="1210">
                  <c:v>4218.5103584698272</c:v>
                </c:pt>
                <c:pt idx="1211">
                  <c:v>4224.9566429845408</c:v>
                </c:pt>
                <c:pt idx="1212">
                  <c:v>4231.4062159679434</c:v>
                </c:pt>
                <c:pt idx="1213">
                  <c:v>4237.8590757410138</c:v>
                </c:pt>
                <c:pt idx="1214">
                  <c:v>4244.315220627308</c:v>
                </c:pt>
                <c:pt idx="1215">
                  <c:v>4250.7746489529463</c:v>
                </c:pt>
                <c:pt idx="1216">
                  <c:v>4257.2373590466095</c:v>
                </c:pt>
                <c:pt idx="1217">
                  <c:v>4263.7033492395321</c:v>
                </c:pt>
                <c:pt idx="1218">
                  <c:v>4270.172617865489</c:v>
                </c:pt>
                <c:pt idx="1219">
                  <c:v>4276.6451632608032</c:v>
                </c:pt>
                <c:pt idx="1220">
                  <c:v>4283.1209837643273</c:v>
                </c:pt>
                <c:pt idx="1221">
                  <c:v>4289.6000777174431</c:v>
                </c:pt>
                <c:pt idx="1222">
                  <c:v>4296.0824434640508</c:v>
                </c:pt>
                <c:pt idx="1223">
                  <c:v>4302.568079350569</c:v>
                </c:pt>
                <c:pt idx="1224">
                  <c:v>4309.0569837259181</c:v>
                </c:pt>
                <c:pt idx="1225">
                  <c:v>4315.5491549415283</c:v>
                </c:pt>
                <c:pt idx="1226">
                  <c:v>4322.0445913513186</c:v>
                </c:pt>
                <c:pt idx="1227">
                  <c:v>4328.5432913116983</c:v>
                </c:pt>
                <c:pt idx="1228">
                  <c:v>4335.0452531815636</c:v>
                </c:pt>
                <c:pt idx="1229">
                  <c:v>4341.5504753222831</c:v>
                </c:pt>
                <c:pt idx="1230">
                  <c:v>4348.0589560976978</c:v>
                </c:pt>
                <c:pt idx="1231">
                  <c:v>4354.5706938741123</c:v>
                </c:pt>
                <c:pt idx="1232">
                  <c:v>4361.0856870202879</c:v>
                </c:pt>
                <c:pt idx="1233">
                  <c:v>4367.6039339074414</c:v>
                </c:pt>
                <c:pt idx="1234">
                  <c:v>4374.1254329092326</c:v>
                </c:pt>
                <c:pt idx="1235">
                  <c:v>4380.6501824017596</c:v>
                </c:pt>
                <c:pt idx="1236">
                  <c:v>4387.1781807635562</c:v>
                </c:pt>
                <c:pt idx="1237">
                  <c:v>4393.7094263755835</c:v>
                </c:pt>
                <c:pt idx="1238">
                  <c:v>4400.2439176212247</c:v>
                </c:pt>
                <c:pt idx="1239">
                  <c:v>4406.7816528862741</c:v>
                </c:pt>
                <c:pt idx="1240">
                  <c:v>4413.3226305589396</c:v>
                </c:pt>
                <c:pt idx="1241">
                  <c:v>4419.8668490298332</c:v>
                </c:pt>
                <c:pt idx="1242">
                  <c:v>4426.4143066919614</c:v>
                </c:pt>
                <c:pt idx="1243">
                  <c:v>4432.96500194072</c:v>
                </c:pt>
                <c:pt idx="1244">
                  <c:v>4439.5189331738939</c:v>
                </c:pt>
                <c:pt idx="1245">
                  <c:v>4446.0760987916492</c:v>
                </c:pt>
                <c:pt idx="1246">
                  <c:v>4452.6364971965222</c:v>
                </c:pt>
                <c:pt idx="1247">
                  <c:v>4459.2001267934156</c:v>
                </c:pt>
                <c:pt idx="1248">
                  <c:v>4465.7669859895977</c:v>
                </c:pt>
                <c:pt idx="1249">
                  <c:v>4472.3370731946925</c:v>
                </c:pt>
                <c:pt idx="1250">
                  <c:v>4478.9103868206739</c:v>
                </c:pt>
                <c:pt idx="1251">
                  <c:v>4485.4869252818562</c:v>
                </c:pt>
                <c:pt idx="1252">
                  <c:v>4492.0666869949</c:v>
                </c:pt>
                <c:pt idx="1253">
                  <c:v>4498.6496703787934</c:v>
                </c:pt>
                <c:pt idx="1254">
                  <c:v>4505.235873854851</c:v>
                </c:pt>
                <c:pt idx="1255">
                  <c:v>4511.8252958467128</c:v>
                </c:pt>
                <c:pt idx="1256">
                  <c:v>4518.4179347803338</c:v>
                </c:pt>
                <c:pt idx="1257">
                  <c:v>4525.0137890839769</c:v>
                </c:pt>
                <c:pt idx="1258">
                  <c:v>4531.6128571882136</c:v>
                </c:pt>
                <c:pt idx="1259">
                  <c:v>4538.2151375259109</c:v>
                </c:pt>
                <c:pt idx="1260">
                  <c:v>4544.8206285322258</c:v>
                </c:pt>
                <c:pt idx="1261">
                  <c:v>4551.4293286446109</c:v>
                </c:pt>
                <c:pt idx="1262">
                  <c:v>4558.0412363027954</c:v>
                </c:pt>
                <c:pt idx="1263">
                  <c:v>4564.6563499487893</c:v>
                </c:pt>
                <c:pt idx="1264">
                  <c:v>4571.2746680268692</c:v>
                </c:pt>
                <c:pt idx="1265">
                  <c:v>4577.8961889835791</c:v>
                </c:pt>
                <c:pt idx="1266">
                  <c:v>4584.5209112677248</c:v>
                </c:pt>
                <c:pt idx="1267">
                  <c:v>4591.1488333303605</c:v>
                </c:pt>
                <c:pt idx="1268">
                  <c:v>4597.7799536247985</c:v>
                </c:pt>
                <c:pt idx="1269">
                  <c:v>4604.4142706065886</c:v>
                </c:pt>
                <c:pt idx="1270">
                  <c:v>4611.0517827335188</c:v>
                </c:pt>
                <c:pt idx="1271">
                  <c:v>4617.6924884656119</c:v>
                </c:pt>
                <c:pt idx="1272">
                  <c:v>4624.3363862651204</c:v>
                </c:pt>
                <c:pt idx="1273">
                  <c:v>4630.9834745965109</c:v>
                </c:pt>
                <c:pt idx="1274">
                  <c:v>4637.6337519264771</c:v>
                </c:pt>
                <c:pt idx="1275">
                  <c:v>4644.2872167239175</c:v>
                </c:pt>
                <c:pt idx="1276">
                  <c:v>4650.943867459936</c:v>
                </c:pt>
                <c:pt idx="1277">
                  <c:v>4657.6037026078384</c:v>
                </c:pt>
                <c:pt idx="1278">
                  <c:v>4664.2667206431306</c:v>
                </c:pt>
                <c:pt idx="1279">
                  <c:v>4670.9329200435004</c:v>
                </c:pt>
                <c:pt idx="1280">
                  <c:v>4677.6022992888302</c:v>
                </c:pt>
                <c:pt idx="1281">
                  <c:v>4684.2748568611705</c:v>
                </c:pt>
                <c:pt idx="1282">
                  <c:v>4690.9505912447576</c:v>
                </c:pt>
                <c:pt idx="1283">
                  <c:v>4697.6295009259911</c:v>
                </c:pt>
                <c:pt idx="1284">
                  <c:v>4704.3115843934384</c:v>
                </c:pt>
                <c:pt idx="1285">
                  <c:v>4710.9968401378192</c:v>
                </c:pt>
                <c:pt idx="1286">
                  <c:v>4717.6852666520117</c:v>
                </c:pt>
                <c:pt idx="1287">
                  <c:v>4724.3768624310442</c:v>
                </c:pt>
                <c:pt idx="1288">
                  <c:v>4731.0716259720875</c:v>
                </c:pt>
                <c:pt idx="1289">
                  <c:v>4737.7695557744473</c:v>
                </c:pt>
                <c:pt idx="1290">
                  <c:v>4744.4706503395691</c:v>
                </c:pt>
                <c:pt idx="1291">
                  <c:v>4751.1749081710223</c:v>
                </c:pt>
                <c:pt idx="1292">
                  <c:v>4757.8823277745014</c:v>
                </c:pt>
                <c:pt idx="1293">
                  <c:v>4764.5929076578186</c:v>
                </c:pt>
                <c:pt idx="1294">
                  <c:v>4771.3066463308969</c:v>
                </c:pt>
                <c:pt idx="1295">
                  <c:v>4778.0235423057757</c:v>
                </c:pt>
                <c:pt idx="1296">
                  <c:v>4784.7435940965861</c:v>
                </c:pt>
                <c:pt idx="1297">
                  <c:v>4791.4668002195685</c:v>
                </c:pt>
                <c:pt idx="1298">
                  <c:v>4798.1931591930515</c:v>
                </c:pt>
                <c:pt idx="1299">
                  <c:v>4804.9226695374527</c:v>
                </c:pt>
                <c:pt idx="1300">
                  <c:v>4811.6553297752735</c:v>
                </c:pt>
                <c:pt idx="1301">
                  <c:v>4818.391138431095</c:v>
                </c:pt>
                <c:pt idx="1302">
                  <c:v>4825.1300940315714</c:v>
                </c:pt>
                <c:pt idx="1303">
                  <c:v>4831.8721951054258</c:v>
                </c:pt>
                <c:pt idx="1304">
                  <c:v>4838.617440183446</c:v>
                </c:pt>
                <c:pt idx="1305">
                  <c:v>4845.3658277984769</c:v>
                </c:pt>
                <c:pt idx="1306">
                  <c:v>4852.1173564854225</c:v>
                </c:pt>
                <c:pt idx="1307">
                  <c:v>4858.8720247812344</c:v>
                </c:pt>
                <c:pt idx="1308">
                  <c:v>4865.6298312249055</c:v>
                </c:pt>
                <c:pt idx="1309">
                  <c:v>4872.3907743574773</c:v>
                </c:pt>
                <c:pt idx="1310">
                  <c:v>4879.1548527220184</c:v>
                </c:pt>
                <c:pt idx="1311">
                  <c:v>4885.9220648636319</c:v>
                </c:pt>
                <c:pt idx="1312">
                  <c:v>4892.6924093294456</c:v>
                </c:pt>
                <c:pt idx="1313">
                  <c:v>4899.4658846686125</c:v>
                </c:pt>
                <c:pt idx="1314">
                  <c:v>4906.2424894322949</c:v>
                </c:pt>
                <c:pt idx="1315">
                  <c:v>4913.0222221736758</c:v>
                </c:pt>
                <c:pt idx="1316">
                  <c:v>4919.8050814479393</c:v>
                </c:pt>
                <c:pt idx="1317">
                  <c:v>4926.5910658122757</c:v>
                </c:pt>
                <c:pt idx="1318">
                  <c:v>4933.3801738258699</c:v>
                </c:pt>
                <c:pt idx="1319">
                  <c:v>4940.1724040498993</c:v>
                </c:pt>
                <c:pt idx="1320">
                  <c:v>4946.967755047539</c:v>
                </c:pt>
                <c:pt idx="1321">
                  <c:v>4953.766225383938</c:v>
                </c:pt>
                <c:pt idx="1322">
                  <c:v>4960.5678136262286</c:v>
                </c:pt>
                <c:pt idx="1323">
                  <c:v>4967.3725183435226</c:v>
                </c:pt>
                <c:pt idx="1324">
                  <c:v>4974.1803381068958</c:v>
                </c:pt>
                <c:pt idx="1325">
                  <c:v>4980.9912714893917</c:v>
                </c:pt>
                <c:pt idx="1326">
                  <c:v>4987.8053170660205</c:v>
                </c:pt>
                <c:pt idx="1327">
                  <c:v>4994.6224734137422</c:v>
                </c:pt>
                <c:pt idx="1328">
                  <c:v>5001.4427391114741</c:v>
                </c:pt>
                <c:pt idx="1329">
                  <c:v>5008.2661127400797</c:v>
                </c:pt>
                <c:pt idx="1330">
                  <c:v>5015.0925928823663</c:v>
                </c:pt>
                <c:pt idx="1331">
                  <c:v>5021.9221781230826</c:v>
                </c:pt>
                <c:pt idx="1332">
                  <c:v>5028.7548670489068</c:v>
                </c:pt>
                <c:pt idx="1333">
                  <c:v>5035.5906582484549</c:v>
                </c:pt>
                <c:pt idx="1334">
                  <c:v>5042.4295503122648</c:v>
                </c:pt>
                <c:pt idx="1335">
                  <c:v>5049.2715418327953</c:v>
                </c:pt>
                <c:pt idx="1336">
                  <c:v>5056.1166314044203</c:v>
                </c:pt>
                <c:pt idx="1337">
                  <c:v>5062.964817623435</c:v>
                </c:pt>
                <c:pt idx="1338">
                  <c:v>5069.8160990880351</c:v>
                </c:pt>
                <c:pt idx="1339">
                  <c:v>5076.6704743983228</c:v>
                </c:pt>
                <c:pt idx="1340">
                  <c:v>5083.5279421563</c:v>
                </c:pt>
                <c:pt idx="1341">
                  <c:v>5090.3885009658688</c:v>
                </c:pt>
                <c:pt idx="1342">
                  <c:v>5097.2521494328194</c:v>
                </c:pt>
                <c:pt idx="1343">
                  <c:v>5104.1188861648225</c:v>
                </c:pt>
                <c:pt idx="1344">
                  <c:v>5110.9887097714436</c:v>
                </c:pt>
                <c:pt idx="1345">
                  <c:v>5117.8616188641172</c:v>
                </c:pt>
                <c:pt idx="1346">
                  <c:v>5124.7376120561566</c:v>
                </c:pt>
                <c:pt idx="1347">
                  <c:v>5131.6166879627463</c:v>
                </c:pt>
                <c:pt idx="1348">
                  <c:v>5138.4988452009329</c:v>
                </c:pt>
                <c:pt idx="1349">
                  <c:v>5145.3840823896298</c:v>
                </c:pt>
                <c:pt idx="1350">
                  <c:v>5152.2723981496019</c:v>
                </c:pt>
                <c:pt idx="1351">
                  <c:v>5159.1637911034713</c:v>
                </c:pt>
                <c:pt idx="1352">
                  <c:v>5166.0582598757073</c:v>
                </c:pt>
                <c:pt idx="1353">
                  <c:v>5172.9558030926291</c:v>
                </c:pt>
                <c:pt idx="1354">
                  <c:v>5179.8564193823886</c:v>
                </c:pt>
                <c:pt idx="1355">
                  <c:v>5186.7601073749847</c:v>
                </c:pt>
                <c:pt idx="1356">
                  <c:v>5193.6668657022392</c:v>
                </c:pt>
                <c:pt idx="1357">
                  <c:v>5200.5766929978117</c:v>
                </c:pt>
                <c:pt idx="1358">
                  <c:v>5207.4895878971774</c:v>
                </c:pt>
                <c:pt idx="1359">
                  <c:v>5214.4055490376377</c:v>
                </c:pt>
                <c:pt idx="1360">
                  <c:v>5221.324575058311</c:v>
                </c:pt>
                <c:pt idx="1361">
                  <c:v>5228.2466646001249</c:v>
                </c:pt>
                <c:pt idx="1362">
                  <c:v>5235.1718163058176</c:v>
                </c:pt>
                <c:pt idx="1363">
                  <c:v>5242.100028819932</c:v>
                </c:pt>
                <c:pt idx="1364">
                  <c:v>5249.0313007888089</c:v>
                </c:pt>
                <c:pt idx="1365">
                  <c:v>5255.9656308605863</c:v>
                </c:pt>
                <c:pt idx="1366">
                  <c:v>5262.9030176851984</c:v>
                </c:pt>
                <c:pt idx="1367">
                  <c:v>5269.8434599143675</c:v>
                </c:pt>
                <c:pt idx="1368">
                  <c:v>5276.7869562015912</c:v>
                </c:pt>
                <c:pt idx="1369">
                  <c:v>5283.7335052021581</c:v>
                </c:pt>
                <c:pt idx="1370">
                  <c:v>5290.6831055731309</c:v>
                </c:pt>
                <c:pt idx="1371">
                  <c:v>5297.635755973346</c:v>
                </c:pt>
                <c:pt idx="1372">
                  <c:v>5304.5914550634025</c:v>
                </c:pt>
                <c:pt idx="1373">
                  <c:v>5311.5502015056691</c:v>
                </c:pt>
                <c:pt idx="1374">
                  <c:v>5318.5119939642791</c:v>
                </c:pt>
                <c:pt idx="1375">
                  <c:v>5325.4768311051175</c:v>
                </c:pt>
                <c:pt idx="1376">
                  <c:v>5332.4447115958301</c:v>
                </c:pt>
                <c:pt idx="1377">
                  <c:v>5339.4156341057969</c:v>
                </c:pt>
                <c:pt idx="1378">
                  <c:v>5346.3895973061608</c:v>
                </c:pt>
                <c:pt idx="1379">
                  <c:v>5353.3665998697952</c:v>
                </c:pt>
                <c:pt idx="1380">
                  <c:v>5360.346640471319</c:v>
                </c:pt>
                <c:pt idx="1381">
                  <c:v>5367.3297177870827</c:v>
                </c:pt>
                <c:pt idx="1382">
                  <c:v>5374.315830495163</c:v>
                </c:pt>
                <c:pt idx="1383">
                  <c:v>5381.304977275372</c:v>
                </c:pt>
                <c:pt idx="1384">
                  <c:v>5388.2971568092371</c:v>
                </c:pt>
                <c:pt idx="1385">
                  <c:v>5395.2923677800072</c:v>
                </c:pt>
                <c:pt idx="1386">
                  <c:v>5402.2906088726513</c:v>
                </c:pt>
                <c:pt idx="1387">
                  <c:v>5409.2918787738436</c:v>
                </c:pt>
                <c:pt idx="1388">
                  <c:v>5416.2961761719716</c:v>
                </c:pt>
                <c:pt idx="1389">
                  <c:v>5423.3034997571185</c:v>
                </c:pt>
                <c:pt idx="1390">
                  <c:v>5430.3138482210852</c:v>
                </c:pt>
                <c:pt idx="1391">
                  <c:v>5437.3272202573489</c:v>
                </c:pt>
                <c:pt idx="1392">
                  <c:v>5444.3436145610985</c:v>
                </c:pt>
                <c:pt idx="1393">
                  <c:v>5451.3630298291991</c:v>
                </c:pt>
                <c:pt idx="1394">
                  <c:v>5458.3854647602066</c:v>
                </c:pt>
                <c:pt idx="1395">
                  <c:v>5465.4109180543592</c:v>
                </c:pt>
                <c:pt idx="1396">
                  <c:v>5472.4393884135798</c:v>
                </c:pt>
                <c:pt idx="1397">
                  <c:v>5479.4708745414555</c:v>
                </c:pt>
                <c:pt idx="1398">
                  <c:v>5486.505375143257</c:v>
                </c:pt>
                <c:pt idx="1399">
                  <c:v>5493.5428889259074</c:v>
                </c:pt>
                <c:pt idx="1400">
                  <c:v>5500.5834145980125</c:v>
                </c:pt>
                <c:pt idx="1401">
                  <c:v>5507.6269508698242</c:v>
                </c:pt>
                <c:pt idx="1402">
                  <c:v>5514.6734964532579</c:v>
                </c:pt>
                <c:pt idx="1403">
                  <c:v>5521.7230500618834</c:v>
                </c:pt>
                <c:pt idx="1404">
                  <c:v>5528.7756104109203</c:v>
                </c:pt>
                <c:pt idx="1405">
                  <c:v>5535.8311762172307</c:v>
                </c:pt>
                <c:pt idx="1406">
                  <c:v>5542.8897461993274</c:v>
                </c:pt>
                <c:pt idx="1407">
                  <c:v>5549.9513190773523</c:v>
                </c:pt>
                <c:pt idx="1408">
                  <c:v>5557.0158935730942</c:v>
                </c:pt>
                <c:pt idx="1409">
                  <c:v>5564.0834684099709</c:v>
                </c:pt>
                <c:pt idx="1410">
                  <c:v>5571.1540423130255</c:v>
                </c:pt>
                <c:pt idx="1411">
                  <c:v>5578.227614008928</c:v>
                </c:pt>
                <c:pt idx="1412">
                  <c:v>5585.3041822259765</c:v>
                </c:pt>
                <c:pt idx="1413">
                  <c:v>5592.383745694081</c:v>
                </c:pt>
                <c:pt idx="1414">
                  <c:v>5599.4663031447717</c:v>
                </c:pt>
                <c:pt idx="1415">
                  <c:v>5606.5518533111872</c:v>
                </c:pt>
                <c:pt idx="1416">
                  <c:v>5613.6403949280784</c:v>
                </c:pt>
                <c:pt idx="1417">
                  <c:v>5620.7319267317944</c:v>
                </c:pt>
                <c:pt idx="1418">
                  <c:v>5627.8264474602975</c:v>
                </c:pt>
                <c:pt idx="1419">
                  <c:v>5634.9239558531335</c:v>
                </c:pt>
                <c:pt idx="1420">
                  <c:v>5642.0244506514546</c:v>
                </c:pt>
                <c:pt idx="1421">
                  <c:v>5649.1279305980061</c:v>
                </c:pt>
                <c:pt idx="1422">
                  <c:v>5656.2343944371087</c:v>
                </c:pt>
                <c:pt idx="1423">
                  <c:v>5663.3438409146802</c:v>
                </c:pt>
                <c:pt idx="1424">
                  <c:v>5670.4562687782136</c:v>
                </c:pt>
                <c:pt idx="1425">
                  <c:v>5677.5716767767826</c:v>
                </c:pt>
                <c:pt idx="1426">
                  <c:v>5684.6900636610426</c:v>
                </c:pt>
                <c:pt idx="1427">
                  <c:v>5691.8114281832031</c:v>
                </c:pt>
                <c:pt idx="1428">
                  <c:v>5698.9357690970564</c:v>
                </c:pt>
                <c:pt idx="1429">
                  <c:v>5706.0630851579581</c:v>
                </c:pt>
                <c:pt idx="1430">
                  <c:v>5713.1933751228198</c:v>
                </c:pt>
                <c:pt idx="1431">
                  <c:v>5720.3266377501186</c:v>
                </c:pt>
                <c:pt idx="1432">
                  <c:v>5727.4628717998821</c:v>
                </c:pt>
                <c:pt idx="1433">
                  <c:v>5734.6020760336905</c:v>
                </c:pt>
                <c:pt idx="1434">
                  <c:v>5741.7442492146747</c:v>
                </c:pt>
                <c:pt idx="1435">
                  <c:v>5748.8893901075062</c:v>
                </c:pt>
                <c:pt idx="1436">
                  <c:v>5756.037497478409</c:v>
                </c:pt>
                <c:pt idx="1437">
                  <c:v>5763.1885700951352</c:v>
                </c:pt>
                <c:pt idx="1438">
                  <c:v>5770.3426067269775</c:v>
                </c:pt>
                <c:pt idx="1439">
                  <c:v>5777.4996061447637</c:v>
                </c:pt>
                <c:pt idx="1440">
                  <c:v>5784.6595671208461</c:v>
                </c:pt>
                <c:pt idx="1441">
                  <c:v>5791.8224884291085</c:v>
                </c:pt>
                <c:pt idx="1442">
                  <c:v>5798.9883688449545</c:v>
                </c:pt>
                <c:pt idx="1443">
                  <c:v>5806.1572071453065</c:v>
                </c:pt>
                <c:pt idx="1444">
                  <c:v>5813.3290021086095</c:v>
                </c:pt>
                <c:pt idx="1445">
                  <c:v>5820.5037525148136</c:v>
                </c:pt>
                <c:pt idx="1446">
                  <c:v>5827.6814571453924</c:v>
                </c:pt>
                <c:pt idx="1447">
                  <c:v>5834.862114783311</c:v>
                </c:pt>
                <c:pt idx="1448">
                  <c:v>5842.0457242130515</c:v>
                </c:pt>
                <c:pt idx="1449">
                  <c:v>5849.232284220594</c:v>
                </c:pt>
                <c:pt idx="1450">
                  <c:v>5856.4217935934139</c:v>
                </c:pt>
                <c:pt idx="1451">
                  <c:v>5863.6142511204844</c:v>
                </c:pt>
                <c:pt idx="1452">
                  <c:v>5870.8096555922712</c:v>
                </c:pt>
                <c:pt idx="1453">
                  <c:v>5878.0080058007243</c:v>
                </c:pt>
                <c:pt idx="1454">
                  <c:v>5885.2093005392899</c:v>
                </c:pt>
                <c:pt idx="1455">
                  <c:v>5892.413538602882</c:v>
                </c:pt>
                <c:pt idx="1456">
                  <c:v>5899.6207187879099</c:v>
                </c:pt>
                <c:pt idx="1457">
                  <c:v>5906.8308398922463</c:v>
                </c:pt>
                <c:pt idx="1458">
                  <c:v>5914.0439007152536</c:v>
                </c:pt>
                <c:pt idx="1459">
                  <c:v>5921.2599000577484</c:v>
                </c:pt>
                <c:pt idx="1460">
                  <c:v>5928.4788367220226</c:v>
                </c:pt>
                <c:pt idx="1461">
                  <c:v>5935.700709511837</c:v>
                </c:pt>
                <c:pt idx="1462">
                  <c:v>5942.9255172324056</c:v>
                </c:pt>
                <c:pt idx="1463">
                  <c:v>5950.1532586904059</c:v>
                </c:pt>
                <c:pt idx="1464">
                  <c:v>5957.3839326939751</c:v>
                </c:pt>
                <c:pt idx="1465">
                  <c:v>5964.6175380526965</c:v>
                </c:pt>
                <c:pt idx="1466">
                  <c:v>5971.854073577605</c:v>
                </c:pt>
                <c:pt idx="1467">
                  <c:v>5979.0935380811879</c:v>
                </c:pt>
                <c:pt idx="1468">
                  <c:v>5986.3359303773659</c:v>
                </c:pt>
                <c:pt idx="1469">
                  <c:v>5993.5812492815112</c:v>
                </c:pt>
                <c:pt idx="1470">
                  <c:v>6000.8294936104312</c:v>
                </c:pt>
                <c:pt idx="1471">
                  <c:v>6008.0806621823667</c:v>
                </c:pt>
                <c:pt idx="1472">
                  <c:v>6015.334753816991</c:v>
                </c:pt>
                <c:pt idx="1473">
                  <c:v>6022.5917673354079</c:v>
                </c:pt>
                <c:pt idx="1474">
                  <c:v>6029.8517015601501</c:v>
                </c:pt>
                <c:pt idx="1475">
                  <c:v>6037.1145553151673</c:v>
                </c:pt>
                <c:pt idx="1476">
                  <c:v>6044.3803274258444</c:v>
                </c:pt>
                <c:pt idx="1477">
                  <c:v>6051.6490167189631</c:v>
                </c:pt>
                <c:pt idx="1478">
                  <c:v>6058.9206220227379</c:v>
                </c:pt>
                <c:pt idx="1479">
                  <c:v>6066.1951421667918</c:v>
                </c:pt>
                <c:pt idx="1480">
                  <c:v>6073.4725759821486</c:v>
                </c:pt>
                <c:pt idx="1481">
                  <c:v>6080.7529223012498</c:v>
                </c:pt>
                <c:pt idx="1482">
                  <c:v>6088.0361799579359</c:v>
                </c:pt>
                <c:pt idx="1483">
                  <c:v>6095.3223477874499</c:v>
                </c:pt>
                <c:pt idx="1484">
                  <c:v>6102.6114246264306</c:v>
                </c:pt>
                <c:pt idx="1485">
                  <c:v>6109.9034093129112</c:v>
                </c:pt>
                <c:pt idx="1486">
                  <c:v>6117.1983006863247</c:v>
                </c:pt>
                <c:pt idx="1487">
                  <c:v>6124.4960975874874</c:v>
                </c:pt>
                <c:pt idx="1488">
                  <c:v>6131.7967988586006</c:v>
                </c:pt>
                <c:pt idx="1489">
                  <c:v>6139.10040334326</c:v>
                </c:pt>
                <c:pt idx="1490">
                  <c:v>6146.4069098864366</c:v>
                </c:pt>
                <c:pt idx="1491">
                  <c:v>6153.7163173344761</c:v>
                </c:pt>
                <c:pt idx="1492">
                  <c:v>6161.0286245351062</c:v>
                </c:pt>
                <c:pt idx="1493">
                  <c:v>6168.3438303374296</c:v>
                </c:pt>
                <c:pt idx="1494">
                  <c:v>6175.6619335919113</c:v>
                </c:pt>
                <c:pt idx="1495">
                  <c:v>6182.9829331503943</c:v>
                </c:pt>
                <c:pt idx="1496">
                  <c:v>6190.3068278660794</c:v>
                </c:pt>
                <c:pt idx="1497">
                  <c:v>6197.6336165935327</c:v>
                </c:pt>
                <c:pt idx="1498">
                  <c:v>6204.9632981886762</c:v>
                </c:pt>
                <c:pt idx="1499">
                  <c:v>6212.2958715087971</c:v>
                </c:pt>
                <c:pt idx="1500">
                  <c:v>6219.6313354125341</c:v>
                </c:pt>
                <c:pt idx="1501">
                  <c:v>6226.9696887598693</c:v>
                </c:pt>
                <c:pt idx="1502">
                  <c:v>6234.3109304121454</c:v>
                </c:pt>
                <c:pt idx="1503">
                  <c:v>6241.6550592320455</c:v>
                </c:pt>
                <c:pt idx="1504">
                  <c:v>6249.0020740835935</c:v>
                </c:pt>
                <c:pt idx="1505">
                  <c:v>6256.3519738321656</c:v>
                </c:pt>
                <c:pt idx="1506">
                  <c:v>6263.7047573444661</c:v>
                </c:pt>
                <c:pt idx="1507">
                  <c:v>6271.0604234885395</c:v>
                </c:pt>
                <c:pt idx="1508">
                  <c:v>6278.4189711337594</c:v>
                </c:pt>
                <c:pt idx="1509">
                  <c:v>6285.7803991508354</c:v>
                </c:pt>
                <c:pt idx="1510">
                  <c:v>6293.144706411802</c:v>
                </c:pt>
                <c:pt idx="1511">
                  <c:v>6300.5118917900199</c:v>
                </c:pt>
                <c:pt idx="1512">
                  <c:v>6307.8819541601715</c:v>
                </c:pt>
                <c:pt idx="1513">
                  <c:v>6315.2548923982622</c:v>
                </c:pt>
                <c:pt idx="1514">
                  <c:v>6322.6307053816108</c:v>
                </c:pt>
                <c:pt idx="1515">
                  <c:v>6330.0093919888568</c:v>
                </c:pt>
                <c:pt idx="1516">
                  <c:v>6337.3909510999465</c:v>
                </c:pt>
                <c:pt idx="1517">
                  <c:v>6344.7753815961396</c:v>
                </c:pt>
                <c:pt idx="1518">
                  <c:v>6352.16268236</c:v>
                </c:pt>
                <c:pt idx="1519">
                  <c:v>6359.5528522754039</c:v>
                </c:pt>
                <c:pt idx="1520">
                  <c:v>6366.9458902275164</c:v>
                </c:pt>
                <c:pt idx="1521">
                  <c:v>6374.3417951028187</c:v>
                </c:pt>
                <c:pt idx="1522">
                  <c:v>6381.7405657890722</c:v>
                </c:pt>
                <c:pt idx="1523">
                  <c:v>6389.1422011753502</c:v>
                </c:pt>
                <c:pt idx="1524">
                  <c:v>6396.5467001520046</c:v>
                </c:pt>
                <c:pt idx="1525">
                  <c:v>6403.9540616106806</c:v>
                </c:pt>
                <c:pt idx="1526">
                  <c:v>6411.3642844443175</c:v>
                </c:pt>
                <c:pt idx="1527">
                  <c:v>6418.7773675471299</c:v>
                </c:pt>
                <c:pt idx="1528">
                  <c:v>6426.1933098146183</c:v>
                </c:pt>
                <c:pt idx="1529">
                  <c:v>6433.6121101435656</c:v>
                </c:pt>
                <c:pt idx="1530">
                  <c:v>6441.0337674320299</c:v>
                </c:pt>
                <c:pt idx="1531">
                  <c:v>6448.4582805793398</c:v>
                </c:pt>
                <c:pt idx="1532">
                  <c:v>6455.8856484861008</c:v>
                </c:pt>
                <c:pt idx="1533">
                  <c:v>6463.3158700541935</c:v>
                </c:pt>
                <c:pt idx="1534">
                  <c:v>6470.7489441867565</c:v>
                </c:pt>
                <c:pt idx="1535">
                  <c:v>6478.1848697881924</c:v>
                </c:pt>
                <c:pt idx="1536">
                  <c:v>6485.6236457641762</c:v>
                </c:pt>
                <c:pt idx="1537">
                  <c:v>6493.0652710216382</c:v>
                </c:pt>
                <c:pt idx="1538">
                  <c:v>6500.5097444687644</c:v>
                </c:pt>
                <c:pt idx="1539">
                  <c:v>6507.9570650149972</c:v>
                </c:pt>
                <c:pt idx="1540">
                  <c:v>6515.4072315710355</c:v>
                </c:pt>
                <c:pt idx="1541">
                  <c:v>6522.8602430488208</c:v>
                </c:pt>
                <c:pt idx="1542">
                  <c:v>6530.3160983615553</c:v>
                </c:pt>
                <c:pt idx="1543">
                  <c:v>6537.7747964236705</c:v>
                </c:pt>
                <c:pt idx="1544">
                  <c:v>6545.2363361508533</c:v>
                </c:pt>
                <c:pt idx="1545">
                  <c:v>6552.7007164600309</c:v>
                </c:pt>
                <c:pt idx="1546">
                  <c:v>6560.1679362693631</c:v>
                </c:pt>
                <c:pt idx="1547">
                  <c:v>6567.6379944982536</c:v>
                </c:pt>
                <c:pt idx="1548">
                  <c:v>6575.1108900673307</c:v>
                </c:pt>
                <c:pt idx="1549">
                  <c:v>6582.5866218984611</c:v>
                </c:pt>
                <c:pt idx="1550">
                  <c:v>6590.0651889147439</c:v>
                </c:pt>
                <c:pt idx="1551">
                  <c:v>6597.5465900404943</c:v>
                </c:pt>
                <c:pt idx="1552">
                  <c:v>6605.0308242012579</c:v>
                </c:pt>
                <c:pt idx="1553">
                  <c:v>6612.5178903238075</c:v>
                </c:pt>
                <c:pt idx="1554">
                  <c:v>6620.0077873361242</c:v>
                </c:pt>
                <c:pt idx="1555">
                  <c:v>6627.5005141674164</c:v>
                </c:pt>
                <c:pt idx="1556">
                  <c:v>6634.9960697481065</c:v>
                </c:pt>
                <c:pt idx="1557">
                  <c:v>6642.4944530098255</c:v>
                </c:pt>
                <c:pt idx="1558">
                  <c:v>6649.9956628854197</c:v>
                </c:pt>
                <c:pt idx="1559">
                  <c:v>6657.4996983089432</c:v>
                </c:pt>
                <c:pt idx="1560">
                  <c:v>6665.0065582156503</c:v>
                </c:pt>
                <c:pt idx="1561">
                  <c:v>6672.5162415420036</c:v>
                </c:pt>
                <c:pt idx="1562">
                  <c:v>6680.0287472256714</c:v>
                </c:pt>
                <c:pt idx="1563">
                  <c:v>6687.5440742055171</c:v>
                </c:pt>
                <c:pt idx="1564">
                  <c:v>6695.0622214215964</c:v>
                </c:pt>
                <c:pt idx="1565">
                  <c:v>6702.5831878151739</c:v>
                </c:pt>
                <c:pt idx="1566">
                  <c:v>6710.1069723286892</c:v>
                </c:pt>
                <c:pt idx="1567">
                  <c:v>6717.6335739057831</c:v>
                </c:pt>
                <c:pt idx="1568">
                  <c:v>6725.1629914912837</c:v>
                </c:pt>
                <c:pt idx="1569">
                  <c:v>6732.6952240312012</c:v>
                </c:pt>
                <c:pt idx="1570">
                  <c:v>6740.2302704727326</c:v>
                </c:pt>
                <c:pt idx="1571">
                  <c:v>6747.7681297642557</c:v>
                </c:pt>
                <c:pt idx="1572">
                  <c:v>6755.3088008553259</c:v>
                </c:pt>
                <c:pt idx="1573">
                  <c:v>6762.852282696681</c:v>
                </c:pt>
                <c:pt idx="1574">
                  <c:v>6770.3985742402238</c:v>
                </c:pt>
                <c:pt idx="1575">
                  <c:v>6777.9476744390404</c:v>
                </c:pt>
                <c:pt idx="1576">
                  <c:v>6785.4995822473793</c:v>
                </c:pt>
                <c:pt idx="1577">
                  <c:v>6793.0542966206631</c:v>
                </c:pt>
                <c:pt idx="1578">
                  <c:v>6800.6118165154749</c:v>
                </c:pt>
                <c:pt idx="1579">
                  <c:v>6808.1721408895646</c:v>
                </c:pt>
                <c:pt idx="1580">
                  <c:v>6815.7352687018474</c:v>
                </c:pt>
                <c:pt idx="1581">
                  <c:v>6823.3011989123925</c:v>
                </c:pt>
                <c:pt idx="1582">
                  <c:v>6830.8699304824277</c:v>
                </c:pt>
                <c:pt idx="1583">
                  <c:v>6838.4414623743396</c:v>
                </c:pt>
                <c:pt idx="1584">
                  <c:v>6846.0157935516618</c:v>
                </c:pt>
                <c:pt idx="1585">
                  <c:v>6853.5929229790863</c:v>
                </c:pt>
                <c:pt idx="1586">
                  <c:v>6861.1728496224478</c:v>
                </c:pt>
                <c:pt idx="1587">
                  <c:v>6868.7555724487302</c:v>
                </c:pt>
                <c:pt idx="1588">
                  <c:v>6876.3410904260627</c:v>
                </c:pt>
                <c:pt idx="1589">
                  <c:v>6883.9294025237159</c:v>
                </c:pt>
                <c:pt idx="1590">
                  <c:v>6891.5205077121018</c:v>
                </c:pt>
                <c:pt idx="1591">
                  <c:v>6899.1144049627719</c:v>
                </c:pt>
                <c:pt idx="1592">
                  <c:v>6906.711093248412</c:v>
                </c:pt>
                <c:pt idx="1593">
                  <c:v>6914.3105715428364</c:v>
                </c:pt>
                <c:pt idx="1594">
                  <c:v>6921.9128388210056</c:v>
                </c:pt>
                <c:pt idx="1595">
                  <c:v>6929.5178940589958</c:v>
                </c:pt>
                <c:pt idx="1596">
                  <c:v>6937.1257362340184</c:v>
                </c:pt>
                <c:pt idx="1597">
                  <c:v>6944.7363643244144</c:v>
                </c:pt>
                <c:pt idx="1598">
                  <c:v>6952.349777309636</c:v>
                </c:pt>
                <c:pt idx="1599">
                  <c:v>6959.9659741702699</c:v>
                </c:pt>
                <c:pt idx="1600">
                  <c:v>6967.5849538880138</c:v>
                </c:pt>
                <c:pt idx="1601">
                  <c:v>6975.2067154456863</c:v>
                </c:pt>
                <c:pt idx="1602">
                  <c:v>6982.8312578272262</c:v>
                </c:pt>
                <c:pt idx="1603">
                  <c:v>6990.4585800176737</c:v>
                </c:pt>
                <c:pt idx="1604">
                  <c:v>6998.0886810031952</c:v>
                </c:pt>
                <c:pt idx="1605">
                  <c:v>7005.7215597710547</c:v>
                </c:pt>
                <c:pt idx="1606">
                  <c:v>7013.3572153096329</c:v>
                </c:pt>
                <c:pt idx="1607">
                  <c:v>7020.9956466084041</c:v>
                </c:pt>
                <c:pt idx="1608">
                  <c:v>7028.6368526579608</c:v>
                </c:pt>
                <c:pt idx="1609">
                  <c:v>7036.280832449982</c:v>
                </c:pt>
                <c:pt idx="1610">
                  <c:v>7043.9275849772603</c:v>
                </c:pt>
                <c:pt idx="1611">
                  <c:v>7051.5771092336718</c:v>
                </c:pt>
                <c:pt idx="1612">
                  <c:v>7059.2294042141984</c:v>
                </c:pt>
                <c:pt idx="1613">
                  <c:v>7066.8844689149155</c:v>
                </c:pt>
                <c:pt idx="1614">
                  <c:v>7074.5423023329777</c:v>
                </c:pt>
                <c:pt idx="1615">
                  <c:v>7082.2029034666421</c:v>
                </c:pt>
                <c:pt idx="1616">
                  <c:v>7089.8662713152507</c:v>
                </c:pt>
                <c:pt idx="1617">
                  <c:v>7097.5324048792263</c:v>
                </c:pt>
                <c:pt idx="1618">
                  <c:v>7105.2013031600773</c:v>
                </c:pt>
                <c:pt idx="1619">
                  <c:v>7112.8729651604017</c:v>
                </c:pt>
                <c:pt idx="1620">
                  <c:v>7120.5473898838554</c:v>
                </c:pt>
                <c:pt idx="1621">
                  <c:v>7128.2245763352039</c:v>
                </c:pt>
                <c:pt idx="1622">
                  <c:v>7135.9045235202602</c:v>
                </c:pt>
                <c:pt idx="1623">
                  <c:v>7143.587230445919</c:v>
                </c:pt>
                <c:pt idx="1624">
                  <c:v>7151.2726961201615</c:v>
                </c:pt>
                <c:pt idx="1625">
                  <c:v>7158.9609195520143</c:v>
                </c:pt>
                <c:pt idx="1626">
                  <c:v>7166.6518997515923</c:v>
                </c:pt>
                <c:pt idx="1627">
                  <c:v>7174.3456357300674</c:v>
                </c:pt>
                <c:pt idx="1628">
                  <c:v>7182.0421264996803</c:v>
                </c:pt>
                <c:pt idx="1629">
                  <c:v>7189.7413710737228</c:v>
                </c:pt>
                <c:pt idx="1630">
                  <c:v>7197.4433684665637</c:v>
                </c:pt>
                <c:pt idx="1631">
                  <c:v>7205.1481176936195</c:v>
                </c:pt>
                <c:pt idx="1632">
                  <c:v>7212.8556177713581</c:v>
                </c:pt>
                <c:pt idx="1633">
                  <c:v>7220.5658677173224</c:v>
                </c:pt>
                <c:pt idx="1634">
                  <c:v>7228.2788665500839</c:v>
                </c:pt>
                <c:pt idx="1635">
                  <c:v>7235.9946132892874</c:v>
                </c:pt>
                <c:pt idx="1636">
                  <c:v>7243.7131069555999</c:v>
                </c:pt>
                <c:pt idx="1637">
                  <c:v>7251.4343465707689</c:v>
                </c:pt>
                <c:pt idx="1638">
                  <c:v>7259.1583311575623</c:v>
                </c:pt>
                <c:pt idx="1639">
                  <c:v>7266.8850597397941</c:v>
                </c:pt>
                <c:pt idx="1640">
                  <c:v>7274.6145313423322</c:v>
                </c:pt>
                <c:pt idx="1641">
                  <c:v>7282.3467449910695</c:v>
                </c:pt>
                <c:pt idx="1642">
                  <c:v>7290.081699712955</c:v>
                </c:pt>
                <c:pt idx="1643">
                  <c:v>7297.8193945359499</c:v>
                </c:pt>
                <c:pt idx="1644">
                  <c:v>7305.5598284890702</c:v>
                </c:pt>
                <c:pt idx="1645">
                  <c:v>7313.3030006023537</c:v>
                </c:pt>
                <c:pt idx="1646">
                  <c:v>7321.0489099068764</c:v>
                </c:pt>
                <c:pt idx="1647">
                  <c:v>7328.7975554347313</c:v>
                </c:pt>
                <c:pt idx="1648">
                  <c:v>7336.5489362190483</c:v>
                </c:pt>
                <c:pt idx="1649">
                  <c:v>7344.3030512939813</c:v>
                </c:pt>
                <c:pt idx="1650">
                  <c:v>7352.0598996946992</c:v>
                </c:pt>
                <c:pt idx="1651">
                  <c:v>7359.8194804574096</c:v>
                </c:pt>
                <c:pt idx="1652">
                  <c:v>7367.581792619314</c:v>
                </c:pt>
                <c:pt idx="1653">
                  <c:v>7375.3468352186628</c:v>
                </c:pt>
                <c:pt idx="1654">
                  <c:v>7383.1146072946949</c:v>
                </c:pt>
                <c:pt idx="1655">
                  <c:v>7390.8851078876796</c:v>
                </c:pt>
                <c:pt idx="1656">
                  <c:v>7398.658336038895</c:v>
                </c:pt>
                <c:pt idx="1657">
                  <c:v>7406.4342907906221</c:v>
                </c:pt>
                <c:pt idx="1658">
                  <c:v>7414.2129711861644</c:v>
                </c:pt>
                <c:pt idx="1659">
                  <c:v>7421.9943762698203</c:v>
                </c:pt>
                <c:pt idx="1660">
                  <c:v>7429.778505086907</c:v>
                </c:pt>
                <c:pt idx="1661">
                  <c:v>7437.5653566837309</c:v>
                </c:pt>
                <c:pt idx="1662">
                  <c:v>7445.3549301076073</c:v>
                </c:pt>
                <c:pt idx="1663">
                  <c:v>7453.1472244068564</c:v>
                </c:pt>
                <c:pt idx="1664">
                  <c:v>7460.9422386307833</c:v>
                </c:pt>
                <c:pt idx="1665">
                  <c:v>7468.7399718297074</c:v>
                </c:pt>
                <c:pt idx="1666">
                  <c:v>7476.5404230549266</c:v>
                </c:pt>
                <c:pt idx="1667">
                  <c:v>7484.3435913587418</c:v>
                </c:pt>
                <c:pt idx="1668">
                  <c:v>7492.1494757944401</c:v>
                </c:pt>
                <c:pt idx="1669">
                  <c:v>7499.9580754163053</c:v>
                </c:pt>
                <c:pt idx="1670">
                  <c:v>7507.7693892795987</c:v>
                </c:pt>
                <c:pt idx="1671">
                  <c:v>7515.5834164405815</c:v>
                </c:pt>
                <c:pt idx="1672">
                  <c:v>7523.400155956484</c:v>
                </c:pt>
                <c:pt idx="1673">
                  <c:v>7531.2196068855264</c:v>
                </c:pt>
                <c:pt idx="1674">
                  <c:v>7539.0417682869202</c:v>
                </c:pt>
                <c:pt idx="1675">
                  <c:v>7546.8666392208361</c:v>
                </c:pt>
                <c:pt idx="1676">
                  <c:v>7554.6942187484419</c:v>
                </c:pt>
                <c:pt idx="1677">
                  <c:v>7562.5245059318622</c:v>
                </c:pt>
                <c:pt idx="1678">
                  <c:v>7570.3574998342201</c:v>
                </c:pt>
                <c:pt idx="1679">
                  <c:v>7578.1931995195864</c:v>
                </c:pt>
                <c:pt idx="1680">
                  <c:v>7586.0316040530188</c:v>
                </c:pt>
                <c:pt idx="1681">
                  <c:v>7593.8727125005398</c:v>
                </c:pt>
                <c:pt idx="1682">
                  <c:v>7601.7165239291353</c:v>
                </c:pt>
                <c:pt idx="1683">
                  <c:v>7609.5630374067641</c:v>
                </c:pt>
                <c:pt idx="1684">
                  <c:v>7617.4122520023484</c:v>
                </c:pt>
                <c:pt idx="1685">
                  <c:v>7625.2641667857652</c:v>
                </c:pt>
                <c:pt idx="1686">
                  <c:v>7633.1187808278637</c:v>
                </c:pt>
                <c:pt idx="1687">
                  <c:v>7640.9760932004465</c:v>
                </c:pt>
                <c:pt idx="1688">
                  <c:v>7648.8361029762727</c:v>
                </c:pt>
                <c:pt idx="1689">
                  <c:v>7656.6988092290521</c:v>
                </c:pt>
                <c:pt idx="1690">
                  <c:v>7664.5642110334684</c:v>
                </c:pt>
                <c:pt idx="1691">
                  <c:v>7672.4323074651356</c:v>
                </c:pt>
                <c:pt idx="1692">
                  <c:v>7680.3030976006348</c:v>
                </c:pt>
                <c:pt idx="1693">
                  <c:v>7688.1765805174837</c:v>
                </c:pt>
                <c:pt idx="1694">
                  <c:v>7696.0527552941612</c:v>
                </c:pt>
                <c:pt idx="1695">
                  <c:v>7703.9316210100787</c:v>
                </c:pt>
                <c:pt idx="1696">
                  <c:v>7711.8131767456043</c:v>
                </c:pt>
                <c:pt idx="1697">
                  <c:v>7719.697421582041</c:v>
                </c:pt>
                <c:pt idx="1698">
                  <c:v>7727.5843546016376</c:v>
                </c:pt>
                <c:pt idx="1699">
                  <c:v>7735.47397488758</c:v>
                </c:pt>
                <c:pt idx="1700">
                  <c:v>7743.3662815239868</c:v>
                </c:pt>
                <c:pt idx="1701">
                  <c:v>7751.2612735959365</c:v>
                </c:pt>
                <c:pt idx="1702">
                  <c:v>7759.1589501894059</c:v>
                </c:pt>
                <c:pt idx="1703">
                  <c:v>7767.0593103913388</c:v>
                </c:pt>
                <c:pt idx="1704">
                  <c:v>7774.9623532895903</c:v>
                </c:pt>
                <c:pt idx="1705">
                  <c:v>7782.8680779729502</c:v>
                </c:pt>
                <c:pt idx="1706">
                  <c:v>7790.7764835311482</c:v>
                </c:pt>
                <c:pt idx="1707">
                  <c:v>7798.687569054825</c:v>
                </c:pt>
                <c:pt idx="1708">
                  <c:v>7806.6013336355527</c:v>
                </c:pt>
                <c:pt idx="1709">
                  <c:v>7814.5177763658266</c:v>
                </c:pt>
                <c:pt idx="1710">
                  <c:v>7822.4368963390698</c:v>
                </c:pt>
                <c:pt idx="1711">
                  <c:v>7830.3586926496228</c:v>
                </c:pt>
                <c:pt idx="1712">
                  <c:v>7838.2831643927429</c:v>
                </c:pt>
                <c:pt idx="1713">
                  <c:v>7846.2103106646091</c:v>
                </c:pt>
                <c:pt idx="1714">
                  <c:v>7854.1401305623067</c:v>
                </c:pt>
                <c:pt idx="1715">
                  <c:v>7862.072623183848</c:v>
                </c:pt>
                <c:pt idx="1716">
                  <c:v>7870.007787628153</c:v>
                </c:pt>
                <c:pt idx="1717">
                  <c:v>7877.9456229950583</c:v>
                </c:pt>
                <c:pt idx="1718">
                  <c:v>7885.886128385293</c:v>
                </c:pt>
                <c:pt idx="1719">
                  <c:v>7893.8293029005217</c:v>
                </c:pt>
                <c:pt idx="1720">
                  <c:v>7901.7751456432889</c:v>
                </c:pt>
                <c:pt idx="1721">
                  <c:v>7909.7236557170663</c:v>
                </c:pt>
                <c:pt idx="1722">
                  <c:v>7917.6748322262165</c:v>
                </c:pt>
                <c:pt idx="1723">
                  <c:v>7925.628674276003</c:v>
                </c:pt>
                <c:pt idx="1724">
                  <c:v>7933.5851809726009</c:v>
                </c:pt>
                <c:pt idx="1725">
                  <c:v>7941.5443514230765</c:v>
                </c:pt>
                <c:pt idx="1726">
                  <c:v>7949.5061847353963</c:v>
                </c:pt>
                <c:pt idx="1727">
                  <c:v>7957.4706800184194</c:v>
                </c:pt>
                <c:pt idx="1728">
                  <c:v>7965.4378363819087</c:v>
                </c:pt>
                <c:pt idx="1729">
                  <c:v>7973.4076529365102</c:v>
                </c:pt>
                <c:pt idx="1730">
                  <c:v>7981.3801287937704</c:v>
                </c:pt>
                <c:pt idx="1731">
                  <c:v>7989.3552630661197</c:v>
                </c:pt>
                <c:pt idx="1732">
                  <c:v>7997.33305486687</c:v>
                </c:pt>
                <c:pt idx="1733">
                  <c:v>8005.3135033102462</c:v>
                </c:pt>
                <c:pt idx="1734">
                  <c:v>8013.2966075113281</c:v>
                </c:pt>
                <c:pt idx="1735">
                  <c:v>8021.282366586106</c:v>
                </c:pt>
                <c:pt idx="1736">
                  <c:v>8029.2707796514333</c:v>
                </c:pt>
                <c:pt idx="1737">
                  <c:v>8037.2618458250581</c:v>
                </c:pt>
                <c:pt idx="1738">
                  <c:v>8045.2555642255984</c:v>
                </c:pt>
                <c:pt idx="1739">
                  <c:v>8053.2519339725577</c:v>
                </c:pt>
                <c:pt idx="1740">
                  <c:v>8061.2509541863183</c:v>
                </c:pt>
                <c:pt idx="1741">
                  <c:v>8069.2526239881217</c:v>
                </c:pt>
                <c:pt idx="1742">
                  <c:v>8077.2569425001138</c:v>
                </c:pt>
                <c:pt idx="1743">
                  <c:v>8085.2639088452825</c:v>
                </c:pt>
                <c:pt idx="1744">
                  <c:v>8093.2735221475032</c:v>
                </c:pt>
                <c:pt idx="1745">
                  <c:v>8101.2857815315183</c:v>
                </c:pt>
                <c:pt idx="1746">
                  <c:v>8109.3006861229351</c:v>
                </c:pt>
                <c:pt idx="1747">
                  <c:v>8117.3182350482339</c:v>
                </c:pt>
                <c:pt idx="1748">
                  <c:v>8125.3384274347518</c:v>
                </c:pt>
                <c:pt idx="1749">
                  <c:v>8133.3612624107018</c:v>
                </c:pt>
                <c:pt idx="1750">
                  <c:v>8141.3867391051481</c:v>
                </c:pt>
                <c:pt idx="1751">
                  <c:v>8149.414856648028</c:v>
                </c:pt>
                <c:pt idx="1752">
                  <c:v>8157.4456141701221</c:v>
                </c:pt>
                <c:pt idx="1753">
                  <c:v>8165.4790108030847</c:v>
                </c:pt>
                <c:pt idx="1754">
                  <c:v>8173.5150456794136</c:v>
                </c:pt>
                <c:pt idx="1755">
                  <c:v>8181.5537179324792</c:v>
                </c:pt>
                <c:pt idx="1756">
                  <c:v>8189.5950266964901</c:v>
                </c:pt>
                <c:pt idx="1757">
                  <c:v>8197.6389711065167</c:v>
                </c:pt>
                <c:pt idx="1758">
                  <c:v>8205.6855502984781</c:v>
                </c:pt>
                <c:pt idx="1759">
                  <c:v>8213.7347634091366</c:v>
                </c:pt>
                <c:pt idx="1760">
                  <c:v>8221.7866095761201</c:v>
                </c:pt>
                <c:pt idx="1761">
                  <c:v>8229.8410879378825</c:v>
                </c:pt>
                <c:pt idx="1762">
                  <c:v>8237.8981976337418</c:v>
                </c:pt>
                <c:pt idx="1763">
                  <c:v>8245.9579378038525</c:v>
                </c:pt>
                <c:pt idx="1764">
                  <c:v>8254.0203075892059</c:v>
                </c:pt>
                <c:pt idx="1765">
                  <c:v>8262.0853061316502</c:v>
                </c:pt>
                <c:pt idx="1766">
                  <c:v>8270.1529325738502</c:v>
                </c:pt>
                <c:pt idx="1767">
                  <c:v>8278.2231860593438</c:v>
                </c:pt>
                <c:pt idx="1768">
                  <c:v>8286.2960657324711</c:v>
                </c:pt>
                <c:pt idx="1769">
                  <c:v>8294.3715707384326</c:v>
                </c:pt>
                <c:pt idx="1770">
                  <c:v>8302.4497002232492</c:v>
                </c:pt>
                <c:pt idx="1771">
                  <c:v>8310.530453333784</c:v>
                </c:pt>
                <c:pt idx="1772">
                  <c:v>8318.6138292177347</c:v>
                </c:pt>
                <c:pt idx="1773">
                  <c:v>8326.6998270236109</c:v>
                </c:pt>
                <c:pt idx="1774">
                  <c:v>8334.7884459007782</c:v>
                </c:pt>
                <c:pt idx="1775">
                  <c:v>8342.8796849994033</c:v>
                </c:pt>
                <c:pt idx="1776">
                  <c:v>8350.9735434705071</c:v>
                </c:pt>
                <c:pt idx="1777">
                  <c:v>8359.0700204659133</c:v>
                </c:pt>
                <c:pt idx="1778">
                  <c:v>8367.169115138282</c:v>
                </c:pt>
                <c:pt idx="1779">
                  <c:v>8375.2708266410864</c:v>
                </c:pt>
                <c:pt idx="1780">
                  <c:v>8383.3751541286365</c:v>
                </c:pt>
                <c:pt idx="1781">
                  <c:v>8391.4820967560445</c:v>
                </c:pt>
                <c:pt idx="1782">
                  <c:v>8399.5916536792447</c:v>
                </c:pt>
                <c:pt idx="1783">
                  <c:v>8407.7038240550082</c:v>
                </c:pt>
                <c:pt idx="1784">
                  <c:v>8415.8186070408956</c:v>
                </c:pt>
                <c:pt idx="1785">
                  <c:v>8423.9360017952968</c:v>
                </c:pt>
                <c:pt idx="1786">
                  <c:v>8432.0560074774166</c:v>
                </c:pt>
                <c:pt idx="1787">
                  <c:v>8440.1786232472587</c:v>
                </c:pt>
                <c:pt idx="1788">
                  <c:v>8448.3038482656575</c:v>
                </c:pt>
                <c:pt idx="1789">
                  <c:v>8456.4316816942282</c:v>
                </c:pt>
                <c:pt idx="1790">
                  <c:v>8464.5621226954318</c:v>
                </c:pt>
                <c:pt idx="1791">
                  <c:v>8472.6951704325038</c:v>
                </c:pt>
                <c:pt idx="1792">
                  <c:v>8480.8308240695023</c:v>
                </c:pt>
                <c:pt idx="1793">
                  <c:v>8488.9690827712839</c:v>
                </c:pt>
                <c:pt idx="1794">
                  <c:v>8497.109945703507</c:v>
                </c:pt>
                <c:pt idx="1795">
                  <c:v>8505.2534120326363</c:v>
                </c:pt>
                <c:pt idx="1796">
                  <c:v>8513.3994809259311</c:v>
                </c:pt>
                <c:pt idx="1797">
                  <c:v>8521.5481515514621</c:v>
                </c:pt>
                <c:pt idx="1798">
                  <c:v>8529.6994230780765</c:v>
                </c:pt>
                <c:pt idx="1799">
                  <c:v>8537.8532946754458</c:v>
                </c:pt>
                <c:pt idx="1800">
                  <c:v>8546.0097655140016</c:v>
                </c:pt>
                <c:pt idx="1801">
                  <c:v>8554.1688347650106</c:v>
                </c:pt>
                <c:pt idx="1802">
                  <c:v>8562.3305016004942</c:v>
                </c:pt>
                <c:pt idx="1803">
                  <c:v>8570.494765193298</c:v>
                </c:pt>
                <c:pt idx="1804">
                  <c:v>8578.6616247170277</c:v>
                </c:pt>
                <c:pt idx="1805">
                  <c:v>8586.8310793461078</c:v>
                </c:pt>
                <c:pt idx="1806">
                  <c:v>8595.0031282557211</c:v>
                </c:pt>
                <c:pt idx="1807">
                  <c:v>8603.17777062186</c:v>
                </c:pt>
                <c:pt idx="1808">
                  <c:v>8611.3550056212862</c:v>
                </c:pt>
                <c:pt idx="1809">
                  <c:v>8619.5348324315601</c:v>
                </c:pt>
                <c:pt idx="1810">
                  <c:v>8627.717250231015</c:v>
                </c:pt>
                <c:pt idx="1811">
                  <c:v>8635.9022581987647</c:v>
                </c:pt>
                <c:pt idx="1812">
                  <c:v>8644.0898555147105</c:v>
                </c:pt>
                <c:pt idx="1813">
                  <c:v>8652.2800413595305</c:v>
                </c:pt>
                <c:pt idx="1814">
                  <c:v>8660.4728149146686</c:v>
                </c:pt>
                <c:pt idx="1815">
                  <c:v>8668.6681753623707</c:v>
                </c:pt>
                <c:pt idx="1816">
                  <c:v>8676.8661218856287</c:v>
                </c:pt>
                <c:pt idx="1817">
                  <c:v>8685.0666536682329</c:v>
                </c:pt>
                <c:pt idx="1818">
                  <c:v>8693.2697698947268</c:v>
                </c:pt>
                <c:pt idx="1819">
                  <c:v>8701.4754697504504</c:v>
                </c:pt>
                <c:pt idx="1820">
                  <c:v>8709.6837524214825</c:v>
                </c:pt>
                <c:pt idx="1821">
                  <c:v>8717.8946170946947</c:v>
                </c:pt>
                <c:pt idx="1822">
                  <c:v>8726.1080629577245</c:v>
                </c:pt>
                <c:pt idx="1823">
                  <c:v>8734.3240891989626</c:v>
                </c:pt>
                <c:pt idx="1824">
                  <c:v>8742.5426950075816</c:v>
                </c:pt>
                <c:pt idx="1825">
                  <c:v>8750.763879573502</c:v>
                </c:pt>
                <c:pt idx="1826">
                  <c:v>8758.9876420874225</c:v>
                </c:pt>
                <c:pt idx="1827">
                  <c:v>8767.2139817408006</c:v>
                </c:pt>
                <c:pt idx="1828">
                  <c:v>8775.4428977258503</c:v>
                </c:pt>
                <c:pt idx="1829">
                  <c:v>8783.6743892355407</c:v>
                </c:pt>
                <c:pt idx="1830">
                  <c:v>8791.9084554636083</c:v>
                </c:pt>
                <c:pt idx="1831">
                  <c:v>8800.1450956045464</c:v>
                </c:pt>
                <c:pt idx="1832">
                  <c:v>8808.3843088536032</c:v>
                </c:pt>
                <c:pt idx="1833">
                  <c:v>8816.6260944067744</c:v>
                </c:pt>
                <c:pt idx="1834">
                  <c:v>8824.870451460818</c:v>
                </c:pt>
                <c:pt idx="1835">
                  <c:v>8833.1173792132467</c:v>
                </c:pt>
                <c:pt idx="1836">
                  <c:v>8841.3668768623083</c:v>
                </c:pt>
                <c:pt idx="1837">
                  <c:v>8849.6189436070308</c:v>
                </c:pt>
                <c:pt idx="1838">
                  <c:v>8857.8735786471552</c:v>
                </c:pt>
                <c:pt idx="1839">
                  <c:v>8866.1307811831975</c:v>
                </c:pt>
                <c:pt idx="1840">
                  <c:v>8874.3905504164068</c:v>
                </c:pt>
                <c:pt idx="1841">
                  <c:v>8882.6528855487795</c:v>
                </c:pt>
                <c:pt idx="1842">
                  <c:v>8890.9177857830655</c:v>
                </c:pt>
                <c:pt idx="1843">
                  <c:v>8899.1852503227456</c:v>
                </c:pt>
                <c:pt idx="1844">
                  <c:v>8907.4552783720519</c:v>
                </c:pt>
                <c:pt idx="1845">
                  <c:v>8915.7278691359443</c:v>
                </c:pt>
                <c:pt idx="1846">
                  <c:v>8924.0030218201427</c:v>
                </c:pt>
                <c:pt idx="1847">
                  <c:v>8932.2807356310932</c:v>
                </c:pt>
                <c:pt idx="1848">
                  <c:v>8940.5610097759727</c:v>
                </c:pt>
                <c:pt idx="1849">
                  <c:v>8948.8438434627078</c:v>
                </c:pt>
                <c:pt idx="1850">
                  <c:v>8957.1292358999563</c:v>
                </c:pt>
                <c:pt idx="1851">
                  <c:v>8965.417186297107</c:v>
                </c:pt>
                <c:pt idx="1852">
                  <c:v>8973.7076938642786</c:v>
                </c:pt>
                <c:pt idx="1853">
                  <c:v>8982.000757812335</c:v>
                </c:pt>
                <c:pt idx="1854">
                  <c:v>8990.29637735285</c:v>
                </c:pt>
                <c:pt idx="1855">
                  <c:v>8998.5945516981574</c:v>
                </c:pt>
                <c:pt idx="1856">
                  <c:v>9006.8952800612806</c:v>
                </c:pt>
                <c:pt idx="1857">
                  <c:v>9015.1985616559978</c:v>
                </c:pt>
                <c:pt idx="1858">
                  <c:v>9023.5043956968111</c:v>
                </c:pt>
                <c:pt idx="1859">
                  <c:v>9031.8127813989286</c:v>
                </c:pt>
                <c:pt idx="1860">
                  <c:v>9040.1237179783129</c:v>
                </c:pt>
                <c:pt idx="1861">
                  <c:v>9048.4372046516255</c:v>
                </c:pt>
                <c:pt idx="1862">
                  <c:v>9056.7532406362607</c:v>
                </c:pt>
                <c:pt idx="1863">
                  <c:v>9065.0718251503167</c:v>
                </c:pt>
                <c:pt idx="1864">
                  <c:v>9073.392957412636</c:v>
                </c:pt>
                <c:pt idx="1865">
                  <c:v>9081.7166366427646</c:v>
                </c:pt>
                <c:pt idx="1866">
                  <c:v>9090.0428620609709</c:v>
                </c:pt>
                <c:pt idx="1867">
                  <c:v>9098.3716328882292</c:v>
                </c:pt>
                <c:pt idx="1868">
                  <c:v>9106.7029483462375</c:v>
                </c:pt>
                <c:pt idx="1869">
                  <c:v>9115.0368076574159</c:v>
                </c:pt>
                <c:pt idx="1870">
                  <c:v>9123.3732100448815</c:v>
                </c:pt>
                <c:pt idx="1871">
                  <c:v>9131.7121547324787</c:v>
                </c:pt>
                <c:pt idx="1872">
                  <c:v>9140.0536409447395</c:v>
                </c:pt>
                <c:pt idx="1873">
                  <c:v>9148.3976679069274</c:v>
                </c:pt>
                <c:pt idx="1874">
                  <c:v>9156.7442348450168</c:v>
                </c:pt>
                <c:pt idx="1875">
                  <c:v>9165.0933409856552</c:v>
                </c:pt>
                <c:pt idx="1876">
                  <c:v>9173.4449855562525</c:v>
                </c:pt>
                <c:pt idx="1877">
                  <c:v>9181.7991677848713</c:v>
                </c:pt>
                <c:pt idx="1878">
                  <c:v>9190.1558869003056</c:v>
                </c:pt>
                <c:pt idx="1879">
                  <c:v>9198.5151421320388</c:v>
                </c:pt>
                <c:pt idx="1880">
                  <c:v>9206.87693271028</c:v>
                </c:pt>
                <c:pt idx="1881">
                  <c:v>9215.2412578659169</c:v>
                </c:pt>
                <c:pt idx="1882">
                  <c:v>9223.6081168305391</c:v>
                </c:pt>
                <c:pt idx="1883">
                  <c:v>9231.9775088364458</c:v>
                </c:pt>
                <c:pt idx="1884">
                  <c:v>9240.3494331166239</c:v>
                </c:pt>
                <c:pt idx="1885">
                  <c:v>9248.7238889047621</c:v>
                </c:pt>
                <c:pt idx="1886">
                  <c:v>9257.1008754352424</c:v>
                </c:pt>
                <c:pt idx="1887">
                  <c:v>9265.4803919431524</c:v>
                </c:pt>
                <c:pt idx="1888">
                  <c:v>9273.8624376642583</c:v>
                </c:pt>
                <c:pt idx="1889">
                  <c:v>9282.2470118350193</c:v>
                </c:pt>
                <c:pt idx="1890">
                  <c:v>9290.6341136926003</c:v>
                </c:pt>
                <c:pt idx="1891">
                  <c:v>9299.023742474832</c:v>
                </c:pt>
                <c:pt idx="1892">
                  <c:v>9307.415897420271</c:v>
                </c:pt>
                <c:pt idx="1893">
                  <c:v>9315.8105777681321</c:v>
                </c:pt>
                <c:pt idx="1894">
                  <c:v>9324.2077827583271</c:v>
                </c:pt>
                <c:pt idx="1895">
                  <c:v>9332.6075116314605</c:v>
                </c:pt>
                <c:pt idx="1896">
                  <c:v>9341.0097636288028</c:v>
                </c:pt>
                <c:pt idx="1897">
                  <c:v>9349.4145379923284</c:v>
                </c:pt>
                <c:pt idx="1898">
                  <c:v>9357.8218339646919</c:v>
                </c:pt>
                <c:pt idx="1899">
                  <c:v>9366.2316507892228</c:v>
                </c:pt>
                <c:pt idx="1900">
                  <c:v>9374.6439877099365</c:v>
                </c:pt>
                <c:pt idx="1901">
                  <c:v>9383.0588439715229</c:v>
                </c:pt>
                <c:pt idx="1902">
                  <c:v>9391.476218819369</c:v>
                </c:pt>
                <c:pt idx="1903">
                  <c:v>9399.8961114995091</c:v>
                </c:pt>
                <c:pt idx="1904">
                  <c:v>9408.3185212586832</c:v>
                </c:pt>
                <c:pt idx="1905">
                  <c:v>9416.7434473442991</c:v>
                </c:pt>
                <c:pt idx="1906">
                  <c:v>9425.1708890044283</c:v>
                </c:pt>
                <c:pt idx="1907">
                  <c:v>9433.6008454878283</c:v>
                </c:pt>
                <c:pt idx="1908">
                  <c:v>9442.0333160439222</c:v>
                </c:pt>
                <c:pt idx="1909">
                  <c:v>9450.4682999228207</c:v>
                </c:pt>
                <c:pt idx="1910">
                  <c:v>9458.9057963752821</c:v>
                </c:pt>
                <c:pt idx="1911">
                  <c:v>9467.3458046527539</c:v>
                </c:pt>
                <c:pt idx="1912">
                  <c:v>9475.7883240073461</c:v>
                </c:pt>
                <c:pt idx="1913">
                  <c:v>9484.2333536918359</c:v>
                </c:pt>
                <c:pt idx="1914">
                  <c:v>9492.6808929596609</c:v>
                </c:pt>
                <c:pt idx="1915">
                  <c:v>9501.1309410649428</c:v>
                </c:pt>
                <c:pt idx="1916">
                  <c:v>9509.5834972624471</c:v>
                </c:pt>
                <c:pt idx="1917">
                  <c:v>9518.0385608076285</c:v>
                </c:pt>
                <c:pt idx="1918">
                  <c:v>9526.4961309565697</c:v>
                </c:pt>
                <c:pt idx="1919">
                  <c:v>9534.9562069660515</c:v>
                </c:pt>
                <c:pt idx="1920">
                  <c:v>9543.4187880934969</c:v>
                </c:pt>
                <c:pt idx="1921">
                  <c:v>9551.8838735969948</c:v>
                </c:pt>
                <c:pt idx="1922">
                  <c:v>9560.3514627352852</c:v>
                </c:pt>
                <c:pt idx="1923">
                  <c:v>9568.8215547677737</c:v>
                </c:pt>
                <c:pt idx="1924">
                  <c:v>9577.2941489545301</c:v>
                </c:pt>
                <c:pt idx="1925">
                  <c:v>9585.7692445562607</c:v>
                </c:pt>
                <c:pt idx="1926">
                  <c:v>9594.2468408343429</c:v>
                </c:pt>
                <c:pt idx="1927">
                  <c:v>9602.726937050802</c:v>
                </c:pt>
                <c:pt idx="1928">
                  <c:v>9611.2095324683196</c:v>
                </c:pt>
                <c:pt idx="1929">
                  <c:v>9619.6946263502305</c:v>
                </c:pt>
                <c:pt idx="1930">
                  <c:v>9628.1822179605224</c:v>
                </c:pt>
                <c:pt idx="1931">
                  <c:v>9636.6723065638216</c:v>
                </c:pt>
                <c:pt idx="1932">
                  <c:v>9645.1648914254165</c:v>
                </c:pt>
                <c:pt idx="1933">
                  <c:v>9653.6599718112429</c:v>
                </c:pt>
                <c:pt idx="1934">
                  <c:v>9662.1575469878844</c:v>
                </c:pt>
                <c:pt idx="1935">
                  <c:v>9670.6576162225556</c:v>
                </c:pt>
                <c:pt idx="1936">
                  <c:v>9679.1601787831405</c:v>
                </c:pt>
                <c:pt idx="1937">
                  <c:v>9687.6652339381526</c:v>
                </c:pt>
                <c:pt idx="1938">
                  <c:v>9696.1727809567583</c:v>
                </c:pt>
                <c:pt idx="1939">
                  <c:v>9704.682819108757</c:v>
                </c:pt>
                <c:pt idx="1940">
                  <c:v>9713.1953476645995</c:v>
                </c:pt>
                <c:pt idx="1941">
                  <c:v>9721.7103658953656</c:v>
                </c:pt>
                <c:pt idx="1942">
                  <c:v>9730.2278730727849</c:v>
                </c:pt>
                <c:pt idx="1943">
                  <c:v>9738.747868469236</c:v>
                </c:pt>
                <c:pt idx="1944">
                  <c:v>9747.2703513577089</c:v>
                </c:pt>
                <c:pt idx="1945">
                  <c:v>9755.7953210118521</c:v>
                </c:pt>
                <c:pt idx="1946">
                  <c:v>9764.3227767059434</c:v>
                </c:pt>
                <c:pt idx="1947">
                  <c:v>9772.8527177148972</c:v>
                </c:pt>
                <c:pt idx="1948">
                  <c:v>9781.3851433142572</c:v>
                </c:pt>
                <c:pt idx="1949">
                  <c:v>9789.9200527802168</c:v>
                </c:pt>
                <c:pt idx="1950">
                  <c:v>9798.457445389573</c:v>
                </c:pt>
                <c:pt idx="1951">
                  <c:v>9806.9973204197959</c:v>
                </c:pt>
                <c:pt idx="1952">
                  <c:v>9815.5396771489286</c:v>
                </c:pt>
                <c:pt idx="1953">
                  <c:v>9824.0845148557146</c:v>
                </c:pt>
                <c:pt idx="1954">
                  <c:v>9832.6318328194593</c:v>
                </c:pt>
                <c:pt idx="1955">
                  <c:v>9841.1816303201467</c:v>
                </c:pt>
                <c:pt idx="1956">
                  <c:v>9849.7339066383611</c:v>
                </c:pt>
                <c:pt idx="1957">
                  <c:v>9858.2886610553123</c:v>
                </c:pt>
                <c:pt idx="1958">
                  <c:v>9866.8458928528526</c:v>
                </c:pt>
                <c:pt idx="1959">
                  <c:v>9875.405601313445</c:v>
                </c:pt>
                <c:pt idx="1960">
                  <c:v>9883.9677857201787</c:v>
                </c:pt>
                <c:pt idx="1961">
                  <c:v>9892.5324453567664</c:v>
                </c:pt>
                <c:pt idx="1962">
                  <c:v>9901.0995795075487</c:v>
                </c:pt>
                <c:pt idx="1963">
                  <c:v>9909.6691874574735</c:v>
                </c:pt>
                <c:pt idx="1964">
                  <c:v>9918.241268492111</c:v>
                </c:pt>
                <c:pt idx="1965">
                  <c:v>9926.8158218976696</c:v>
                </c:pt>
                <c:pt idx="1966">
                  <c:v>9935.3928469609509</c:v>
                </c:pt>
                <c:pt idx="1967">
                  <c:v>9943.9723429693913</c:v>
                </c:pt>
                <c:pt idx="1968">
                  <c:v>9952.5543092110256</c:v>
                </c:pt>
                <c:pt idx="1969">
                  <c:v>9961.1387449745289</c:v>
                </c:pt>
                <c:pt idx="1970">
                  <c:v>9969.7256495491674</c:v>
                </c:pt>
                <c:pt idx="1971">
                  <c:v>9978.315022224835</c:v>
                </c:pt>
                <c:pt idx="1972">
                  <c:v>9986.9068622920295</c:v>
                </c:pt>
                <c:pt idx="1973">
                  <c:v>9995.5011690418651</c:v>
                </c:pt>
                <c:pt idx="1974">
                  <c:v>10004.097941766069</c:v>
                </c:pt>
                <c:pt idx="1975">
                  <c:v>10012.697179756986</c:v>
                </c:pt>
                <c:pt idx="1976">
                  <c:v>10021.298882307539</c:v>
                </c:pt>
                <c:pt idx="1977">
                  <c:v>10029.903048711296</c:v>
                </c:pt>
                <c:pt idx="1978">
                  <c:v>10038.509678262419</c:v>
                </c:pt>
                <c:pt idx="1979">
                  <c:v>10047.118770255662</c:v>
                </c:pt>
                <c:pt idx="1980">
                  <c:v>10055.730323986409</c:v>
                </c:pt>
                <c:pt idx="1981">
                  <c:v>10064.344338750634</c:v>
                </c:pt>
                <c:pt idx="1982">
                  <c:v>10072.960813844918</c:v>
                </c:pt>
                <c:pt idx="1983">
                  <c:v>10081.579748566444</c:v>
                </c:pt>
                <c:pt idx="1984">
                  <c:v>10090.201142213</c:v>
                </c:pt>
                <c:pt idx="1985">
                  <c:v>10098.824994082981</c:v>
                </c:pt>
                <c:pt idx="1986">
                  <c:v>10107.451303475369</c:v>
                </c:pt>
                <c:pt idx="1987">
                  <c:v>10116.080069689751</c:v>
                </c:pt>
                <c:pt idx="1988">
                  <c:v>10124.711292026324</c:v>
                </c:pt>
                <c:pt idx="1989">
                  <c:v>10133.344969785865</c:v>
                </c:pt>
                <c:pt idx="1990">
                  <c:v>10141.981102269765</c:v>
                </c:pt>
                <c:pt idx="1991">
                  <c:v>10150.619688779992</c:v>
                </c:pt>
                <c:pt idx="1992">
                  <c:v>10159.260728619136</c:v>
                </c:pt>
                <c:pt idx="1993">
                  <c:v>10167.904221090348</c:v>
                </c:pt>
                <c:pt idx="1994">
                  <c:v>10176.550165497407</c:v>
                </c:pt>
                <c:pt idx="1995">
                  <c:v>10185.198561144658</c:v>
                </c:pt>
                <c:pt idx="1996">
                  <c:v>10193.947826404126</c:v>
                </c:pt>
                <c:pt idx="1997">
                  <c:v>10202.601147329542</c:v>
                </c:pt>
                <c:pt idx="1998">
                  <c:v>10211.256917405479</c:v>
                </c:pt>
                <c:pt idx="1999">
                  <c:v>10219.915135938671</c:v>
                </c:pt>
                <c:pt idx="2000">
                  <c:v>10228.575802236423</c:v>
                </c:pt>
                <c:pt idx="2001">
                  <c:v>10237.238915606647</c:v>
                </c:pt>
                <c:pt idx="2002">
                  <c:v>10245.904475357818</c:v>
                </c:pt>
                <c:pt idx="2003">
                  <c:v>10254.572480799017</c:v>
                </c:pt>
                <c:pt idx="2004">
                  <c:v>10263.242931239904</c:v>
                </c:pt>
                <c:pt idx="2005">
                  <c:v>10271.915825990724</c:v>
                </c:pt>
                <c:pt idx="2006">
                  <c:v>10280.591164362302</c:v>
                </c:pt>
                <c:pt idx="2007">
                  <c:v>10289.268945666052</c:v>
                </c:pt>
                <c:pt idx="2008">
                  <c:v>10297.949169213964</c:v>
                </c:pt>
                <c:pt idx="2009">
                  <c:v>10306.631834318609</c:v>
                </c:pt>
                <c:pt idx="2010">
                  <c:v>10315.316940293151</c:v>
                </c:pt>
                <c:pt idx="2011">
                  <c:v>10324.004486451318</c:v>
                </c:pt>
                <c:pt idx="2012">
                  <c:v>10332.694472107427</c:v>
                </c:pt>
                <c:pt idx="2013">
                  <c:v>10341.386896576372</c:v>
                </c:pt>
                <c:pt idx="2014">
                  <c:v>10350.081759173609</c:v>
                </c:pt>
                <c:pt idx="2015">
                  <c:v>10358.7790592152</c:v>
                </c:pt>
                <c:pt idx="2016">
                  <c:v>10367.478796017745</c:v>
                </c:pt>
                <c:pt idx="2017">
                  <c:v>10376.180968898469</c:v>
                </c:pt>
                <c:pt idx="2018">
                  <c:v>10384.885577175111</c:v>
                </c:pt>
                <c:pt idx="2019">
                  <c:v>10393.592620166033</c:v>
                </c:pt>
                <c:pt idx="2020">
                  <c:v>10402.302097190142</c:v>
                </c:pt>
                <c:pt idx="2021">
                  <c:v>10411.014007566928</c:v>
                </c:pt>
                <c:pt idx="2022">
                  <c:v>10419.728350616455</c:v>
                </c:pt>
                <c:pt idx="2023">
                  <c:v>10428.445125659331</c:v>
                </c:pt>
                <c:pt idx="2024">
                  <c:v>10437.164332016768</c:v>
                </c:pt>
                <c:pt idx="2025">
                  <c:v>10445.885969010527</c:v>
                </c:pt>
                <c:pt idx="2026">
                  <c:v>10454.610035962944</c:v>
                </c:pt>
                <c:pt idx="2027">
                  <c:v>10463.336532196912</c:v>
                </c:pt>
                <c:pt idx="2028">
                  <c:v>10472.0654570359</c:v>
                </c:pt>
                <c:pt idx="2029">
                  <c:v>10480.796809803938</c:v>
                </c:pt>
                <c:pt idx="2030">
                  <c:v>10489.530589825627</c:v>
                </c:pt>
                <c:pt idx="2031">
                  <c:v>10498.26679642612</c:v>
                </c:pt>
                <c:pt idx="2032">
                  <c:v>10507.005428931139</c:v>
                </c:pt>
                <c:pt idx="2033">
                  <c:v>10515.746486666971</c:v>
                </c:pt>
                <c:pt idx="2034">
                  <c:v>10524.489968960452</c:v>
                </c:pt>
                <c:pt idx="2035">
                  <c:v>10533.235875138997</c:v>
                </c:pt>
                <c:pt idx="2036">
                  <c:v>10541.984204530567</c:v>
                </c:pt>
                <c:pt idx="2037">
                  <c:v>10550.73495646369</c:v>
                </c:pt>
                <c:pt idx="2038">
                  <c:v>10559.488130267448</c:v>
                </c:pt>
                <c:pt idx="2039">
                  <c:v>10568.243725271479</c:v>
                </c:pt>
                <c:pt idx="2040">
                  <c:v>10577.001740805981</c:v>
                </c:pt>
                <c:pt idx="2041">
                  <c:v>10585.762176201702</c:v>
                </c:pt>
                <c:pt idx="2042">
                  <c:v>10594.525030789959</c:v>
                </c:pt>
                <c:pt idx="2043">
                  <c:v>10603.290303902606</c:v>
                </c:pt>
                <c:pt idx="2044">
                  <c:v>10612.057994872068</c:v>
                </c:pt>
                <c:pt idx="2045">
                  <c:v>10620.828103031297</c:v>
                </c:pt>
                <c:pt idx="2046">
                  <c:v>10629.600627713835</c:v>
                </c:pt>
                <c:pt idx="2047">
                  <c:v>10638.375568253736</c:v>
                </c:pt>
                <c:pt idx="2048">
                  <c:v>10647.152923985628</c:v>
                </c:pt>
                <c:pt idx="2049">
                  <c:v>10655.932694244682</c:v>
                </c:pt>
                <c:pt idx="2050">
                  <c:v>10664.714878366623</c:v>
                </c:pt>
                <c:pt idx="2051">
                  <c:v>10673.499475687724</c:v>
                </c:pt>
                <c:pt idx="2052">
                  <c:v>10682.286485544793</c:v>
                </c:pt>
                <c:pt idx="2053">
                  <c:v>10691.075907275199</c:v>
                </c:pt>
                <c:pt idx="2054">
                  <c:v>10699.867740216852</c:v>
                </c:pt>
                <c:pt idx="2055">
                  <c:v>10708.661983708202</c:v>
                </c:pt>
                <c:pt idx="2056">
                  <c:v>10717.458637088255</c:v>
                </c:pt>
                <c:pt idx="2057">
                  <c:v>10726.257699696554</c:v>
                </c:pt>
                <c:pt idx="2058">
                  <c:v>10735.059170873179</c:v>
                </c:pt>
                <c:pt idx="2059">
                  <c:v>10743.863049958762</c:v>
                </c:pt>
                <c:pt idx="2060">
                  <c:v>10752.669336294482</c:v>
                </c:pt>
                <c:pt idx="2061">
                  <c:v>10761.478029222031</c:v>
                </c:pt>
                <c:pt idx="2062">
                  <c:v>10770.289128083679</c:v>
                </c:pt>
                <c:pt idx="2063">
                  <c:v>10779.102632222201</c:v>
                </c:pt>
                <c:pt idx="2064">
                  <c:v>10787.918540980936</c:v>
                </c:pt>
                <c:pt idx="2065">
                  <c:v>10796.736853703751</c:v>
                </c:pt>
                <c:pt idx="2066">
                  <c:v>10805.557569735041</c:v>
                </c:pt>
                <c:pt idx="2067">
                  <c:v>10814.380688419755</c:v>
                </c:pt>
                <c:pt idx="2068">
                  <c:v>10823.206209103362</c:v>
                </c:pt>
                <c:pt idx="2069">
                  <c:v>10832.034131131881</c:v>
                </c:pt>
                <c:pt idx="2070">
                  <c:v>10840.864453851849</c:v>
                </c:pt>
                <c:pt idx="2071">
                  <c:v>10849.697176610358</c:v>
                </c:pt>
                <c:pt idx="2072">
                  <c:v>10858.532298754997</c:v>
                </c:pt>
                <c:pt idx="2073">
                  <c:v>10867.369819633928</c:v>
                </c:pt>
                <c:pt idx="2074">
                  <c:v>10876.20973859582</c:v>
                </c:pt>
                <c:pt idx="2075">
                  <c:v>10885.052054989874</c:v>
                </c:pt>
                <c:pt idx="2076">
                  <c:v>10893.896768165829</c:v>
                </c:pt>
                <c:pt idx="2077">
                  <c:v>10902.743877473946</c:v>
                </c:pt>
                <c:pt idx="2078">
                  <c:v>10911.59338226502</c:v>
                </c:pt>
                <c:pt idx="2079">
                  <c:v>10920.445281890372</c:v>
                </c:pt>
                <c:pt idx="2080">
                  <c:v>10929.299575701843</c:v>
                </c:pt>
                <c:pt idx="2081">
                  <c:v>10938.156263051816</c:v>
                </c:pt>
                <c:pt idx="2082">
                  <c:v>10947.015343293182</c:v>
                </c:pt>
                <c:pt idx="2083">
                  <c:v>10955.876815779371</c:v>
                </c:pt>
                <c:pt idx="2084">
                  <c:v>10964.740679864326</c:v>
                </c:pt>
                <c:pt idx="2085">
                  <c:v>10973.606934902522</c:v>
                </c:pt>
                <c:pt idx="2086">
                  <c:v>10982.475580248949</c:v>
                </c:pt>
                <c:pt idx="2087">
                  <c:v>10991.346615259125</c:v>
                </c:pt>
                <c:pt idx="2088">
                  <c:v>11000.220039289085</c:v>
                </c:pt>
                <c:pt idx="2089">
                  <c:v>11009.095851695391</c:v>
                </c:pt>
                <c:pt idx="2090">
                  <c:v>11017.974051835119</c:v>
                </c:pt>
                <c:pt idx="2091">
                  <c:v>11026.854639065861</c:v>
                </c:pt>
                <c:pt idx="2092">
                  <c:v>11035.737612745739</c:v>
                </c:pt>
                <c:pt idx="2093">
                  <c:v>11044.622972233396</c:v>
                </c:pt>
                <c:pt idx="2094">
                  <c:v>11053.510716887962</c:v>
                </c:pt>
                <c:pt idx="2095">
                  <c:v>11062.400846069111</c:v>
                </c:pt>
                <c:pt idx="2096">
                  <c:v>11071.293359137035</c:v>
                </c:pt>
                <c:pt idx="2097">
                  <c:v>11080.188255452422</c:v>
                </c:pt>
                <c:pt idx="2098">
                  <c:v>11089.085534376489</c:v>
                </c:pt>
                <c:pt idx="2099">
                  <c:v>11097.985195270954</c:v>
                </c:pt>
                <c:pt idx="2100">
                  <c:v>11106.887237498066</c:v>
                </c:pt>
                <c:pt idx="2101">
                  <c:v>11115.791660420567</c:v>
                </c:pt>
                <c:pt idx="2102">
                  <c:v>11124.698463401726</c:v>
                </c:pt>
                <c:pt idx="2103">
                  <c:v>11133.607645805308</c:v>
                </c:pt>
                <c:pt idx="2104">
                  <c:v>11142.519206995605</c:v>
                </c:pt>
                <c:pt idx="2105">
                  <c:v>11151.433146337409</c:v>
                </c:pt>
                <c:pt idx="2106">
                  <c:v>11160.349463196026</c:v>
                </c:pt>
                <c:pt idx="2107">
                  <c:v>11169.268156937249</c:v>
                </c:pt>
                <c:pt idx="2108">
                  <c:v>11178.189226927412</c:v>
                </c:pt>
                <c:pt idx="2109">
                  <c:v>11187.112672533329</c:v>
                </c:pt>
                <c:pt idx="2110">
                  <c:v>11196.038493122347</c:v>
                </c:pt>
                <c:pt idx="2111">
                  <c:v>11204.966688062281</c:v>
                </c:pt>
                <c:pt idx="2112">
                  <c:v>11213.897256721488</c:v>
                </c:pt>
                <c:pt idx="2113">
                  <c:v>11222.830198468811</c:v>
                </c:pt>
                <c:pt idx="2114">
                  <c:v>11231.765512673586</c:v>
                </c:pt>
                <c:pt idx="2115">
                  <c:v>11240.703198705678</c:v>
                </c:pt>
                <c:pt idx="2116">
                  <c:v>11249.643255935433</c:v>
                </c:pt>
                <c:pt idx="2117">
                  <c:v>11258.585683733712</c:v>
                </c:pt>
                <c:pt idx="2118">
                  <c:v>11267.53048147186</c:v>
                </c:pt>
                <c:pt idx="2119">
                  <c:v>11276.477648521743</c:v>
                </c:pt>
                <c:pt idx="2120">
                  <c:v>11285.42718425571</c:v>
                </c:pt>
                <c:pt idx="2121">
                  <c:v>11294.379088046624</c:v>
                </c:pt>
                <c:pt idx="2122">
                  <c:v>11303.333359267826</c:v>
                </c:pt>
                <c:pt idx="2123">
                  <c:v>11312.289997293177</c:v>
                </c:pt>
                <c:pt idx="2124">
                  <c:v>11321.249001497014</c:v>
                </c:pt>
                <c:pt idx="2125">
                  <c:v>11330.210371254183</c:v>
                </c:pt>
                <c:pt idx="2126">
                  <c:v>11339.174105940019</c:v>
                </c:pt>
                <c:pt idx="2127">
                  <c:v>11348.140204930362</c:v>
                </c:pt>
                <c:pt idx="2128">
                  <c:v>11357.108667601533</c:v>
                </c:pt>
                <c:pt idx="2129">
                  <c:v>11366.079493330353</c:v>
                </c:pt>
                <c:pt idx="2130">
                  <c:v>11375.052681494142</c:v>
                </c:pt>
                <c:pt idx="2131">
                  <c:v>11384.028231470702</c:v>
                </c:pt>
                <c:pt idx="2132">
                  <c:v>11393.006142638325</c:v>
                </c:pt>
                <c:pt idx="2133">
                  <c:v>11401.986414375813</c:v>
                </c:pt>
                <c:pt idx="2134">
                  <c:v>11410.969046062426</c:v>
                </c:pt>
                <c:pt idx="2135">
                  <c:v>11419.95403707795</c:v>
                </c:pt>
                <c:pt idx="2136">
                  <c:v>11428.941386802633</c:v>
                </c:pt>
                <c:pt idx="2137">
                  <c:v>11437.931094617221</c:v>
                </c:pt>
                <c:pt idx="2138">
                  <c:v>11446.923159902948</c:v>
                </c:pt>
                <c:pt idx="2139">
                  <c:v>11455.917582041544</c:v>
                </c:pt>
                <c:pt idx="2140">
                  <c:v>11464.914360415203</c:v>
                </c:pt>
                <c:pt idx="2141">
                  <c:v>11473.913494406619</c:v>
                </c:pt>
                <c:pt idx="2142">
                  <c:v>11482.91498339898</c:v>
                </c:pt>
                <c:pt idx="2143">
                  <c:v>11491.918826775942</c:v>
                </c:pt>
                <c:pt idx="2144">
                  <c:v>11500.925023921654</c:v>
                </c:pt>
                <c:pt idx="2145">
                  <c:v>11509.933574220739</c:v>
                </c:pt>
                <c:pt idx="2146">
                  <c:v>11518.944477058318</c:v>
                </c:pt>
                <c:pt idx="2147">
                  <c:v>11527.957731819984</c:v>
                </c:pt>
                <c:pt idx="2148">
                  <c:v>11536.973337891806</c:v>
                </c:pt>
                <c:pt idx="2149">
                  <c:v>11545.991294660353</c:v>
                </c:pt>
                <c:pt idx="2150">
                  <c:v>11555.011601512651</c:v>
                </c:pt>
                <c:pt idx="2151">
                  <c:v>11564.034257836218</c:v>
                </c:pt>
                <c:pt idx="2152">
                  <c:v>11573.059263019049</c:v>
                </c:pt>
                <c:pt idx="2153">
                  <c:v>11582.086616449626</c:v>
                </c:pt>
                <c:pt idx="2154">
                  <c:v>11591.116317516889</c:v>
                </c:pt>
                <c:pt idx="2155">
                  <c:v>11600.148365610274</c:v>
                </c:pt>
                <c:pt idx="2156">
                  <c:v>11609.182760119678</c:v>
                </c:pt>
                <c:pt idx="2157">
                  <c:v>11618.219500435485</c:v>
                </c:pt>
                <c:pt idx="2158">
                  <c:v>11627.258585948553</c:v>
                </c:pt>
                <c:pt idx="2159">
                  <c:v>11636.300016050209</c:v>
                </c:pt>
                <c:pt idx="2160">
                  <c:v>11645.343790132256</c:v>
                </c:pt>
                <c:pt idx="2161">
                  <c:v>11654.389907586969</c:v>
                </c:pt>
                <c:pt idx="2162">
                  <c:v>11663.438367807101</c:v>
                </c:pt>
                <c:pt idx="2163">
                  <c:v>11672.489170185883</c:v>
                </c:pt>
                <c:pt idx="2164">
                  <c:v>11681.542314116989</c:v>
                </c:pt>
                <c:pt idx="2165">
                  <c:v>11690.597798994595</c:v>
                </c:pt>
                <c:pt idx="2166">
                  <c:v>11699.655624213336</c:v>
                </c:pt>
                <c:pt idx="2167">
                  <c:v>11708.715789168313</c:v>
                </c:pt>
                <c:pt idx="2168">
                  <c:v>11717.7782932551</c:v>
                </c:pt>
                <c:pt idx="2169">
                  <c:v>11726.84313586974</c:v>
                </c:pt>
                <c:pt idx="2170">
                  <c:v>11735.910316408734</c:v>
                </c:pt>
                <c:pt idx="2171">
                  <c:v>11744.97983426907</c:v>
                </c:pt>
                <c:pt idx="2172">
                  <c:v>11754.051688848194</c:v>
                </c:pt>
                <c:pt idx="2173">
                  <c:v>11763.125879543997</c:v>
                </c:pt>
                <c:pt idx="2174">
                  <c:v>11772.202405754868</c:v>
                </c:pt>
                <c:pt idx="2175">
                  <c:v>11781.281266879632</c:v>
                </c:pt>
                <c:pt idx="2176">
                  <c:v>11790.362462317615</c:v>
                </c:pt>
                <c:pt idx="2177">
                  <c:v>11799.44599146857</c:v>
                </c:pt>
                <c:pt idx="2178">
                  <c:v>11808.531853732729</c:v>
                </c:pt>
                <c:pt idx="2179">
                  <c:v>11817.620048510778</c:v>
                </c:pt>
                <c:pt idx="2180">
                  <c:v>11826.71057520389</c:v>
                </c:pt>
                <c:pt idx="2181">
                  <c:v>11835.803433213669</c:v>
                </c:pt>
                <c:pt idx="2182">
                  <c:v>11844.898621942179</c:v>
                </c:pt>
                <c:pt idx="2183">
                  <c:v>11853.996140791978</c:v>
                </c:pt>
                <c:pt idx="2184">
                  <c:v>11863.095989166053</c:v>
                </c:pt>
                <c:pt idx="2185">
                  <c:v>11872.198166467857</c:v>
                </c:pt>
                <c:pt idx="2186">
                  <c:v>11881.302672101301</c:v>
                </c:pt>
                <c:pt idx="2187">
                  <c:v>11890.409505470765</c:v>
                </c:pt>
                <c:pt idx="2188">
                  <c:v>11899.518665981073</c:v>
                </c:pt>
                <c:pt idx="2189">
                  <c:v>11908.630153037499</c:v>
                </c:pt>
                <c:pt idx="2190">
                  <c:v>11917.743966045802</c:v>
                </c:pt>
                <c:pt idx="2191">
                  <c:v>11926.860104412162</c:v>
                </c:pt>
                <c:pt idx="2192">
                  <c:v>11935.978567543232</c:v>
                </c:pt>
                <c:pt idx="2193">
                  <c:v>11945.099354846117</c:v>
                </c:pt>
                <c:pt idx="2194">
                  <c:v>11954.222465728386</c:v>
                </c:pt>
                <c:pt idx="2195">
                  <c:v>11963.347899598037</c:v>
                </c:pt>
                <c:pt idx="2196">
                  <c:v>11972.475655863544</c:v>
                </c:pt>
                <c:pt idx="2197">
                  <c:v>11981.605733933811</c:v>
                </c:pt>
                <c:pt idx="2198">
                  <c:v>11990.738133218219</c:v>
                </c:pt>
                <c:pt idx="2199">
                  <c:v>11999.872853126579</c:v>
                </c:pt>
                <c:pt idx="2200">
                  <c:v>12009.009893069146</c:v>
                </c:pt>
                <c:pt idx="2201">
                  <c:v>12018.149252456657</c:v>
                </c:pt>
                <c:pt idx="2202">
                  <c:v>12027.290930700268</c:v>
                </c:pt>
                <c:pt idx="2203">
                  <c:v>12036.434927211601</c:v>
                </c:pt>
                <c:pt idx="2204">
                  <c:v>12045.581241402713</c:v>
                </c:pt>
                <c:pt idx="2205">
                  <c:v>12054.729872686117</c:v>
                </c:pt>
                <c:pt idx="2206">
                  <c:v>12063.880820474773</c:v>
                </c:pt>
                <c:pt idx="2207">
                  <c:v>12073.034084182074</c:v>
                </c:pt>
                <c:pt idx="2208">
                  <c:v>12082.18966322188</c:v>
                </c:pt>
                <c:pt idx="2209">
                  <c:v>12091.34755700847</c:v>
                </c:pt>
                <c:pt idx="2210">
                  <c:v>12100.507764956596</c:v>
                </c:pt>
                <c:pt idx="2211">
                  <c:v>12109.670286481436</c:v>
                </c:pt>
                <c:pt idx="2212">
                  <c:v>12118.835120998621</c:v>
                </c:pt>
                <c:pt idx="2213">
                  <c:v>12128.002267924203</c:v>
                </c:pt>
                <c:pt idx="2214">
                  <c:v>12137.171726674713</c:v>
                </c:pt>
                <c:pt idx="2215">
                  <c:v>12146.343496667088</c:v>
                </c:pt>
                <c:pt idx="2216">
                  <c:v>12155.517577318727</c:v>
                </c:pt>
                <c:pt idx="2217">
                  <c:v>12164.693968047468</c:v>
                </c:pt>
                <c:pt idx="2218">
                  <c:v>12173.872668271573</c:v>
                </c:pt>
                <c:pt idx="2219">
                  <c:v>12183.053677409771</c:v>
                </c:pt>
                <c:pt idx="2220">
                  <c:v>12192.236994881197</c:v>
                </c:pt>
                <c:pt idx="2221">
                  <c:v>12201.422620105464</c:v>
                </c:pt>
                <c:pt idx="2222">
                  <c:v>12210.610552502578</c:v>
                </c:pt>
                <c:pt idx="2223">
                  <c:v>12219.800791493024</c:v>
                </c:pt>
                <c:pt idx="2224">
                  <c:v>12228.993336497682</c:v>
                </c:pt>
                <c:pt idx="2225">
                  <c:v>12238.18818693791</c:v>
                </c:pt>
                <c:pt idx="2226">
                  <c:v>12247.385342235479</c:v>
                </c:pt>
                <c:pt idx="2227">
                  <c:v>12256.584801812596</c:v>
                </c:pt>
                <c:pt idx="2228">
                  <c:v>12265.786565091898</c:v>
                </c:pt>
                <c:pt idx="2229">
                  <c:v>12274.990631496476</c:v>
                </c:pt>
                <c:pt idx="2230">
                  <c:v>12284.197000449827</c:v>
                </c:pt>
                <c:pt idx="2231">
                  <c:v>12293.405671375916</c:v>
                </c:pt>
                <c:pt idx="2232">
                  <c:v>12302.616643699088</c:v>
                </c:pt>
                <c:pt idx="2233">
                  <c:v>12311.829916844179</c:v>
                </c:pt>
                <c:pt idx="2234">
                  <c:v>12321.045490236422</c:v>
                </c:pt>
                <c:pt idx="2235">
                  <c:v>12330.263363301479</c:v>
                </c:pt>
                <c:pt idx="2236">
                  <c:v>12339.48353546545</c:v>
                </c:pt>
                <c:pt idx="2237">
                  <c:v>12348.70600615488</c:v>
                </c:pt>
                <c:pt idx="2238">
                  <c:v>12357.930774796723</c:v>
                </c:pt>
                <c:pt idx="2239">
                  <c:v>12367.157840818349</c:v>
                </c:pt>
                <c:pt idx="2240">
                  <c:v>12376.387203647602</c:v>
                </c:pt>
                <c:pt idx="2241">
                  <c:v>12385.618862712701</c:v>
                </c:pt>
                <c:pt idx="2242">
                  <c:v>12394.852817442334</c:v>
                </c:pt>
                <c:pt idx="2243">
                  <c:v>12404.089067265586</c:v>
                </c:pt>
                <c:pt idx="2244">
                  <c:v>12413.327611611985</c:v>
                </c:pt>
                <c:pt idx="2245">
                  <c:v>12422.56844991148</c:v>
                </c:pt>
                <c:pt idx="2246">
                  <c:v>12431.811581594438</c:v>
                </c:pt>
                <c:pt idx="2247">
                  <c:v>12441.057006091665</c:v>
                </c:pt>
                <c:pt idx="2248">
                  <c:v>12450.304722834375</c:v>
                </c:pt>
                <c:pt idx="2249">
                  <c:v>12459.554731254226</c:v>
                </c:pt>
                <c:pt idx="2250">
                  <c:v>12468.807030783264</c:v>
                </c:pt>
                <c:pt idx="2251">
                  <c:v>12478.061620853992</c:v>
                </c:pt>
                <c:pt idx="2252">
                  <c:v>12487.318500899317</c:v>
                </c:pt>
                <c:pt idx="2253">
                  <c:v>12496.577670352573</c:v>
                </c:pt>
                <c:pt idx="2254">
                  <c:v>12505.839128647511</c:v>
                </c:pt>
                <c:pt idx="2255">
                  <c:v>12515.10287521831</c:v>
                </c:pt>
                <c:pt idx="2256">
                  <c:v>12524.368909499559</c:v>
                </c:pt>
                <c:pt idx="2257">
                  <c:v>12533.63723092627</c:v>
                </c:pt>
                <c:pt idx="2258">
                  <c:v>12542.907838933863</c:v>
                </c:pt>
                <c:pt idx="2259">
                  <c:v>12552.180732958204</c:v>
                </c:pt>
                <c:pt idx="2260">
                  <c:v>12561.455912435558</c:v>
                </c:pt>
                <c:pt idx="2261">
                  <c:v>12570.733376802587</c:v>
                </c:pt>
                <c:pt idx="2262">
                  <c:v>12580.013125496413</c:v>
                </c:pt>
                <c:pt idx="2263">
                  <c:v>12589.295157954546</c:v>
                </c:pt>
                <c:pt idx="2264">
                  <c:v>12598.579473614918</c:v>
                </c:pt>
                <c:pt idx="2265">
                  <c:v>12607.866071915863</c:v>
                </c:pt>
                <c:pt idx="2266">
                  <c:v>12617.154952296158</c:v>
                </c:pt>
                <c:pt idx="2267">
                  <c:v>12626.446114194972</c:v>
                </c:pt>
                <c:pt idx="2268">
                  <c:v>12635.739557051889</c:v>
                </c:pt>
                <c:pt idx="2269">
                  <c:v>12645.035280306913</c:v>
                </c:pt>
                <c:pt idx="2270">
                  <c:v>12654.333283400447</c:v>
                </c:pt>
                <c:pt idx="2271">
                  <c:v>12663.633565773342</c:v>
                </c:pt>
                <c:pt idx="2272">
                  <c:v>12672.936126866818</c:v>
                </c:pt>
                <c:pt idx="2273">
                  <c:v>12682.240966122521</c:v>
                </c:pt>
                <c:pt idx="2274">
                  <c:v>12691.54808298251</c:v>
                </c:pt>
                <c:pt idx="2275">
                  <c:v>12700.857476889263</c:v>
                </c:pt>
                <c:pt idx="2276">
                  <c:v>12710.169147285646</c:v>
                </c:pt>
                <c:pt idx="2277">
                  <c:v>12719.483093614945</c:v>
                </c:pt>
                <c:pt idx="2278">
                  <c:v>12728.799315320872</c:v>
                </c:pt>
                <c:pt idx="2279">
                  <c:v>12738.117811847511</c:v>
                </c:pt>
                <c:pt idx="2280">
                  <c:v>12747.438582639379</c:v>
                </c:pt>
                <c:pt idx="2281">
                  <c:v>12756.761627141397</c:v>
                </c:pt>
                <c:pt idx="2282">
                  <c:v>12766.086944798877</c:v>
                </c:pt>
                <c:pt idx="2283">
                  <c:v>12775.414535057564</c:v>
                </c:pt>
                <c:pt idx="2284">
                  <c:v>12784.744397363578</c:v>
                </c:pt>
                <c:pt idx="2285">
                  <c:v>12794.07653116348</c:v>
                </c:pt>
                <c:pt idx="2286">
                  <c:v>12803.410935904189</c:v>
                </c:pt>
                <c:pt idx="2287">
                  <c:v>12812.74761103307</c:v>
                </c:pt>
                <c:pt idx="2288">
                  <c:v>12822.086555997865</c:v>
                </c:pt>
                <c:pt idx="2289">
                  <c:v>12831.427770246741</c:v>
                </c:pt>
                <c:pt idx="2290">
                  <c:v>12840.771253228244</c:v>
                </c:pt>
                <c:pt idx="2291">
                  <c:v>12850.117004391332</c:v>
                </c:pt>
                <c:pt idx="2292">
                  <c:v>12859.465023185379</c:v>
                </c:pt>
                <c:pt idx="2293">
                  <c:v>12868.815309060134</c:v>
                </c:pt>
                <c:pt idx="2294">
                  <c:v>12878.167861465763</c:v>
                </c:pt>
                <c:pt idx="2295">
                  <c:v>12887.522679852835</c:v>
                </c:pt>
                <c:pt idx="2296">
                  <c:v>12896.879763672307</c:v>
                </c:pt>
                <c:pt idx="2297">
                  <c:v>12906.239112375535</c:v>
                </c:pt>
                <c:pt idx="2298">
                  <c:v>12915.600725414284</c:v>
                </c:pt>
                <c:pt idx="2299">
                  <c:v>12924.964602240714</c:v>
                </c:pt>
                <c:pt idx="2300">
                  <c:v>12934.330742307369</c:v>
                </c:pt>
                <c:pt idx="2301">
                  <c:v>12943.699145067225</c:v>
                </c:pt>
                <c:pt idx="2302">
                  <c:v>12953.069809973596</c:v>
                </c:pt>
                <c:pt idx="2303">
                  <c:v>12962.442736480267</c:v>
                </c:pt>
                <c:pt idx="2304">
                  <c:v>12971.817924041343</c:v>
                </c:pt>
                <c:pt idx="2305">
                  <c:v>12981.195372111386</c:v>
                </c:pt>
                <c:pt idx="2306">
                  <c:v>12990.575080145321</c:v>
                </c:pt>
                <c:pt idx="2307">
                  <c:v>12999.957047598464</c:v>
                </c:pt>
                <c:pt idx="2308">
                  <c:v>13009.34127392654</c:v>
                </c:pt>
                <c:pt idx="2309">
                  <c:v>13018.727758585659</c:v>
                </c:pt>
                <c:pt idx="2310">
                  <c:v>13028.116501032338</c:v>
                </c:pt>
                <c:pt idx="2311">
                  <c:v>13037.507500723455</c:v>
                </c:pt>
                <c:pt idx="2312">
                  <c:v>13046.900757116317</c:v>
                </c:pt>
                <c:pt idx="2313">
                  <c:v>13056.296269668603</c:v>
                </c:pt>
                <c:pt idx="2314">
                  <c:v>13065.69403783837</c:v>
                </c:pt>
                <c:pt idx="2315">
                  <c:v>13075.094061084099</c:v>
                </c:pt>
                <c:pt idx="2316">
                  <c:v>13084.496338864621</c:v>
                </c:pt>
                <c:pt idx="2317">
                  <c:v>13093.900870639212</c:v>
                </c:pt>
                <c:pt idx="2318">
                  <c:v>13103.307655867471</c:v>
                </c:pt>
                <c:pt idx="2319">
                  <c:v>13112.716694009432</c:v>
                </c:pt>
                <c:pt idx="2320">
                  <c:v>13122.127984525494</c:v>
                </c:pt>
                <c:pt idx="2321">
                  <c:v>13131.541526876472</c:v>
                </c:pt>
                <c:pt idx="2322">
                  <c:v>13140.95732052353</c:v>
                </c:pt>
                <c:pt idx="2323">
                  <c:v>13150.375364928244</c:v>
                </c:pt>
                <c:pt idx="2324">
                  <c:v>13159.795659552576</c:v>
                </c:pt>
                <c:pt idx="2325">
                  <c:v>13169.218203858851</c:v>
                </c:pt>
                <c:pt idx="2326">
                  <c:v>13178.642997309818</c:v>
                </c:pt>
                <c:pt idx="2327">
                  <c:v>13188.070039368571</c:v>
                </c:pt>
                <c:pt idx="2328">
                  <c:v>13197.499329498622</c:v>
                </c:pt>
                <c:pt idx="2329">
                  <c:v>13206.930867163837</c:v>
                </c:pt>
                <c:pt idx="2330">
                  <c:v>13216.36465182849</c:v>
                </c:pt>
                <c:pt idx="2331">
                  <c:v>13225.800682957231</c:v>
                </c:pt>
                <c:pt idx="2332">
                  <c:v>13235.238960015078</c:v>
                </c:pt>
                <c:pt idx="2333">
                  <c:v>13244.679482467451</c:v>
                </c:pt>
                <c:pt idx="2334">
                  <c:v>13254.122249780143</c:v>
                </c:pt>
                <c:pt idx="2335">
                  <c:v>13263.56726141933</c:v>
                </c:pt>
                <c:pt idx="2336">
                  <c:v>13273.014516851566</c:v>
                </c:pt>
                <c:pt idx="2337">
                  <c:v>13282.464015543788</c:v>
                </c:pt>
                <c:pt idx="2338">
                  <c:v>13291.915756963308</c:v>
                </c:pt>
                <c:pt idx="2339">
                  <c:v>13301.369740577831</c:v>
                </c:pt>
                <c:pt idx="2340">
                  <c:v>13310.825965855427</c:v>
                </c:pt>
                <c:pt idx="2341">
                  <c:v>13320.284432264543</c:v>
                </c:pt>
                <c:pt idx="2342">
                  <c:v>13329.74513927402</c:v>
                </c:pt>
                <c:pt idx="2343">
                  <c:v>13339.208086353063</c:v>
                </c:pt>
                <c:pt idx="2344">
                  <c:v>13348.67327297126</c:v>
                </c:pt>
                <c:pt idx="2345">
                  <c:v>13358.140698598569</c:v>
                </c:pt>
                <c:pt idx="2346">
                  <c:v>13367.610362705329</c:v>
                </c:pt>
                <c:pt idx="2347">
                  <c:v>13377.082264762268</c:v>
                </c:pt>
                <c:pt idx="2348">
                  <c:v>13386.55640424046</c:v>
                </c:pt>
                <c:pt idx="2349">
                  <c:v>13396.032780611384</c:v>
                </c:pt>
                <c:pt idx="2350">
                  <c:v>13405.511393346864</c:v>
                </c:pt>
                <c:pt idx="2351">
                  <c:v>13414.992241919141</c:v>
                </c:pt>
                <c:pt idx="2352">
                  <c:v>13424.475325800773</c:v>
                </c:pt>
                <c:pt idx="2353">
                  <c:v>13433.960644464736</c:v>
                </c:pt>
                <c:pt idx="2354">
                  <c:v>13443.448197384361</c:v>
                </c:pt>
                <c:pt idx="2355">
                  <c:v>13452.937984033366</c:v>
                </c:pt>
                <c:pt idx="2356">
                  <c:v>13462.430003885809</c:v>
                </c:pt>
                <c:pt idx="2357">
                  <c:v>13471.924256416158</c:v>
                </c:pt>
                <c:pt idx="2358">
                  <c:v>13481.42074109922</c:v>
                </c:pt>
                <c:pt idx="2359">
                  <c:v>13490.919457410191</c:v>
                </c:pt>
                <c:pt idx="2360">
                  <c:v>13500.420404824636</c:v>
                </c:pt>
                <c:pt idx="2361">
                  <c:v>13509.923582818481</c:v>
                </c:pt>
                <c:pt idx="2362">
                  <c:v>13519.428990868024</c:v>
                </c:pt>
                <c:pt idx="2363">
                  <c:v>13528.93662844995</c:v>
                </c:pt>
                <c:pt idx="2364">
                  <c:v>13538.44649504128</c:v>
                </c:pt>
                <c:pt idx="2365">
                  <c:v>13547.958590119419</c:v>
                </c:pt>
                <c:pt idx="2366">
                  <c:v>13557.472913162152</c:v>
                </c:pt>
                <c:pt idx="2367">
                  <c:v>13566.989463647613</c:v>
                </c:pt>
                <c:pt idx="2368">
                  <c:v>13576.508241054309</c:v>
                </c:pt>
                <c:pt idx="2369">
                  <c:v>13586.029244861118</c:v>
                </c:pt>
                <c:pt idx="2370">
                  <c:v>13595.552474547278</c:v>
                </c:pt>
                <c:pt idx="2371">
                  <c:v>13605.077929592382</c:v>
                </c:pt>
                <c:pt idx="2372">
                  <c:v>13614.605609476412</c:v>
                </c:pt>
                <c:pt idx="2373">
                  <c:v>13624.135513679701</c:v>
                </c:pt>
                <c:pt idx="2374">
                  <c:v>13633.66764168294</c:v>
                </c:pt>
                <c:pt idx="2375">
                  <c:v>13643.201992967201</c:v>
                </c:pt>
                <c:pt idx="2376">
                  <c:v>13652.738567013905</c:v>
                </c:pt>
                <c:pt idx="2377">
                  <c:v>13662.277363304831</c:v>
                </c:pt>
                <c:pt idx="2378">
                  <c:v>13671.818381322142</c:v>
                </c:pt>
                <c:pt idx="2379">
                  <c:v>13681.361620548343</c:v>
                </c:pt>
                <c:pt idx="2380">
                  <c:v>13690.907080466319</c:v>
                </c:pt>
                <c:pt idx="2381">
                  <c:v>13700.454760559292</c:v>
                </c:pt>
                <c:pt idx="2382">
                  <c:v>13710.004660310866</c:v>
                </c:pt>
                <c:pt idx="2383">
                  <c:v>13719.556779204991</c:v>
                </c:pt>
                <c:pt idx="2384">
                  <c:v>13729.11111672599</c:v>
                </c:pt>
                <c:pt idx="2385">
                  <c:v>13738.667672358539</c:v>
                </c:pt>
                <c:pt idx="2386">
                  <c:v>13748.226445587658</c:v>
                </c:pt>
                <c:pt idx="2387">
                  <c:v>13757.787435898765</c:v>
                </c:pt>
                <c:pt idx="2388">
                  <c:v>13767.35064277759</c:v>
                </c:pt>
                <c:pt idx="2389">
                  <c:v>13776.91606571026</c:v>
                </c:pt>
                <c:pt idx="2390">
                  <c:v>13786.483704183227</c:v>
                </c:pt>
                <c:pt idx="2391">
                  <c:v>13796.053557683321</c:v>
                </c:pt>
                <c:pt idx="2392">
                  <c:v>13805.625625697729</c:v>
                </c:pt>
                <c:pt idx="2393">
                  <c:v>13815.19990771397</c:v>
                </c:pt>
                <c:pt idx="2394">
                  <c:v>13824.776403219954</c:v>
                </c:pt>
                <c:pt idx="2395">
                  <c:v>13834.355111703922</c:v>
                </c:pt>
                <c:pt idx="2396">
                  <c:v>13843.936032654485</c:v>
                </c:pt>
                <c:pt idx="2397">
                  <c:v>13853.519165560585</c:v>
                </c:pt>
                <c:pt idx="2398">
                  <c:v>13863.104509911536</c:v>
                </c:pt>
                <c:pt idx="2399">
                  <c:v>13872.692065197021</c:v>
                </c:pt>
                <c:pt idx="2400">
                  <c:v>13882.281830907034</c:v>
                </c:pt>
                <c:pt idx="2401">
                  <c:v>13891.873806531959</c:v>
                </c:pt>
                <c:pt idx="2402">
                  <c:v>13901.467991562522</c:v>
                </c:pt>
                <c:pt idx="2403">
                  <c:v>13911.064385489795</c:v>
                </c:pt>
                <c:pt idx="2404">
                  <c:v>13920.662987805206</c:v>
                </c:pt>
                <c:pt idx="2405">
                  <c:v>13930.263798000531</c:v>
                </c:pt>
                <c:pt idx="2406">
                  <c:v>13939.86681556791</c:v>
                </c:pt>
                <c:pt idx="2407">
                  <c:v>13949.472039999795</c:v>
                </c:pt>
                <c:pt idx="2408">
                  <c:v>13959.079470789055</c:v>
                </c:pt>
                <c:pt idx="2409">
                  <c:v>13968.689107428841</c:v>
                </c:pt>
                <c:pt idx="2410">
                  <c:v>13978.300949412698</c:v>
                </c:pt>
                <c:pt idx="2411">
                  <c:v>13987.914996234496</c:v>
                </c:pt>
                <c:pt idx="2412">
                  <c:v>13997.531247388455</c:v>
                </c:pt>
                <c:pt idx="2413">
                  <c:v>14007.149702369168</c:v>
                </c:pt>
                <c:pt idx="2414">
                  <c:v>14016.770360671537</c:v>
                </c:pt>
                <c:pt idx="2415">
                  <c:v>14026.393221790851</c:v>
                </c:pt>
                <c:pt idx="2416">
                  <c:v>14036.018285222704</c:v>
                </c:pt>
                <c:pt idx="2417">
                  <c:v>14045.645550463074</c:v>
                </c:pt>
                <c:pt idx="2418">
                  <c:v>14055.275017008265</c:v>
                </c:pt>
                <c:pt idx="2419">
                  <c:v>14064.906684354935</c:v>
                </c:pt>
                <c:pt idx="2420">
                  <c:v>14074.54055200008</c:v>
                </c:pt>
                <c:pt idx="2421">
                  <c:v>14084.176619441043</c:v>
                </c:pt>
                <c:pt idx="2422">
                  <c:v>14093.81488617552</c:v>
                </c:pt>
                <c:pt idx="2423">
                  <c:v>14103.455351701536</c:v>
                </c:pt>
                <c:pt idx="2424">
                  <c:v>14113.098015517469</c:v>
                </c:pt>
                <c:pt idx="2425">
                  <c:v>14122.742877122037</c:v>
                </c:pt>
                <c:pt idx="2426">
                  <c:v>14132.389936014319</c:v>
                </c:pt>
                <c:pt idx="2427">
                  <c:v>14142.039191693688</c:v>
                </c:pt>
                <c:pt idx="2428">
                  <c:v>14151.690643659927</c:v>
                </c:pt>
                <c:pt idx="2429">
                  <c:v>14161.344291413097</c:v>
                </c:pt>
                <c:pt idx="2430">
                  <c:v>14171.000134453652</c:v>
                </c:pt>
                <c:pt idx="2431">
                  <c:v>14180.658172282347</c:v>
                </c:pt>
                <c:pt idx="2432">
                  <c:v>14190.318404400303</c:v>
                </c:pt>
                <c:pt idx="2433">
                  <c:v>14199.980830308969</c:v>
                </c:pt>
                <c:pt idx="2434">
                  <c:v>14209.64544951013</c:v>
                </c:pt>
                <c:pt idx="2435">
                  <c:v>14219.312261505935</c:v>
                </c:pt>
                <c:pt idx="2436">
                  <c:v>14228.981265798839</c:v>
                </c:pt>
                <c:pt idx="2437">
                  <c:v>14238.652461891656</c:v>
                </c:pt>
                <c:pt idx="2438">
                  <c:v>14248.325849287539</c:v>
                </c:pt>
                <c:pt idx="2439">
                  <c:v>14258.00142748996</c:v>
                </c:pt>
                <c:pt idx="2440">
                  <c:v>14267.679196002759</c:v>
                </c:pt>
                <c:pt idx="2441">
                  <c:v>14277.359154330079</c:v>
                </c:pt>
                <c:pt idx="2442">
                  <c:v>14287.041301976427</c:v>
                </c:pt>
                <c:pt idx="2443">
                  <c:v>14296.725638446636</c:v>
                </c:pt>
                <c:pt idx="2444">
                  <c:v>14306.412163245872</c:v>
                </c:pt>
                <c:pt idx="2445">
                  <c:v>14316.100875879636</c:v>
                </c:pt>
                <c:pt idx="2446">
                  <c:v>14325.791775853781</c:v>
                </c:pt>
                <c:pt idx="2447">
                  <c:v>14335.484862674466</c:v>
                </c:pt>
                <c:pt idx="2448">
                  <c:v>14345.180135848206</c:v>
                </c:pt>
                <c:pt idx="2449">
                  <c:v>14354.877594881849</c:v>
                </c:pt>
                <c:pt idx="2450">
                  <c:v>14364.577239282564</c:v>
                </c:pt>
                <c:pt idx="2451">
                  <c:v>14374.279068557864</c:v>
                </c:pt>
                <c:pt idx="2452">
                  <c:v>14383.9830822156</c:v>
                </c:pt>
                <c:pt idx="2453">
                  <c:v>14393.689279763934</c:v>
                </c:pt>
                <c:pt idx="2454">
                  <c:v>14403.397660711387</c:v>
                </c:pt>
                <c:pt idx="2455">
                  <c:v>14413.108224566789</c:v>
                </c:pt>
                <c:pt idx="2456">
                  <c:v>14422.82097083931</c:v>
                </c:pt>
                <c:pt idx="2457">
                  <c:v>14432.535899038459</c:v>
                </c:pt>
                <c:pt idx="2458">
                  <c:v>14442.25300867407</c:v>
                </c:pt>
                <c:pt idx="2459">
                  <c:v>14451.972299256298</c:v>
                </c:pt>
                <c:pt idx="2460">
                  <c:v>14461.693770295642</c:v>
                </c:pt>
                <c:pt idx="2461">
                  <c:v>14471.417421302924</c:v>
                </c:pt>
                <c:pt idx="2462">
                  <c:v>14481.143251789301</c:v>
                </c:pt>
                <c:pt idx="2463">
                  <c:v>14490.871261266242</c:v>
                </c:pt>
                <c:pt idx="2464">
                  <c:v>14500.601449245562</c:v>
                </c:pt>
                <c:pt idx="2465">
                  <c:v>14510.333815239399</c:v>
                </c:pt>
                <c:pt idx="2466">
                  <c:v>14520.06835876022</c:v>
                </c:pt>
                <c:pt idx="2467">
                  <c:v>14529.805079320817</c:v>
                </c:pt>
                <c:pt idx="2468">
                  <c:v>14539.543976434306</c:v>
                </c:pt>
                <c:pt idx="2469">
                  <c:v>14549.285049614138</c:v>
                </c:pt>
                <c:pt idx="2470">
                  <c:v>14559.028298374084</c:v>
                </c:pt>
                <c:pt idx="2471">
                  <c:v>14568.773722228247</c:v>
                </c:pt>
                <c:pt idx="2472">
                  <c:v>14578.521320691038</c:v>
                </c:pt>
                <c:pt idx="2473">
                  <c:v>14588.271093277213</c:v>
                </c:pt>
                <c:pt idx="2474">
                  <c:v>14598.023039501853</c:v>
                </c:pt>
                <c:pt idx="2475">
                  <c:v>14607.777158880341</c:v>
                </c:pt>
                <c:pt idx="2476">
                  <c:v>14617.533450928424</c:v>
                </c:pt>
                <c:pt idx="2477">
                  <c:v>14627.291915162121</c:v>
                </c:pt>
                <c:pt idx="2478">
                  <c:v>14637.052551097811</c:v>
                </c:pt>
                <c:pt idx="2479">
                  <c:v>14646.815358252203</c:v>
                </c:pt>
                <c:pt idx="2480">
                  <c:v>14656.580336142295</c:v>
                </c:pt>
                <c:pt idx="2481">
                  <c:v>14666.34748428543</c:v>
                </c:pt>
                <c:pt idx="2482">
                  <c:v>14676.116802199256</c:v>
                </c:pt>
                <c:pt idx="2483">
                  <c:v>14685.88828940177</c:v>
                </c:pt>
                <c:pt idx="2484">
                  <c:v>14695.661945411266</c:v>
                </c:pt>
                <c:pt idx="2485">
                  <c:v>14705.437769746382</c:v>
                </c:pt>
                <c:pt idx="2486">
                  <c:v>14715.215761926042</c:v>
                </c:pt>
                <c:pt idx="2487">
                  <c:v>14724.995921469512</c:v>
                </c:pt>
                <c:pt idx="2488">
                  <c:v>14734.778247896402</c:v>
                </c:pt>
                <c:pt idx="2489">
                  <c:v>14744.562740726573</c:v>
                </c:pt>
                <c:pt idx="2490">
                  <c:v>14754.349399480287</c:v>
                </c:pt>
                <c:pt idx="2491">
                  <c:v>14764.138223678052</c:v>
                </c:pt>
                <c:pt idx="2492">
                  <c:v>14773.929212840756</c:v>
                </c:pt>
                <c:pt idx="2493">
                  <c:v>14783.722366489554</c:v>
                </c:pt>
                <c:pt idx="2494">
                  <c:v>14793.517684145954</c:v>
                </c:pt>
                <c:pt idx="2495">
                  <c:v>14803.315165331769</c:v>
                </c:pt>
                <c:pt idx="2496">
                  <c:v>14813.114809569122</c:v>
                </c:pt>
                <c:pt idx="2497">
                  <c:v>14822.916616380457</c:v>
                </c:pt>
                <c:pt idx="2498">
                  <c:v>14832.720585288551</c:v>
                </c:pt>
                <c:pt idx="2499">
                  <c:v>14842.526715816466</c:v>
                </c:pt>
                <c:pt idx="2500">
                  <c:v>14852.335007487603</c:v>
                </c:pt>
                <c:pt idx="2501">
                  <c:v>14862.145459825675</c:v>
                </c:pt>
                <c:pt idx="2502">
                  <c:v>14871.958072354697</c:v>
                </c:pt>
                <c:pt idx="2503">
                  <c:v>14881.772844599018</c:v>
                </c:pt>
                <c:pt idx="2504">
                  <c:v>14891.589776083283</c:v>
                </c:pt>
                <c:pt idx="2505">
                  <c:v>14901.408866332464</c:v>
                </c:pt>
                <c:pt idx="2506">
                  <c:v>14911.230114871836</c:v>
                </c:pt>
                <c:pt idx="2507">
                  <c:v>14921.05352122699</c:v>
                </c:pt>
                <c:pt idx="2508">
                  <c:v>14930.879084923841</c:v>
                </c:pt>
                <c:pt idx="2509">
                  <c:v>14940.706805488602</c:v>
                </c:pt>
                <c:pt idx="2510">
                  <c:v>14950.536682447815</c:v>
                </c:pt>
                <c:pt idx="2511">
                  <c:v>14960.368715328294</c:v>
                </c:pt>
                <c:pt idx="2512">
                  <c:v>14970.202903657226</c:v>
                </c:pt>
                <c:pt idx="2513">
                  <c:v>14980.03924696206</c:v>
                </c:pt>
                <c:pt idx="2514">
                  <c:v>14989.877744770571</c:v>
                </c:pt>
                <c:pt idx="2515">
                  <c:v>14999.718396610848</c:v>
                </c:pt>
                <c:pt idx="2516">
                  <c:v>15009.561202011289</c:v>
                </c:pt>
                <c:pt idx="2517">
                  <c:v>15019.406160500597</c:v>
                </c:pt>
                <c:pt idx="2518">
                  <c:v>15029.253271607784</c:v>
                </c:pt>
                <c:pt idx="2519">
                  <c:v>15039.102534862193</c:v>
                </c:pt>
                <c:pt idx="2520">
                  <c:v>15048.953949793435</c:v>
                </c:pt>
                <c:pt idx="2521">
                  <c:v>15058.807515931463</c:v>
                </c:pt>
                <c:pt idx="2522">
                  <c:v>15068.663232806519</c:v>
                </c:pt>
                <c:pt idx="2523">
                  <c:v>15078.521099949172</c:v>
                </c:pt>
                <c:pt idx="2524">
                  <c:v>15088.381116890276</c:v>
                </c:pt>
                <c:pt idx="2525">
                  <c:v>15098.243283161006</c:v>
                </c:pt>
                <c:pt idx="2526">
                  <c:v>15108.107598292854</c:v>
                </c:pt>
                <c:pt idx="2527">
                  <c:v>15117.97406181758</c:v>
                </c:pt>
                <c:pt idx="2528">
                  <c:v>15127.8426732673</c:v>
                </c:pt>
                <c:pt idx="2529">
                  <c:v>15137.713432174389</c:v>
                </c:pt>
                <c:pt idx="2530">
                  <c:v>15147.586338071564</c:v>
                </c:pt>
                <c:pt idx="2531">
                  <c:v>15157.461390491828</c:v>
                </c:pt>
                <c:pt idx="2532">
                  <c:v>15167.338588968485</c:v>
                </c:pt>
                <c:pt idx="2533">
                  <c:v>15177.217933035165</c:v>
                </c:pt>
                <c:pt idx="2534">
                  <c:v>15187.09942222578</c:v>
                </c:pt>
                <c:pt idx="2535">
                  <c:v>15196.983056074552</c:v>
                </c:pt>
                <c:pt idx="2536">
                  <c:v>15206.86883411602</c:v>
                </c:pt>
                <c:pt idx="2537">
                  <c:v>15216.756755884997</c:v>
                </c:pt>
                <c:pt idx="2538">
                  <c:v>15226.646820916629</c:v>
                </c:pt>
                <c:pt idx="2539">
                  <c:v>15236.539028746345</c:v>
                </c:pt>
                <c:pt idx="2540">
                  <c:v>15246.433378909896</c:v>
                </c:pt>
                <c:pt idx="2541">
                  <c:v>15256.329870943306</c:v>
                </c:pt>
                <c:pt idx="2542">
                  <c:v>15266.228504382916</c:v>
                </c:pt>
                <c:pt idx="2543">
                  <c:v>15276.12927876538</c:v>
                </c:pt>
                <c:pt idx="2544">
                  <c:v>15286.032193627632</c:v>
                </c:pt>
                <c:pt idx="2545">
                  <c:v>15295.937248506913</c:v>
                </c:pt>
                <c:pt idx="2546">
                  <c:v>15305.844442940768</c:v>
                </c:pt>
                <c:pt idx="2547">
                  <c:v>15315.753776467051</c:v>
                </c:pt>
                <c:pt idx="2548">
                  <c:v>15325.665248623893</c:v>
                </c:pt>
                <c:pt idx="2549">
                  <c:v>15335.578858949735</c:v>
                </c:pt>
                <c:pt idx="2550">
                  <c:v>15345.49460698332</c:v>
                </c:pt>
                <c:pt idx="2551">
                  <c:v>15355.412492263693</c:v>
                </c:pt>
                <c:pt idx="2552">
                  <c:v>15365.332514330179</c:v>
                </c:pt>
                <c:pt idx="2553">
                  <c:v>15375.254672722429</c:v>
                </c:pt>
                <c:pt idx="2554">
                  <c:v>15385.178966980357</c:v>
                </c:pt>
                <c:pt idx="2555">
                  <c:v>15395.10539664421</c:v>
                </c:pt>
                <c:pt idx="2556">
                  <c:v>15405.033961254507</c:v>
                </c:pt>
                <c:pt idx="2557">
                  <c:v>15414.964660352061</c:v>
                </c:pt>
                <c:pt idx="2558">
                  <c:v>15424.897493478016</c:v>
                </c:pt>
                <c:pt idx="2559">
                  <c:v>15434.832460173759</c:v>
                </c:pt>
                <c:pt idx="2560">
                  <c:v>15444.769559981027</c:v>
                </c:pt>
                <c:pt idx="2561">
                  <c:v>15454.708792441808</c:v>
                </c:pt>
                <c:pt idx="2562">
                  <c:v>15464.650157098415</c:v>
                </c:pt>
                <c:pt idx="2563">
                  <c:v>15474.593653493435</c:v>
                </c:pt>
                <c:pt idx="2564">
                  <c:v>15484.539281169762</c:v>
                </c:pt>
                <c:pt idx="2565">
                  <c:v>15494.487039670585</c:v>
                </c:pt>
                <c:pt idx="2566">
                  <c:v>15504.436928539375</c:v>
                </c:pt>
                <c:pt idx="2567">
                  <c:v>15514.388947319909</c:v>
                </c:pt>
                <c:pt idx="2568">
                  <c:v>15524.34309555624</c:v>
                </c:pt>
                <c:pt idx="2569">
                  <c:v>15534.299372792744</c:v>
                </c:pt>
                <c:pt idx="2570">
                  <c:v>15544.257778574058</c:v>
                </c:pt>
                <c:pt idx="2571">
                  <c:v>15554.218312445129</c:v>
                </c:pt>
                <c:pt idx="2572">
                  <c:v>15564.180973951197</c:v>
                </c:pt>
                <c:pt idx="2573">
                  <c:v>15574.145762637772</c:v>
                </c:pt>
                <c:pt idx="2574">
                  <c:v>15584.112678050678</c:v>
                </c:pt>
                <c:pt idx="2575">
                  <c:v>15594.081719736012</c:v>
                </c:pt>
                <c:pt idx="2576">
                  <c:v>15604.052887240205</c:v>
                </c:pt>
                <c:pt idx="2577">
                  <c:v>15614.026180109913</c:v>
                </c:pt>
                <c:pt idx="2578">
                  <c:v>15624.001597892122</c:v>
                </c:pt>
                <c:pt idx="2579">
                  <c:v>15633.979140134114</c:v>
                </c:pt>
                <c:pt idx="2580">
                  <c:v>15643.958806383422</c:v>
                </c:pt>
                <c:pt idx="2581">
                  <c:v>15653.940596187918</c:v>
                </c:pt>
                <c:pt idx="2582">
                  <c:v>15663.924509095717</c:v>
                </c:pt>
                <c:pt idx="2583">
                  <c:v>15673.910544655255</c:v>
                </c:pt>
                <c:pt idx="2584">
                  <c:v>15683.898702415243</c:v>
                </c:pt>
                <c:pt idx="2585">
                  <c:v>15693.888981924667</c:v>
                </c:pt>
                <c:pt idx="2586">
                  <c:v>15703.881382732829</c:v>
                </c:pt>
                <c:pt idx="2587">
                  <c:v>15713.875904389306</c:v>
                </c:pt>
                <c:pt idx="2588">
                  <c:v>15723.872546443943</c:v>
                </c:pt>
                <c:pt idx="2589">
                  <c:v>15733.871308446898</c:v>
                </c:pt>
                <c:pt idx="2590">
                  <c:v>15743.872189948612</c:v>
                </c:pt>
                <c:pt idx="2591">
                  <c:v>15753.87519049979</c:v>
                </c:pt>
                <c:pt idx="2592">
                  <c:v>15763.880309651446</c:v>
                </c:pt>
                <c:pt idx="2593">
                  <c:v>15773.887546954873</c:v>
                </c:pt>
                <c:pt idx="2594">
                  <c:v>15783.896901961651</c:v>
                </c:pt>
                <c:pt idx="2595">
                  <c:v>15793.908374223618</c:v>
                </c:pt>
                <c:pt idx="2596">
                  <c:v>15803.921963292947</c:v>
                </c:pt>
                <c:pt idx="2597">
                  <c:v>15813.937668722052</c:v>
                </c:pt>
                <c:pt idx="2598">
                  <c:v>15823.955490063656</c:v>
                </c:pt>
                <c:pt idx="2599">
                  <c:v>15833.975426870757</c:v>
                </c:pt>
                <c:pt idx="2600">
                  <c:v>15843.997478696625</c:v>
                </c:pt>
                <c:pt idx="2601">
                  <c:v>15854.021645094826</c:v>
                </c:pt>
                <c:pt idx="2602">
                  <c:v>15864.047925619208</c:v>
                </c:pt>
                <c:pt idx="2603">
                  <c:v>15874.076319823906</c:v>
                </c:pt>
                <c:pt idx="2604">
                  <c:v>15884.106827263326</c:v>
                </c:pt>
                <c:pt idx="2605">
                  <c:v>15894.13944749216</c:v>
                </c:pt>
                <c:pt idx="2606">
                  <c:v>15904.174180065384</c:v>
                </c:pt>
                <c:pt idx="2607">
                  <c:v>15914.211024538241</c:v>
                </c:pt>
                <c:pt idx="2608">
                  <c:v>15924.249980466286</c:v>
                </c:pt>
                <c:pt idx="2609">
                  <c:v>15934.291047405321</c:v>
                </c:pt>
                <c:pt idx="2610">
                  <c:v>15944.334224911445</c:v>
                </c:pt>
                <c:pt idx="2611">
                  <c:v>15954.379512541043</c:v>
                </c:pt>
                <c:pt idx="2612">
                  <c:v>15964.426909850776</c:v>
                </c:pt>
                <c:pt idx="2613">
                  <c:v>15974.476416397567</c:v>
                </c:pt>
                <c:pt idx="2614">
                  <c:v>15984.52803173862</c:v>
                </c:pt>
                <c:pt idx="2615">
                  <c:v>15994.581755431458</c:v>
                </c:pt>
                <c:pt idx="2616">
                  <c:v>16004.637587033836</c:v>
                </c:pt>
                <c:pt idx="2617">
                  <c:v>16014.695526103815</c:v>
                </c:pt>
                <c:pt idx="2618">
                  <c:v>16024.755572199718</c:v>
                </c:pt>
                <c:pt idx="2619">
                  <c:v>16034.817724880148</c:v>
                </c:pt>
                <c:pt idx="2620">
                  <c:v>16044.88198370399</c:v>
                </c:pt>
                <c:pt idx="2621">
                  <c:v>16054.948348230408</c:v>
                </c:pt>
                <c:pt idx="2622">
                  <c:v>16065.016818018841</c:v>
                </c:pt>
                <c:pt idx="2623">
                  <c:v>16075.087392628995</c:v>
                </c:pt>
                <c:pt idx="2624">
                  <c:v>16085.160071620874</c:v>
                </c:pt>
                <c:pt idx="2625">
                  <c:v>16095.234854554739</c:v>
                </c:pt>
                <c:pt idx="2626">
                  <c:v>16105.31174099113</c:v>
                </c:pt>
                <c:pt idx="2627">
                  <c:v>16115.390730490859</c:v>
                </c:pt>
                <c:pt idx="2628">
                  <c:v>16125.471822615025</c:v>
                </c:pt>
                <c:pt idx="2629">
                  <c:v>16135.555016924995</c:v>
                </c:pt>
                <c:pt idx="2630">
                  <c:v>16145.640312982414</c:v>
                </c:pt>
                <c:pt idx="2631">
                  <c:v>16155.727710349192</c:v>
                </c:pt>
                <c:pt idx="2632">
                  <c:v>16165.817208587525</c:v>
                </c:pt>
                <c:pt idx="2633">
                  <c:v>16175.908807259868</c:v>
                </c:pt>
                <c:pt idx="2634">
                  <c:v>16186.002505928966</c:v>
                </c:pt>
                <c:pt idx="2635">
                  <c:v>16196.098304157833</c:v>
                </c:pt>
                <c:pt idx="2636">
                  <c:v>16206.196201509732</c:v>
                </c:pt>
                <c:pt idx="2637">
                  <c:v>16216.296197548234</c:v>
                </c:pt>
                <c:pt idx="2638">
                  <c:v>16226.398291837166</c:v>
                </c:pt>
                <c:pt idx="2639">
                  <c:v>16236.502483940625</c:v>
                </c:pt>
                <c:pt idx="2640">
                  <c:v>16246.60877342298</c:v>
                </c:pt>
                <c:pt idx="2641">
                  <c:v>16256.717159848879</c:v>
                </c:pt>
                <c:pt idx="2642">
                  <c:v>16266.827642783233</c:v>
                </c:pt>
                <c:pt idx="2643">
                  <c:v>16276.940221791212</c:v>
                </c:pt>
                <c:pt idx="2644">
                  <c:v>16287.054896438294</c:v>
                </c:pt>
                <c:pt idx="2645">
                  <c:v>16297.171666290196</c:v>
                </c:pt>
                <c:pt idx="2646">
                  <c:v>16307.290530912911</c:v>
                </c:pt>
                <c:pt idx="2647">
                  <c:v>16317.411489872708</c:v>
                </c:pt>
                <c:pt idx="2648">
                  <c:v>16327.534542736108</c:v>
                </c:pt>
                <c:pt idx="2649">
                  <c:v>16337.659689069927</c:v>
                </c:pt>
                <c:pt idx="2650">
                  <c:v>16347.786928441239</c:v>
                </c:pt>
                <c:pt idx="2651">
                  <c:v>16357.916260417376</c:v>
                </c:pt>
                <c:pt idx="2652">
                  <c:v>16368.047684565945</c:v>
                </c:pt>
                <c:pt idx="2653">
                  <c:v>16378.181200454834</c:v>
                </c:pt>
                <c:pt idx="2654">
                  <c:v>16388.31680765218</c:v>
                </c:pt>
                <c:pt idx="2655">
                  <c:v>16398.454505726397</c:v>
                </c:pt>
                <c:pt idx="2656">
                  <c:v>16408.594294246173</c:v>
                </c:pt>
                <c:pt idx="2657">
                  <c:v>16418.736172780431</c:v>
                </c:pt>
                <c:pt idx="2658">
                  <c:v>16428.880140898418</c:v>
                </c:pt>
                <c:pt idx="2659">
                  <c:v>16439.026198169577</c:v>
                </c:pt>
                <c:pt idx="2660">
                  <c:v>16449.174344163672</c:v>
                </c:pt>
                <c:pt idx="2661">
                  <c:v>16459.324578450723</c:v>
                </c:pt>
                <c:pt idx="2662">
                  <c:v>16469.476900600992</c:v>
                </c:pt>
                <c:pt idx="2663">
                  <c:v>16479.631310185032</c:v>
                </c:pt>
                <c:pt idx="2664">
                  <c:v>16489.787806773631</c:v>
                </c:pt>
                <c:pt idx="2665">
                  <c:v>16499.946389937879</c:v>
                </c:pt>
                <c:pt idx="2666">
                  <c:v>16510.107059249109</c:v>
                </c:pt>
                <c:pt idx="2667">
                  <c:v>16520.269814278923</c:v>
                </c:pt>
                <c:pt idx="2668">
                  <c:v>16530.434654599176</c:v>
                </c:pt>
                <c:pt idx="2669">
                  <c:v>16540.601579782004</c:v>
                </c:pt>
                <c:pt idx="2670">
                  <c:v>16550.770589399788</c:v>
                </c:pt>
                <c:pt idx="2671">
                  <c:v>16560.941683025198</c:v>
                </c:pt>
                <c:pt idx="2672">
                  <c:v>16571.114860231144</c:v>
                </c:pt>
                <c:pt idx="2673">
                  <c:v>16581.290120590795</c:v>
                </c:pt>
                <c:pt idx="2674">
                  <c:v>16591.467463677607</c:v>
                </c:pt>
                <c:pt idx="2675">
                  <c:v>16601.64688906528</c:v>
                </c:pt>
                <c:pt idx="2676">
                  <c:v>16611.82839632779</c:v>
                </c:pt>
                <c:pt idx="2677">
                  <c:v>16622.011985039346</c:v>
                </c:pt>
                <c:pt idx="2678">
                  <c:v>16632.197654774434</c:v>
                </c:pt>
                <c:pt idx="2679">
                  <c:v>16642.385405107823</c:v>
                </c:pt>
                <c:pt idx="2680">
                  <c:v>16652.575235614517</c:v>
                </c:pt>
                <c:pt idx="2681">
                  <c:v>16662.767145869777</c:v>
                </c:pt>
                <c:pt idx="2682">
                  <c:v>16672.961135449135</c:v>
                </c:pt>
                <c:pt idx="2683">
                  <c:v>16683.1572039284</c:v>
                </c:pt>
                <c:pt idx="2684">
                  <c:v>16693.355350883605</c:v>
                </c:pt>
                <c:pt idx="2685">
                  <c:v>16703.555575891056</c:v>
                </c:pt>
                <c:pt idx="2686">
                  <c:v>16713.757878527336</c:v>
                </c:pt>
                <c:pt idx="2687">
                  <c:v>16723.962258369262</c:v>
                </c:pt>
                <c:pt idx="2688">
                  <c:v>16734.168714993924</c:v>
                </c:pt>
                <c:pt idx="2689">
                  <c:v>16744.37724797866</c:v>
                </c:pt>
                <c:pt idx="2690">
                  <c:v>16754.587856901082</c:v>
                </c:pt>
                <c:pt idx="2691">
                  <c:v>16764.800541339038</c:v>
                </c:pt>
                <c:pt idx="2692">
                  <c:v>16775.015300870662</c:v>
                </c:pt>
                <c:pt idx="2693">
                  <c:v>16785.232135074319</c:v>
                </c:pt>
                <c:pt idx="2694">
                  <c:v>16795.451043528647</c:v>
                </c:pt>
                <c:pt idx="2695">
                  <c:v>16805.672025812517</c:v>
                </c:pt>
                <c:pt idx="2696">
                  <c:v>16815.895081505096</c:v>
                </c:pt>
                <c:pt idx="2697">
                  <c:v>16826.120210185771</c:v>
                </c:pt>
                <c:pt idx="2698">
                  <c:v>16836.347411434203</c:v>
                </c:pt>
                <c:pt idx="2699">
                  <c:v>16846.576684830306</c:v>
                </c:pt>
                <c:pt idx="2700">
                  <c:v>16856.808029954245</c:v>
                </c:pt>
                <c:pt idx="2701">
                  <c:v>16867.041446386451</c:v>
                </c:pt>
                <c:pt idx="2702">
                  <c:v>16877.276933707588</c:v>
                </c:pt>
                <c:pt idx="2703">
                  <c:v>16887.514491498609</c:v>
                </c:pt>
                <c:pt idx="2704">
                  <c:v>16897.754119340687</c:v>
                </c:pt>
                <c:pt idx="2705">
                  <c:v>16907.995816815266</c:v>
                </c:pt>
                <c:pt idx="2706">
                  <c:v>16918.239583504052</c:v>
                </c:pt>
                <c:pt idx="2707">
                  <c:v>16928.485418988967</c:v>
                </c:pt>
                <c:pt idx="2708">
                  <c:v>16938.733322852251</c:v>
                </c:pt>
                <c:pt idx="2709">
                  <c:v>16948.983294676331</c:v>
                </c:pt>
                <c:pt idx="2710">
                  <c:v>16959.235334043915</c:v>
                </c:pt>
                <c:pt idx="2711">
                  <c:v>16969.489440537978</c:v>
                </c:pt>
                <c:pt idx="2712">
                  <c:v>16979.745613741732</c:v>
                </c:pt>
                <c:pt idx="2713">
                  <c:v>16990.003853238639</c:v>
                </c:pt>
                <c:pt idx="2714">
                  <c:v>17000.264158612401</c:v>
                </c:pt>
                <c:pt idx="2715">
                  <c:v>17010.526529447019</c:v>
                </c:pt>
                <c:pt idx="2716">
                  <c:v>17020.790965326691</c:v>
                </c:pt>
                <c:pt idx="2717">
                  <c:v>17031.057465835878</c:v>
                </c:pt>
                <c:pt idx="2718">
                  <c:v>17041.326030559336</c:v>
                </c:pt>
                <c:pt idx="2719">
                  <c:v>17051.596659082014</c:v>
                </c:pt>
                <c:pt idx="2720">
                  <c:v>17061.869350989135</c:v>
                </c:pt>
                <c:pt idx="2721">
                  <c:v>17072.144105866177</c:v>
                </c:pt>
                <c:pt idx="2722">
                  <c:v>17082.420923298858</c:v>
                </c:pt>
                <c:pt idx="2723">
                  <c:v>17092.699802873158</c:v>
                </c:pt>
                <c:pt idx="2724">
                  <c:v>17102.980744175286</c:v>
                </c:pt>
                <c:pt idx="2725">
                  <c:v>17113.263746791727</c:v>
                </c:pt>
                <c:pt idx="2726">
                  <c:v>17123.548810309196</c:v>
                </c:pt>
                <c:pt idx="2727">
                  <c:v>17133.835934314662</c:v>
                </c:pt>
                <c:pt idx="2728">
                  <c:v>17144.125118395335</c:v>
                </c:pt>
                <c:pt idx="2729">
                  <c:v>17154.41636213868</c:v>
                </c:pt>
                <c:pt idx="2730">
                  <c:v>17164.709665132421</c:v>
                </c:pt>
                <c:pt idx="2731">
                  <c:v>17175.005026964507</c:v>
                </c:pt>
                <c:pt idx="2732">
                  <c:v>17185.302447223137</c:v>
                </c:pt>
                <c:pt idx="2733">
                  <c:v>17195.601925496787</c:v>
                </c:pt>
                <c:pt idx="2734">
                  <c:v>17205.903461374139</c:v>
                </c:pt>
                <c:pt idx="2735">
                  <c:v>17216.207054444159</c:v>
                </c:pt>
                <c:pt idx="2736">
                  <c:v>17226.512704296027</c:v>
                </c:pt>
                <c:pt idx="2737">
                  <c:v>17236.820410519187</c:v>
                </c:pt>
                <c:pt idx="2738">
                  <c:v>17247.130172703324</c:v>
                </c:pt>
                <c:pt idx="2739">
                  <c:v>17257.441990438361</c:v>
                </c:pt>
                <c:pt idx="2740">
                  <c:v>17267.755863314494</c:v>
                </c:pt>
                <c:pt idx="2741">
                  <c:v>17278.071790922128</c:v>
                </c:pt>
                <c:pt idx="2742">
                  <c:v>17288.389772851951</c:v>
                </c:pt>
                <c:pt idx="2743">
                  <c:v>17298.709808694846</c:v>
                </c:pt>
                <c:pt idx="2744">
                  <c:v>17309.031898041991</c:v>
                </c:pt>
                <c:pt idx="2745">
                  <c:v>17319.356040484767</c:v>
                </c:pt>
                <c:pt idx="2746">
                  <c:v>17329.682235614844</c:v>
                </c:pt>
                <c:pt idx="2747">
                  <c:v>17340.010483024093</c:v>
                </c:pt>
                <c:pt idx="2748">
                  <c:v>17350.340782304625</c:v>
                </c:pt>
                <c:pt idx="2749">
                  <c:v>17360.673133048855</c:v>
                </c:pt>
                <c:pt idx="2750">
                  <c:v>17371.00753484937</c:v>
                </c:pt>
                <c:pt idx="2751">
                  <c:v>17381.343987299046</c:v>
                </c:pt>
                <c:pt idx="2752">
                  <c:v>17391.682489990973</c:v>
                </c:pt>
                <c:pt idx="2753">
                  <c:v>17402.023042518504</c:v>
                </c:pt>
                <c:pt idx="2754">
                  <c:v>17412.365644475216</c:v>
                </c:pt>
                <c:pt idx="2755">
                  <c:v>17422.710295454959</c:v>
                </c:pt>
                <c:pt idx="2756">
                  <c:v>17433.056995051782</c:v>
                </c:pt>
                <c:pt idx="2757">
                  <c:v>17443.405742859988</c:v>
                </c:pt>
                <c:pt idx="2758">
                  <c:v>17453.756538474154</c:v>
                </c:pt>
                <c:pt idx="2759">
                  <c:v>17464.109381489045</c:v>
                </c:pt>
                <c:pt idx="2760">
                  <c:v>17474.464271499721</c:v>
                </c:pt>
                <c:pt idx="2761">
                  <c:v>17484.821208101439</c:v>
                </c:pt>
                <c:pt idx="2762">
                  <c:v>17495.180190889714</c:v>
                </c:pt>
                <c:pt idx="2763">
                  <c:v>17505.541219460298</c:v>
                </c:pt>
                <c:pt idx="2764">
                  <c:v>17515.904293409196</c:v>
                </c:pt>
                <c:pt idx="2765">
                  <c:v>17526.269412332633</c:v>
                </c:pt>
                <c:pt idx="2766">
                  <c:v>17536.636575827059</c:v>
                </c:pt>
                <c:pt idx="2767">
                  <c:v>17547.005783489214</c:v>
                </c:pt>
                <c:pt idx="2768">
                  <c:v>17557.377034916037</c:v>
                </c:pt>
                <c:pt idx="2769">
                  <c:v>17567.750329704715</c:v>
                </c:pt>
                <c:pt idx="2770">
                  <c:v>17578.125667452663</c:v>
                </c:pt>
                <c:pt idx="2771">
                  <c:v>17588.50304775756</c:v>
                </c:pt>
                <c:pt idx="2772">
                  <c:v>17598.882470217297</c:v>
                </c:pt>
                <c:pt idx="2773">
                  <c:v>17609.263934430011</c:v>
                </c:pt>
                <c:pt idx="2774">
                  <c:v>17619.647439994085</c:v>
                </c:pt>
                <c:pt idx="2775">
                  <c:v>17630.032986508129</c:v>
                </c:pt>
                <c:pt idx="2776">
                  <c:v>17640.420573570984</c:v>
                </c:pt>
                <c:pt idx="2777">
                  <c:v>17650.810200781754</c:v>
                </c:pt>
                <c:pt idx="2778">
                  <c:v>17661.201867739743</c:v>
                </c:pt>
                <c:pt idx="2779">
                  <c:v>17671.59557404451</c:v>
                </c:pt>
                <c:pt idx="2780">
                  <c:v>17681.991319295856</c:v>
                </c:pt>
                <c:pt idx="2781">
                  <c:v>17692.389103093818</c:v>
                </c:pt>
                <c:pt idx="2782">
                  <c:v>17702.788925038647</c:v>
                </c:pt>
                <c:pt idx="2783">
                  <c:v>17713.190784730847</c:v>
                </c:pt>
                <c:pt idx="2784">
                  <c:v>17723.594681771145</c:v>
                </c:pt>
                <c:pt idx="2785">
                  <c:v>17734.000615760531</c:v>
                </c:pt>
                <c:pt idx="2786">
                  <c:v>17744.408586300186</c:v>
                </c:pt>
                <c:pt idx="2787">
                  <c:v>17754.818592991574</c:v>
                </c:pt>
                <c:pt idx="2788">
                  <c:v>17765.230635436343</c:v>
                </c:pt>
                <c:pt idx="2789">
                  <c:v>17775.644713236408</c:v>
                </c:pt>
                <c:pt idx="2790">
                  <c:v>17786.060825993907</c:v>
                </c:pt>
                <c:pt idx="2791">
                  <c:v>17796.478973311212</c:v>
                </c:pt>
                <c:pt idx="2792">
                  <c:v>17806.899154790943</c:v>
                </c:pt>
                <c:pt idx="2793">
                  <c:v>17817.321370035923</c:v>
                </c:pt>
                <c:pt idx="2794">
                  <c:v>17827.745618649231</c:v>
                </c:pt>
                <c:pt idx="2795">
                  <c:v>17838.171900234167</c:v>
                </c:pt>
                <c:pt idx="2796">
                  <c:v>17848.600214394257</c:v>
                </c:pt>
                <c:pt idx="2797">
                  <c:v>17859.030560733285</c:v>
                </c:pt>
                <c:pt idx="2798">
                  <c:v>17869.462938855246</c:v>
                </c:pt>
                <c:pt idx="2799">
                  <c:v>17879.897348364368</c:v>
                </c:pt>
                <c:pt idx="2800">
                  <c:v>17890.333788865111</c:v>
                </c:pt>
                <c:pt idx="2801">
                  <c:v>17900.772259962174</c:v>
                </c:pt>
                <c:pt idx="2802">
                  <c:v>17911.212761260485</c:v>
                </c:pt>
                <c:pt idx="2803">
                  <c:v>17921.655292365183</c:v>
                </c:pt>
                <c:pt idx="2804">
                  <c:v>17932.099852881671</c:v>
                </c:pt>
                <c:pt idx="2805">
                  <c:v>17942.546442415554</c:v>
                </c:pt>
                <c:pt idx="2806">
                  <c:v>17952.995060572674</c:v>
                </c:pt>
                <c:pt idx="2807">
                  <c:v>17963.445706959119</c:v>
                </c:pt>
                <c:pt idx="2808">
                  <c:v>17973.898381181178</c:v>
                </c:pt>
                <c:pt idx="2809">
                  <c:v>17984.353082845388</c:v>
                </c:pt>
                <c:pt idx="2810">
                  <c:v>17994.80981155852</c:v>
                </c:pt>
                <c:pt idx="2811">
                  <c:v>18005.268566927552</c:v>
                </c:pt>
                <c:pt idx="2812">
                  <c:v>18015.729348559726</c:v>
                </c:pt>
                <c:pt idx="2813">
                  <c:v>18026.192156062469</c:v>
                </c:pt>
                <c:pt idx="2814">
                  <c:v>18036.656989043462</c:v>
                </c:pt>
                <c:pt idx="2815">
                  <c:v>18047.123847110615</c:v>
                </c:pt>
                <c:pt idx="2816">
                  <c:v>18057.592729872056</c:v>
                </c:pt>
                <c:pt idx="2817">
                  <c:v>18068.063636936149</c:v>
                </c:pt>
                <c:pt idx="2818">
                  <c:v>18078.536567911458</c:v>
                </c:pt>
                <c:pt idx="2819">
                  <c:v>18089.011522406836</c:v>
                </c:pt>
                <c:pt idx="2820">
                  <c:v>18099.488500031293</c:v>
                </c:pt>
                <c:pt idx="2821">
                  <c:v>18109.967500394119</c:v>
                </c:pt>
                <c:pt idx="2822">
                  <c:v>18120.44852310478</c:v>
                </c:pt>
                <c:pt idx="2823">
                  <c:v>18130.931567773019</c:v>
                </c:pt>
                <c:pt idx="2824">
                  <c:v>18141.416634008772</c:v>
                </c:pt>
                <c:pt idx="2825">
                  <c:v>18151.903721422197</c:v>
                </c:pt>
                <c:pt idx="2826">
                  <c:v>18162.392829623725</c:v>
                </c:pt>
                <c:pt idx="2827">
                  <c:v>18172.883958223942</c:v>
                </c:pt>
                <c:pt idx="2828">
                  <c:v>18183.377106833719</c:v>
                </c:pt>
                <c:pt idx="2829">
                  <c:v>18193.872275064121</c:v>
                </c:pt>
                <c:pt idx="2830">
                  <c:v>18204.369462526436</c:v>
                </c:pt>
                <c:pt idx="2831">
                  <c:v>18214.868668832205</c:v>
                </c:pt>
                <c:pt idx="2832">
                  <c:v>18225.369893593146</c:v>
                </c:pt>
                <c:pt idx="2833">
                  <c:v>18235.873136421251</c:v>
                </c:pt>
                <c:pt idx="2834">
                  <c:v>18246.3783969287</c:v>
                </c:pt>
                <c:pt idx="2835">
                  <c:v>18256.885674727928</c:v>
                </c:pt>
                <c:pt idx="2836">
                  <c:v>18267.394969431549</c:v>
                </c:pt>
                <c:pt idx="2837">
                  <c:v>18277.906280652434</c:v>
                </c:pt>
                <c:pt idx="2838">
                  <c:v>18288.419608003693</c:v>
                </c:pt>
                <c:pt idx="2839">
                  <c:v>18298.934951098596</c:v>
                </c:pt>
                <c:pt idx="2840">
                  <c:v>18309.452309550703</c:v>
                </c:pt>
                <c:pt idx="2841">
                  <c:v>18319.971682973752</c:v>
                </c:pt>
                <c:pt idx="2842">
                  <c:v>18330.493070981727</c:v>
                </c:pt>
                <c:pt idx="2843">
                  <c:v>18341.016473188822</c:v>
                </c:pt>
                <c:pt idx="2844">
                  <c:v>18351.541889209453</c:v>
                </c:pt>
                <c:pt idx="2845">
                  <c:v>18362.069318658261</c:v>
                </c:pt>
                <c:pt idx="2846">
                  <c:v>18372.598761150122</c:v>
                </c:pt>
                <c:pt idx="2847">
                  <c:v>18383.130216300106</c:v>
                </c:pt>
                <c:pt idx="2848">
                  <c:v>18393.663683723502</c:v>
                </c:pt>
                <c:pt idx="2849">
                  <c:v>18404.199163035857</c:v>
                </c:pt>
                <c:pt idx="2850">
                  <c:v>18414.736653852895</c:v>
                </c:pt>
                <c:pt idx="2851">
                  <c:v>18425.276155790612</c:v>
                </c:pt>
                <c:pt idx="2852">
                  <c:v>18435.817668465163</c:v>
                </c:pt>
                <c:pt idx="2853">
                  <c:v>18446.361191492964</c:v>
                </c:pt>
                <c:pt idx="2854">
                  <c:v>18456.906724490636</c:v>
                </c:pt>
                <c:pt idx="2855">
                  <c:v>18467.454267075023</c:v>
                </c:pt>
                <c:pt idx="2856">
                  <c:v>18478.003818863184</c:v>
                </c:pt>
                <c:pt idx="2857">
                  <c:v>18488.5553794724</c:v>
                </c:pt>
                <c:pt idx="2858">
                  <c:v>18499.10894852017</c:v>
                </c:pt>
                <c:pt idx="2859">
                  <c:v>18509.664525624226</c:v>
                </c:pt>
                <c:pt idx="2860">
                  <c:v>18520.22211040249</c:v>
                </c:pt>
                <c:pt idx="2861">
                  <c:v>18530.781702473116</c:v>
                </c:pt>
                <c:pt idx="2862">
                  <c:v>18541.343301454486</c:v>
                </c:pt>
                <c:pt idx="2863">
                  <c:v>18551.906906965189</c:v>
                </c:pt>
                <c:pt idx="2864">
                  <c:v>18562.472518624003</c:v>
                </c:pt>
                <c:pt idx="2865">
                  <c:v>18573.04013605</c:v>
                </c:pt>
                <c:pt idx="2866">
                  <c:v>18583.609758862389</c:v>
                </c:pt>
                <c:pt idx="2867">
                  <c:v>18594.181386680648</c:v>
                </c:pt>
                <c:pt idx="2868">
                  <c:v>18604.755019124423</c:v>
                </c:pt>
                <c:pt idx="2869">
                  <c:v>18615.330655813639</c:v>
                </c:pt>
                <c:pt idx="2870">
                  <c:v>18625.908296368387</c:v>
                </c:pt>
                <c:pt idx="2871">
                  <c:v>18636.487940408988</c:v>
                </c:pt>
                <c:pt idx="2872">
                  <c:v>18647.069587555998</c:v>
                </c:pt>
                <c:pt idx="2873">
                  <c:v>18657.65323743015</c:v>
                </c:pt>
                <c:pt idx="2874">
                  <c:v>18668.238889652428</c:v>
                </c:pt>
                <c:pt idx="2875">
                  <c:v>18678.826543844025</c:v>
                </c:pt>
                <c:pt idx="2876">
                  <c:v>18689.416199626314</c:v>
                </c:pt>
                <c:pt idx="2877">
                  <c:v>18700.007856620941</c:v>
                </c:pt>
                <c:pt idx="2878">
                  <c:v>18710.601514449714</c:v>
                </c:pt>
                <c:pt idx="2879">
                  <c:v>18721.197172734694</c:v>
                </c:pt>
                <c:pt idx="2880">
                  <c:v>18731.79483109813</c:v>
                </c:pt>
                <c:pt idx="2881">
                  <c:v>18742.394489162492</c:v>
                </c:pt>
                <c:pt idx="2882">
                  <c:v>18752.996146550475</c:v>
                </c:pt>
                <c:pt idx="2883">
                  <c:v>18763.599802884968</c:v>
                </c:pt>
                <c:pt idx="2884">
                  <c:v>18774.205457789099</c:v>
                </c:pt>
                <c:pt idx="2885">
                  <c:v>18784.813110886178</c:v>
                </c:pt>
                <c:pt idx="2886">
                  <c:v>18795.42276179976</c:v>
                </c:pt>
                <c:pt idx="2887">
                  <c:v>18806.034410153581</c:v>
                </c:pt>
                <c:pt idx="2888">
                  <c:v>18816.648055571626</c:v>
                </c:pt>
                <c:pt idx="2889">
                  <c:v>18827.263697678045</c:v>
                </c:pt>
                <c:pt idx="2890">
                  <c:v>18837.881336097253</c:v>
                </c:pt>
                <c:pt idx="2891">
                  <c:v>18848.500970453835</c:v>
                </c:pt>
                <c:pt idx="2892">
                  <c:v>18859.122600372622</c:v>
                </c:pt>
                <c:pt idx="2893">
                  <c:v>18869.746225478619</c:v>
                </c:pt>
                <c:pt idx="2894">
                  <c:v>18880.371845397058</c:v>
                </c:pt>
                <c:pt idx="2895">
                  <c:v>18890.999459753402</c:v>
                </c:pt>
                <c:pt idx="2896">
                  <c:v>18901.629068173304</c:v>
                </c:pt>
                <c:pt idx="2897">
                  <c:v>18912.260670282634</c:v>
                </c:pt>
                <c:pt idx="2898">
                  <c:v>18922.894265707477</c:v>
                </c:pt>
                <c:pt idx="2899">
                  <c:v>18933.529854074106</c:v>
                </c:pt>
                <c:pt idx="2900">
                  <c:v>18944.167435009029</c:v>
                </c:pt>
                <c:pt idx="2901">
                  <c:v>18954.80700813896</c:v>
                </c:pt>
                <c:pt idx="2902">
                  <c:v>18965.448573090809</c:v>
                </c:pt>
                <c:pt idx="2903">
                  <c:v>18976.092129491724</c:v>
                </c:pt>
                <c:pt idx="2904">
                  <c:v>18986.737676969016</c:v>
                </c:pt>
                <c:pt idx="2905">
                  <c:v>18997.385215150254</c:v>
                </c:pt>
                <c:pt idx="2906">
                  <c:v>19008.0347436632</c:v>
                </c:pt>
                <c:pt idx="2907">
                  <c:v>19018.686262135798</c:v>
                </c:pt>
                <c:pt idx="2908">
                  <c:v>19029.339770196228</c:v>
                </c:pt>
                <c:pt idx="2909">
                  <c:v>19039.995267472874</c:v>
                </c:pt>
                <c:pt idx="2910">
                  <c:v>19050.652753594346</c:v>
                </c:pt>
                <c:pt idx="2911">
                  <c:v>19061.312228189407</c:v>
                </c:pt>
                <c:pt idx="2912">
                  <c:v>19071.973690887098</c:v>
                </c:pt>
                <c:pt idx="2913">
                  <c:v>19082.637141316623</c:v>
                </c:pt>
                <c:pt idx="2914">
                  <c:v>19093.302579107378</c:v>
                </c:pt>
                <c:pt idx="2915">
                  <c:v>19103.970003889026</c:v>
                </c:pt>
                <c:pt idx="2916">
                  <c:v>19114.639415291389</c:v>
                </c:pt>
                <c:pt idx="2917">
                  <c:v>19125.31081294451</c:v>
                </c:pt>
                <c:pt idx="2918">
                  <c:v>19135.984196478636</c:v>
                </c:pt>
                <c:pt idx="2919">
                  <c:v>19146.659565524234</c:v>
                </c:pt>
                <c:pt idx="2920">
                  <c:v>19157.336919711957</c:v>
                </c:pt>
                <c:pt idx="2921">
                  <c:v>19168.016258672673</c:v>
                </c:pt>
                <c:pt idx="2922">
                  <c:v>19178.697582037454</c:v>
                </c:pt>
                <c:pt idx="2923">
                  <c:v>19189.380889437594</c:v>
                </c:pt>
                <c:pt idx="2924">
                  <c:v>19200.066180504557</c:v>
                </c:pt>
                <c:pt idx="2925">
                  <c:v>19210.753454870053</c:v>
                </c:pt>
                <c:pt idx="2926">
                  <c:v>19221.442712165968</c:v>
                </c:pt>
                <c:pt idx="2927">
                  <c:v>19232.133952024407</c:v>
                </c:pt>
                <c:pt idx="2928">
                  <c:v>19242.827174077669</c:v>
                </c:pt>
                <c:pt idx="2929">
                  <c:v>19253.522377958285</c:v>
                </c:pt>
                <c:pt idx="2930">
                  <c:v>19264.219563298939</c:v>
                </c:pt>
                <c:pt idx="2931">
                  <c:v>19274.918729732581</c:v>
                </c:pt>
                <c:pt idx="2932">
                  <c:v>19285.619876892306</c:v>
                </c:pt>
                <c:pt idx="2933">
                  <c:v>19296.323004411446</c:v>
                </c:pt>
                <c:pt idx="2934">
                  <c:v>19307.028111923541</c:v>
                </c:pt>
                <c:pt idx="2935">
                  <c:v>19317.735199062339</c:v>
                </c:pt>
                <c:pt idx="2936">
                  <c:v>19328.444265461745</c:v>
                </c:pt>
                <c:pt idx="2937">
                  <c:v>19339.155310755901</c:v>
                </c:pt>
                <c:pt idx="2938">
                  <c:v>19349.868334579194</c:v>
                </c:pt>
                <c:pt idx="2939">
                  <c:v>19360.583336566116</c:v>
                </c:pt>
                <c:pt idx="2940">
                  <c:v>19371.300316351433</c:v>
                </c:pt>
                <c:pt idx="2941">
                  <c:v>19382.019273570106</c:v>
                </c:pt>
                <c:pt idx="2942">
                  <c:v>19392.740207857285</c:v>
                </c:pt>
                <c:pt idx="2943">
                  <c:v>19403.463118848311</c:v>
                </c:pt>
                <c:pt idx="2944">
                  <c:v>19414.188006178749</c:v>
                </c:pt>
                <c:pt idx="2945">
                  <c:v>19424.914869484372</c:v>
                </c:pt>
                <c:pt idx="2946">
                  <c:v>19435.643708401112</c:v>
                </c:pt>
                <c:pt idx="2947">
                  <c:v>19446.374522565144</c:v>
                </c:pt>
                <c:pt idx="2948">
                  <c:v>19457.107311612817</c:v>
                </c:pt>
                <c:pt idx="2949">
                  <c:v>19467.842075180717</c:v>
                </c:pt>
                <c:pt idx="2950">
                  <c:v>19478.57881290558</c:v>
                </c:pt>
                <c:pt idx="2951">
                  <c:v>19489.31752442439</c:v>
                </c:pt>
                <c:pt idx="2952">
                  <c:v>19500.058209374289</c:v>
                </c:pt>
                <c:pt idx="2953">
                  <c:v>19510.800867392667</c:v>
                </c:pt>
                <c:pt idx="2954">
                  <c:v>19521.545498117066</c:v>
                </c:pt>
                <c:pt idx="2955">
                  <c:v>19532.29210118526</c:v>
                </c:pt>
                <c:pt idx="2956">
                  <c:v>19543.040676235207</c:v>
                </c:pt>
                <c:pt idx="2957">
                  <c:v>19553.791222905063</c:v>
                </c:pt>
                <c:pt idx="2958">
                  <c:v>19564.543740833207</c:v>
                </c:pt>
                <c:pt idx="2959">
                  <c:v>19575.298229658183</c:v>
                </c:pt>
                <c:pt idx="2960">
                  <c:v>19586.054689018765</c:v>
                </c:pt>
                <c:pt idx="2961">
                  <c:v>19596.813118553888</c:v>
                </c:pt>
                <c:pt idx="2962">
                  <c:v>19607.573517902729</c:v>
                </c:pt>
                <c:pt idx="2963">
                  <c:v>19618.33588670463</c:v>
                </c:pt>
                <c:pt idx="2964">
                  <c:v>19629.100224599151</c:v>
                </c:pt>
                <c:pt idx="2965">
                  <c:v>19639.866531226038</c:v>
                </c:pt>
                <c:pt idx="2966">
                  <c:v>19650.63480622524</c:v>
                </c:pt>
                <c:pt idx="2967">
                  <c:v>19661.405049236888</c:v>
                </c:pt>
                <c:pt idx="2968">
                  <c:v>19672.177259901353</c:v>
                </c:pt>
                <c:pt idx="2969">
                  <c:v>19682.951437859156</c:v>
                </c:pt>
                <c:pt idx="2970">
                  <c:v>19693.727582751042</c:v>
                </c:pt>
                <c:pt idx="2971">
                  <c:v>19704.505694217944</c:v>
                </c:pt>
                <c:pt idx="2972">
                  <c:v>19715.285771900992</c:v>
                </c:pt>
                <c:pt idx="2973">
                  <c:v>19726.0678154415</c:v>
                </c:pt>
                <c:pt idx="2974">
                  <c:v>19736.851824481015</c:v>
                </c:pt>
                <c:pt idx="2975">
                  <c:v>19747.637798661224</c:v>
                </c:pt>
                <c:pt idx="2976">
                  <c:v>19758.425737624082</c:v>
                </c:pt>
                <c:pt idx="2977">
                  <c:v>19769.215641011662</c:v>
                </c:pt>
                <c:pt idx="2978">
                  <c:v>19780.007508466293</c:v>
                </c:pt>
                <c:pt idx="2979">
                  <c:v>19790.801339630478</c:v>
                </c:pt>
                <c:pt idx="2980">
                  <c:v>19801.597134146905</c:v>
                </c:pt>
                <c:pt idx="2981">
                  <c:v>19812.39489165846</c:v>
                </c:pt>
                <c:pt idx="2982">
                  <c:v>19823.194611808245</c:v>
                </c:pt>
                <c:pt idx="2983">
                  <c:v>19833.996294239532</c:v>
                </c:pt>
                <c:pt idx="2984">
                  <c:v>19844.799938595792</c:v>
                </c:pt>
                <c:pt idx="2985">
                  <c:v>19855.605544520717</c:v>
                </c:pt>
                <c:pt idx="2986">
                  <c:v>19866.413111658148</c:v>
                </c:pt>
                <c:pt idx="2987">
                  <c:v>19877.222639652155</c:v>
                </c:pt>
                <c:pt idx="2988">
                  <c:v>19888.034128146985</c:v>
                </c:pt>
                <c:pt idx="2989">
                  <c:v>19898.847576787095</c:v>
                </c:pt>
                <c:pt idx="2990">
                  <c:v>19909.662985217114</c:v>
                </c:pt>
                <c:pt idx="2991">
                  <c:v>19920.480353081864</c:v>
                </c:pt>
                <c:pt idx="2992">
                  <c:v>19931.299680026397</c:v>
                </c:pt>
                <c:pt idx="2993">
                  <c:v>19942.120965695907</c:v>
                </c:pt>
                <c:pt idx="2994">
                  <c:v>19952.944209735808</c:v>
                </c:pt>
                <c:pt idx="2995">
                  <c:v>19963.76941179172</c:v>
                </c:pt>
                <c:pt idx="2996">
                  <c:v>19974.596571509435</c:v>
                </c:pt>
                <c:pt idx="2997">
                  <c:v>19985.425688534935</c:v>
                </c:pt>
                <c:pt idx="2998">
                  <c:v>19996.2567625144</c:v>
                </c:pt>
                <c:pt idx="2999">
                  <c:v>20007.089793094208</c:v>
                </c:pt>
                <c:pt idx="3000">
                  <c:v>20017.924779920912</c:v>
                </c:pt>
                <c:pt idx="3001">
                  <c:v>20028.76172264128</c:v>
                </c:pt>
                <c:pt idx="3002">
                  <c:v>20039.600620902249</c:v>
                </c:pt>
                <c:pt idx="3003">
                  <c:v>20050.441474350966</c:v>
                </c:pt>
                <c:pt idx="3004">
                  <c:v>20061.284282634748</c:v>
                </c:pt>
                <c:pt idx="3005">
                  <c:v>20072.129045401121</c:v>
                </c:pt>
                <c:pt idx="3006">
                  <c:v>20082.97576229781</c:v>
                </c:pt>
                <c:pt idx="3007">
                  <c:v>20093.824432972695</c:v>
                </c:pt>
                <c:pt idx="3008">
                  <c:v>20104.675057073866</c:v>
                </c:pt>
                <c:pt idx="3009">
                  <c:v>20115.527634249629</c:v>
                </c:pt>
                <c:pt idx="3010">
                  <c:v>20126.382164148428</c:v>
                </c:pt>
                <c:pt idx="3011">
                  <c:v>20137.23864641894</c:v>
                </c:pt>
                <c:pt idx="3012">
                  <c:v>20148.097080710013</c:v>
                </c:pt>
                <c:pt idx="3013">
                  <c:v>20158.957466670683</c:v>
                </c:pt>
                <c:pt idx="3014">
                  <c:v>20169.81980395018</c:v>
                </c:pt>
                <c:pt idx="3015">
                  <c:v>20180.684092197931</c:v>
                </c:pt>
                <c:pt idx="3016">
                  <c:v>20191.550331063529</c:v>
                </c:pt>
                <c:pt idx="3017">
                  <c:v>20202.418520196785</c:v>
                </c:pt>
                <c:pt idx="3018">
                  <c:v>20213.288659247672</c:v>
                </c:pt>
                <c:pt idx="3019">
                  <c:v>20224.160747866375</c:v>
                </c:pt>
                <c:pt idx="3020">
                  <c:v>20235.034785703243</c:v>
                </c:pt>
                <c:pt idx="3021">
                  <c:v>20245.910772408835</c:v>
                </c:pt>
                <c:pt idx="3022">
                  <c:v>20256.788707633888</c:v>
                </c:pt>
                <c:pt idx="3023">
                  <c:v>20267.668591029316</c:v>
                </c:pt>
                <c:pt idx="3024">
                  <c:v>20278.550422246251</c:v>
                </c:pt>
                <c:pt idx="3025">
                  <c:v>20289.434200935983</c:v>
                </c:pt>
                <c:pt idx="3026">
                  <c:v>20300.319926749995</c:v>
                </c:pt>
                <c:pt idx="3027">
                  <c:v>20311.20759933997</c:v>
                </c:pt>
                <c:pt idx="3028">
                  <c:v>20322.097218357772</c:v>
                </c:pt>
                <c:pt idx="3029">
                  <c:v>20332.988783455443</c:v>
                </c:pt>
                <c:pt idx="3030">
                  <c:v>20343.882294285217</c:v>
                </c:pt>
                <c:pt idx="3031">
                  <c:v>20354.777750499514</c:v>
                </c:pt>
                <c:pt idx="3032">
                  <c:v>20365.675151750947</c:v>
                </c:pt>
                <c:pt idx="3033">
                  <c:v>20376.574497692316</c:v>
                </c:pt>
                <c:pt idx="3034">
                  <c:v>20387.475787976578</c:v>
                </c:pt>
                <c:pt idx="3035">
                  <c:v>20398.379022256933</c:v>
                </c:pt>
                <c:pt idx="3036">
                  <c:v>20409.284200186692</c:v>
                </c:pt>
                <c:pt idx="3037">
                  <c:v>20420.191321419436</c:v>
                </c:pt>
                <c:pt idx="3038">
                  <c:v>20431.100385608854</c:v>
                </c:pt>
                <c:pt idx="3039">
                  <c:v>20442.011392408855</c:v>
                </c:pt>
                <c:pt idx="3040">
                  <c:v>20452.924341473543</c:v>
                </c:pt>
                <c:pt idx="3041">
                  <c:v>20463.839232457187</c:v>
                </c:pt>
                <c:pt idx="3042">
                  <c:v>20474.756065014248</c:v>
                </c:pt>
                <c:pt idx="3043">
                  <c:v>20485.674838799379</c:v>
                </c:pt>
                <c:pt idx="3044">
                  <c:v>20496.59555346741</c:v>
                </c:pt>
                <c:pt idx="3045">
                  <c:v>20507.518208673337</c:v>
                </c:pt>
                <c:pt idx="3046">
                  <c:v>20518.442804072391</c:v>
                </c:pt>
                <c:pt idx="3047">
                  <c:v>20529.36933931991</c:v>
                </c:pt>
                <c:pt idx="3048">
                  <c:v>20540.297814071502</c:v>
                </c:pt>
                <c:pt idx="3049">
                  <c:v>20551.228227982894</c:v>
                </c:pt>
                <c:pt idx="3050">
                  <c:v>20562.160580710017</c:v>
                </c:pt>
                <c:pt idx="3051">
                  <c:v>20573.094871908979</c:v>
                </c:pt>
                <c:pt idx="3052">
                  <c:v>20584.031101236102</c:v>
                </c:pt>
                <c:pt idx="3053">
                  <c:v>20594.969268347853</c:v>
                </c:pt>
                <c:pt idx="3054">
                  <c:v>20605.909372900896</c:v>
                </c:pt>
                <c:pt idx="3055">
                  <c:v>20616.851414552078</c:v>
                </c:pt>
                <c:pt idx="3056">
                  <c:v>20627.795392958433</c:v>
                </c:pt>
                <c:pt idx="3057">
                  <c:v>20638.741307777156</c:v>
                </c:pt>
                <c:pt idx="3058">
                  <c:v>20649.68915866566</c:v>
                </c:pt>
                <c:pt idx="3059">
                  <c:v>20660.638945281495</c:v>
                </c:pt>
                <c:pt idx="3060">
                  <c:v>20671.590667282439</c:v>
                </c:pt>
                <c:pt idx="3061">
                  <c:v>20682.54432432642</c:v>
                </c:pt>
                <c:pt idx="3062">
                  <c:v>20693.499916071563</c:v>
                </c:pt>
                <c:pt idx="3063">
                  <c:v>20704.457442176168</c:v>
                </c:pt>
                <c:pt idx="3064">
                  <c:v>20715.416902298697</c:v>
                </c:pt>
                <c:pt idx="3065">
                  <c:v>20726.378296097839</c:v>
                </c:pt>
                <c:pt idx="3066">
                  <c:v>20737.34162323242</c:v>
                </c:pt>
                <c:pt idx="3067">
                  <c:v>20748.306883361474</c:v>
                </c:pt>
                <c:pt idx="3068">
                  <c:v>20759.274076144186</c:v>
                </c:pt>
                <c:pt idx="3069">
                  <c:v>20770.243201239969</c:v>
                </c:pt>
                <c:pt idx="3070">
                  <c:v>20781.214258308359</c:v>
                </c:pt>
                <c:pt idx="3071">
                  <c:v>20792.187247009118</c:v>
                </c:pt>
                <c:pt idx="3072">
                  <c:v>20803.162167002163</c:v>
                </c:pt>
                <c:pt idx="3073">
                  <c:v>20814.139017947593</c:v>
                </c:pt>
                <c:pt idx="3074">
                  <c:v>20825.117799505701</c:v>
                </c:pt>
                <c:pt idx="3075">
                  <c:v>20836.098511336946</c:v>
                </c:pt>
                <c:pt idx="3076">
                  <c:v>20847.081153101964</c:v>
                </c:pt>
                <c:pt idx="3077">
                  <c:v>20858.065724461576</c:v>
                </c:pt>
                <c:pt idx="3078">
                  <c:v>20869.052225076783</c:v>
                </c:pt>
                <c:pt idx="3079">
                  <c:v>20880.040654608765</c:v>
                </c:pt>
                <c:pt idx="3080">
                  <c:v>20891.031012718871</c:v>
                </c:pt>
                <c:pt idx="3081">
                  <c:v>20902.023299068649</c:v>
                </c:pt>
                <c:pt idx="3082">
                  <c:v>20913.017513319799</c:v>
                </c:pt>
                <c:pt idx="3083">
                  <c:v>20924.013655134222</c:v>
                </c:pt>
                <c:pt idx="3084">
                  <c:v>20935.011724173972</c:v>
                </c:pt>
                <c:pt idx="3085">
                  <c:v>20946.011720101294</c:v>
                </c:pt>
                <c:pt idx="3086">
                  <c:v>20957.013642578637</c:v>
                </c:pt>
                <c:pt idx="3087">
                  <c:v>20968.017491268583</c:v>
                </c:pt>
                <c:pt idx="3088">
                  <c:v>20979.023265833908</c:v>
                </c:pt>
                <c:pt idx="3089">
                  <c:v>20990.030965937578</c:v>
                </c:pt>
                <c:pt idx="3090">
                  <c:v>21001.040591242727</c:v>
                </c:pt>
                <c:pt idx="3091">
                  <c:v>21012.052141412652</c:v>
                </c:pt>
                <c:pt idx="3092">
                  <c:v>21023.065616110842</c:v>
                </c:pt>
                <c:pt idx="3093">
                  <c:v>21034.081015000964</c:v>
                </c:pt>
                <c:pt idx="3094">
                  <c:v>21045.098337746869</c:v>
                </c:pt>
                <c:pt idx="3095">
                  <c:v>21056.117584012547</c:v>
                </c:pt>
                <c:pt idx="3096">
                  <c:v>21067.138753462197</c:v>
                </c:pt>
                <c:pt idx="3097">
                  <c:v>21078.161845760198</c:v>
                </c:pt>
                <c:pt idx="3098">
                  <c:v>21089.186860571081</c:v>
                </c:pt>
                <c:pt idx="3099">
                  <c:v>21100.213797559576</c:v>
                </c:pt>
                <c:pt idx="3100">
                  <c:v>21111.242656390557</c:v>
                </c:pt>
                <c:pt idx="3101">
                  <c:v>21122.273436729098</c:v>
                </c:pt>
                <c:pt idx="3102">
                  <c:v>21133.306138240459</c:v>
                </c:pt>
                <c:pt idx="3103">
                  <c:v>21144.340760590032</c:v>
                </c:pt>
                <c:pt idx="3104">
                  <c:v>21155.377303443438</c:v>
                </c:pt>
                <c:pt idx="3105">
                  <c:v>21166.415766466434</c:v>
                </c:pt>
                <c:pt idx="3106">
                  <c:v>21177.456149324968</c:v>
                </c:pt>
                <c:pt idx="3107">
                  <c:v>21188.498451685144</c:v>
                </c:pt>
                <c:pt idx="3108">
                  <c:v>21199.542673213251</c:v>
                </c:pt>
                <c:pt idx="3109">
                  <c:v>21210.588813575774</c:v>
                </c:pt>
                <c:pt idx="3110">
                  <c:v>21221.636872439343</c:v>
                </c:pt>
                <c:pt idx="3111">
                  <c:v>21232.686849470763</c:v>
                </c:pt>
                <c:pt idx="3112">
                  <c:v>21243.738744337039</c:v>
                </c:pt>
                <c:pt idx="3113">
                  <c:v>21254.792556705306</c:v>
                </c:pt>
                <c:pt idx="3114">
                  <c:v>21265.848286242912</c:v>
                </c:pt>
                <c:pt idx="3115">
                  <c:v>21276.905932617359</c:v>
                </c:pt>
                <c:pt idx="3116">
                  <c:v>21287.965495496337</c:v>
                </c:pt>
                <c:pt idx="3117">
                  <c:v>21299.026974547683</c:v>
                </c:pt>
                <c:pt idx="3118">
                  <c:v>21310.090369439426</c:v>
                </c:pt>
                <c:pt idx="3119">
                  <c:v>21321.155679839776</c:v>
                </c:pt>
                <c:pt idx="3120">
                  <c:v>21332.222905417089</c:v>
                </c:pt>
                <c:pt idx="3121">
                  <c:v>21343.292045839906</c:v>
                </c:pt>
                <c:pt idx="3122">
                  <c:v>21354.363100776955</c:v>
                </c:pt>
                <c:pt idx="3123">
                  <c:v>21365.436069897096</c:v>
                </c:pt>
                <c:pt idx="3124">
                  <c:v>21376.510952869408</c:v>
                </c:pt>
                <c:pt idx="3125">
                  <c:v>21387.587749363112</c:v>
                </c:pt>
                <c:pt idx="3126">
                  <c:v>21398.666459047618</c:v>
                </c:pt>
                <c:pt idx="3127">
                  <c:v>21409.747081592486</c:v>
                </c:pt>
                <c:pt idx="3128">
                  <c:v>21420.829616667474</c:v>
                </c:pt>
                <c:pt idx="3129">
                  <c:v>21431.91406394248</c:v>
                </c:pt>
                <c:pt idx="3130">
                  <c:v>21443.000423087589</c:v>
                </c:pt>
                <c:pt idx="3131">
                  <c:v>21454.08869377309</c:v>
                </c:pt>
                <c:pt idx="3132">
                  <c:v>21465.178875669364</c:v>
                </c:pt>
                <c:pt idx="3133">
                  <c:v>21476.270968447032</c:v>
                </c:pt>
                <c:pt idx="3134">
                  <c:v>21487.364971776849</c:v>
                </c:pt>
                <c:pt idx="3135">
                  <c:v>21498.460885329783</c:v>
                </c:pt>
                <c:pt idx="3136">
                  <c:v>21509.558708776891</c:v>
                </c:pt>
                <c:pt idx="3137">
                  <c:v>21520.658441789496</c:v>
                </c:pt>
                <c:pt idx="3138">
                  <c:v>21531.760084039037</c:v>
                </c:pt>
                <c:pt idx="3139">
                  <c:v>21542.863635197107</c:v>
                </c:pt>
                <c:pt idx="3140">
                  <c:v>21553.969094935506</c:v>
                </c:pt>
                <c:pt idx="3141">
                  <c:v>21565.076462926205</c:v>
                </c:pt>
                <c:pt idx="3142">
                  <c:v>21576.185738841308</c:v>
                </c:pt>
                <c:pt idx="3143">
                  <c:v>21587.2969223531</c:v>
                </c:pt>
                <c:pt idx="3144">
                  <c:v>21598.410013134078</c:v>
                </c:pt>
                <c:pt idx="3145">
                  <c:v>21609.525010856847</c:v>
                </c:pt>
                <c:pt idx="3146">
                  <c:v>21620.641915194206</c:v>
                </c:pt>
                <c:pt idx="3147">
                  <c:v>21631.760725819138</c:v>
                </c:pt>
                <c:pt idx="3148">
                  <c:v>21642.881442404763</c:v>
                </c:pt>
                <c:pt idx="3149">
                  <c:v>21654.004064624394</c:v>
                </c:pt>
                <c:pt idx="3150">
                  <c:v>21665.128592151505</c:v>
                </c:pt>
                <c:pt idx="3151">
                  <c:v>21676.255024659724</c:v>
                </c:pt>
                <c:pt idx="3152">
                  <c:v>21687.383361822893</c:v>
                </c:pt>
                <c:pt idx="3153">
                  <c:v>21698.513603314943</c:v>
                </c:pt>
                <c:pt idx="3154">
                  <c:v>21709.645748810039</c:v>
                </c:pt>
                <c:pt idx="3155">
                  <c:v>21720.779797982497</c:v>
                </c:pt>
                <c:pt idx="3156">
                  <c:v>21731.915750506781</c:v>
                </c:pt>
                <c:pt idx="3157">
                  <c:v>21743.053606057543</c:v>
                </c:pt>
                <c:pt idx="3158">
                  <c:v>21754.193364309594</c:v>
                </c:pt>
                <c:pt idx="3159">
                  <c:v>21765.335024937911</c:v>
                </c:pt>
                <c:pt idx="3160">
                  <c:v>21776.478587617636</c:v>
                </c:pt>
                <c:pt idx="3161">
                  <c:v>21787.624052024079</c:v>
                </c:pt>
                <c:pt idx="3162">
                  <c:v>21798.771417832722</c:v>
                </c:pt>
                <c:pt idx="3163">
                  <c:v>21809.920684719204</c:v>
                </c:pt>
                <c:pt idx="3164">
                  <c:v>21821.071852359317</c:v>
                </c:pt>
                <c:pt idx="3165">
                  <c:v>21832.224920429086</c:v>
                </c:pt>
                <c:pt idx="3166">
                  <c:v>21843.379888604599</c:v>
                </c:pt>
                <c:pt idx="3167">
                  <c:v>21854.536756562185</c:v>
                </c:pt>
                <c:pt idx="3168">
                  <c:v>21865.695523978309</c:v>
                </c:pt>
                <c:pt idx="3169">
                  <c:v>21876.85619052963</c:v>
                </c:pt>
                <c:pt idx="3170">
                  <c:v>21888.018755892921</c:v>
                </c:pt>
                <c:pt idx="3171">
                  <c:v>21899.183219745155</c:v>
                </c:pt>
                <c:pt idx="3172">
                  <c:v>21910.349581763476</c:v>
                </c:pt>
                <c:pt idx="3173">
                  <c:v>21921.517841625166</c:v>
                </c:pt>
                <c:pt idx="3174">
                  <c:v>21932.687999007707</c:v>
                </c:pt>
                <c:pt idx="3175">
                  <c:v>21943.860053588702</c:v>
                </c:pt>
                <c:pt idx="3176">
                  <c:v>21955.034005045945</c:v>
                </c:pt>
                <c:pt idx="3177">
                  <c:v>21966.209853057411</c:v>
                </c:pt>
                <c:pt idx="3178">
                  <c:v>21977.387597301189</c:v>
                </c:pt>
                <c:pt idx="3179">
                  <c:v>21988.567237455572</c:v>
                </c:pt>
                <c:pt idx="3180">
                  <c:v>21999.748773199019</c:v>
                </c:pt>
                <c:pt idx="3181">
                  <c:v>22010.932204210119</c:v>
                </c:pt>
                <c:pt idx="3182">
                  <c:v>22022.117530167659</c:v>
                </c:pt>
                <c:pt idx="3183">
                  <c:v>22033.304750750565</c:v>
                </c:pt>
                <c:pt idx="3184">
                  <c:v>22044.493865637938</c:v>
                </c:pt>
                <c:pt idx="3185">
                  <c:v>22055.68487450905</c:v>
                </c:pt>
                <c:pt idx="3186">
                  <c:v>22066.877777043319</c:v>
                </c:pt>
                <c:pt idx="3187">
                  <c:v>22078.072572920333</c:v>
                </c:pt>
                <c:pt idx="3188">
                  <c:v>22089.269261819842</c:v>
                </c:pt>
                <c:pt idx="3189">
                  <c:v>22100.467843421753</c:v>
                </c:pt>
                <c:pt idx="3190">
                  <c:v>22111.668317406147</c:v>
                </c:pt>
                <c:pt idx="3191">
                  <c:v>22122.870683453271</c:v>
                </c:pt>
                <c:pt idx="3192">
                  <c:v>22134.074941243518</c:v>
                </c:pt>
                <c:pt idx="3193">
                  <c:v>22145.281090457443</c:v>
                </c:pt>
                <c:pt idx="3194">
                  <c:v>22156.489130775761</c:v>
                </c:pt>
                <c:pt idx="3195">
                  <c:v>22167.699061879379</c:v>
                </c:pt>
                <c:pt idx="3196">
                  <c:v>22178.910883449349</c:v>
                </c:pt>
                <c:pt idx="3197">
                  <c:v>22190.12459516685</c:v>
                </c:pt>
                <c:pt idx="3198">
                  <c:v>22201.340196713278</c:v>
                </c:pt>
                <c:pt idx="3199">
                  <c:v>22212.557687770142</c:v>
                </c:pt>
                <c:pt idx="3200">
                  <c:v>22223.777068019139</c:v>
                </c:pt>
                <c:pt idx="3201">
                  <c:v>22234.998337142122</c:v>
                </c:pt>
                <c:pt idx="3202">
                  <c:v>22246.221494821122</c:v>
                </c:pt>
                <c:pt idx="3203">
                  <c:v>22257.446540738292</c:v>
                </c:pt>
                <c:pt idx="3204">
                  <c:v>22268.673474575957</c:v>
                </c:pt>
                <c:pt idx="3205">
                  <c:v>22279.902296016662</c:v>
                </c:pt>
                <c:pt idx="3206">
                  <c:v>22291.133004742991</c:v>
                </c:pt>
                <c:pt idx="3207">
                  <c:v>22302.365600437803</c:v>
                </c:pt>
                <c:pt idx="3208">
                  <c:v>22313.600082784058</c:v>
                </c:pt>
                <c:pt idx="3209">
                  <c:v>22324.8364514649</c:v>
                </c:pt>
                <c:pt idx="3210">
                  <c:v>22336.074706163614</c:v>
                </c:pt>
                <c:pt idx="3211">
                  <c:v>22347.314846563651</c:v>
                </c:pt>
                <c:pt idx="3212">
                  <c:v>22358.556872348629</c:v>
                </c:pt>
                <c:pt idx="3213">
                  <c:v>22369.80078320235</c:v>
                </c:pt>
                <c:pt idx="3214">
                  <c:v>22381.046578808699</c:v>
                </c:pt>
                <c:pt idx="3215">
                  <c:v>22392.294258851765</c:v>
                </c:pt>
                <c:pt idx="3216">
                  <c:v>22403.543823015836</c:v>
                </c:pt>
                <c:pt idx="3217">
                  <c:v>22414.795270985283</c:v>
                </c:pt>
                <c:pt idx="3218">
                  <c:v>22426.048602444684</c:v>
                </c:pt>
                <c:pt idx="3219">
                  <c:v>22437.303817078762</c:v>
                </c:pt>
                <c:pt idx="3220">
                  <c:v>22448.560914572427</c:v>
                </c:pt>
                <c:pt idx="3221">
                  <c:v>22459.819894610693</c:v>
                </c:pt>
                <c:pt idx="3222">
                  <c:v>22471.080756878742</c:v>
                </c:pt>
                <c:pt idx="3223">
                  <c:v>22482.343501061976</c:v>
                </c:pt>
                <c:pt idx="3224">
                  <c:v>22493.608126845877</c:v>
                </c:pt>
                <c:pt idx="3225">
                  <c:v>22504.87463391613</c:v>
                </c:pt>
                <c:pt idx="3226">
                  <c:v>22516.143021958556</c:v>
                </c:pt>
                <c:pt idx="3227">
                  <c:v>22527.413290659144</c:v>
                </c:pt>
                <c:pt idx="3228">
                  <c:v>22538.685439704048</c:v>
                </c:pt>
                <c:pt idx="3229">
                  <c:v>22549.959468779558</c:v>
                </c:pt>
                <c:pt idx="3230">
                  <c:v>22561.235377572171</c:v>
                </c:pt>
                <c:pt idx="3231">
                  <c:v>22572.513165768443</c:v>
                </c:pt>
                <c:pt idx="3232">
                  <c:v>22583.792833055169</c:v>
                </c:pt>
                <c:pt idx="3233">
                  <c:v>22595.074379119291</c:v>
                </c:pt>
                <c:pt idx="3234">
                  <c:v>22606.357803647872</c:v>
                </c:pt>
                <c:pt idx="3235">
                  <c:v>22617.643106328189</c:v>
                </c:pt>
                <c:pt idx="3236">
                  <c:v>22628.930286847601</c:v>
                </c:pt>
                <c:pt idx="3237">
                  <c:v>22640.219344893703</c:v>
                </c:pt>
                <c:pt idx="3238">
                  <c:v>22651.510280154165</c:v>
                </c:pt>
                <c:pt idx="3239">
                  <c:v>22662.803092316859</c:v>
                </c:pt>
                <c:pt idx="3240">
                  <c:v>22674.097781069835</c:v>
                </c:pt>
                <c:pt idx="3241">
                  <c:v>22685.394346101235</c:v>
                </c:pt>
                <c:pt idx="3242">
                  <c:v>22696.692787099433</c:v>
                </c:pt>
                <c:pt idx="3243">
                  <c:v>22707.993103752859</c:v>
                </c:pt>
                <c:pt idx="3244">
                  <c:v>22719.295295750206</c:v>
                </c:pt>
                <c:pt idx="3245">
                  <c:v>22730.599362780264</c:v>
                </c:pt>
                <c:pt idx="3246">
                  <c:v>22741.905304531971</c:v>
                </c:pt>
                <c:pt idx="3247">
                  <c:v>22753.213120694432</c:v>
                </c:pt>
                <c:pt idx="3248">
                  <c:v>22764.522810956929</c:v>
                </c:pt>
                <c:pt idx="3249">
                  <c:v>22775.834375008842</c:v>
                </c:pt>
                <c:pt idx="3250">
                  <c:v>22787.147812539784</c:v>
                </c:pt>
                <c:pt idx="3251">
                  <c:v>22798.463123239453</c:v>
                </c:pt>
                <c:pt idx="3252">
                  <c:v>22809.780306797766</c:v>
                </c:pt>
                <c:pt idx="3253">
                  <c:v>22821.099362904697</c:v>
                </c:pt>
                <c:pt idx="3254">
                  <c:v>22832.420291250473</c:v>
                </c:pt>
                <c:pt idx="3255">
                  <c:v>22843.743091525448</c:v>
                </c:pt>
                <c:pt idx="3256">
                  <c:v>22855.06776342008</c:v>
                </c:pt>
                <c:pt idx="3257">
                  <c:v>22866.394306625036</c:v>
                </c:pt>
                <c:pt idx="3258">
                  <c:v>22877.722720831116</c:v>
                </c:pt>
                <c:pt idx="3259">
                  <c:v>22889.053005729274</c:v>
                </c:pt>
                <c:pt idx="3260">
                  <c:v>22900.385161010621</c:v>
                </c:pt>
                <c:pt idx="3261">
                  <c:v>22911.719186366416</c:v>
                </c:pt>
                <c:pt idx="3262">
                  <c:v>22923.05508148807</c:v>
                </c:pt>
                <c:pt idx="3263">
                  <c:v>22934.392846067174</c:v>
                </c:pt>
                <c:pt idx="3264">
                  <c:v>22945.73247979541</c:v>
                </c:pt>
                <c:pt idx="3265">
                  <c:v>22957.073982364669</c:v>
                </c:pt>
                <c:pt idx="3266">
                  <c:v>22968.417353466975</c:v>
                </c:pt>
                <c:pt idx="3267">
                  <c:v>22979.762592794501</c:v>
                </c:pt>
                <c:pt idx="3268">
                  <c:v>22991.109700039568</c:v>
                </c:pt>
                <c:pt idx="3269">
                  <c:v>23002.458674894668</c:v>
                </c:pt>
                <c:pt idx="3270">
                  <c:v>23013.809517052439</c:v>
                </c:pt>
                <c:pt idx="3271">
                  <c:v>23025.162226205663</c:v>
                </c:pt>
                <c:pt idx="3272">
                  <c:v>23036.516802047256</c:v>
                </c:pt>
                <c:pt idx="3273">
                  <c:v>23047.873244270333</c:v>
                </c:pt>
                <c:pt idx="3274">
                  <c:v>23059.231552568112</c:v>
                </c:pt>
                <c:pt idx="3275">
                  <c:v>23070.591726633993</c:v>
                </c:pt>
                <c:pt idx="3276">
                  <c:v>23081.953766161496</c:v>
                </c:pt>
                <c:pt idx="3277">
                  <c:v>23093.317670844368</c:v>
                </c:pt>
                <c:pt idx="3278">
                  <c:v>23104.683440376382</c:v>
                </c:pt>
                <c:pt idx="3279">
                  <c:v>23116.051074451567</c:v>
                </c:pt>
                <c:pt idx="3280">
                  <c:v>23127.420572764095</c:v>
                </c:pt>
                <c:pt idx="3281">
                  <c:v>23138.791935008197</c:v>
                </c:pt>
                <c:pt idx="3282">
                  <c:v>23150.165160878369</c:v>
                </c:pt>
                <c:pt idx="3283">
                  <c:v>23161.540250069182</c:v>
                </c:pt>
                <c:pt idx="3284">
                  <c:v>23172.917202275406</c:v>
                </c:pt>
                <c:pt idx="3285">
                  <c:v>23184.296017191911</c:v>
                </c:pt>
                <c:pt idx="3286">
                  <c:v>23195.676694513739</c:v>
                </c:pt>
                <c:pt idx="3287">
                  <c:v>23207.059233936125</c:v>
                </c:pt>
                <c:pt idx="3288">
                  <c:v>23218.443635154363</c:v>
                </c:pt>
                <c:pt idx="3289">
                  <c:v>23229.829897863969</c:v>
                </c:pt>
                <c:pt idx="3290">
                  <c:v>23241.218021760596</c:v>
                </c:pt>
                <c:pt idx="3291">
                  <c:v>23252.608006540038</c:v>
                </c:pt>
                <c:pt idx="3292">
                  <c:v>23263.999851898232</c:v>
                </c:pt>
                <c:pt idx="3293">
                  <c:v>23275.393557531246</c:v>
                </c:pt>
                <c:pt idx="3294">
                  <c:v>23286.789123135353</c:v>
                </c:pt>
                <c:pt idx="3295">
                  <c:v>23298.186548406939</c:v>
                </c:pt>
                <c:pt idx="3296">
                  <c:v>23309.585833042507</c:v>
                </c:pt>
                <c:pt idx="3297">
                  <c:v>23320.98697673879</c:v>
                </c:pt>
                <c:pt idx="3298">
                  <c:v>23332.389979192594</c:v>
                </c:pt>
                <c:pt idx="3299">
                  <c:v>23343.794840100902</c:v>
                </c:pt>
                <c:pt idx="3300">
                  <c:v>23355.201559160872</c:v>
                </c:pt>
                <c:pt idx="3301">
                  <c:v>23366.61013606975</c:v>
                </c:pt>
                <c:pt idx="3302">
                  <c:v>23378.020570524968</c:v>
                </c:pt>
                <c:pt idx="3303">
                  <c:v>23389.432862224116</c:v>
                </c:pt>
                <c:pt idx="3304">
                  <c:v>23400.847010864902</c:v>
                </c:pt>
                <c:pt idx="3305">
                  <c:v>23412.263016145225</c:v>
                </c:pt>
                <c:pt idx="3306">
                  <c:v>23423.680877763069</c:v>
                </c:pt>
                <c:pt idx="3307">
                  <c:v>23435.100595416607</c:v>
                </c:pt>
                <c:pt idx="3308">
                  <c:v>23446.522168804164</c:v>
                </c:pt>
                <c:pt idx="3309">
                  <c:v>23457.945597624188</c:v>
                </c:pt>
                <c:pt idx="3310">
                  <c:v>23469.370881575276</c:v>
                </c:pt>
                <c:pt idx="3311">
                  <c:v>23480.798020356204</c:v>
                </c:pt>
                <c:pt idx="3312">
                  <c:v>23492.227013665859</c:v>
                </c:pt>
                <c:pt idx="3313">
                  <c:v>23503.657861203301</c:v>
                </c:pt>
                <c:pt idx="3314">
                  <c:v>23515.090562667687</c:v>
                </c:pt>
                <c:pt idx="3315">
                  <c:v>23526.525117758389</c:v>
                </c:pt>
                <c:pt idx="3316">
                  <c:v>23537.961526174902</c:v>
                </c:pt>
                <c:pt idx="3317">
                  <c:v>23549.399787616825</c:v>
                </c:pt>
                <c:pt idx="3318">
                  <c:v>23560.839901783955</c:v>
                </c:pt>
                <c:pt idx="3319">
                  <c:v>23572.281868376213</c:v>
                </c:pt>
                <c:pt idx="3320">
                  <c:v>23583.725687093665</c:v>
                </c:pt>
                <c:pt idx="3321">
                  <c:v>23595.171357636536</c:v>
                </c:pt>
                <c:pt idx="3322">
                  <c:v>23606.618879705147</c:v>
                </c:pt>
                <c:pt idx="3323">
                  <c:v>23618.068253000067</c:v>
                </c:pt>
                <c:pt idx="3324">
                  <c:v>23629.519477221929</c:v>
                </c:pt>
                <c:pt idx="3325">
                  <c:v>23640.972552071496</c:v>
                </c:pt>
                <c:pt idx="3326">
                  <c:v>23652.427477249723</c:v>
                </c:pt>
                <c:pt idx="3327">
                  <c:v>23663.884252457719</c:v>
                </c:pt>
                <c:pt idx="3328">
                  <c:v>23675.342877396699</c:v>
                </c:pt>
                <c:pt idx="3329">
                  <c:v>23686.803351768041</c:v>
                </c:pt>
                <c:pt idx="3330">
                  <c:v>23698.265675273273</c:v>
                </c:pt>
                <c:pt idx="3331">
                  <c:v>23709.729847614053</c:v>
                </c:pt>
                <c:pt idx="3332">
                  <c:v>23721.195868492199</c:v>
                </c:pt>
                <c:pt idx="3333">
                  <c:v>23732.663737609637</c:v>
                </c:pt>
                <c:pt idx="3334">
                  <c:v>23744.13345466851</c:v>
                </c:pt>
                <c:pt idx="3335">
                  <c:v>23755.605019371022</c:v>
                </c:pt>
                <c:pt idx="3336">
                  <c:v>23767.078431419563</c:v>
                </c:pt>
                <c:pt idx="3337">
                  <c:v>23778.553690516699</c:v>
                </c:pt>
                <c:pt idx="3338">
                  <c:v>23790.030796365074</c:v>
                </c:pt>
                <c:pt idx="3339">
                  <c:v>23801.509748667489</c:v>
                </c:pt>
                <c:pt idx="3340">
                  <c:v>23812.990547126938</c:v>
                </c:pt>
                <c:pt idx="3341">
                  <c:v>23824.473191446519</c:v>
                </c:pt>
                <c:pt idx="3342">
                  <c:v>23835.957681329484</c:v>
                </c:pt>
                <c:pt idx="3343">
                  <c:v>23847.444016479196</c:v>
                </c:pt>
                <c:pt idx="3344">
                  <c:v>23858.932196599195</c:v>
                </c:pt>
                <c:pt idx="3345">
                  <c:v>23870.422221393193</c:v>
                </c:pt>
                <c:pt idx="3346">
                  <c:v>23881.914090564966</c:v>
                </c:pt>
                <c:pt idx="3347">
                  <c:v>23893.4078038185</c:v>
                </c:pt>
                <c:pt idx="3348">
                  <c:v>23904.903360857894</c:v>
                </c:pt>
                <c:pt idx="3349">
                  <c:v>23916.400761387395</c:v>
                </c:pt>
                <c:pt idx="3350">
                  <c:v>23927.90000511138</c:v>
                </c:pt>
                <c:pt idx="3351">
                  <c:v>23939.401091734384</c:v>
                </c:pt>
                <c:pt idx="3352">
                  <c:v>23950.904020961098</c:v>
                </c:pt>
                <c:pt idx="3353">
                  <c:v>23962.408792496339</c:v>
                </c:pt>
                <c:pt idx="3354">
                  <c:v>23973.915406045035</c:v>
                </c:pt>
                <c:pt idx="3355">
                  <c:v>23985.423861312313</c:v>
                </c:pt>
                <c:pt idx="3356">
                  <c:v>23996.934158003383</c:v>
                </c:pt>
                <c:pt idx="3357">
                  <c:v>24008.446295823644</c:v>
                </c:pt>
                <c:pt idx="3358">
                  <c:v>24019.960274478635</c:v>
                </c:pt>
                <c:pt idx="3359">
                  <c:v>24031.476093673995</c:v>
                </c:pt>
                <c:pt idx="3360">
                  <c:v>24042.993753115537</c:v>
                </c:pt>
                <c:pt idx="3361">
                  <c:v>24054.513252509219</c:v>
                </c:pt>
                <c:pt idx="3362">
                  <c:v>24066.034591561118</c:v>
                </c:pt>
                <c:pt idx="3363">
                  <c:v>24077.557769977484</c:v>
                </c:pt>
                <c:pt idx="3364">
                  <c:v>24089.082787464646</c:v>
                </c:pt>
                <c:pt idx="3365">
                  <c:v>24100.609643729131</c:v>
                </c:pt>
                <c:pt idx="3366">
                  <c:v>24112.138338477624</c:v>
                </c:pt>
                <c:pt idx="3367">
                  <c:v>24123.668871416867</c:v>
                </c:pt>
                <c:pt idx="3368">
                  <c:v>24135.20124225381</c:v>
                </c:pt>
                <c:pt idx="3369">
                  <c:v>24146.735450695516</c:v>
                </c:pt>
                <c:pt idx="3370">
                  <c:v>24158.271496449212</c:v>
                </c:pt>
                <c:pt idx="3371">
                  <c:v>24169.809379222268</c:v>
                </c:pt>
                <c:pt idx="3372">
                  <c:v>24181.349098722105</c:v>
                </c:pt>
                <c:pt idx="3373">
                  <c:v>24192.89065465645</c:v>
                </c:pt>
                <c:pt idx="3374">
                  <c:v>24204.434046732978</c:v>
                </c:pt>
                <c:pt idx="3375">
                  <c:v>24215.979274659654</c:v>
                </c:pt>
                <c:pt idx="3376">
                  <c:v>24227.526338144511</c:v>
                </c:pt>
                <c:pt idx="3377">
                  <c:v>24239.075236895776</c:v>
                </c:pt>
                <c:pt idx="3378">
                  <c:v>24250.625970621706</c:v>
                </c:pt>
                <c:pt idx="3379">
                  <c:v>24262.178539030807</c:v>
                </c:pt>
                <c:pt idx="3380">
                  <c:v>24273.732941831699</c:v>
                </c:pt>
                <c:pt idx="3381">
                  <c:v>24285.289178733106</c:v>
                </c:pt>
                <c:pt idx="3382">
                  <c:v>24296.847249443923</c:v>
                </c:pt>
                <c:pt idx="3383">
                  <c:v>24308.407153673157</c:v>
                </c:pt>
                <c:pt idx="3384">
                  <c:v>24319.968891129967</c:v>
                </c:pt>
                <c:pt idx="3385">
                  <c:v>24331.532461523675</c:v>
                </c:pt>
                <c:pt idx="3386">
                  <c:v>24343.097864563686</c:v>
                </c:pt>
                <c:pt idx="3387">
                  <c:v>24354.665099959602</c:v>
                </c:pt>
                <c:pt idx="3388">
                  <c:v>24366.234167421135</c:v>
                </c:pt>
                <c:pt idx="3389">
                  <c:v>24377.805066658118</c:v>
                </c:pt>
                <c:pt idx="3390">
                  <c:v>24389.377797380563</c:v>
                </c:pt>
                <c:pt idx="3391">
                  <c:v>24400.952359298564</c:v>
                </c:pt>
                <c:pt idx="3392">
                  <c:v>24412.528752122416</c:v>
                </c:pt>
                <c:pt idx="3393">
                  <c:v>24424.10697556251</c:v>
                </c:pt>
                <c:pt idx="3394">
                  <c:v>24435.687029329387</c:v>
                </c:pt>
                <c:pt idx="3395">
                  <c:v>24447.268913133732</c:v>
                </c:pt>
                <c:pt idx="3396">
                  <c:v>24458.852626686341</c:v>
                </c:pt>
                <c:pt idx="3397">
                  <c:v>24470.438169698169</c:v>
                </c:pt>
                <c:pt idx="3398">
                  <c:v>24482.02554188031</c:v>
                </c:pt>
                <c:pt idx="3399">
                  <c:v>24493.614742943977</c:v>
                </c:pt>
                <c:pt idx="3400">
                  <c:v>24505.205772600551</c:v>
                </c:pt>
                <c:pt idx="3401">
                  <c:v>24516.79863056152</c:v>
                </c:pt>
                <c:pt idx="3402">
                  <c:v>24528.393316538524</c:v>
                </c:pt>
                <c:pt idx="3403">
                  <c:v>24539.989830243325</c:v>
                </c:pt>
                <c:pt idx="3404">
                  <c:v>24551.58817138783</c:v>
                </c:pt>
                <c:pt idx="3405">
                  <c:v>24563.188339684093</c:v>
                </c:pt>
                <c:pt idx="3406">
                  <c:v>24574.790334844289</c:v>
                </c:pt>
                <c:pt idx="3407">
                  <c:v>24586.394156580718</c:v>
                </c:pt>
                <c:pt idx="3408">
                  <c:v>24597.999804605868</c:v>
                </c:pt>
                <c:pt idx="3409">
                  <c:v>24609.607278632287</c:v>
                </c:pt>
                <c:pt idx="3410">
                  <c:v>24621.216578372732</c:v>
                </c:pt>
                <c:pt idx="3411">
                  <c:v>24632.827703540039</c:v>
                </c:pt>
                <c:pt idx="3412">
                  <c:v>24644.440653847207</c:v>
                </c:pt>
                <c:pt idx="3413">
                  <c:v>24656.055429007378</c:v>
                </c:pt>
                <c:pt idx="3414">
                  <c:v>24667.672028733778</c:v>
                </c:pt>
                <c:pt idx="3415">
                  <c:v>24679.290452739871</c:v>
                </c:pt>
                <c:pt idx="3416">
                  <c:v>24690.910700739125</c:v>
                </c:pt>
                <c:pt idx="3417">
                  <c:v>24702.532772445255</c:v>
                </c:pt>
                <c:pt idx="3418">
                  <c:v>24714.156667572061</c:v>
                </c:pt>
                <c:pt idx="3419">
                  <c:v>24725.782385833449</c:v>
                </c:pt>
                <c:pt idx="3420">
                  <c:v>24737.409926943546</c:v>
                </c:pt>
                <c:pt idx="3421">
                  <c:v>24749.039290616518</c:v>
                </c:pt>
                <c:pt idx="3422">
                  <c:v>24760.670476566705</c:v>
                </c:pt>
                <c:pt idx="3423">
                  <c:v>24772.303484508629</c:v>
                </c:pt>
                <c:pt idx="3424">
                  <c:v>24783.938314156876</c:v>
                </c:pt>
                <c:pt idx="3425">
                  <c:v>24795.574965226158</c:v>
                </c:pt>
                <c:pt idx="3426">
                  <c:v>24807.213437431412</c:v>
                </c:pt>
                <c:pt idx="3427">
                  <c:v>24818.853730487634</c:v>
                </c:pt>
                <c:pt idx="3428">
                  <c:v>24830.495844109926</c:v>
                </c:pt>
                <c:pt idx="3429">
                  <c:v>24842.139778013621</c:v>
                </c:pt>
                <c:pt idx="3430">
                  <c:v>24853.785531914145</c:v>
                </c:pt>
                <c:pt idx="3431">
                  <c:v>24865.433105526998</c:v>
                </c:pt>
                <c:pt idx="3432">
                  <c:v>24877.082498567877</c:v>
                </c:pt>
                <c:pt idx="3433">
                  <c:v>24888.733710752604</c:v>
                </c:pt>
                <c:pt idx="3434">
                  <c:v>24900.386741797138</c:v>
                </c:pt>
                <c:pt idx="3435">
                  <c:v>24912.041591417525</c:v>
                </c:pt>
                <c:pt idx="3436">
                  <c:v>24923.698259330005</c:v>
                </c:pt>
                <c:pt idx="3437">
                  <c:v>24935.356745250934</c:v>
                </c:pt>
                <c:pt idx="3438">
                  <c:v>24947.017048896781</c:v>
                </c:pt>
                <c:pt idx="3439">
                  <c:v>24958.679169984145</c:v>
                </c:pt>
                <c:pt idx="3440">
                  <c:v>24970.343108229776</c:v>
                </c:pt>
                <c:pt idx="3441">
                  <c:v>24982.008863350569</c:v>
                </c:pt>
                <c:pt idx="3442">
                  <c:v>24993.676435063495</c:v>
                </c:pt>
                <c:pt idx="3443">
                  <c:v>25005.345823085732</c:v>
                </c:pt>
                <c:pt idx="3444">
                  <c:v>25017.017027134541</c:v>
                </c:pt>
                <c:pt idx="3445">
                  <c:v>25028.690046927328</c:v>
                </c:pt>
                <c:pt idx="3446">
                  <c:v>25040.364882181628</c:v>
                </c:pt>
                <c:pt idx="3447">
                  <c:v>25052.041532615123</c:v>
                </c:pt>
                <c:pt idx="3448">
                  <c:v>25063.719997945591</c:v>
                </c:pt>
                <c:pt idx="3449">
                  <c:v>25075.400277890974</c:v>
                </c:pt>
                <c:pt idx="3450">
                  <c:v>25087.082372169352</c:v>
                </c:pt>
                <c:pt idx="3451">
                  <c:v>25098.766280498894</c:v>
                </c:pt>
                <c:pt idx="3452">
                  <c:v>25110.452002597958</c:v>
                </c:pt>
                <c:pt idx="3453">
                  <c:v>25122.139538184962</c:v>
                </c:pt>
                <c:pt idx="3454">
                  <c:v>25133.828886978517</c:v>
                </c:pt>
                <c:pt idx="3455">
                  <c:v>25145.520048697363</c:v>
                </c:pt>
                <c:pt idx="3456">
                  <c:v>25157.213023060332</c:v>
                </c:pt>
                <c:pt idx="3457">
                  <c:v>25168.9078097864</c:v>
                </c:pt>
                <c:pt idx="3458">
                  <c:v>25180.604408594671</c:v>
                </c:pt>
                <c:pt idx="3459">
                  <c:v>25192.302819204415</c:v>
                </c:pt>
                <c:pt idx="3460">
                  <c:v>25204.003041334985</c:v>
                </c:pt>
                <c:pt idx="3461">
                  <c:v>25215.705074705882</c:v>
                </c:pt>
                <c:pt idx="3462">
                  <c:v>25227.408919036767</c:v>
                </c:pt>
                <c:pt idx="3463">
                  <c:v>25239.114574047388</c:v>
                </c:pt>
                <c:pt idx="3464">
                  <c:v>25250.822039457631</c:v>
                </c:pt>
                <c:pt idx="3465">
                  <c:v>25262.53131498754</c:v>
                </c:pt>
                <c:pt idx="3466">
                  <c:v>25274.242400357256</c:v>
                </c:pt>
                <c:pt idx="3467">
                  <c:v>25285.955295287062</c:v>
                </c:pt>
                <c:pt idx="3468">
                  <c:v>25297.669999497371</c:v>
                </c:pt>
                <c:pt idx="3469">
                  <c:v>25309.386512708734</c:v>
                </c:pt>
                <c:pt idx="3470">
                  <c:v>25321.104834641821</c:v>
                </c:pt>
                <c:pt idx="3471">
                  <c:v>25332.824965017418</c:v>
                </c:pt>
                <c:pt idx="3472">
                  <c:v>25344.546903556493</c:v>
                </c:pt>
              </c:numCache>
            </c:numRef>
          </c:xVal>
          <c:yVal>
            <c:numRef>
              <c:f>[0]!Fator_armazenamento</c:f>
              <c:numCache>
                <c:formatCode>0.0</c:formatCode>
                <c:ptCount val="3473"/>
                <c:pt idx="0">
                  <c:v>11.386189716072353</c:v>
                </c:pt>
                <c:pt idx="1">
                  <c:v>14.633928835327918</c:v>
                </c:pt>
                <c:pt idx="2">
                  <c:v>17.964128115259307</c:v>
                </c:pt>
                <c:pt idx="3">
                  <c:v>21.36450287138128</c:v>
                </c:pt>
                <c:pt idx="4">
                  <c:v>24.826131568663548</c:v>
                </c:pt>
                <c:pt idx="5">
                  <c:v>28.342220443237856</c:v>
                </c:pt>
                <c:pt idx="6">
                  <c:v>31.907411670778949</c:v>
                </c:pt>
                <c:pt idx="7">
                  <c:v>35.517364405192943</c:v>
                </c:pt>
                <c:pt idx="8">
                  <c:v>39.168485615185759</c:v>
                </c:pt>
                <c:pt idx="9">
                  <c:v>42.857748952934777</c:v>
                </c:pt>
                <c:pt idx="10">
                  <c:v>46.582568217294885</c:v>
                </c:pt>
                <c:pt idx="11">
                  <c:v>50.340706186469035</c:v>
                </c:pt>
                <c:pt idx="12">
                  <c:v>54.130207210107621</c:v>
                </c:pt>
                <c:pt idx="13">
                  <c:v>57.949346256772081</c:v>
                </c:pt>
                <c:pt idx="14">
                  <c:v>61.796589659723693</c:v>
                </c:pt>
                <c:pt idx="15">
                  <c:v>65.670564369360946</c:v>
                </c:pt>
                <c:pt idx="16">
                  <c:v>69.570033514909269</c:v>
                </c:pt>
                <c:pt idx="17">
                  <c:v>73.493876727881386</c:v>
                </c:pt>
                <c:pt idx="18">
                  <c:v>77.441074115498651</c:v>
                </c:pt>
                <c:pt idx="19">
                  <c:v>82.301826254132237</c:v>
                </c:pt>
                <c:pt idx="20">
                  <c:v>87.013997901548265</c:v>
                </c:pt>
                <c:pt idx="21">
                  <c:v>91.512348434132761</c:v>
                </c:pt>
                <c:pt idx="22">
                  <c:v>95.93754309815624</c:v>
                </c:pt>
                <c:pt idx="23">
                  <c:v>100.32801159666337</c:v>
                </c:pt>
                <c:pt idx="24">
                  <c:v>104.70073613568336</c:v>
                </c:pt>
                <c:pt idx="25">
                  <c:v>109.06485811486176</c:v>
                </c:pt>
                <c:pt idx="26">
                  <c:v>113.42587541942558</c:v>
                </c:pt>
                <c:pt idx="27">
                  <c:v>117.78733641187999</c:v>
                </c:pt>
                <c:pt idx="28">
                  <c:v>122.15164360222414</c:v>
                </c:pt>
                <c:pt idx="29">
                  <c:v>126.52047921449346</c:v>
                </c:pt>
                <c:pt idx="30">
                  <c:v>130.89504932022098</c:v>
                </c:pt>
                <c:pt idx="31">
                  <c:v>135.27623270970048</c:v>
                </c:pt>
                <c:pt idx="32">
                  <c:v>139.66467615036544</c:v>
                </c:pt>
                <c:pt idx="33">
                  <c:v>144.06085775784558</c:v>
                </c:pt>
                <c:pt idx="34">
                  <c:v>148.46513052686342</c:v>
                </c:pt>
                <c:pt idx="35">
                  <c:v>152.87775304619126</c:v>
                </c:pt>
                <c:pt idx="36">
                  <c:v>157.2989116688475</c:v>
                </c:pt>
                <c:pt idx="37">
                  <c:v>161.72873682897716</c:v>
                </c:pt>
                <c:pt idx="38">
                  <c:v>166.16731525422392</c:v>
                </c:pt>
                <c:pt idx="39">
                  <c:v>170.61469924059878</c:v>
                </c:pt>
                <c:pt idx="40">
                  <c:v>175.07091378701952</c:v>
                </c:pt>
                <c:pt idx="41">
                  <c:v>179.53596214542475</c:v>
                </c:pt>
                <c:pt idx="42">
                  <c:v>184.00983018131166</c:v>
                </c:pt>
                <c:pt idx="43">
                  <c:v>188.4924898297925</c:v>
                </c:pt>
                <c:pt idx="44">
                  <c:v>192.98390185609514</c:v>
                </c:pt>
                <c:pt idx="45">
                  <c:v>197.4840180756683</c:v>
                </c:pt>
                <c:pt idx="46">
                  <c:v>201.9927831505322</c:v>
                </c:pt>
                <c:pt idx="47">
                  <c:v>206.51013605053427</c:v>
                </c:pt>
                <c:pt idx="48">
                  <c:v>211.03601124758202</c:v>
                </c:pt>
                <c:pt idx="49">
                  <c:v>215.57033969561095</c:v>
                </c:pt>
                <c:pt idx="50">
                  <c:v>220.11304963751866</c:v>
                </c:pt>
                <c:pt idx="51">
                  <c:v>224.66406727155018</c:v>
                </c:pt>
                <c:pt idx="52">
                  <c:v>229.22331730290742</c:v>
                </c:pt>
                <c:pt idx="53">
                  <c:v>233.79072340117585</c:v>
                </c:pt>
                <c:pt idx="54">
                  <c:v>238.36620858011852</c:v>
                </c:pt>
                <c:pt idx="55">
                  <c:v>242.94969551321955</c:v>
                </c:pt>
                <c:pt idx="56">
                  <c:v>247.5411067958585</c:v>
                </c:pt>
                <c:pt idx="57">
                  <c:v>252.14036516299723</c:v>
                </c:pt>
                <c:pt idx="58">
                  <c:v>256.74739366967941</c:v>
                </c:pt>
                <c:pt idx="59">
                  <c:v>261.36211584035146</c:v>
                </c:pt>
                <c:pt idx="60">
                  <c:v>265.98445579198466</c:v>
                </c:pt>
                <c:pt idx="61">
                  <c:v>270.61433833513206</c:v>
                </c:pt>
                <c:pt idx="62">
                  <c:v>275.25168905636968</c:v>
                </c:pt>
                <c:pt idx="63">
                  <c:v>279.89643438500491</c:v>
                </c:pt>
                <c:pt idx="64">
                  <c:v>284.54850164647377</c:v>
                </c:pt>
                <c:pt idx="65">
                  <c:v>289.20781910446323</c:v>
                </c:pt>
                <c:pt idx="66">
                  <c:v>293.87431599347633</c:v>
                </c:pt>
                <c:pt idx="67">
                  <c:v>298.54792254329459</c:v>
                </c:pt>
                <c:pt idx="68">
                  <c:v>303.22856999657012</c:v>
                </c:pt>
                <c:pt idx="69">
                  <c:v>307.91619062059323</c:v>
                </c:pt>
                <c:pt idx="70">
                  <c:v>312.61071771412719</c:v>
                </c:pt>
                <c:pt idx="71">
                  <c:v>317.3120856100694</c:v>
                </c:pt>
                <c:pt idx="72">
                  <c:v>322.02022967458845</c:v>
                </c:pt>
                <c:pt idx="73">
                  <c:v>326.7350863032907</c:v>
                </c:pt>
                <c:pt idx="74">
                  <c:v>331.45659291489187</c:v>
                </c:pt>
                <c:pt idx="75">
                  <c:v>336.18468794280193</c:v>
                </c:pt>
                <c:pt idx="76">
                  <c:v>340.9193108249699</c:v>
                </c:pt>
                <c:pt idx="77">
                  <c:v>345.66040199229076</c:v>
                </c:pt>
                <c:pt idx="78">
                  <c:v>350.40790285583114</c:v>
                </c:pt>
                <c:pt idx="79">
                  <c:v>355.16175579309555</c:v>
                </c:pt>
                <c:pt idx="80">
                  <c:v>359.9219041335212</c:v>
                </c:pt>
                <c:pt idx="81">
                  <c:v>364.68829214336841</c:v>
                </c:pt>
                <c:pt idx="82">
                  <c:v>369.46086501014304</c:v>
                </c:pt>
                <c:pt idx="83">
                  <c:v>374.23956882667528</c:v>
                </c:pt>
                <c:pt idx="84">
                  <c:v>379.02435057495308</c:v>
                </c:pt>
                <c:pt idx="85">
                  <c:v>383.81515810980522</c:v>
                </c:pt>
                <c:pt idx="86">
                  <c:v>388.61194014250259</c:v>
                </c:pt>
                <c:pt idx="87">
                  <c:v>393.41464622434796</c:v>
                </c:pt>
                <c:pt idx="88">
                  <c:v>398.22322673030584</c:v>
                </c:pt>
                <c:pt idx="89">
                  <c:v>403.03763284272009</c:v>
                </c:pt>
                <c:pt idx="90">
                  <c:v>407.85781653515926</c:v>
                </c:pt>
                <c:pt idx="91">
                  <c:v>412.68373055642144</c:v>
                </c:pt>
                <c:pt idx="92">
                  <c:v>417.51532841472704</c:v>
                </c:pt>
                <c:pt idx="93">
                  <c:v>422.35256436212325</c:v>
                </c:pt>
                <c:pt idx="94">
                  <c:v>427.19539337911721</c:v>
                </c:pt>
                <c:pt idx="95">
                  <c:v>432.04377115955498</c:v>
                </c:pt>
                <c:pt idx="96">
                  <c:v>436.89765409575784</c:v>
                </c:pt>
                <c:pt idx="97">
                  <c:v>441.7569992639248</c:v>
                </c:pt>
                <c:pt idx="98">
                  <c:v>446.62176440981142</c:v>
                </c:pt>
                <c:pt idx="99">
                  <c:v>451.49190793468608</c:v>
                </c:pt>
                <c:pt idx="100">
                  <c:v>456.36738888157066</c:v>
                </c:pt>
                <c:pt idx="101">
                  <c:v>461.24816692176631</c:v>
                </c:pt>
                <c:pt idx="102">
                  <c:v>466.13420234166659</c:v>
                </c:pt>
                <c:pt idx="103">
                  <c:v>471.02545602985441</c:v>
                </c:pt>
                <c:pt idx="104">
                  <c:v>475.92188946448624</c:v>
                </c:pt>
                <c:pt idx="105">
                  <c:v>480.82346470095803</c:v>
                </c:pt>
                <c:pt idx="106">
                  <c:v>485.73014435985181</c:v>
                </c:pt>
                <c:pt idx="107">
                  <c:v>490.64189161515895</c:v>
                </c:pt>
                <c:pt idx="108">
                  <c:v>495.5586701827782</c:v>
                </c:pt>
                <c:pt idx="109">
                  <c:v>500.48044430928201</c:v>
                </c:pt>
                <c:pt idx="110">
                  <c:v>505.40717876094834</c:v>
                </c:pt>
                <c:pt idx="111">
                  <c:v>510.33883881305303</c:v>
                </c:pt>
                <c:pt idx="112">
                  <c:v>515.27539023941767</c:v>
                </c:pt>
                <c:pt idx="113">
                  <c:v>520.21679930220785</c:v>
                </c:pt>
                <c:pt idx="114">
                  <c:v>525.16303274197844</c:v>
                </c:pt>
                <c:pt idx="115">
                  <c:v>530.11405776795652</c:v>
                </c:pt>
                <c:pt idx="116">
                  <c:v>535.06984204856121</c:v>
                </c:pt>
                <c:pt idx="117">
                  <c:v>540.03035370215332</c:v>
                </c:pt>
                <c:pt idx="118">
                  <c:v>544.99556128800816</c:v>
                </c:pt>
                <c:pt idx="119">
                  <c:v>549.96543379750835</c:v>
                </c:pt>
                <c:pt idx="120">
                  <c:v>554.93994064555091</c:v>
                </c:pt>
                <c:pt idx="121">
                  <c:v>559.91905166216168</c:v>
                </c:pt>
                <c:pt idx="122">
                  <c:v>564.90273708431437</c:v>
                </c:pt>
                <c:pt idx="123">
                  <c:v>569.89096754794718</c:v>
                </c:pt>
                <c:pt idx="124">
                  <c:v>574.88371408017429</c:v>
                </c:pt>
                <c:pt idx="125">
                  <c:v>579.88094809168308</c:v>
                </c:pt>
                <c:pt idx="126">
                  <c:v>584.88264136931775</c:v>
                </c:pt>
                <c:pt idx="127">
                  <c:v>589.88876606883969</c:v>
                </c:pt>
                <c:pt idx="128">
                  <c:v>594.89929470786285</c:v>
                </c:pt>
                <c:pt idx="129">
                  <c:v>599.91420015895926</c:v>
                </c:pt>
                <c:pt idx="130">
                  <c:v>604.93345564292758</c:v>
                </c:pt>
                <c:pt idx="131">
                  <c:v>609.95703472222408</c:v>
                </c:pt>
                <c:pt idx="132">
                  <c:v>614.98491129455067</c:v>
                </c:pt>
                <c:pt idx="133">
                  <c:v>620.01705958659136</c:v>
                </c:pt>
                <c:pt idx="134">
                  <c:v>625.05345414790236</c:v>
                </c:pt>
                <c:pt idx="135">
                  <c:v>630.09406984494217</c:v>
                </c:pt>
                <c:pt idx="136">
                  <c:v>635.13888185524331</c:v>
                </c:pt>
                <c:pt idx="137">
                  <c:v>640.18786566172139</c:v>
                </c:pt>
                <c:pt idx="138">
                  <c:v>645.24099704711546</c:v>
                </c:pt>
                <c:pt idx="139">
                  <c:v>650.29825208855937</c:v>
                </c:pt>
                <c:pt idx="140">
                  <c:v>655.35960715227839</c:v>
                </c:pt>
                <c:pt idx="141">
                  <c:v>660.42503888840713</c:v>
                </c:pt>
                <c:pt idx="142">
                  <c:v>665.49452422592833</c:v>
                </c:pt>
                <c:pt idx="143">
                  <c:v>670.56804036772792</c:v>
                </c:pt>
                <c:pt idx="144">
                  <c:v>675.64556478576003</c:v>
                </c:pt>
                <c:pt idx="145">
                  <c:v>680.72707521632606</c:v>
                </c:pt>
                <c:pt idx="146">
                  <c:v>685.81254965545725</c:v>
                </c:pt>
                <c:pt idx="147">
                  <c:v>690.90196635440282</c:v>
                </c:pt>
                <c:pt idx="148">
                  <c:v>695.99530381522004</c:v>
                </c:pt>
                <c:pt idx="149">
                  <c:v>701.09254078646154</c:v>
                </c:pt>
                <c:pt idx="150">
                  <c:v>706.19365625895932</c:v>
                </c:pt>
                <c:pt idx="151">
                  <c:v>711.29862946170306</c:v>
                </c:pt>
                <c:pt idx="152">
                  <c:v>716.40743985780796</c:v>
                </c:pt>
                <c:pt idx="153">
                  <c:v>721.52006714057177</c:v>
                </c:pt>
                <c:pt idx="154">
                  <c:v>726.6364912296192</c:v>
                </c:pt>
                <c:pt idx="155">
                  <c:v>731.75669226712921</c:v>
                </c:pt>
                <c:pt idx="156">
                  <c:v>736.90659743538311</c:v>
                </c:pt>
                <c:pt idx="157">
                  <c:v>742.03438789038773</c:v>
                </c:pt>
                <c:pt idx="158">
                  <c:v>747.16589667951791</c:v>
                </c:pt>
                <c:pt idx="159">
                  <c:v>752.30110480269866</c:v>
                </c:pt>
                <c:pt idx="160">
                  <c:v>757.43999346466956</c:v>
                </c:pt>
                <c:pt idx="161">
                  <c:v>762.5825440716734</c:v>
                </c:pt>
                <c:pt idx="162">
                  <c:v>767.72873822821634</c:v>
                </c:pt>
                <c:pt idx="163">
                  <c:v>772.87855773389663</c:v>
                </c:pt>
                <c:pt idx="164">
                  <c:v>778.03198458029749</c:v>
                </c:pt>
                <c:pt idx="165">
                  <c:v>783.18900094794787</c:v>
                </c:pt>
                <c:pt idx="166">
                  <c:v>788.34958920334304</c:v>
                </c:pt>
                <c:pt idx="167">
                  <c:v>793.51373189602941</c:v>
                </c:pt>
                <c:pt idx="168">
                  <c:v>798.68141175574829</c:v>
                </c:pt>
                <c:pt idx="169">
                  <c:v>803.85261168963746</c:v>
                </c:pt>
                <c:pt idx="170">
                  <c:v>809.02731477949169</c:v>
                </c:pt>
                <c:pt idx="171">
                  <c:v>814.20550427907585</c:v>
                </c:pt>
                <c:pt idx="172">
                  <c:v>819.38716361149625</c:v>
                </c:pt>
                <c:pt idx="173">
                  <c:v>824.57227636662117</c:v>
                </c:pt>
                <c:pt idx="174">
                  <c:v>829.76082629855512</c:v>
                </c:pt>
                <c:pt idx="175">
                  <c:v>834.9527973231634</c:v>
                </c:pt>
                <c:pt idx="176">
                  <c:v>840.14817351564511</c:v>
                </c:pt>
                <c:pt idx="177">
                  <c:v>845.34693910815406</c:v>
                </c:pt>
                <c:pt idx="178">
                  <c:v>850.54907848746723</c:v>
                </c:pt>
                <c:pt idx="179">
                  <c:v>855.75457619269844</c:v>
                </c:pt>
                <c:pt idx="180">
                  <c:v>860.96341691305668</c:v>
                </c:pt>
                <c:pt idx="181">
                  <c:v>866.17558548564762</c:v>
                </c:pt>
                <c:pt idx="182">
                  <c:v>871.39106689331857</c:v>
                </c:pt>
                <c:pt idx="183">
                  <c:v>876.60984626254344</c:v>
                </c:pt>
                <c:pt idx="184">
                  <c:v>881.8319088613498</c:v>
                </c:pt>
                <c:pt idx="185">
                  <c:v>887.05724009728397</c:v>
                </c:pt>
                <c:pt idx="186">
                  <c:v>892.28582551541717</c:v>
                </c:pt>
                <c:pt idx="187">
                  <c:v>897.51765079638506</c:v>
                </c:pt>
                <c:pt idx="188">
                  <c:v>902.75270175446894</c:v>
                </c:pt>
                <c:pt idx="189">
                  <c:v>907.99096433571003</c:v>
                </c:pt>
                <c:pt idx="190">
                  <c:v>913.23242461605992</c:v>
                </c:pt>
                <c:pt idx="191">
                  <c:v>918.47706879956559</c:v>
                </c:pt>
                <c:pt idx="192">
                  <c:v>923.72488321658557</c:v>
                </c:pt>
                <c:pt idx="193">
                  <c:v>928.97585432204426</c:v>
                </c:pt>
                <c:pt idx="194">
                  <c:v>934.22996869371184</c:v>
                </c:pt>
                <c:pt idx="195">
                  <c:v>939.48721303052105</c:v>
                </c:pt>
                <c:pt idx="196">
                  <c:v>944.74757415091074</c:v>
                </c:pt>
                <c:pt idx="197">
                  <c:v>950.01103899120153</c:v>
                </c:pt>
                <c:pt idx="198">
                  <c:v>955.27759460400068</c:v>
                </c:pt>
                <c:pt idx="199">
                  <c:v>960.54722815663331</c:v>
                </c:pt>
                <c:pt idx="200">
                  <c:v>965.81992692960603</c:v>
                </c:pt>
                <c:pt idx="201">
                  <c:v>971.09567831509219</c:v>
                </c:pt>
                <c:pt idx="202">
                  <c:v>976.37446981545031</c:v>
                </c:pt>
                <c:pt idx="203">
                  <c:v>981.65628904176253</c:v>
                </c:pt>
                <c:pt idx="204">
                  <c:v>986.9411237124034</c:v>
                </c:pt>
                <c:pt idx="205">
                  <c:v>992.22896165163149</c:v>
                </c:pt>
                <c:pt idx="206">
                  <c:v>997.5197907882058</c:v>
                </c:pt>
                <c:pt idx="207">
                  <c:v>1002.8135991540264</c:v>
                </c:pt>
                <c:pt idx="208">
                  <c:v>1008.110374882799</c:v>
                </c:pt>
                <c:pt idx="209">
                  <c:v>1013.4101062087215</c:v>
                </c:pt>
                <c:pt idx="210">
                  <c:v>1018.7127814651938</c:v>
                </c:pt>
                <c:pt idx="211">
                  <c:v>1024.0183890835492</c:v>
                </c:pt>
                <c:pt idx="212">
                  <c:v>1029.3269175918083</c:v>
                </c:pt>
                <c:pt idx="213">
                  <c:v>1034.6383556134519</c:v>
                </c:pt>
                <c:pt idx="214">
                  <c:v>1039.9526918662182</c:v>
                </c:pt>
                <c:pt idx="215">
                  <c:v>1045.2699151609152</c:v>
                </c:pt>
                <c:pt idx="216">
                  <c:v>1050.5900144002578</c:v>
                </c:pt>
                <c:pt idx="217">
                  <c:v>1055.9129785777216</c:v>
                </c:pt>
                <c:pt idx="218">
                  <c:v>1061.2387967764157</c:v>
                </c:pt>
                <c:pt idx="219">
                  <c:v>1066.5674581679757</c:v>
                </c:pt>
                <c:pt idx="220">
                  <c:v>1071.8989520114735</c:v>
                </c:pt>
                <c:pt idx="221">
                  <c:v>1077.2332676523447</c:v>
                </c:pt>
                <c:pt idx="222">
                  <c:v>1082.5703945213349</c:v>
                </c:pt>
                <c:pt idx="223">
                  <c:v>1087.910322133464</c:v>
                </c:pt>
                <c:pt idx="224">
                  <c:v>1093.2530400870021</c:v>
                </c:pt>
                <c:pt idx="225">
                  <c:v>1098.5985380624688</c:v>
                </c:pt>
                <c:pt idx="226">
                  <c:v>1103.9468058216428</c:v>
                </c:pt>
                <c:pt idx="227">
                  <c:v>1109.2978332065927</c:v>
                </c:pt>
                <c:pt idx="228">
                  <c:v>1114.6516101387174</c:v>
                </c:pt>
                <c:pt idx="229">
                  <c:v>1120.0081266178076</c:v>
                </c:pt>
                <c:pt idx="230">
                  <c:v>1125.3673727211155</c:v>
                </c:pt>
                <c:pt idx="231">
                  <c:v>1130.7293386024487</c:v>
                </c:pt>
                <c:pt idx="232">
                  <c:v>1136.0940144912654</c:v>
                </c:pt>
                <c:pt idx="233">
                  <c:v>1141.4613906917971</c:v>
                </c:pt>
                <c:pt idx="234">
                  <c:v>1146.8314575821755</c:v>
                </c:pt>
                <c:pt idx="235">
                  <c:v>1152.2042056135772</c:v>
                </c:pt>
                <c:pt idx="236">
                  <c:v>1157.5796253093802</c:v>
                </c:pt>
                <c:pt idx="237">
                  <c:v>1163.0949572643342</c:v>
                </c:pt>
                <c:pt idx="238">
                  <c:v>1168.7266437666142</c:v>
                </c:pt>
                <c:pt idx="239">
                  <c:v>1174.4349926026762</c:v>
                </c:pt>
                <c:pt idx="240">
                  <c:v>1180.2058336850939</c:v>
                </c:pt>
                <c:pt idx="241">
                  <c:v>1186.0309736727916</c:v>
                </c:pt>
                <c:pt idx="242">
                  <c:v>1191.9048814398495</c:v>
                </c:pt>
                <c:pt idx="243">
                  <c:v>1197.8234941037492</c:v>
                </c:pt>
                <c:pt idx="244">
                  <c:v>1203.783661763279</c:v>
                </c:pt>
                <c:pt idx="245">
                  <c:v>1209.7828485199768</c:v>
                </c:pt>
                <c:pt idx="246">
                  <c:v>1215.8189550409945</c:v>
                </c:pt>
                <c:pt idx="247">
                  <c:v>1221.8902056203524</c:v>
                </c:pt>
                <c:pt idx="248">
                  <c:v>1227.9950723807335</c:v>
                </c:pt>
                <c:pt idx="249">
                  <c:v>1234.1322222389874</c:v>
                </c:pt>
                <c:pt idx="250">
                  <c:v>1240.3004785297369</c:v>
                </c:pt>
                <c:pt idx="251">
                  <c:v>1246.498792454038</c:v>
                </c:pt>
                <c:pt idx="252">
                  <c:v>1252.7262213365143</c:v>
                </c:pt>
                <c:pt idx="253">
                  <c:v>1258.9819117349575</c:v>
                </c:pt>
                <c:pt idx="254">
                  <c:v>1265.2650860924932</c:v>
                </c:pt>
                <c:pt idx="255">
                  <c:v>1271.5750320303819</c:v>
                </c:pt>
                <c:pt idx="256">
                  <c:v>1277.911093645333</c:v>
                </c:pt>
                <c:pt idx="257">
                  <c:v>1284.2726643530641</c:v>
                </c:pt>
                <c:pt idx="258">
                  <c:v>1290.6591809417778</c:v>
                </c:pt>
                <c:pt idx="259">
                  <c:v>1297.0701185845326</c:v>
                </c:pt>
                <c:pt idx="260">
                  <c:v>1303.5049866203774</c:v>
                </c:pt>
                <c:pt idx="261">
                  <c:v>1309.9633249582548</c:v>
                </c:pt>
                <c:pt idx="262">
                  <c:v>1316.4447009902146</c:v>
                </c:pt>
                <c:pt idx="263">
                  <c:v>1322.9487069247564</c:v>
                </c:pt>
                <c:pt idx="264">
                  <c:v>1329.4749574695095</c:v>
                </c:pt>
                <c:pt idx="265">
                  <c:v>1336.023087806504</c:v>
                </c:pt>
                <c:pt idx="266">
                  <c:v>1342.5927518141718</c:v>
                </c:pt>
                <c:pt idx="267">
                  <c:v>1349.1836204987012</c:v>
                </c:pt>
                <c:pt idx="268">
                  <c:v>1355.7953806040748</c:v>
                </c:pt>
                <c:pt idx="269">
                  <c:v>1362.4277333754301</c:v>
                </c:pt>
                <c:pt idx="270">
                  <c:v>1369.0803934546525</c:v>
                </c:pt>
                <c:pt idx="271">
                  <c:v>1375.7530878905563</c:v>
                </c:pt>
                <c:pt idx="272">
                  <c:v>1382.4455552487934</c:v>
                </c:pt>
                <c:pt idx="273">
                  <c:v>1389.1575448089347</c:v>
                </c:pt>
                <c:pt idx="274">
                  <c:v>1395.8888158380266</c:v>
                </c:pt>
                <c:pt idx="275">
                  <c:v>1402.6391369315168</c:v>
                </c:pt>
                <c:pt idx="276">
                  <c:v>1409.4082854137066</c:v>
                </c:pt>
                <c:pt idx="277">
                  <c:v>1416.196046790993</c:v>
                </c:pt>
                <c:pt idx="278">
                  <c:v>1423.0022142520634</c:v>
                </c:pt>
                <c:pt idx="279">
                  <c:v>1429.8265882099836</c:v>
                </c:pt>
                <c:pt idx="280">
                  <c:v>1436.6689758817631</c:v>
                </c:pt>
                <c:pt idx="281">
                  <c:v>1443.529190901543</c:v>
                </c:pt>
                <c:pt idx="282">
                  <c:v>1450.4070529640219</c:v>
                </c:pt>
                <c:pt idx="283">
                  <c:v>1457.3023874951491</c:v>
                </c:pt>
                <c:pt idx="284">
                  <c:v>1464.2150253474508</c:v>
                </c:pt>
                <c:pt idx="285">
                  <c:v>1471.1448025176792</c:v>
                </c:pt>
                <c:pt idx="286">
                  <c:v>1478.0915598847093</c:v>
                </c:pt>
                <c:pt idx="287">
                  <c:v>1485.0551429658633</c:v>
                </c:pt>
                <c:pt idx="288">
                  <c:v>1492.035401690023</c:v>
                </c:pt>
                <c:pt idx="289">
                  <c:v>1499.0321901860696</c:v>
                </c:pt>
                <c:pt idx="290">
                  <c:v>1506.0453665853429</c:v>
                </c:pt>
                <c:pt idx="291">
                  <c:v>1513.0747928369524</c:v>
                </c:pt>
                <c:pt idx="292">
                  <c:v>1520.1203345348717</c:v>
                </c:pt>
                <c:pt idx="293">
                  <c:v>1527.1818607558798</c:v>
                </c:pt>
                <c:pt idx="294">
                  <c:v>1534.2592439074742</c:v>
                </c:pt>
                <c:pt idx="295">
                  <c:v>1541.3523595849927</c:v>
                </c:pt>
                <c:pt idx="296">
                  <c:v>1548.461086437226</c:v>
                </c:pt>
                <c:pt idx="297">
                  <c:v>1555.5853060398945</c:v>
                </c:pt>
                <c:pt idx="298">
                  <c:v>1562.7249027763935</c:v>
                </c:pt>
                <c:pt idx="299">
                  <c:v>1569.8797637252874</c:v>
                </c:pt>
                <c:pt idx="300">
                  <c:v>1577.0497785540654</c:v>
                </c:pt>
                <c:pt idx="301">
                  <c:v>1584.2348394187159</c:v>
                </c:pt>
                <c:pt idx="302">
                  <c:v>1591.4348408687163</c:v>
                </c:pt>
                <c:pt idx="303">
                  <c:v>1598.649679757068</c:v>
                </c:pt>
                <c:pt idx="304">
                  <c:v>1605.8792551550364</c:v>
                </c:pt>
                <c:pt idx="305">
                  <c:v>1613.1234682712816</c:v>
                </c:pt>
                <c:pt idx="306">
                  <c:v>1620.3822223750992</c:v>
                </c:pt>
                <c:pt idx="307">
                  <c:v>1627.6554227234935</c:v>
                </c:pt>
                <c:pt idx="308">
                  <c:v>1634.9429764918557</c:v>
                </c:pt>
                <c:pt idx="309">
                  <c:v>1642.2447927080052</c:v>
                </c:pt>
                <c:pt idx="310">
                  <c:v>1649.5607821894</c:v>
                </c:pt>
                <c:pt idx="311">
                  <c:v>1656.8908574833108</c:v>
                </c:pt>
                <c:pt idx="312">
                  <c:v>1664.2349328097907</c:v>
                </c:pt>
                <c:pt idx="313">
                  <c:v>1671.5929240072683</c:v>
                </c:pt>
                <c:pt idx="314">
                  <c:v>1678.9647484806114</c:v>
                </c:pt>
                <c:pt idx="315">
                  <c:v>1686.3503251515217</c:v>
                </c:pt>
                <c:pt idx="316">
                  <c:v>1693.7495744111218</c:v>
                </c:pt>
                <c:pt idx="317">
                  <c:v>1701.1624180746187</c:v>
                </c:pt>
                <c:pt idx="318">
                  <c:v>1708.5887793379197</c:v>
                </c:pt>
                <c:pt idx="319">
                  <c:v>1716.0285827360974</c:v>
                </c:pt>
                <c:pt idx="320">
                  <c:v>1723.4817541036064</c:v>
                </c:pt>
                <c:pt idx="321">
                  <c:v>1730.9482205361523</c:v>
                </c:pt>
                <c:pt idx="322">
                  <c:v>1738.4279103541294</c:v>
                </c:pt>
                <c:pt idx="323">
                  <c:v>1745.9207530675394</c:v>
                </c:pt>
                <c:pt idx="324">
                  <c:v>1753.4266793423201</c:v>
                </c:pt>
                <c:pt idx="325">
                  <c:v>1760.9456209680152</c:v>
                </c:pt>
                <c:pt idx="326">
                  <c:v>1768.4775108267008</c:v>
                </c:pt>
                <c:pt idx="327">
                  <c:v>1776.0222828631286</c:v>
                </c:pt>
                <c:pt idx="328">
                  <c:v>1783.5798720560038</c:v>
                </c:pt>
                <c:pt idx="329">
                  <c:v>1791.1502143903622</c:v>
                </c:pt>
                <c:pt idx="330">
                  <c:v>1798.7332468309721</c:v>
                </c:pt>
                <c:pt idx="331">
                  <c:v>1806.3289072967343</c:v>
                </c:pt>
                <c:pt idx="332">
                  <c:v>1813.9371346360103</c:v>
                </c:pt>
                <c:pt idx="333">
                  <c:v>1821.5578686028596</c:v>
                </c:pt>
                <c:pt idx="334">
                  <c:v>1829.1910498341156</c:v>
                </c:pt>
                <c:pt idx="335">
                  <c:v>1836.836619827292</c:v>
                </c:pt>
                <c:pt idx="336">
                  <c:v>1844.4945209192533</c:v>
                </c:pt>
                <c:pt idx="337">
                  <c:v>1852.16469626564</c:v>
                </c:pt>
                <c:pt idx="338">
                  <c:v>1859.8470898209928</c:v>
                </c:pt>
                <c:pt idx="339">
                  <c:v>1867.5416463195634</c:v>
                </c:pt>
                <c:pt idx="340">
                  <c:v>1875.2483112567695</c:v>
                </c:pt>
                <c:pt idx="341">
                  <c:v>1882.9670308712734</c:v>
                </c:pt>
                <c:pt idx="342">
                  <c:v>1890.697752127651</c:v>
                </c:pt>
                <c:pt idx="343">
                  <c:v>1898.4404226996342</c:v>
                </c:pt>
                <c:pt idx="344">
                  <c:v>1906.194990953893</c:v>
                </c:pt>
                <c:pt idx="345">
                  <c:v>1913.9614059343467</c:v>
                </c:pt>
                <c:pt idx="346">
                  <c:v>1921.739617346967</c:v>
                </c:pt>
                <c:pt idx="347">
                  <c:v>1929.5295755450707</c:v>
                </c:pt>
                <c:pt idx="348">
                  <c:v>1937.331231515067</c:v>
                </c:pt>
                <c:pt idx="349">
                  <c:v>1945.1445368626464</c:v>
                </c:pt>
                <c:pt idx="350">
                  <c:v>1952.9694437994008</c:v>
                </c:pt>
                <c:pt idx="351">
                  <c:v>1960.8059051298439</c:v>
                </c:pt>
                <c:pt idx="352">
                  <c:v>1968.6538742388302</c:v>
                </c:pt>
                <c:pt idx="353">
                  <c:v>1976.5133050793436</c:v>
                </c:pt>
                <c:pt idx="354">
                  <c:v>1984.3841521606569</c:v>
                </c:pt>
                <c:pt idx="355">
                  <c:v>1992.2663705368309</c:v>
                </c:pt>
                <c:pt idx="356">
                  <c:v>2000.1599157955579</c:v>
                </c:pt>
                <c:pt idx="357">
                  <c:v>2008.0647440473192</c:v>
                </c:pt>
                <c:pt idx="358">
                  <c:v>2015.9808119148606</c:v>
                </c:pt>
                <c:pt idx="359">
                  <c:v>2023.9080765229617</c:v>
                </c:pt>
                <c:pt idx="360">
                  <c:v>2031.8464954885003</c:v>
                </c:pt>
                <c:pt idx="361">
                  <c:v>2039.796026910785</c:v>
                </c:pt>
                <c:pt idx="362">
                  <c:v>2047.756629362168</c:v>
                </c:pt>
                <c:pt idx="363">
                  <c:v>2055.728261878904</c:v>
                </c:pt>
                <c:pt idx="364">
                  <c:v>2063.7108839522693</c:v>
                </c:pt>
                <c:pt idx="365">
                  <c:v>2071.7044555199132</c:v>
                </c:pt>
                <c:pt idx="366">
                  <c:v>2079.7089369574473</c:v>
                </c:pt>
                <c:pt idx="367">
                  <c:v>2087.7242890702546</c:v>
                </c:pt>
                <c:pt idx="368">
                  <c:v>2095.750473085518</c:v>
                </c:pt>
                <c:pt idx="369">
                  <c:v>2103.7874506444591</c:v>
                </c:pt>
                <c:pt idx="370">
                  <c:v>2111.8351837947744</c:v>
                </c:pt>
                <c:pt idx="371">
                  <c:v>2119.8936349832702</c:v>
                </c:pt>
                <c:pt idx="372">
                  <c:v>2127.962767048688</c:v>
                </c:pt>
                <c:pt idx="373">
                  <c:v>2136.0425432147067</c:v>
                </c:pt>
                <c:pt idx="374">
                  <c:v>2144.1329270831266</c:v>
                </c:pt>
                <c:pt idx="375">
                  <c:v>2152.2338826272257</c:v>
                </c:pt>
                <c:pt idx="376">
                  <c:v>2160.3453741852727</c:v>
                </c:pt>
                <c:pt idx="377">
                  <c:v>2168.4673664542111</c:v>
                </c:pt>
                <c:pt idx="378">
                  <c:v>2176.5998244834873</c:v>
                </c:pt>
                <c:pt idx="379">
                  <c:v>2184.7427136690408</c:v>
                </c:pt>
                <c:pt idx="380">
                  <c:v>2192.8959997474294</c:v>
                </c:pt>
                <c:pt idx="381">
                  <c:v>2201.0596487901007</c:v>
                </c:pt>
                <c:pt idx="382">
                  <c:v>2209.2336271977974</c:v>
                </c:pt>
                <c:pt idx="383">
                  <c:v>2217.4179016950998</c:v>
                </c:pt>
                <c:pt idx="384">
                  <c:v>2225.6124393250871</c:v>
                </c:pt>
                <c:pt idx="385">
                  <c:v>2233.8172074441363</c:v>
                </c:pt>
                <c:pt idx="386">
                  <c:v>2242.0321737168301</c:v>
                </c:pt>
                <c:pt idx="387">
                  <c:v>2250.2573061109865</c:v>
                </c:pt>
                <c:pt idx="388">
                  <c:v>2258.4925728928033</c:v>
                </c:pt>
                <c:pt idx="389">
                  <c:v>2266.7379426221119</c:v>
                </c:pt>
                <c:pt idx="390">
                  <c:v>2274.993384147735</c:v>
                </c:pt>
                <c:pt idx="391">
                  <c:v>2283.2588666029542</c:v>
                </c:pt>
                <c:pt idx="392">
                  <c:v>2291.5343594010728</c:v>
                </c:pt>
                <c:pt idx="393">
                  <c:v>2299.8198322310818</c:v>
                </c:pt>
                <c:pt idx="394">
                  <c:v>2308.1152550534134</c:v>
                </c:pt>
                <c:pt idx="395">
                  <c:v>2316.4205980957977</c:v>
                </c:pt>
                <c:pt idx="396">
                  <c:v>2324.7358318492002</c:v>
                </c:pt>
                <c:pt idx="397">
                  <c:v>2333.0609270638506</c:v>
                </c:pt>
                <c:pt idx="398">
                  <c:v>2341.3958547453581</c:v>
                </c:pt>
                <c:pt idx="399">
                  <c:v>2349.7405861509055</c:v>
                </c:pt>
                <c:pt idx="400">
                  <c:v>2358.0950927855233</c:v>
                </c:pt>
                <c:pt idx="401">
                  <c:v>2366.4593463984506</c:v>
                </c:pt>
                <c:pt idx="402">
                  <c:v>2374.8333189795603</c:v>
                </c:pt>
                <c:pt idx="403">
                  <c:v>2383.216982755866</c:v>
                </c:pt>
                <c:pt idx="404">
                  <c:v>2391.6103101880967</c:v>
                </c:pt>
                <c:pt idx="405">
                  <c:v>2400.0132739673463</c:v>
                </c:pt>
                <c:pt idx="406">
                  <c:v>2408.4258470117879</c:v>
                </c:pt>
                <c:pt idx="407">
                  <c:v>2416.8480024634532</c:v>
                </c:pt>
                <c:pt idx="408">
                  <c:v>2425.27971368508</c:v>
                </c:pt>
                <c:pt idx="409">
                  <c:v>2433.7209542570235</c:v>
                </c:pt>
                <c:pt idx="410">
                  <c:v>2442.1716979742241</c:v>
                </c:pt>
                <c:pt idx="411">
                  <c:v>2450.6319188432412</c:v>
                </c:pt>
                <c:pt idx="412">
                  <c:v>2459.1015910793349</c:v>
                </c:pt>
                <c:pt idx="413">
                  <c:v>2467.5806891036218</c:v>
                </c:pt>
                <c:pt idx="414">
                  <c:v>2476.0691875402699</c:v>
                </c:pt>
                <c:pt idx="415">
                  <c:v>2484.5670612137546</c:v>
                </c:pt>
                <c:pt idx="416">
                  <c:v>2493.0742851461655</c:v>
                </c:pt>
                <c:pt idx="417">
                  <c:v>2501.5908345545695</c:v>
                </c:pt>
                <c:pt idx="418">
                  <c:v>2510.1166848484172</c:v>
                </c:pt>
                <c:pt idx="419">
                  <c:v>2518.6518116269999</c:v>
                </c:pt>
                <c:pt idx="420">
                  <c:v>2527.1961906769575</c:v>
                </c:pt>
                <c:pt idx="421">
                  <c:v>2535.7497979698314</c:v>
                </c:pt>
                <c:pt idx="422">
                  <c:v>2544.3126096596607</c:v>
                </c:pt>
                <c:pt idx="423">
                  <c:v>2552.8846020806236</c:v>
                </c:pt>
                <c:pt idx="424">
                  <c:v>2561.4657517447267</c:v>
                </c:pt>
                <c:pt idx="425">
                  <c:v>2570.0560353395249</c:v>
                </c:pt>
                <c:pt idx="426">
                  <c:v>2578.6554297258995</c:v>
                </c:pt>
                <c:pt idx="427">
                  <c:v>2587.263911935861</c:v>
                </c:pt>
                <c:pt idx="428">
                  <c:v>2595.8814591704004</c:v>
                </c:pt>
                <c:pt idx="429">
                  <c:v>2604.5080487973705</c:v>
                </c:pt>
                <c:pt idx="430">
                  <c:v>2613.143658349421</c:v>
                </c:pt>
                <c:pt idx="431">
                  <c:v>2621.7882655219473</c:v>
                </c:pt>
                <c:pt idx="432">
                  <c:v>2630.4418481710982</c:v>
                </c:pt>
                <c:pt idx="433">
                  <c:v>2639.1043843117959</c:v>
                </c:pt>
                <c:pt idx="434">
                  <c:v>2647.7758521158144</c:v>
                </c:pt>
                <c:pt idx="435">
                  <c:v>2656.4562299098711</c:v>
                </c:pt>
                <c:pt idx="436">
                  <c:v>2665.1454961737622</c:v>
                </c:pt>
                <c:pt idx="437">
                  <c:v>2673.8436295385231</c:v>
                </c:pt>
                <c:pt idx="438">
                  <c:v>2682.5506087846279</c:v>
                </c:pt>
                <c:pt idx="439">
                  <c:v>2691.2664128402157</c:v>
                </c:pt>
                <c:pt idx="440">
                  <c:v>2699.9910207793432</c:v>
                </c:pt>
                <c:pt idx="441">
                  <c:v>2708.7244118202707</c:v>
                </c:pt>
                <c:pt idx="442">
                  <c:v>2717.466565323778</c:v>
                </c:pt>
                <c:pt idx="443">
                  <c:v>2726.2174607915049</c:v>
                </c:pt>
                <c:pt idx="444">
                  <c:v>2734.9770778643197</c:v>
                </c:pt>
                <c:pt idx="445">
                  <c:v>2743.7453963207158</c:v>
                </c:pt>
                <c:pt idx="446">
                  <c:v>2752.5223960752346</c:v>
                </c:pt>
                <c:pt idx="447">
                  <c:v>2761.3080571769119</c:v>
                </c:pt>
                <c:pt idx="448">
                  <c:v>2770.1023598077527</c:v>
                </c:pt>
                <c:pt idx="449">
                  <c:v>2778.9052842812275</c:v>
                </c:pt>
                <c:pt idx="450">
                  <c:v>2787.7168110407956</c:v>
                </c:pt>
                <c:pt idx="451">
                  <c:v>2796.5369206584469</c:v>
                </c:pt>
                <c:pt idx="452">
                  <c:v>2805.3655938332768</c:v>
                </c:pt>
                <c:pt idx="453">
                  <c:v>2814.2028113900719</c:v>
                </c:pt>
                <c:pt idx="454">
                  <c:v>2823.0485542779229</c:v>
                </c:pt>
                <c:pt idx="455">
                  <c:v>2831.9028035688652</c:v>
                </c:pt>
                <c:pt idx="456">
                  <c:v>2840.7655404565303</c:v>
                </c:pt>
                <c:pt idx="457">
                  <c:v>2849.6367462548242</c:v>
                </c:pt>
                <c:pt idx="458">
                  <c:v>2858.5164023966254</c:v>
                </c:pt>
                <c:pt idx="459">
                  <c:v>2867.4044904325019</c:v>
                </c:pt>
                <c:pt idx="460">
                  <c:v>2876.3009920294512</c:v>
                </c:pt>
                <c:pt idx="461">
                  <c:v>2885.2058889696527</c:v>
                </c:pt>
                <c:pt idx="462">
                  <c:v>2894.1191631492438</c:v>
                </c:pt>
                <c:pt idx="463">
                  <c:v>2903.0407965771183</c:v>
                </c:pt>
                <c:pt idx="464">
                  <c:v>2911.9707713737325</c:v>
                </c:pt>
                <c:pt idx="465">
                  <c:v>2920.9090697699385</c:v>
                </c:pt>
                <c:pt idx="466">
                  <c:v>2929.8556741058292</c:v>
                </c:pt>
                <c:pt idx="467">
                  <c:v>2938.8105668296043</c:v>
                </c:pt>
                <c:pt idx="468">
                  <c:v>2947.7737304964521</c:v>
                </c:pt>
                <c:pt idx="469">
                  <c:v>2956.7451477674426</c:v>
                </c:pt>
                <c:pt idx="470">
                  <c:v>2965.7248014084466</c:v>
                </c:pt>
                <c:pt idx="471">
                  <c:v>2974.7126742890609</c:v>
                </c:pt>
                <c:pt idx="472">
                  <c:v>2983.708749381557</c:v>
                </c:pt>
                <c:pt idx="473">
                  <c:v>2992.7130097598379</c:v>
                </c:pt>
                <c:pt idx="474">
                  <c:v>3001.7254385984143</c:v>
                </c:pt>
                <c:pt idx="475">
                  <c:v>3010.7460191713944</c:v>
                </c:pt>
                <c:pt idx="476">
                  <c:v>3019.774734851489</c:v>
                </c:pt>
                <c:pt idx="477">
                  <c:v>3028.8115691090306</c:v>
                </c:pt>
                <c:pt idx="478">
                  <c:v>3037.856505511003</c:v>
                </c:pt>
                <c:pt idx="479">
                  <c:v>3046.9095277200863</c:v>
                </c:pt>
                <c:pt idx="480">
                  <c:v>3055.9706194937207</c:v>
                </c:pt>
                <c:pt idx="481">
                  <c:v>3065.0397646831761</c:v>
                </c:pt>
                <c:pt idx="482">
                  <c:v>3074.1169472326374</c:v>
                </c:pt>
                <c:pt idx="483">
                  <c:v>3083.2021511783014</c:v>
                </c:pt>
                <c:pt idx="484">
                  <c:v>3092.2953606474866</c:v>
                </c:pt>
                <c:pt idx="485">
                  <c:v>3101.3965598577624</c:v>
                </c:pt>
                <c:pt idx="486">
                  <c:v>3110.5057331160751</c:v>
                </c:pt>
                <c:pt idx="487">
                  <c:v>3119.6228648178953</c:v>
                </c:pt>
                <c:pt idx="488">
                  <c:v>3128.7479394463817</c:v>
                </c:pt>
                <c:pt idx="489">
                  <c:v>3137.8809415715441</c:v>
                </c:pt>
                <c:pt idx="490">
                  <c:v>3147.0218558494298</c:v>
                </c:pt>
                <c:pt idx="491">
                  <c:v>3156.1706670213048</c:v>
                </c:pt>
                <c:pt idx="492">
                  <c:v>3165.3273599128702</c:v>
                </c:pt>
                <c:pt idx="493">
                  <c:v>3174.4919194334616</c:v>
                </c:pt>
                <c:pt idx="494">
                  <c:v>3183.6643305752814</c:v>
                </c:pt>
                <c:pt idx="495">
                  <c:v>3192.8445784126243</c:v>
                </c:pt>
                <c:pt idx="496">
                  <c:v>3202.0326481011293</c:v>
                </c:pt>
                <c:pt idx="497">
                  <c:v>3211.2285248770286</c:v>
                </c:pt>
                <c:pt idx="498">
                  <c:v>3220.4321940564073</c:v>
                </c:pt>
                <c:pt idx="499">
                  <c:v>3229.6436410344854</c:v>
                </c:pt>
                <c:pt idx="500">
                  <c:v>3238.8628512848886</c:v>
                </c:pt>
                <c:pt idx="501">
                  <c:v>3248.0898103589457</c:v>
                </c:pt>
                <c:pt idx="502">
                  <c:v>3257.3245038849918</c:v>
                </c:pt>
                <c:pt idx="503">
                  <c:v>3266.5669175676721</c:v>
                </c:pt>
                <c:pt idx="504">
                  <c:v>3275.8170371872593</c:v>
                </c:pt>
                <c:pt idx="505">
                  <c:v>3285.074848598987</c:v>
                </c:pt>
                <c:pt idx="506">
                  <c:v>3294.3403377323775</c:v>
                </c:pt>
                <c:pt idx="507">
                  <c:v>3303.613490590591</c:v>
                </c:pt>
                <c:pt idx="508">
                  <c:v>3312.8942932497725</c:v>
                </c:pt>
                <c:pt idx="509">
                  <c:v>3322.1827318584169</c:v>
                </c:pt>
                <c:pt idx="510">
                  <c:v>3331.4787926367321</c:v>
                </c:pt>
                <c:pt idx="511">
                  <c:v>3340.7824618760178</c:v>
                </c:pt>
                <c:pt idx="512">
                  <c:v>3350.0937259380476</c:v>
                </c:pt>
                <c:pt idx="513">
                  <c:v>3359.4125712544578</c:v>
                </c:pt>
                <c:pt idx="514">
                  <c:v>3368.7389843261517</c:v>
                </c:pt>
                <c:pt idx="515">
                  <c:v>3378.0729517227014</c:v>
                </c:pt>
                <c:pt idx="516">
                  <c:v>3387.4144600817567</c:v>
                </c:pt>
                <c:pt idx="517">
                  <c:v>3396.7634961084755</c:v>
                </c:pt>
                <c:pt idx="518">
                  <c:v>3406.1200465749412</c:v>
                </c:pt>
                <c:pt idx="519">
                  <c:v>3415.4840983196027</c:v>
                </c:pt>
                <c:pt idx="520">
                  <c:v>3424.8556382467095</c:v>
                </c:pt>
                <c:pt idx="521">
                  <c:v>3434.2346533257673</c:v>
                </c:pt>
                <c:pt idx="522">
                  <c:v>3443.6211305909865</c:v>
                </c:pt>
                <c:pt idx="523">
                  <c:v>3453.0150571407385</c:v>
                </c:pt>
                <c:pt idx="524">
                  <c:v>3462.4164201370359</c:v>
                </c:pt>
                <c:pt idx="525">
                  <c:v>3471.8252068049887</c:v>
                </c:pt>
                <c:pt idx="526">
                  <c:v>3481.2414044322995</c:v>
                </c:pt>
                <c:pt idx="527">
                  <c:v>3490.6650003687373</c:v>
                </c:pt>
                <c:pt idx="528">
                  <c:v>3500.0959820256367</c:v>
                </c:pt>
                <c:pt idx="529">
                  <c:v>3509.5343368753884</c:v>
                </c:pt>
                <c:pt idx="530">
                  <c:v>3518.9800524509469</c:v>
                </c:pt>
                <c:pt idx="531">
                  <c:v>3528.4331163453412</c:v>
                </c:pt>
                <c:pt idx="532">
                  <c:v>3537.8935162111829</c:v>
                </c:pt>
                <c:pt idx="533">
                  <c:v>3547.3612397601892</c:v>
                </c:pt>
                <c:pt idx="534">
                  <c:v>3556.8362747627116</c:v>
                </c:pt>
                <c:pt idx="535">
                  <c:v>3566.3186090472636</c:v>
                </c:pt>
                <c:pt idx="536">
                  <c:v>3575.8082305000567</c:v>
                </c:pt>
                <c:pt idx="537">
                  <c:v>3585.3051270645424</c:v>
                </c:pt>
                <c:pt idx="538">
                  <c:v>3594.8092867409587</c:v>
                </c:pt>
                <c:pt idx="539">
                  <c:v>3604.3206975858839</c:v>
                </c:pt>
                <c:pt idx="540">
                  <c:v>3613.839347711792</c:v>
                </c:pt>
                <c:pt idx="541">
                  <c:v>3623.3652252866118</c:v>
                </c:pt>
                <c:pt idx="542">
                  <c:v>3632.8983185332954</c:v>
                </c:pt>
                <c:pt idx="543">
                  <c:v>3642.4386157293916</c:v>
                </c:pt>
                <c:pt idx="544">
                  <c:v>3651.9861052066212</c:v>
                </c:pt>
                <c:pt idx="545">
                  <c:v>3661.5407753504542</c:v>
                </c:pt>
                <c:pt idx="546">
                  <c:v>3671.1026145996962</c:v>
                </c:pt>
                <c:pt idx="547">
                  <c:v>3680.6716114460842</c:v>
                </c:pt>
                <c:pt idx="548">
                  <c:v>3690.2477544338731</c:v>
                </c:pt>
                <c:pt idx="549">
                  <c:v>3699.8310321594381</c:v>
                </c:pt>
                <c:pt idx="550">
                  <c:v>3709.4214332708789</c:v>
                </c:pt>
                <c:pt idx="551">
                  <c:v>3719.0189464676214</c:v>
                </c:pt>
                <c:pt idx="552">
                  <c:v>3728.6235605000375</c:v>
                </c:pt>
                <c:pt idx="553">
                  <c:v>3738.2352641690559</c:v>
                </c:pt>
                <c:pt idx="554">
                  <c:v>3747.8540463257787</c:v>
                </c:pt>
                <c:pt idx="555">
                  <c:v>3757.4798958711135</c:v>
                </c:pt>
                <c:pt idx="556">
                  <c:v>3767.1128017553956</c:v>
                </c:pt>
                <c:pt idx="557">
                  <c:v>3776.75275297802</c:v>
                </c:pt>
                <c:pt idx="558">
                  <c:v>3786.399738587078</c:v>
                </c:pt>
                <c:pt idx="559">
                  <c:v>3796.0537476789968</c:v>
                </c:pt>
                <c:pt idx="560">
                  <c:v>3805.7147693981851</c:v>
                </c:pt>
                <c:pt idx="561">
                  <c:v>3815.3827929366753</c:v>
                </c:pt>
                <c:pt idx="562">
                  <c:v>3825.0578075337753</c:v>
                </c:pt>
                <c:pt idx="563">
                  <c:v>3834.7398024757272</c:v>
                </c:pt>
                <c:pt idx="564">
                  <c:v>3844.4287670953599</c:v>
                </c:pt>
                <c:pt idx="565">
                  <c:v>3854.1246907717541</c:v>
                </c:pt>
                <c:pt idx="566">
                  <c:v>3863.8275629299033</c:v>
                </c:pt>
                <c:pt idx="567">
                  <c:v>3873.5373730403853</c:v>
                </c:pt>
                <c:pt idx="568">
                  <c:v>3883.2541106190351</c:v>
                </c:pt>
                <c:pt idx="569">
                  <c:v>3892.9777652266152</c:v>
                </c:pt>
                <c:pt idx="570">
                  <c:v>3902.7083264684961</c:v>
                </c:pt>
                <c:pt idx="571">
                  <c:v>3912.4457839943411</c:v>
                </c:pt>
                <c:pt idx="572">
                  <c:v>3922.1901274977872</c:v>
                </c:pt>
                <c:pt idx="573">
                  <c:v>3931.9413467161321</c:v>
                </c:pt>
                <c:pt idx="574">
                  <c:v>3941.6994314300318</c:v>
                </c:pt>
                <c:pt idx="575">
                  <c:v>3951.4643714631857</c:v>
                </c:pt>
                <c:pt idx="576">
                  <c:v>3961.2361566820405</c:v>
                </c:pt>
                <c:pt idx="577">
                  <c:v>3971.0147769954888</c:v>
                </c:pt>
                <c:pt idx="578">
                  <c:v>3980.8002223545727</c:v>
                </c:pt>
                <c:pt idx="579">
                  <c:v>3990.5924827521867</c:v>
                </c:pt>
                <c:pt idx="580">
                  <c:v>4000.3915482227922</c:v>
                </c:pt>
                <c:pt idx="581">
                  <c:v>4010.1974088421221</c:v>
                </c:pt>
                <c:pt idx="582">
                  <c:v>4020.010054726908</c:v>
                </c:pt>
                <c:pt idx="583">
                  <c:v>4029.8294760345798</c:v>
                </c:pt>
                <c:pt idx="584">
                  <c:v>4039.6556629630013</c:v>
                </c:pt>
                <c:pt idx="585">
                  <c:v>4049.488605750189</c:v>
                </c:pt>
                <c:pt idx="586">
                  <c:v>4059.3282946740328</c:v>
                </c:pt>
                <c:pt idx="587">
                  <c:v>4069.1747200520285</c:v>
                </c:pt>
                <c:pt idx="588">
                  <c:v>4079.0278722410098</c:v>
                </c:pt>
                <c:pt idx="589">
                  <c:v>4088.8877416368782</c:v>
                </c:pt>
                <c:pt idx="590">
                  <c:v>4098.7543186743442</c:v>
                </c:pt>
                <c:pt idx="591">
                  <c:v>4108.627593826659</c:v>
                </c:pt>
                <c:pt idx="592">
                  <c:v>4118.5075576053605</c:v>
                </c:pt>
                <c:pt idx="593">
                  <c:v>4128.3942005600165</c:v>
                </c:pt>
                <c:pt idx="594">
                  <c:v>4138.2875132779691</c:v>
                </c:pt>
                <c:pt idx="595">
                  <c:v>4148.1874863840821</c:v>
                </c:pt>
                <c:pt idx="596">
                  <c:v>4158.0941105404963</c:v>
                </c:pt>
                <c:pt idx="597">
                  <c:v>4168.0073764463768</c:v>
                </c:pt>
                <c:pt idx="598">
                  <c:v>4177.9272748376716</c:v>
                </c:pt>
                <c:pt idx="599">
                  <c:v>4187.853796486871</c:v>
                </c:pt>
                <c:pt idx="600">
                  <c:v>4197.7869322027609</c:v>
                </c:pt>
                <c:pt idx="601">
                  <c:v>4207.7266728301929</c:v>
                </c:pt>
                <c:pt idx="602">
                  <c:v>4217.6730092498428</c:v>
                </c:pt>
                <c:pt idx="603">
                  <c:v>4227.6259323779823</c:v>
                </c:pt>
                <c:pt idx="604">
                  <c:v>4237.5854331662385</c:v>
                </c:pt>
                <c:pt idx="605">
                  <c:v>4247.5515026013763</c:v>
                </c:pt>
                <c:pt idx="606">
                  <c:v>4257.5241317050632</c:v>
                </c:pt>
                <c:pt idx="607">
                  <c:v>4267.5033115336491</c:v>
                </c:pt>
                <c:pt idx="608">
                  <c:v>4277.4890331779352</c:v>
                </c:pt>
                <c:pt idx="609">
                  <c:v>4287.4812877629665</c:v>
                </c:pt>
                <c:pt idx="610">
                  <c:v>4297.4800664477989</c:v>
                </c:pt>
                <c:pt idx="611">
                  <c:v>4307.4853604252903</c:v>
                </c:pt>
                <c:pt idx="612">
                  <c:v>4317.4971609218828</c:v>
                </c:pt>
                <c:pt idx="613">
                  <c:v>4327.5154591973933</c:v>
                </c:pt>
                <c:pt idx="614">
                  <c:v>4337.5402465447951</c:v>
                </c:pt>
                <c:pt idx="615">
                  <c:v>4347.5715142900171</c:v>
                </c:pt>
                <c:pt idx="616">
                  <c:v>4357.6092537917266</c:v>
                </c:pt>
                <c:pt idx="617">
                  <c:v>4367.653456441134</c:v>
                </c:pt>
                <c:pt idx="618">
                  <c:v>4377.70411366178</c:v>
                </c:pt>
                <c:pt idx="619">
                  <c:v>4387.7612169093418</c:v>
                </c:pt>
                <c:pt idx="620">
                  <c:v>4397.8247576714248</c:v>
                </c:pt>
                <c:pt idx="621">
                  <c:v>4407.8947274673692</c:v>
                </c:pt>
                <c:pt idx="622">
                  <c:v>4417.9711178480538</c:v>
                </c:pt>
                <c:pt idx="623">
                  <c:v>4428.053920395696</c:v>
                </c:pt>
                <c:pt idx="624">
                  <c:v>4438.1431267236676</c:v>
                </c:pt>
                <c:pt idx="625">
                  <c:v>4448.238728476289</c:v>
                </c:pt>
                <c:pt idx="626">
                  <c:v>4458.3407173286532</c:v>
                </c:pt>
                <c:pt idx="627">
                  <c:v>4468.4490849864324</c:v>
                </c:pt>
                <c:pt idx="628">
                  <c:v>4478.5638231856865</c:v>
                </c:pt>
                <c:pt idx="629">
                  <c:v>4488.6849236926855</c:v>
                </c:pt>
                <c:pt idx="630">
                  <c:v>4498.8123783037217</c:v>
                </c:pt>
                <c:pt idx="631">
                  <c:v>4508.9461788449289</c:v>
                </c:pt>
                <c:pt idx="632">
                  <c:v>4519.086317172103</c:v>
                </c:pt>
                <c:pt idx="633">
                  <c:v>4529.2327851705204</c:v>
                </c:pt>
                <c:pt idx="634">
                  <c:v>4539.3855747547623</c:v>
                </c:pt>
                <c:pt idx="635">
                  <c:v>4549.54467786854</c:v>
                </c:pt>
                <c:pt idx="636">
                  <c:v>4559.7100864845215</c:v>
                </c:pt>
                <c:pt idx="637">
                  <c:v>4569.881792604152</c:v>
                </c:pt>
                <c:pt idx="638">
                  <c:v>4580.0597882574903</c:v>
                </c:pt>
                <c:pt idx="639">
                  <c:v>4590.2440655030341</c:v>
                </c:pt>
                <c:pt idx="640">
                  <c:v>4600.4346164275566</c:v>
                </c:pt>
                <c:pt idx="641">
                  <c:v>4610.6314331459289</c:v>
                </c:pt>
                <c:pt idx="642">
                  <c:v>4620.8345078009688</c:v>
                </c:pt>
                <c:pt idx="643">
                  <c:v>4631.0438325632649</c:v>
                </c:pt>
                <c:pt idx="644">
                  <c:v>4641.2593996310179</c:v>
                </c:pt>
                <c:pt idx="645">
                  <c:v>4651.4812012298771</c:v>
                </c:pt>
                <c:pt idx="646">
                  <c:v>4661.7092296127848</c:v>
                </c:pt>
                <c:pt idx="647">
                  <c:v>4671.9434770598127</c:v>
                </c:pt>
                <c:pt idx="648">
                  <c:v>4682.1839358780035</c:v>
                </c:pt>
                <c:pt idx="649">
                  <c:v>4692.430598401219</c:v>
                </c:pt>
                <c:pt idx="650">
                  <c:v>4702.683456989982</c:v>
                </c:pt>
                <c:pt idx="651">
                  <c:v>4712.9425040313217</c:v>
                </c:pt>
                <c:pt idx="652">
                  <c:v>4723.2077319386226</c:v>
                </c:pt>
                <c:pt idx="653">
                  <c:v>4733.4791331514753</c:v>
                </c:pt>
                <c:pt idx="654">
                  <c:v>4743.7567001355201</c:v>
                </c:pt>
                <c:pt idx="655">
                  <c:v>4754.0404253823026</c:v>
                </c:pt>
                <c:pt idx="656">
                  <c:v>4764.3303014091289</c:v>
                </c:pt>
                <c:pt idx="657">
                  <c:v>4774.6263207589118</c:v>
                </c:pt>
                <c:pt idx="658">
                  <c:v>4784.9284760000282</c:v>
                </c:pt>
                <c:pt idx="659">
                  <c:v>4795.2367597261773</c:v>
                </c:pt>
                <c:pt idx="660">
                  <c:v>4805.5511645562356</c:v>
                </c:pt>
                <c:pt idx="661">
                  <c:v>4815.8716831341162</c:v>
                </c:pt>
                <c:pt idx="662">
                  <c:v>4826.1983081286235</c:v>
                </c:pt>
                <c:pt idx="663">
                  <c:v>4836.5310322333216</c:v>
                </c:pt>
                <c:pt idx="664">
                  <c:v>4846.8698481663887</c:v>
                </c:pt>
                <c:pt idx="665">
                  <c:v>4857.2147486704816</c:v>
                </c:pt>
                <c:pt idx="666">
                  <c:v>4867.565726512601</c:v>
                </c:pt>
                <c:pt idx="667">
                  <c:v>4877.9227744839518</c:v>
                </c:pt>
                <c:pt idx="668">
                  <c:v>4888.285885399815</c:v>
                </c:pt>
                <c:pt idx="669">
                  <c:v>4898.6550520994133</c:v>
                </c:pt>
                <c:pt idx="670">
                  <c:v>4909.0302674457698</c:v>
                </c:pt>
                <c:pt idx="671">
                  <c:v>4919.411524325591</c:v>
                </c:pt>
                <c:pt idx="672">
                  <c:v>4929.7988156491256</c:v>
                </c:pt>
                <c:pt idx="673">
                  <c:v>4940.1921343500399</c:v>
                </c:pt>
                <c:pt idx="674">
                  <c:v>4950.5914733852906</c:v>
                </c:pt>
                <c:pt idx="675">
                  <c:v>4960.9968257349947</c:v>
                </c:pt>
                <c:pt idx="676">
                  <c:v>4971.408184402304</c:v>
                </c:pt>
                <c:pt idx="677">
                  <c:v>4981.8255424132822</c:v>
                </c:pt>
                <c:pt idx="678">
                  <c:v>4992.2488928167804</c:v>
                </c:pt>
                <c:pt idx="679">
                  <c:v>5002.6782286843063</c:v>
                </c:pt>
                <c:pt idx="680">
                  <c:v>5013.1135431099156</c:v>
                </c:pt>
                <c:pt idx="681">
                  <c:v>5023.5548292100775</c:v>
                </c:pt>
                <c:pt idx="682">
                  <c:v>5034.0020801235642</c:v>
                </c:pt>
                <c:pt idx="683">
                  <c:v>5044.4552890113191</c:v>
                </c:pt>
                <c:pt idx="684">
                  <c:v>5054.9144490563531</c:v>
                </c:pt>
                <c:pt idx="685">
                  <c:v>5065.3795534636147</c:v>
                </c:pt>
                <c:pt idx="686">
                  <c:v>5075.8505954598813</c:v>
                </c:pt>
                <c:pt idx="687">
                  <c:v>5086.3275682936364</c:v>
                </c:pt>
                <c:pt idx="688">
                  <c:v>5096.8104652349584</c:v>
                </c:pt>
                <c:pt idx="689">
                  <c:v>5107.2992795754053</c:v>
                </c:pt>
                <c:pt idx="690">
                  <c:v>5117.7940046279036</c:v>
                </c:pt>
                <c:pt idx="691">
                  <c:v>5128.2946337266276</c:v>
                </c:pt>
                <c:pt idx="692">
                  <c:v>5138.801160226898</c:v>
                </c:pt>
                <c:pt idx="693">
                  <c:v>5149.313577505066</c:v>
                </c:pt>
                <c:pt idx="694">
                  <c:v>5159.8318789584046</c:v>
                </c:pt>
                <c:pt idx="695">
                  <c:v>5170.3560580049907</c:v>
                </c:pt>
                <c:pt idx="696">
                  <c:v>5180.8861080836123</c:v>
                </c:pt>
                <c:pt idx="697">
                  <c:v>5191.422022653649</c:v>
                </c:pt>
                <c:pt idx="698">
                  <c:v>5201.9637951949699</c:v>
                </c:pt>
                <c:pt idx="699">
                  <c:v>5212.5114192078217</c:v>
                </c:pt>
                <c:pt idx="700">
                  <c:v>5223.0648882127316</c:v>
                </c:pt>
                <c:pt idx="701">
                  <c:v>5233.6241957503971</c:v>
                </c:pt>
                <c:pt idx="702">
                  <c:v>5244.1893353815813</c:v>
                </c:pt>
                <c:pt idx="703">
                  <c:v>5254.7603006870195</c:v>
                </c:pt>
                <c:pt idx="704">
                  <c:v>5265.3370852673015</c:v>
                </c:pt>
                <c:pt idx="705">
                  <c:v>5275.9196827427786</c:v>
                </c:pt>
                <c:pt idx="706">
                  <c:v>5286.5080867534662</c:v>
                </c:pt>
                <c:pt idx="707">
                  <c:v>5297.1022909589374</c:v>
                </c:pt>
                <c:pt idx="708">
                  <c:v>5307.7022890382214</c:v>
                </c:pt>
                <c:pt idx="709">
                  <c:v>5318.3080746897158</c:v>
                </c:pt>
                <c:pt idx="710">
                  <c:v>5328.919641631077</c:v>
                </c:pt>
                <c:pt idx="711">
                  <c:v>5339.5369835991296</c:v>
                </c:pt>
                <c:pt idx="712">
                  <c:v>5350.1600943497615</c:v>
                </c:pt>
                <c:pt idx="713">
                  <c:v>5360.7889676578425</c:v>
                </c:pt>
                <c:pt idx="714">
                  <c:v>5371.4235973171144</c:v>
                </c:pt>
                <c:pt idx="715">
                  <c:v>5382.0639771401075</c:v>
                </c:pt>
                <c:pt idx="716">
                  <c:v>5392.7101009580347</c:v>
                </c:pt>
                <c:pt idx="717">
                  <c:v>5403.3619626207073</c:v>
                </c:pt>
                <c:pt idx="718">
                  <c:v>5414.019555996445</c:v>
                </c:pt>
                <c:pt idx="719">
                  <c:v>5424.6828749719725</c:v>
                </c:pt>
                <c:pt idx="720">
                  <c:v>5435.3519134523376</c:v>
                </c:pt>
                <c:pt idx="721">
                  <c:v>5446.026665360816</c:v>
                </c:pt>
                <c:pt idx="722">
                  <c:v>5456.7071246388241</c:v>
                </c:pt>
                <c:pt idx="723">
                  <c:v>5467.3932852458274</c:v>
                </c:pt>
                <c:pt idx="724">
                  <c:v>5478.0851411592521</c:v>
                </c:pt>
                <c:pt idx="725">
                  <c:v>5488.7826863743967</c:v>
                </c:pt>
                <c:pt idx="726">
                  <c:v>5499.4859149043441</c:v>
                </c:pt>
                <c:pt idx="727">
                  <c:v>5510.1948207798769</c:v>
                </c:pt>
                <c:pt idx="728">
                  <c:v>5520.909398049389</c:v>
                </c:pt>
                <c:pt idx="729">
                  <c:v>5531.6296407787977</c:v>
                </c:pt>
                <c:pt idx="730">
                  <c:v>5542.3555430514643</c:v>
                </c:pt>
                <c:pt idx="731">
                  <c:v>5553.0870989681034</c:v>
                </c:pt>
                <c:pt idx="732">
                  <c:v>5563.8243026467035</c:v>
                </c:pt>
                <c:pt idx="733">
                  <c:v>5574.567148222437</c:v>
                </c:pt>
                <c:pt idx="734">
                  <c:v>5585.3156298475842</c:v>
                </c:pt>
                <c:pt idx="735">
                  <c:v>5596.06974169145</c:v>
                </c:pt>
                <c:pt idx="736">
                  <c:v>5606.8294779402795</c:v>
                </c:pt>
                <c:pt idx="737">
                  <c:v>5617.5948327971728</c:v>
                </c:pt>
                <c:pt idx="738">
                  <c:v>5628.3658004820163</c:v>
                </c:pt>
                <c:pt idx="739">
                  <c:v>5639.1423752313913</c:v>
                </c:pt>
                <c:pt idx="740">
                  <c:v>5649.924551298499</c:v>
                </c:pt>
                <c:pt idx="741">
                  <c:v>5660.7123229530771</c:v>
                </c:pt>
                <c:pt idx="742">
                  <c:v>5671.5056844813298</c:v>
                </c:pt>
                <c:pt idx="743">
                  <c:v>5682.304630185844</c:v>
                </c:pt>
                <c:pt idx="744">
                  <c:v>5693.1091543855109</c:v>
                </c:pt>
                <c:pt idx="745">
                  <c:v>5703.9192514154502</c:v>
                </c:pt>
                <c:pt idx="746">
                  <c:v>5714.7349156269338</c:v>
                </c:pt>
                <c:pt idx="747">
                  <c:v>5725.5561413873111</c:v>
                </c:pt>
                <c:pt idx="748">
                  <c:v>5736.3829230799338</c:v>
                </c:pt>
                <c:pt idx="749">
                  <c:v>5747.2152551040763</c:v>
                </c:pt>
                <c:pt idx="750">
                  <c:v>5758.0531318748608</c:v>
                </c:pt>
                <c:pt idx="751">
                  <c:v>5768.8965478231958</c:v>
                </c:pt>
                <c:pt idx="752">
                  <c:v>5779.7454973956865</c:v>
                </c:pt>
                <c:pt idx="753">
                  <c:v>5790.5999750545716</c:v>
                </c:pt>
                <c:pt idx="754">
                  <c:v>5801.4599752776467</c:v>
                </c:pt>
                <c:pt idx="755">
                  <c:v>5812.3254925581932</c:v>
                </c:pt>
                <c:pt idx="756">
                  <c:v>5823.196521404906</c:v>
                </c:pt>
                <c:pt idx="757">
                  <c:v>5834.0730563418283</c:v>
                </c:pt>
                <c:pt idx="758">
                  <c:v>5844.9550919082649</c:v>
                </c:pt>
                <c:pt idx="759">
                  <c:v>5855.8426226587308</c:v>
                </c:pt>
                <c:pt idx="760">
                  <c:v>5866.7356431628741</c:v>
                </c:pt>
                <c:pt idx="761">
                  <c:v>5877.6341480054007</c:v>
                </c:pt>
                <c:pt idx="762">
                  <c:v>5888.5381317860119</c:v>
                </c:pt>
                <c:pt idx="763">
                  <c:v>5899.4475891193379</c:v>
                </c:pt>
                <c:pt idx="764">
                  <c:v>5910.3625146348613</c:v>
                </c:pt>
                <c:pt idx="765">
                  <c:v>5921.2829029768582</c:v>
                </c:pt>
                <c:pt idx="766">
                  <c:v>5932.2087488043235</c:v>
                </c:pt>
                <c:pt idx="767">
                  <c:v>5943.1400467909134</c:v>
                </c:pt>
                <c:pt idx="768">
                  <c:v>5954.076791624866</c:v>
                </c:pt>
                <c:pt idx="769">
                  <c:v>5965.0189780089522</c:v>
                </c:pt>
                <c:pt idx="770">
                  <c:v>5975.9666006603957</c:v>
                </c:pt>
                <c:pt idx="771">
                  <c:v>5986.9196543108146</c:v>
                </c:pt>
                <c:pt idx="772">
                  <c:v>5997.8781337061519</c:v>
                </c:pt>
                <c:pt idx="773">
                  <c:v>6008.842033606621</c:v>
                </c:pt>
                <c:pt idx="774">
                  <c:v>6019.8113487866322</c:v>
                </c:pt>
                <c:pt idx="775">
                  <c:v>6030.7860740347314</c:v>
                </c:pt>
                <c:pt idx="776">
                  <c:v>6041.7662041535423</c:v>
                </c:pt>
                <c:pt idx="777">
                  <c:v>6052.7517339596943</c:v>
                </c:pt>
                <c:pt idx="778">
                  <c:v>6063.7426582837725</c:v>
                </c:pt>
                <c:pt idx="779">
                  <c:v>6074.7389719702442</c:v>
                </c:pt>
                <c:pt idx="780">
                  <c:v>6085.740669877403</c:v>
                </c:pt>
                <c:pt idx="781">
                  <c:v>6096.7477468773086</c:v>
                </c:pt>
                <c:pt idx="782">
                  <c:v>6107.7601978557241</c:v>
                </c:pt>
                <c:pt idx="783">
                  <c:v>6118.7780177120512</c:v>
                </c:pt>
                <c:pt idx="784">
                  <c:v>6129.8012013592852</c:v>
                </c:pt>
                <c:pt idx="785">
                  <c:v>6140.8297437239344</c:v>
                </c:pt>
                <c:pt idx="786">
                  <c:v>6151.8636397459777</c:v>
                </c:pt>
                <c:pt idx="787">
                  <c:v>6162.9028843787992</c:v>
                </c:pt>
                <c:pt idx="788">
                  <c:v>6173.9474725891268</c:v>
                </c:pt>
                <c:pt idx="789">
                  <c:v>6184.997399356982</c:v>
                </c:pt>
                <c:pt idx="790">
                  <c:v>6196.0526596756154</c:v>
                </c:pt>
                <c:pt idx="791">
                  <c:v>6207.1132485514499</c:v>
                </c:pt>
                <c:pt idx="792">
                  <c:v>6218.1791610040245</c:v>
                </c:pt>
                <c:pt idx="793">
                  <c:v>6229.2503920659419</c:v>
                </c:pt>
                <c:pt idx="794">
                  <c:v>6240.326936782807</c:v>
                </c:pt>
                <c:pt idx="795">
                  <c:v>6251.4087902131678</c:v>
                </c:pt>
                <c:pt idx="796">
                  <c:v>6262.4959474284697</c:v>
                </c:pt>
                <c:pt idx="797">
                  <c:v>6273.5884035129893</c:v>
                </c:pt>
                <c:pt idx="798">
                  <c:v>6284.6861535637881</c:v>
                </c:pt>
                <c:pt idx="799">
                  <c:v>6295.7891926906532</c:v>
                </c:pt>
                <c:pt idx="800">
                  <c:v>6306.8975160160417</c:v>
                </c:pt>
                <c:pt idx="801">
                  <c:v>6318.011118675031</c:v>
                </c:pt>
                <c:pt idx="802">
                  <c:v>6329.1299958152604</c:v>
                </c:pt>
                <c:pt idx="803">
                  <c:v>6340.2541425968811</c:v>
                </c:pt>
                <c:pt idx="804">
                  <c:v>6351.3835541925018</c:v>
                </c:pt>
                <c:pt idx="805">
                  <c:v>6362.5182257871356</c:v>
                </c:pt>
                <c:pt idx="806">
                  <c:v>6373.6581525781485</c:v>
                </c:pt>
                <c:pt idx="807">
                  <c:v>6384.8033297752063</c:v>
                </c:pt>
                <c:pt idx="808">
                  <c:v>6395.953752600225</c:v>
                </c:pt>
                <c:pt idx="809">
                  <c:v>6407.1094162873105</c:v>
                </c:pt>
                <c:pt idx="810">
                  <c:v>6418.2703160827223</c:v>
                </c:pt>
                <c:pt idx="811">
                  <c:v>6429.4364472448106</c:v>
                </c:pt>
                <c:pt idx="812">
                  <c:v>6440.6078050439683</c:v>
                </c:pt>
                <c:pt idx="813">
                  <c:v>6451.7843847625827</c:v>
                </c:pt>
                <c:pt idx="814">
                  <c:v>6462.9661816949856</c:v>
                </c:pt>
                <c:pt idx="815">
                  <c:v>6474.1531911474003</c:v>
                </c:pt>
                <c:pt idx="816">
                  <c:v>6485.3454084378991</c:v>
                </c:pt>
                <c:pt idx="817">
                  <c:v>6496.5428288963431</c:v>
                </c:pt>
                <c:pt idx="818">
                  <c:v>6507.7454478643367</c:v>
                </c:pt>
                <c:pt idx="819">
                  <c:v>6518.9532606951943</c:v>
                </c:pt>
                <c:pt idx="820">
                  <c:v>6530.1662627538662</c:v>
                </c:pt>
                <c:pt idx="821">
                  <c:v>6541.3844494169107</c:v>
                </c:pt>
                <c:pt idx="822">
                  <c:v>6552.6078160724373</c:v>
                </c:pt>
                <c:pt idx="823">
                  <c:v>6563.836358120061</c:v>
                </c:pt>
                <c:pt idx="824">
                  <c:v>6575.0700709708581</c:v>
                </c:pt>
                <c:pt idx="825">
                  <c:v>6586.3089500473088</c:v>
                </c:pt>
                <c:pt idx="826">
                  <c:v>6597.5529907832679</c:v>
                </c:pt>
                <c:pt idx="827">
                  <c:v>6608.8021886238985</c:v>
                </c:pt>
                <c:pt idx="828">
                  <c:v>6620.0565390256425</c:v>
                </c:pt>
                <c:pt idx="829">
                  <c:v>6631.3160374561676</c:v>
                </c:pt>
                <c:pt idx="830">
                  <c:v>6642.5806793943193</c:v>
                </c:pt>
                <c:pt idx="831">
                  <c:v>6653.8504603300789</c:v>
                </c:pt>
                <c:pt idx="832">
                  <c:v>6665.12537576452</c:v>
                </c:pt>
                <c:pt idx="833">
                  <c:v>6676.4054212097581</c:v>
                </c:pt>
                <c:pt idx="834">
                  <c:v>6687.6905921889147</c:v>
                </c:pt>
                <c:pt idx="835">
                  <c:v>6698.9808842360599</c:v>
                </c:pt>
                <c:pt idx="836">
                  <c:v>6710.2762928961783</c:v>
                </c:pt>
                <c:pt idx="837">
                  <c:v>6721.5768137251289</c:v>
                </c:pt>
                <c:pt idx="838">
                  <c:v>6732.8824422895868</c:v>
                </c:pt>
                <c:pt idx="839">
                  <c:v>6744.1931741670141</c:v>
                </c:pt>
                <c:pt idx="840">
                  <c:v>6755.5090049456103</c:v>
                </c:pt>
                <c:pt idx="841">
                  <c:v>6766.8299302242649</c:v>
                </c:pt>
                <c:pt idx="842">
                  <c:v>6778.1559456125287</c:v>
                </c:pt>
                <c:pt idx="843">
                  <c:v>6789.4870467305536</c:v>
                </c:pt>
                <c:pt idx="844">
                  <c:v>6800.8232292090634</c:v>
                </c:pt>
                <c:pt idx="845">
                  <c:v>6812.1644886893127</c:v>
                </c:pt>
                <c:pt idx="846">
                  <c:v>6823.510820823034</c:v>
                </c:pt>
                <c:pt idx="847">
                  <c:v>6834.8622212724022</c:v>
                </c:pt>
                <c:pt idx="848">
                  <c:v>6846.2186857099987</c:v>
                </c:pt>
                <c:pt idx="849">
                  <c:v>6857.5802098187623</c:v>
                </c:pt>
                <c:pt idx="850">
                  <c:v>6868.9467892919565</c:v>
                </c:pt>
                <c:pt idx="851">
                  <c:v>6880.3184198331128</c:v>
                </c:pt>
                <c:pt idx="852">
                  <c:v>6891.6950971560136</c:v>
                </c:pt>
                <c:pt idx="853">
                  <c:v>6903.0768169846324</c:v>
                </c:pt>
                <c:pt idx="854">
                  <c:v>6914.4635750531061</c:v>
                </c:pt>
                <c:pt idx="855">
                  <c:v>6925.855367105687</c:v>
                </c:pt>
                <c:pt idx="856">
                  <c:v>6937.2521888967131</c:v>
                </c:pt>
                <c:pt idx="857">
                  <c:v>6948.6540361905536</c:v>
                </c:pt>
                <c:pt idx="858">
                  <c:v>6960.0609047615908</c:v>
                </c:pt>
                <c:pt idx="859">
                  <c:v>6971.4727903941603</c:v>
                </c:pt>
                <c:pt idx="860">
                  <c:v>6982.8896888825202</c:v>
                </c:pt>
                <c:pt idx="861">
                  <c:v>6994.3115960308241</c:v>
                </c:pt>
                <c:pt idx="862">
                  <c:v>7005.7385076530654</c:v>
                </c:pt>
                <c:pt idx="863">
                  <c:v>7017.170419573049</c:v>
                </c:pt>
                <c:pt idx="864">
                  <c:v>7028.6073276243515</c:v>
                </c:pt>
                <c:pt idx="865">
                  <c:v>7040.049227650281</c:v>
                </c:pt>
                <c:pt idx="866">
                  <c:v>7051.4961155038472</c:v>
                </c:pt>
                <c:pt idx="867">
                  <c:v>7062.9479870477171</c:v>
                </c:pt>
                <c:pt idx="868">
                  <c:v>7074.4048381541779</c:v>
                </c:pt>
                <c:pt idx="869">
                  <c:v>7085.8666647051014</c:v>
                </c:pt>
                <c:pt idx="870">
                  <c:v>7097.333462591916</c:v>
                </c:pt>
                <c:pt idx="871">
                  <c:v>7108.8052277155557</c:v>
                </c:pt>
                <c:pt idx="872">
                  <c:v>7120.281955986432</c:v>
                </c:pt>
                <c:pt idx="873">
                  <c:v>7131.7636433244015</c:v>
                </c:pt>
                <c:pt idx="874">
                  <c:v>7143.2502856587216</c:v>
                </c:pt>
                <c:pt idx="875">
                  <c:v>7154.7418789280146</c:v>
                </c:pt>
                <c:pt idx="876">
                  <c:v>7166.2384190802477</c:v>
                </c:pt>
                <c:pt idx="877">
                  <c:v>7177.7399020726734</c:v>
                </c:pt>
                <c:pt idx="878">
                  <c:v>7189.2463238718174</c:v>
                </c:pt>
                <c:pt idx="879">
                  <c:v>7200.7576804534283</c:v>
                </c:pt>
                <c:pt idx="880">
                  <c:v>7212.2739678024518</c:v>
                </c:pt>
                <c:pt idx="881">
                  <c:v>7223.7951819129939</c:v>
                </c:pt>
                <c:pt idx="882">
                  <c:v>7235.3213187882775</c:v>
                </c:pt>
                <c:pt idx="883">
                  <c:v>7246.852374440623</c:v>
                </c:pt>
                <c:pt idx="884">
                  <c:v>7258.3883448914112</c:v>
                </c:pt>
                <c:pt idx="885">
                  <c:v>7269.9292261710334</c:v>
                </c:pt>
                <c:pt idx="886">
                  <c:v>7281.4750143188821</c:v>
                </c:pt>
                <c:pt idx="887">
                  <c:v>7293.0257053833011</c:v>
                </c:pt>
                <c:pt idx="888">
                  <c:v>7304.5812954215526</c:v>
                </c:pt>
                <c:pt idx="889">
                  <c:v>7316.1417804998</c:v>
                </c:pt>
                <c:pt idx="890">
                  <c:v>7327.707156693049</c:v>
                </c:pt>
                <c:pt idx="891">
                  <c:v>7339.2774200851391</c:v>
                </c:pt>
                <c:pt idx="892">
                  <c:v>7350.8525667687009</c:v>
                </c:pt>
                <c:pt idx="893">
                  <c:v>7362.4325928451144</c:v>
                </c:pt>
                <c:pt idx="894">
                  <c:v>7374.0174944244964</c:v>
                </c:pt>
                <c:pt idx="895">
                  <c:v>7385.6072676256517</c:v>
                </c:pt>
                <c:pt idx="896">
                  <c:v>7397.2019085760548</c:v>
                </c:pt>
                <c:pt idx="897">
                  <c:v>7408.8014134118039</c:v>
                </c:pt>
                <c:pt idx="898">
                  <c:v>7420.4057782775981</c:v>
                </c:pt>
                <c:pt idx="899">
                  <c:v>7432.0149993267059</c:v>
                </c:pt>
                <c:pt idx="900">
                  <c:v>7443.6290727209343</c:v>
                </c:pt>
                <c:pt idx="901">
                  <c:v>7455.2479946305903</c:v>
                </c:pt>
                <c:pt idx="902">
                  <c:v>7466.8717612344553</c:v>
                </c:pt>
                <c:pt idx="903">
                  <c:v>7478.5003687197623</c:v>
                </c:pt>
                <c:pt idx="904">
                  <c:v>7490.1338132821475</c:v>
                </c:pt>
                <c:pt idx="905">
                  <c:v>7501.7720911256383</c:v>
                </c:pt>
                <c:pt idx="906">
                  <c:v>7513.4151984626051</c:v>
                </c:pt>
                <c:pt idx="907">
                  <c:v>7525.0631315137498</c:v>
                </c:pt>
                <c:pt idx="908">
                  <c:v>7536.7158865080601</c:v>
                </c:pt>
                <c:pt idx="909">
                  <c:v>7548.3734596827881</c:v>
                </c:pt>
                <c:pt idx="910">
                  <c:v>7560.035847283415</c:v>
                </c:pt>
                <c:pt idx="911">
                  <c:v>7571.7030455636286</c:v>
                </c:pt>
                <c:pt idx="912">
                  <c:v>7583.3750507852892</c:v>
                </c:pt>
                <c:pt idx="913">
                  <c:v>7595.0518592184008</c:v>
                </c:pt>
                <c:pt idx="914">
                  <c:v>7606.7334671410808</c:v>
                </c:pt>
                <c:pt idx="915">
                  <c:v>7618.419870839537</c:v>
                </c:pt>
                <c:pt idx="916">
                  <c:v>7630.1110666080294</c:v>
                </c:pt>
                <c:pt idx="917">
                  <c:v>7641.8070507488501</c:v>
                </c:pt>
                <c:pt idx="918">
                  <c:v>7653.5078195722845</c:v>
                </c:pt>
                <c:pt idx="919">
                  <c:v>7665.213369396597</c:v>
                </c:pt>
                <c:pt idx="920">
                  <c:v>7676.9236965479931</c:v>
                </c:pt>
                <c:pt idx="921">
                  <c:v>7688.6387973605906</c:v>
                </c:pt>
                <c:pt idx="922">
                  <c:v>7700.3586681763991</c:v>
                </c:pt>
                <c:pt idx="923">
                  <c:v>7712.0833053452852</c:v>
                </c:pt>
                <c:pt idx="924">
                  <c:v>7723.8127052249429</c:v>
                </c:pt>
                <c:pt idx="925">
                  <c:v>7735.5468641808757</c:v>
                </c:pt>
                <c:pt idx="926">
                  <c:v>7747.2857785863625</c:v>
                </c:pt>
                <c:pt idx="927">
                  <c:v>7759.0294448224267</c:v>
                </c:pt>
                <c:pt idx="928">
                  <c:v>7770.7778592778177</c:v>
                </c:pt>
                <c:pt idx="929">
                  <c:v>7782.5310183489801</c:v>
                </c:pt>
                <c:pt idx="930">
                  <c:v>7794.2889184400283</c:v>
                </c:pt>
                <c:pt idx="931">
                  <c:v>7806.0515559627083</c:v>
                </c:pt>
                <c:pt idx="932">
                  <c:v>7817.818927336396</c:v>
                </c:pt>
                <c:pt idx="933">
                  <c:v>7829.5910289880394</c:v>
                </c:pt>
                <c:pt idx="934">
                  <c:v>7841.367857352162</c:v>
                </c:pt>
                <c:pt idx="935">
                  <c:v>7853.1494088708105</c:v>
                </c:pt>
                <c:pt idx="936">
                  <c:v>7864.9356799935485</c:v>
                </c:pt>
                <c:pt idx="937">
                  <c:v>7876.7266671774214</c:v>
                </c:pt>
                <c:pt idx="938">
                  <c:v>7888.5223668869312</c:v>
                </c:pt>
                <c:pt idx="939">
                  <c:v>7900.3227755940115</c:v>
                </c:pt>
                <c:pt idx="940">
                  <c:v>7912.1278897780012</c:v>
                </c:pt>
                <c:pt idx="941">
                  <c:v>7923.9377059256203</c:v>
                </c:pt>
                <c:pt idx="942">
                  <c:v>7935.7522205309488</c:v>
                </c:pt>
                <c:pt idx="943">
                  <c:v>7947.5714300953823</c:v>
                </c:pt>
                <c:pt idx="944">
                  <c:v>7959.3953311276346</c:v>
                </c:pt>
                <c:pt idx="945">
                  <c:v>7971.2239201436969</c:v>
                </c:pt>
                <c:pt idx="946">
                  <c:v>7983.0571936668121</c:v>
                </c:pt>
                <c:pt idx="947">
                  <c:v>7994.8951482274497</c:v>
                </c:pt>
                <c:pt idx="948">
                  <c:v>8006.7377803632944</c:v>
                </c:pt>
                <c:pt idx="949">
                  <c:v>8018.5850866192004</c:v>
                </c:pt>
                <c:pt idx="950">
                  <c:v>8030.4370635471851</c:v>
                </c:pt>
                <c:pt idx="951">
                  <c:v>8042.2937077064016</c:v>
                </c:pt>
                <c:pt idx="952">
                  <c:v>8054.1550156630947</c:v>
                </c:pt>
                <c:pt idx="953">
                  <c:v>8066.0209839906111</c:v>
                </c:pt>
                <c:pt idx="954">
                  <c:v>8077.8916092693462</c:v>
                </c:pt>
                <c:pt idx="955">
                  <c:v>8089.7668880867341</c:v>
                </c:pt>
                <c:pt idx="956">
                  <c:v>8101.6468170372209</c:v>
                </c:pt>
                <c:pt idx="957">
                  <c:v>8113.5313927222451</c:v>
                </c:pt>
                <c:pt idx="958">
                  <c:v>8125.4206117502035</c:v>
                </c:pt>
                <c:pt idx="959">
                  <c:v>8137.314470736439</c:v>
                </c:pt>
                <c:pt idx="960">
                  <c:v>8149.2129663032056</c:v>
                </c:pt>
                <c:pt idx="961">
                  <c:v>8161.1160950796611</c:v>
                </c:pt>
                <c:pt idx="962">
                  <c:v>8173.0238537018313</c:v>
                </c:pt>
                <c:pt idx="963">
                  <c:v>8184.9362388125919</c:v>
                </c:pt>
                <c:pt idx="964">
                  <c:v>8196.853247061641</c:v>
                </c:pt>
                <c:pt idx="965">
                  <c:v>8208.7748751054824</c:v>
                </c:pt>
                <c:pt idx="966">
                  <c:v>8220.7011196074054</c:v>
                </c:pt>
                <c:pt idx="967">
                  <c:v>8232.6319772374518</c:v>
                </c:pt>
                <c:pt idx="968">
                  <c:v>8244.5674446723915</c:v>
                </c:pt>
                <c:pt idx="969">
                  <c:v>8256.5075185957248</c:v>
                </c:pt>
                <c:pt idx="970">
                  <c:v>8268.4521956976314</c:v>
                </c:pt>
                <c:pt idx="971">
                  <c:v>8280.401472674961</c:v>
                </c:pt>
                <c:pt idx="972">
                  <c:v>8292.355346231212</c:v>
                </c:pt>
                <c:pt idx="973">
                  <c:v>8304.3138130765092</c:v>
                </c:pt>
                <c:pt idx="974">
                  <c:v>8316.2768699275766</c:v>
                </c:pt>
                <c:pt idx="975">
                  <c:v>8328.2445135077196</c:v>
                </c:pt>
                <c:pt idx="976">
                  <c:v>8340.2167405468099</c:v>
                </c:pt>
                <c:pt idx="977">
                  <c:v>8352.1935477812476</c:v>
                </c:pt>
                <c:pt idx="978">
                  <c:v>8364.174931953954</c:v>
                </c:pt>
                <c:pt idx="979">
                  <c:v>8376.1608898143495</c:v>
                </c:pt>
                <c:pt idx="980">
                  <c:v>8388.1514181183211</c:v>
                </c:pt>
                <c:pt idx="981">
                  <c:v>8400.146513628215</c:v>
                </c:pt>
                <c:pt idx="982">
                  <c:v>8412.1461731128056</c:v>
                </c:pt>
                <c:pt idx="983">
                  <c:v>8424.1503933472795</c:v>
                </c:pt>
                <c:pt idx="984">
                  <c:v>8436.1591711132169</c:v>
                </c:pt>
                <c:pt idx="985">
                  <c:v>8448.1725031985625</c:v>
                </c:pt>
                <c:pt idx="986">
                  <c:v>8460.190386397604</c:v>
                </c:pt>
                <c:pt idx="987">
                  <c:v>8472.2128175109683</c:v>
                </c:pt>
                <c:pt idx="988">
                  <c:v>8484.2397933455886</c:v>
                </c:pt>
                <c:pt idx="989">
                  <c:v>8496.2713107146792</c:v>
                </c:pt>
                <c:pt idx="990">
                  <c:v>8508.3073664377243</c:v>
                </c:pt>
                <c:pt idx="991">
                  <c:v>8520.3479573404566</c:v>
                </c:pt>
                <c:pt idx="992">
                  <c:v>8532.3930802548348</c:v>
                </c:pt>
                <c:pt idx="993">
                  <c:v>8544.4427320190171</c:v>
                </c:pt>
                <c:pt idx="994">
                  <c:v>8556.4969094773587</c:v>
                </c:pt>
                <c:pt idx="995">
                  <c:v>8568.5556094803742</c:v>
                </c:pt>
                <c:pt idx="996">
                  <c:v>8580.6188288847316</c:v>
                </c:pt>
                <c:pt idx="997">
                  <c:v>8592.686564553218</c:v>
                </c:pt>
                <c:pt idx="998">
                  <c:v>8604.758813354736</c:v>
                </c:pt>
                <c:pt idx="999">
                  <c:v>8616.8355721642711</c:v>
                </c:pt>
                <c:pt idx="1000">
                  <c:v>8628.9168378628819</c:v>
                </c:pt>
                <c:pt idx="1001">
                  <c:v>8641.0026073376757</c:v>
                </c:pt>
                <c:pt idx="1002">
                  <c:v>8653.0928774817839</c:v>
                </c:pt>
                <c:pt idx="1003">
                  <c:v>8665.1876451943535</c:v>
                </c:pt>
                <c:pt idx="1004">
                  <c:v>8677.2869073805286</c:v>
                </c:pt>
                <c:pt idx="1005">
                  <c:v>8689.3906609514197</c:v>
                </c:pt>
                <c:pt idx="1006">
                  <c:v>8701.4989028240925</c:v>
                </c:pt>
                <c:pt idx="1007">
                  <c:v>8713.6116299215482</c:v>
                </c:pt>
                <c:pt idx="1008">
                  <c:v>8725.7288391727052</c:v>
                </c:pt>
                <c:pt idx="1009">
                  <c:v>8737.8505275123844</c:v>
                </c:pt>
                <c:pt idx="1010">
                  <c:v>8749.9766918812766</c:v>
                </c:pt>
                <c:pt idx="1011">
                  <c:v>8762.1073292259389</c:v>
                </c:pt>
                <c:pt idx="1012">
                  <c:v>8774.2424364987746</c:v>
                </c:pt>
                <c:pt idx="1013">
                  <c:v>8786.3820106580024</c:v>
                </c:pt>
                <c:pt idx="1014">
                  <c:v>8798.5260486676561</c:v>
                </c:pt>
                <c:pt idx="1015">
                  <c:v>8810.6745474975487</c:v>
                </c:pt>
                <c:pt idx="1016">
                  <c:v>8822.82750412327</c:v>
                </c:pt>
                <c:pt idx="1017">
                  <c:v>8834.9849155261581</c:v>
                </c:pt>
                <c:pt idx="1018">
                  <c:v>8847.1467786932826</c:v>
                </c:pt>
                <c:pt idx="1019">
                  <c:v>8859.313090617432</c:v>
                </c:pt>
                <c:pt idx="1020">
                  <c:v>8871.4838482970954</c:v>
                </c:pt>
                <c:pt idx="1021">
                  <c:v>8883.659048736441</c:v>
                </c:pt>
                <c:pt idx="1022">
                  <c:v>8895.8386889452941</c:v>
                </c:pt>
                <c:pt idx="1023">
                  <c:v>8908.0227659391276</c:v>
                </c:pt>
                <c:pt idx="1024">
                  <c:v>8920.2112767390499</c:v>
                </c:pt>
                <c:pt idx="1025">
                  <c:v>8932.404218371772</c:v>
                </c:pt>
                <c:pt idx="1026">
                  <c:v>8944.6015878696016</c:v>
                </c:pt>
                <c:pt idx="1027">
                  <c:v>8956.8033822704165</c:v>
                </c:pt>
                <c:pt idx="1028">
                  <c:v>8969.0095986176548</c:v>
                </c:pt>
                <c:pt idx="1029">
                  <c:v>8981.2202339603064</c:v>
                </c:pt>
                <c:pt idx="1030">
                  <c:v>8993.4352853528726</c:v>
                </c:pt>
                <c:pt idx="1031">
                  <c:v>9005.65474985537</c:v>
                </c:pt>
                <c:pt idx="1032">
                  <c:v>9017.8786245333031</c:v>
                </c:pt>
                <c:pt idx="1033">
                  <c:v>9030.1069064576495</c:v>
                </c:pt>
                <c:pt idx="1034">
                  <c:v>9042.3395927048477</c:v>
                </c:pt>
                <c:pt idx="1035">
                  <c:v>9054.5766803567731</c:v>
                </c:pt>
                <c:pt idx="1036">
                  <c:v>9066.8181665007251</c:v>
                </c:pt>
                <c:pt idx="1037">
                  <c:v>9079.0640482294129</c:v>
                </c:pt>
                <c:pt idx="1038">
                  <c:v>9091.3143226409338</c:v>
                </c:pt>
                <c:pt idx="1039">
                  <c:v>9103.5689868387635</c:v>
                </c:pt>
                <c:pt idx="1040">
                  <c:v>9115.828037931733</c:v>
                </c:pt>
                <c:pt idx="1041">
                  <c:v>9128.0914730340155</c:v>
                </c:pt>
                <c:pt idx="1042">
                  <c:v>9140.3592892651122</c:v>
                </c:pt>
                <c:pt idx="1043">
                  <c:v>9152.6314837498285</c:v>
                </c:pt>
                <c:pt idx="1044">
                  <c:v>9164.9080536182719</c:v>
                </c:pt>
                <c:pt idx="1045">
                  <c:v>9177.1889960058179</c:v>
                </c:pt>
                <c:pt idx="1046">
                  <c:v>9189.4743080531152</c:v>
                </c:pt>
                <c:pt idx="1047">
                  <c:v>9201.7639869060476</c:v>
                </c:pt>
                <c:pt idx="1048">
                  <c:v>9214.0580297157376</c:v>
                </c:pt>
                <c:pt idx="1049">
                  <c:v>9226.3564336385152</c:v>
                </c:pt>
                <c:pt idx="1050">
                  <c:v>9238.6591958359168</c:v>
                </c:pt>
                <c:pt idx="1051">
                  <c:v>9250.9663134746552</c:v>
                </c:pt>
                <c:pt idx="1052">
                  <c:v>9263.2777837266094</c:v>
                </c:pt>
                <c:pt idx="1053">
                  <c:v>9275.5936037688225</c:v>
                </c:pt>
                <c:pt idx="1054">
                  <c:v>9287.9137707834634</c:v>
                </c:pt>
                <c:pt idx="1055">
                  <c:v>9300.238281957827</c:v>
                </c:pt>
                <c:pt idx="1056">
                  <c:v>9312.567134484314</c:v>
                </c:pt>
                <c:pt idx="1057">
                  <c:v>9324.9003255604166</c:v>
                </c:pt>
                <c:pt idx="1058">
                  <c:v>9337.2378523887019</c:v>
                </c:pt>
                <c:pt idx="1059">
                  <c:v>9349.5797121768046</c:v>
                </c:pt>
                <c:pt idx="1060">
                  <c:v>9361.9259021373891</c:v>
                </c:pt>
                <c:pt idx="1061">
                  <c:v>9374.2764194881674</c:v>
                </c:pt>
                <c:pt idx="1062">
                  <c:v>9386.6312614518647</c:v>
                </c:pt>
                <c:pt idx="1063">
                  <c:v>9398.9904252561973</c:v>
                </c:pt>
                <c:pt idx="1064">
                  <c:v>9411.3539081338859</c:v>
                </c:pt>
                <c:pt idx="1065">
                  <c:v>9423.7217073226038</c:v>
                </c:pt>
                <c:pt idx="1066">
                  <c:v>9436.0938200649944</c:v>
                </c:pt>
                <c:pt idx="1067">
                  <c:v>9448.4702436086409</c:v>
                </c:pt>
                <c:pt idx="1068">
                  <c:v>9460.8509752060545</c:v>
                </c:pt>
                <c:pt idx="1069">
                  <c:v>9473.2360121146539</c:v>
                </c:pt>
                <c:pt idx="1070">
                  <c:v>9485.6253515967692</c:v>
                </c:pt>
                <c:pt idx="1071">
                  <c:v>9498.0189909196088</c:v>
                </c:pt>
                <c:pt idx="1072">
                  <c:v>9510.4169273552452</c:v>
                </c:pt>
                <c:pt idx="1073">
                  <c:v>9522.8191581806223</c:v>
                </c:pt>
                <c:pt idx="1074">
                  <c:v>9535.2256806775167</c:v>
                </c:pt>
                <c:pt idx="1075">
                  <c:v>9547.6364921325348</c:v>
                </c:pt>
                <c:pt idx="1076">
                  <c:v>9560.0515898370995</c:v>
                </c:pt>
                <c:pt idx="1077">
                  <c:v>9572.4709710874267</c:v>
                </c:pt>
                <c:pt idx="1078">
                  <c:v>9584.8946331845291</c:v>
                </c:pt>
                <c:pt idx="1079">
                  <c:v>9597.3225734341831</c:v>
                </c:pt>
                <c:pt idx="1080">
                  <c:v>9609.7547891469294</c:v>
                </c:pt>
                <c:pt idx="1081">
                  <c:v>9622.1912776380486</c:v>
                </c:pt>
                <c:pt idx="1082">
                  <c:v>9634.6320362275583</c:v>
                </c:pt>
                <c:pt idx="1083">
                  <c:v>9647.0770622401924</c:v>
                </c:pt>
                <c:pt idx="1084">
                  <c:v>9659.5263530053817</c:v>
                </c:pt>
                <c:pt idx="1085">
                  <c:v>9671.9799058572553</c:v>
                </c:pt>
                <c:pt idx="1086">
                  <c:v>9684.4377181346154</c:v>
                </c:pt>
                <c:pt idx="1087">
                  <c:v>9696.8997871809261</c:v>
                </c:pt>
                <c:pt idx="1088">
                  <c:v>9709.3661103443064</c:v>
                </c:pt>
                <c:pt idx="1089">
                  <c:v>9721.8366849775084</c:v>
                </c:pt>
                <c:pt idx="1090">
                  <c:v>9734.3115084379097</c:v>
                </c:pt>
                <c:pt idx="1091">
                  <c:v>9746.7905780874935</c:v>
                </c:pt>
                <c:pt idx="1092">
                  <c:v>9759.2738912928507</c:v>
                </c:pt>
                <c:pt idx="1093">
                  <c:v>9771.7614454251416</c:v>
                </c:pt>
                <c:pt idx="1094">
                  <c:v>9784.2532378601045</c:v>
                </c:pt>
                <c:pt idx="1095">
                  <c:v>9796.7492659780401</c:v>
                </c:pt>
                <c:pt idx="1096">
                  <c:v>9809.2495271637817</c:v>
                </c:pt>
                <c:pt idx="1097">
                  <c:v>9821.7540188067105</c:v>
                </c:pt>
                <c:pt idx="1098">
                  <c:v>9834.2627383007148</c:v>
                </c:pt>
                <c:pt idx="1099">
                  <c:v>9846.7756830441922</c:v>
                </c:pt>
                <c:pt idx="1100">
                  <c:v>9859.2928504400315</c:v>
                </c:pt>
                <c:pt idx="1101">
                  <c:v>9871.8142378956145</c:v>
                </c:pt>
                <c:pt idx="1102">
                  <c:v>9884.3398428227702</c:v>
                </c:pt>
                <c:pt idx="1103">
                  <c:v>9896.8696626378023</c:v>
                </c:pt>
                <c:pt idx="1104">
                  <c:v>9909.4036947614441</c:v>
                </c:pt>
                <c:pt idx="1105">
                  <c:v>9921.9419366188667</c:v>
                </c:pt>
                <c:pt idx="1106">
                  <c:v>9934.4843856396601</c:v>
                </c:pt>
                <c:pt idx="1107">
                  <c:v>9947.0310392578158</c:v>
                </c:pt>
                <c:pt idx="1108">
                  <c:v>9959.5818949117147</c:v>
                </c:pt>
                <c:pt idx="1109">
                  <c:v>9972.136950044136</c:v>
                </c:pt>
                <c:pt idx="1110">
                  <c:v>9984.6962021022027</c:v>
                </c:pt>
                <c:pt idx="1111">
                  <c:v>9997.2596485374124</c:v>
                </c:pt>
                <c:pt idx="1112">
                  <c:v>10009.827286805597</c:v>
                </c:pt>
                <c:pt idx="1113">
                  <c:v>10022.39911436693</c:v>
                </c:pt>
                <c:pt idx="1114">
                  <c:v>10034.975128685894</c:v>
                </c:pt>
                <c:pt idx="1115">
                  <c:v>10047.555327231292</c:v>
                </c:pt>
                <c:pt idx="1116">
                  <c:v>10060.13970747621</c:v>
                </c:pt>
                <c:pt idx="1117">
                  <c:v>10072.72826689803</c:v>
                </c:pt>
                <c:pt idx="1118">
                  <c:v>10085.321002978395</c:v>
                </c:pt>
                <c:pt idx="1119">
                  <c:v>10097.917913203211</c:v>
                </c:pt>
                <c:pt idx="1120">
                  <c:v>10110.518995062645</c:v>
                </c:pt>
                <c:pt idx="1121">
                  <c:v>10123.124246051082</c:v>
                </c:pt>
                <c:pt idx="1122">
                  <c:v>10135.733663667144</c:v>
                </c:pt>
                <c:pt idx="1123">
                  <c:v>10148.347245413666</c:v>
                </c:pt>
                <c:pt idx="1124">
                  <c:v>10160.964988797681</c:v>
                </c:pt>
                <c:pt idx="1125">
                  <c:v>10173.586891330408</c:v>
                </c:pt>
                <c:pt idx="1126">
                  <c:v>10186.212950527257</c:v>
                </c:pt>
                <c:pt idx="1127">
                  <c:v>10198.843163907793</c:v>
                </c:pt>
                <c:pt idx="1128">
                  <c:v>10211.477528995743</c:v>
                </c:pt>
                <c:pt idx="1129">
                  <c:v>10224.116043318978</c:v>
                </c:pt>
                <c:pt idx="1130">
                  <c:v>10236.758704409502</c:v>
                </c:pt>
                <c:pt idx="1131">
                  <c:v>10249.405509803437</c:v>
                </c:pt>
                <c:pt idx="1132">
                  <c:v>10262.056457041021</c:v>
                </c:pt>
                <c:pt idx="1133">
                  <c:v>10274.711543666584</c:v>
                </c:pt>
                <c:pt idx="1134">
                  <c:v>10287.370767228556</c:v>
                </c:pt>
                <c:pt idx="1135">
                  <c:v>10300.034125279428</c:v>
                </c:pt>
                <c:pt idx="1136">
                  <c:v>10312.701615375769</c:v>
                </c:pt>
                <c:pt idx="1137">
                  <c:v>10325.373235078196</c:v>
                </c:pt>
                <c:pt idx="1138">
                  <c:v>10338.048981951373</c:v>
                </c:pt>
                <c:pt idx="1139">
                  <c:v>10350.728853563996</c:v>
                </c:pt>
                <c:pt idx="1140">
                  <c:v>10363.412847488786</c:v>
                </c:pt>
                <c:pt idx="1141">
                  <c:v>10376.100961302465</c:v>
                </c:pt>
                <c:pt idx="1142">
                  <c:v>10388.79319258577</c:v>
                </c:pt>
                <c:pt idx="1143">
                  <c:v>10401.48953892341</c:v>
                </c:pt>
                <c:pt idx="1144">
                  <c:v>10414.189997904083</c:v>
                </c:pt>
                <c:pt idx="1145">
                  <c:v>10426.894567120455</c:v>
                </c:pt>
                <c:pt idx="1146">
                  <c:v>10439.603244169144</c:v>
                </c:pt>
                <c:pt idx="1147">
                  <c:v>10452.316026650724</c:v>
                </c:pt>
                <c:pt idx="1148">
                  <c:v>10465.03291216969</c:v>
                </c:pt>
                <c:pt idx="1149">
                  <c:v>10477.753898334473</c:v>
                </c:pt>
                <c:pt idx="1150">
                  <c:v>10490.478982757417</c:v>
                </c:pt>
                <c:pt idx="1151">
                  <c:v>10503.208163054773</c:v>
                </c:pt>
                <c:pt idx="1152">
                  <c:v>10515.941436846668</c:v>
                </c:pt>
                <c:pt idx="1153">
                  <c:v>10528.67880175714</c:v>
                </c:pt>
                <c:pt idx="1154">
                  <c:v>10541.420255414079</c:v>
                </c:pt>
                <c:pt idx="1155">
                  <c:v>10554.165795449248</c:v>
                </c:pt>
                <c:pt idx="1156">
                  <c:v>10566.915419498255</c:v>
                </c:pt>
                <c:pt idx="1157">
                  <c:v>10579.669125200558</c:v>
                </c:pt>
                <c:pt idx="1158">
                  <c:v>10592.42691019944</c:v>
                </c:pt>
                <c:pt idx="1159">
                  <c:v>10605.18877214201</c:v>
                </c:pt>
                <c:pt idx="1160">
                  <c:v>10617.954708679186</c:v>
                </c:pt>
                <c:pt idx="1161">
                  <c:v>10630.724717465688</c:v>
                </c:pt>
                <c:pt idx="1162">
                  <c:v>10643.498796160027</c:v>
                </c:pt>
                <c:pt idx="1163">
                  <c:v>10656.2769424245</c:v>
                </c:pt>
                <c:pt idx="1164">
                  <c:v>10669.059153925169</c:v>
                </c:pt>
                <c:pt idx="1165">
                  <c:v>10681.845428331853</c:v>
                </c:pt>
                <c:pt idx="1166">
                  <c:v>10694.63576331814</c:v>
                </c:pt>
                <c:pt idx="1167">
                  <c:v>10707.430156561346</c:v>
                </c:pt>
                <c:pt idx="1168">
                  <c:v>10720.228605742515</c:v>
                </c:pt>
                <c:pt idx="1169">
                  <c:v>10733.031108546424</c:v>
                </c:pt>
                <c:pt idx="1170">
                  <c:v>10745.837662661555</c:v>
                </c:pt>
                <c:pt idx="1171">
                  <c:v>10758.648265780099</c:v>
                </c:pt>
                <c:pt idx="1172">
                  <c:v>10771.462915597931</c:v>
                </c:pt>
                <c:pt idx="1173">
                  <c:v>10784.281609814612</c:v>
                </c:pt>
                <c:pt idx="1174">
                  <c:v>10797.104346133383</c:v>
                </c:pt>
                <c:pt idx="1175">
                  <c:v>10809.93112226114</c:v>
                </c:pt>
                <c:pt idx="1176">
                  <c:v>10822.761935908436</c:v>
                </c:pt>
                <c:pt idx="1177">
                  <c:v>10835.59678478947</c:v>
                </c:pt>
                <c:pt idx="1178">
                  <c:v>10848.435666622079</c:v>
                </c:pt>
                <c:pt idx="1179">
                  <c:v>10861.278579127713</c:v>
                </c:pt>
                <c:pt idx="1180">
                  <c:v>10874.125520031455</c:v>
                </c:pt>
                <c:pt idx="1181">
                  <c:v>10886.976487061984</c:v>
                </c:pt>
                <c:pt idx="1182">
                  <c:v>10899.831477951582</c:v>
                </c:pt>
                <c:pt idx="1183">
                  <c:v>10912.690490436114</c:v>
                </c:pt>
                <c:pt idx="1184">
                  <c:v>10925.553522255028</c:v>
                </c:pt>
                <c:pt idx="1185">
                  <c:v>10938.420571151339</c:v>
                </c:pt>
                <c:pt idx="1186">
                  <c:v>10951.291634871626</c:v>
                </c:pt>
                <c:pt idx="1187">
                  <c:v>10964.166711166017</c:v>
                </c:pt>
                <c:pt idx="1188">
                  <c:v>10977.045797788178</c:v>
                </c:pt>
                <c:pt idx="1189">
                  <c:v>10989.928892495316</c:v>
                </c:pt>
                <c:pt idx="1190">
                  <c:v>11002.815993048156</c:v>
                </c:pt>
                <c:pt idx="1191">
                  <c:v>11015.707097210941</c:v>
                </c:pt>
                <c:pt idx="1192">
                  <c:v>11028.602202751419</c:v>
                </c:pt>
                <c:pt idx="1193">
                  <c:v>11041.501307440833</c:v>
                </c:pt>
                <c:pt idx="1194">
                  <c:v>11054.404409053914</c:v>
                </c:pt>
                <c:pt idx="1195">
                  <c:v>11067.311505368871</c:v>
                </c:pt>
                <c:pt idx="1196">
                  <c:v>11080.222594167388</c:v>
                </c:pt>
                <c:pt idx="1197">
                  <c:v>11093.137673234603</c:v>
                </c:pt>
                <c:pt idx="1198">
                  <c:v>11106.056740359116</c:v>
                </c:pt>
                <c:pt idx="1199">
                  <c:v>11118.979793332961</c:v>
                </c:pt>
                <c:pt idx="1200">
                  <c:v>11131.906829951608</c:v>
                </c:pt>
                <c:pt idx="1201">
                  <c:v>11144.837848013958</c:v>
                </c:pt>
                <c:pt idx="1202">
                  <c:v>11157.772845322328</c:v>
                </c:pt>
                <c:pt idx="1203">
                  <c:v>11170.711819682434</c:v>
                </c:pt>
                <c:pt idx="1204">
                  <c:v>11183.654768903409</c:v>
                </c:pt>
                <c:pt idx="1205">
                  <c:v>11196.601690797761</c:v>
                </c:pt>
                <c:pt idx="1206">
                  <c:v>11209.55258318139</c:v>
                </c:pt>
                <c:pt idx="1207">
                  <c:v>11222.50744387357</c:v>
                </c:pt>
                <c:pt idx="1208">
                  <c:v>11235.466270696934</c:v>
                </c:pt>
                <c:pt idx="1209">
                  <c:v>11248.429061477482</c:v>
                </c:pt>
                <c:pt idx="1210">
                  <c:v>11261.39581404455</c:v>
                </c:pt>
                <c:pt idx="1211">
                  <c:v>11274.366526230826</c:v>
                </c:pt>
                <c:pt idx="1212">
                  <c:v>11287.341195872323</c:v>
                </c:pt>
                <c:pt idx="1213">
                  <c:v>11300.319820808378</c:v>
                </c:pt>
                <c:pt idx="1214">
                  <c:v>11313.302398881648</c:v>
                </c:pt>
                <c:pt idx="1215">
                  <c:v>11326.288927938087</c:v>
                </c:pt>
                <c:pt idx="1216">
                  <c:v>11339.279405826961</c:v>
                </c:pt>
                <c:pt idx="1217">
                  <c:v>11352.273830400816</c:v>
                </c:pt>
                <c:pt idx="1218">
                  <c:v>11365.272199515475</c:v>
                </c:pt>
                <c:pt idx="1219">
                  <c:v>11378.274511030053</c:v>
                </c:pt>
                <c:pt idx="1220">
                  <c:v>11391.280762806913</c:v>
                </c:pt>
                <c:pt idx="1221">
                  <c:v>11404.290952711683</c:v>
                </c:pt>
                <c:pt idx="1222">
                  <c:v>11417.305078613241</c:v>
                </c:pt>
                <c:pt idx="1223">
                  <c:v>11430.323138383705</c:v>
                </c:pt>
                <c:pt idx="1224">
                  <c:v>11443.345129898422</c:v>
                </c:pt>
                <c:pt idx="1225">
                  <c:v>11456.371051035971</c:v>
                </c:pt>
                <c:pt idx="1226">
                  <c:v>11469.400899678141</c:v>
                </c:pt>
                <c:pt idx="1227">
                  <c:v>11482.434673709937</c:v>
                </c:pt>
                <c:pt idx="1228">
                  <c:v>11495.472371019558</c:v>
                </c:pt>
                <c:pt idx="1229">
                  <c:v>11508.513989498406</c:v>
                </c:pt>
                <c:pt idx="1230">
                  <c:v>11521.559527041056</c:v>
                </c:pt>
                <c:pt idx="1231">
                  <c:v>11534.608981545269</c:v>
                </c:pt>
                <c:pt idx="1232">
                  <c:v>11547.662350911974</c:v>
                </c:pt>
                <c:pt idx="1233">
                  <c:v>11560.719633045261</c:v>
                </c:pt>
                <c:pt idx="1234">
                  <c:v>11573.780825852373</c:v>
                </c:pt>
                <c:pt idx="1235">
                  <c:v>11586.845927243699</c:v>
                </c:pt>
                <c:pt idx="1236">
                  <c:v>11599.914935132769</c:v>
                </c:pt>
                <c:pt idx="1237">
                  <c:v>11612.987847436241</c:v>
                </c:pt>
                <c:pt idx="1238">
                  <c:v>11626.064662073897</c:v>
                </c:pt>
                <c:pt idx="1239">
                  <c:v>11639.145376968634</c:v>
                </c:pt>
                <c:pt idx="1240">
                  <c:v>11652.229990046464</c:v>
                </c:pt>
                <c:pt idx="1241">
                  <c:v>11665.318499236484</c:v>
                </c:pt>
                <c:pt idx="1242">
                  <c:v>11678.410902470896</c:v>
                </c:pt>
                <c:pt idx="1243">
                  <c:v>11691.507197684983</c:v>
                </c:pt>
                <c:pt idx="1244">
                  <c:v>11704.607382817103</c:v>
                </c:pt>
                <c:pt idx="1245">
                  <c:v>11717.711455808687</c:v>
                </c:pt>
                <c:pt idx="1246">
                  <c:v>11730.819414604231</c:v>
                </c:pt>
                <c:pt idx="1247">
                  <c:v>11743.931257151282</c:v>
                </c:pt>
                <c:pt idx="1248">
                  <c:v>11757.046981400434</c:v>
                </c:pt>
                <c:pt idx="1249">
                  <c:v>11770.166585305324</c:v>
                </c:pt>
                <c:pt idx="1250">
                  <c:v>11783.290066822621</c:v>
                </c:pt>
                <c:pt idx="1251">
                  <c:v>11796.417423912017</c:v>
                </c:pt>
                <c:pt idx="1252">
                  <c:v>11809.548654536227</c:v>
                </c:pt>
                <c:pt idx="1253">
                  <c:v>11822.683756660972</c:v>
                </c:pt>
                <c:pt idx="1254">
                  <c:v>11835.822728254978</c:v>
                </c:pt>
                <c:pt idx="1255">
                  <c:v>11848.965567289972</c:v>
                </c:pt>
                <c:pt idx="1256">
                  <c:v>11862.112271740662</c:v>
                </c:pt>
                <c:pt idx="1257">
                  <c:v>11875.262839584741</c:v>
                </c:pt>
                <c:pt idx="1258">
                  <c:v>11888.417268802881</c:v>
                </c:pt>
                <c:pt idx="1259">
                  <c:v>11901.575557378721</c:v>
                </c:pt>
                <c:pt idx="1260">
                  <c:v>11914.737703298848</c:v>
                </c:pt>
                <c:pt idx="1261">
                  <c:v>11927.90370455282</c:v>
                </c:pt>
                <c:pt idx="1262">
                  <c:v>11941.073559133125</c:v>
                </c:pt>
                <c:pt idx="1263">
                  <c:v>11954.247265035207</c:v>
                </c:pt>
                <c:pt idx="1264">
                  <c:v>11967.424820257427</c:v>
                </c:pt>
                <c:pt idx="1265">
                  <c:v>11980.606222801078</c:v>
                </c:pt>
                <c:pt idx="1266">
                  <c:v>11993.791470670374</c:v>
                </c:pt>
                <c:pt idx="1267">
                  <c:v>12006.980561872431</c:v>
                </c:pt>
                <c:pt idx="1268">
                  <c:v>12020.173494417279</c:v>
                </c:pt>
                <c:pt idx="1269">
                  <c:v>12033.370266317837</c:v>
                </c:pt>
                <c:pt idx="1270">
                  <c:v>12046.570875589921</c:v>
                </c:pt>
                <c:pt idx="1271">
                  <c:v>12059.775320252227</c:v>
                </c:pt>
                <c:pt idx="1272">
                  <c:v>12072.983598326326</c:v>
                </c:pt>
                <c:pt idx="1273">
                  <c:v>12086.195707836661</c:v>
                </c:pt>
                <c:pt idx="1274">
                  <c:v>12099.411646810542</c:v>
                </c:pt>
                <c:pt idx="1275">
                  <c:v>12112.631413278128</c:v>
                </c:pt>
                <c:pt idx="1276">
                  <c:v>12125.855005272435</c:v>
                </c:pt>
                <c:pt idx="1277">
                  <c:v>12139.082420829305</c:v>
                </c:pt>
                <c:pt idx="1278">
                  <c:v>12152.313657987441</c:v>
                </c:pt>
                <c:pt idx="1279">
                  <c:v>12165.548714788354</c:v>
                </c:pt>
                <c:pt idx="1280">
                  <c:v>12178.787589276391</c:v>
                </c:pt>
                <c:pt idx="1281">
                  <c:v>12192.030279498707</c:v>
                </c:pt>
                <c:pt idx="1282">
                  <c:v>12205.276783505269</c:v>
                </c:pt>
                <c:pt idx="1283">
                  <c:v>12218.527099348848</c:v>
                </c:pt>
                <c:pt idx="1284">
                  <c:v>12231.781225085015</c:v>
                </c:pt>
                <c:pt idx="1285">
                  <c:v>12245.039158772115</c:v>
                </c:pt>
                <c:pt idx="1286">
                  <c:v>12258.300898471291</c:v>
                </c:pt>
                <c:pt idx="1287">
                  <c:v>12271.566442246454</c:v>
                </c:pt>
                <c:pt idx="1288">
                  <c:v>12284.835788164297</c:v>
                </c:pt>
                <c:pt idx="1289">
                  <c:v>12298.108934294261</c:v>
                </c:pt>
                <c:pt idx="1290">
                  <c:v>12311.385878708556</c:v>
                </c:pt>
                <c:pt idx="1291">
                  <c:v>12324.666619482134</c:v>
                </c:pt>
                <c:pt idx="1292">
                  <c:v>12337.951154692697</c:v>
                </c:pt>
                <c:pt idx="1293">
                  <c:v>12351.239482420682</c:v>
                </c:pt>
                <c:pt idx="1294">
                  <c:v>12364.531600749253</c:v>
                </c:pt>
                <c:pt idx="1295">
                  <c:v>12377.827507764312</c:v>
                </c:pt>
                <c:pt idx="1296">
                  <c:v>12391.127201554464</c:v>
                </c:pt>
                <c:pt idx="1297">
                  <c:v>12404.430680211037</c:v>
                </c:pt>
                <c:pt idx="1298">
                  <c:v>12417.737941828069</c:v>
                </c:pt>
                <c:pt idx="1299">
                  <c:v>12431.048984502278</c:v>
                </c:pt>
                <c:pt idx="1300">
                  <c:v>12444.363806333096</c:v>
                </c:pt>
                <c:pt idx="1301">
                  <c:v>12457.682405422636</c:v>
                </c:pt>
                <c:pt idx="1302">
                  <c:v>12471.004779875686</c:v>
                </c:pt>
                <c:pt idx="1303">
                  <c:v>12484.330927799712</c:v>
                </c:pt>
                <c:pt idx="1304">
                  <c:v>12497.660847304856</c:v>
                </c:pt>
                <c:pt idx="1305">
                  <c:v>12510.994536503909</c:v>
                </c:pt>
                <c:pt idx="1306">
                  <c:v>12524.331993512335</c:v>
                </c:pt>
                <c:pt idx="1307">
                  <c:v>12537.673216448231</c:v>
                </c:pt>
                <c:pt idx="1308">
                  <c:v>12551.018203432355</c:v>
                </c:pt>
                <c:pt idx="1309">
                  <c:v>12564.366952588089</c:v>
                </c:pt>
                <c:pt idx="1310">
                  <c:v>12577.719462041452</c:v>
                </c:pt>
                <c:pt idx="1311">
                  <c:v>12591.075729921089</c:v>
                </c:pt>
                <c:pt idx="1312">
                  <c:v>12604.43575435827</c:v>
                </c:pt>
                <c:pt idx="1313">
                  <c:v>12617.799533486876</c:v>
                </c:pt>
                <c:pt idx="1314">
                  <c:v>12631.167065443386</c:v>
                </c:pt>
                <c:pt idx="1315">
                  <c:v>12644.538348366897</c:v>
                </c:pt>
                <c:pt idx="1316">
                  <c:v>12657.913380399095</c:v>
                </c:pt>
                <c:pt idx="1317">
                  <c:v>12671.292159684253</c:v>
                </c:pt>
                <c:pt idx="1318">
                  <c:v>12684.674684369234</c:v>
                </c:pt>
                <c:pt idx="1319">
                  <c:v>12698.060952603471</c:v>
                </c:pt>
                <c:pt idx="1320">
                  <c:v>12711.450962538987</c:v>
                </c:pt>
                <c:pt idx="1321">
                  <c:v>12724.844712330347</c:v>
                </c:pt>
                <c:pt idx="1322">
                  <c:v>12738.242200134693</c:v>
                </c:pt>
                <c:pt idx="1323">
                  <c:v>12751.643424111726</c:v>
                </c:pt>
                <c:pt idx="1324">
                  <c:v>12765.048382423684</c:v>
                </c:pt>
                <c:pt idx="1325">
                  <c:v>12778.45707323535</c:v>
                </c:pt>
                <c:pt idx="1326">
                  <c:v>12791.869494714054</c:v>
                </c:pt>
                <c:pt idx="1327">
                  <c:v>12805.285645029649</c:v>
                </c:pt>
                <c:pt idx="1328">
                  <c:v>12818.705522354521</c:v>
                </c:pt>
                <c:pt idx="1329">
                  <c:v>12832.129124863568</c:v>
                </c:pt>
                <c:pt idx="1330">
                  <c:v>12845.55645073421</c:v>
                </c:pt>
                <c:pt idx="1331">
                  <c:v>12858.987498146376</c:v>
                </c:pt>
                <c:pt idx="1332">
                  <c:v>12872.422265282494</c:v>
                </c:pt>
                <c:pt idx="1333">
                  <c:v>12885.860750327491</c:v>
                </c:pt>
                <c:pt idx="1334">
                  <c:v>12899.302951468795</c:v>
                </c:pt>
                <c:pt idx="1335">
                  <c:v>12912.748866896309</c:v>
                </c:pt>
                <c:pt idx="1336">
                  <c:v>12926.198494802415</c:v>
                </c:pt>
                <c:pt idx="1337">
                  <c:v>12939.651833381988</c:v>
                </c:pt>
                <c:pt idx="1338">
                  <c:v>12953.108880832355</c:v>
                </c:pt>
                <c:pt idx="1339">
                  <c:v>12966.569635353317</c:v>
                </c:pt>
                <c:pt idx="1340">
                  <c:v>12980.03409514713</c:v>
                </c:pt>
                <c:pt idx="1341">
                  <c:v>12993.502258418506</c:v>
                </c:pt>
                <c:pt idx="1342">
                  <c:v>13006.97412337461</c:v>
                </c:pt>
                <c:pt idx="1343">
                  <c:v>13020.449688225035</c:v>
                </c:pt>
                <c:pt idx="1344">
                  <c:v>13033.928951181821</c:v>
                </c:pt>
                <c:pt idx="1345">
                  <c:v>13047.411910459443</c:v>
                </c:pt>
                <c:pt idx="1346">
                  <c:v>13060.89856427479</c:v>
                </c:pt>
                <c:pt idx="1347">
                  <c:v>13074.388910847187</c:v>
                </c:pt>
                <c:pt idx="1348">
                  <c:v>13087.882948398361</c:v>
                </c:pt>
                <c:pt idx="1349">
                  <c:v>13101.380675152461</c:v>
                </c:pt>
                <c:pt idx="1350">
                  <c:v>13114.882089336032</c:v>
                </c:pt>
                <c:pt idx="1351">
                  <c:v>13128.38718917802</c:v>
                </c:pt>
                <c:pt idx="1352">
                  <c:v>13141.895972909766</c:v>
                </c:pt>
                <c:pt idx="1353">
                  <c:v>13155.408438765004</c:v>
                </c:pt>
                <c:pt idx="1354">
                  <c:v>13168.924584979841</c:v>
                </c:pt>
                <c:pt idx="1355">
                  <c:v>13182.444409792777</c:v>
                </c:pt>
                <c:pt idx="1356">
                  <c:v>13195.967911444674</c:v>
                </c:pt>
                <c:pt idx="1357">
                  <c:v>13209.495088178766</c:v>
                </c:pt>
                <c:pt idx="1358">
                  <c:v>13223.025938240648</c:v>
                </c:pt>
                <c:pt idx="1359">
                  <c:v>13236.560459878272</c:v>
                </c:pt>
                <c:pt idx="1360">
                  <c:v>13250.098651341945</c:v>
                </c:pt>
                <c:pt idx="1361">
                  <c:v>13263.640510884319</c:v>
                </c:pt>
                <c:pt idx="1362">
                  <c:v>13277.186036760388</c:v>
                </c:pt>
                <c:pt idx="1363">
                  <c:v>13290.735227227487</c:v>
                </c:pt>
                <c:pt idx="1364">
                  <c:v>13304.288080545275</c:v>
                </c:pt>
                <c:pt idx="1365">
                  <c:v>13317.844594975737</c:v>
                </c:pt>
                <c:pt idx="1366">
                  <c:v>13331.404768783195</c:v>
                </c:pt>
                <c:pt idx="1367">
                  <c:v>13344.968600234275</c:v>
                </c:pt>
                <c:pt idx="1368">
                  <c:v>13358.536087597906</c:v>
                </c:pt>
                <c:pt idx="1369">
                  <c:v>13372.107229145338</c:v>
                </c:pt>
                <c:pt idx="1370">
                  <c:v>13385.682023150122</c:v>
                </c:pt>
                <c:pt idx="1371">
                  <c:v>13399.260467888096</c:v>
                </c:pt>
                <c:pt idx="1372">
                  <c:v>13412.842561637399</c:v>
                </c:pt>
                <c:pt idx="1373">
                  <c:v>13426.428302678443</c:v>
                </c:pt>
                <c:pt idx="1374">
                  <c:v>13440.017689293938</c:v>
                </c:pt>
                <c:pt idx="1375">
                  <c:v>13453.610719768854</c:v>
                </c:pt>
                <c:pt idx="1376">
                  <c:v>13467.207392390455</c:v>
                </c:pt>
                <c:pt idx="1377">
                  <c:v>13480.807705448242</c:v>
                </c:pt>
                <c:pt idx="1378">
                  <c:v>13494.411657234003</c:v>
                </c:pt>
                <c:pt idx="1379">
                  <c:v>13508.019246041766</c:v>
                </c:pt>
                <c:pt idx="1380">
                  <c:v>13521.630470167816</c:v>
                </c:pt>
                <c:pt idx="1381">
                  <c:v>13535.245327910698</c:v>
                </c:pt>
                <c:pt idx="1382">
                  <c:v>13548.863817571175</c:v>
                </c:pt>
                <c:pt idx="1383">
                  <c:v>13562.485937452264</c:v>
                </c:pt>
                <c:pt idx="1384">
                  <c:v>13576.111685859218</c:v>
                </c:pt>
                <c:pt idx="1385">
                  <c:v>13589.741061099496</c:v>
                </c:pt>
                <c:pt idx="1386">
                  <c:v>13603.374061482809</c:v>
                </c:pt>
                <c:pt idx="1387">
                  <c:v>13617.010685321062</c:v>
                </c:pt>
                <c:pt idx="1388">
                  <c:v>13630.650930928387</c:v>
                </c:pt>
                <c:pt idx="1389">
                  <c:v>13644.294796621114</c:v>
                </c:pt>
                <c:pt idx="1390">
                  <c:v>13657.942280717791</c:v>
                </c:pt>
                <c:pt idx="1391">
                  <c:v>13671.593381539151</c:v>
                </c:pt>
                <c:pt idx="1392">
                  <c:v>13685.248097408137</c:v>
                </c:pt>
                <c:pt idx="1393">
                  <c:v>13698.906426649868</c:v>
                </c:pt>
                <c:pt idx="1394">
                  <c:v>13712.568367591648</c:v>
                </c:pt>
                <c:pt idx="1395">
                  <c:v>13726.233918562972</c:v>
                </c:pt>
                <c:pt idx="1396">
                  <c:v>13739.903077895502</c:v>
                </c:pt>
                <c:pt idx="1397">
                  <c:v>13753.575843923074</c:v>
                </c:pt>
                <c:pt idx="1398">
                  <c:v>13767.252214981701</c:v>
                </c:pt>
                <c:pt idx="1399">
                  <c:v>13780.93218940953</c:v>
                </c:pt>
                <c:pt idx="1400">
                  <c:v>13794.6157655469</c:v>
                </c:pt>
                <c:pt idx="1401">
                  <c:v>13808.302941736281</c:v>
                </c:pt>
                <c:pt idx="1402">
                  <c:v>13821.993716322289</c:v>
                </c:pt>
                <c:pt idx="1403">
                  <c:v>13835.688087651699</c:v>
                </c:pt>
                <c:pt idx="1404">
                  <c:v>13849.386054073413</c:v>
                </c:pt>
                <c:pt idx="1405">
                  <c:v>13863.087613938473</c:v>
                </c:pt>
                <c:pt idx="1406">
                  <c:v>13876.792765600052</c:v>
                </c:pt>
                <c:pt idx="1407">
                  <c:v>13890.501507413441</c:v>
                </c:pt>
                <c:pt idx="1408">
                  <c:v>13904.213837736059</c:v>
                </c:pt>
                <c:pt idx="1409">
                  <c:v>13917.929754927445</c:v>
                </c:pt>
                <c:pt idx="1410">
                  <c:v>13931.64925734924</c:v>
                </c:pt>
                <c:pt idx="1411">
                  <c:v>13945.372343365198</c:v>
                </c:pt>
                <c:pt idx="1412">
                  <c:v>13959.099011341174</c:v>
                </c:pt>
                <c:pt idx="1413">
                  <c:v>13972.829259645132</c:v>
                </c:pt>
                <c:pt idx="1414">
                  <c:v>13986.563086647115</c:v>
                </c:pt>
                <c:pt idx="1415">
                  <c:v>14000.30049071927</c:v>
                </c:pt>
                <c:pt idx="1416">
                  <c:v>14014.041470235814</c:v>
                </c:pt>
                <c:pt idx="1417">
                  <c:v>14027.78602357306</c:v>
                </c:pt>
                <c:pt idx="1418">
                  <c:v>14041.5341491094</c:v>
                </c:pt>
                <c:pt idx="1419">
                  <c:v>14055.285845225275</c:v>
                </c:pt>
                <c:pt idx="1420">
                  <c:v>14069.041110303217</c:v>
                </c:pt>
                <c:pt idx="1421">
                  <c:v>14082.799942727823</c:v>
                </c:pt>
                <c:pt idx="1422">
                  <c:v>14096.562340885732</c:v>
                </c:pt>
                <c:pt idx="1423">
                  <c:v>14110.32830316565</c:v>
                </c:pt>
                <c:pt idx="1424">
                  <c:v>14124.097827958332</c:v>
                </c:pt>
                <c:pt idx="1425">
                  <c:v>14137.870913656581</c:v>
                </c:pt>
                <c:pt idx="1426">
                  <c:v>14151.647558655251</c:v>
                </c:pt>
                <c:pt idx="1427">
                  <c:v>14165.427761351209</c:v>
                </c:pt>
                <c:pt idx="1428">
                  <c:v>14179.211520143381</c:v>
                </c:pt>
                <c:pt idx="1429">
                  <c:v>14192.99883343271</c:v>
                </c:pt>
                <c:pt idx="1430">
                  <c:v>14206.789699622168</c:v>
                </c:pt>
                <c:pt idx="1431">
                  <c:v>14220.584117116756</c:v>
                </c:pt>
                <c:pt idx="1432">
                  <c:v>14234.382084323475</c:v>
                </c:pt>
                <c:pt idx="1433">
                  <c:v>14248.183599651355</c:v>
                </c:pt>
                <c:pt idx="1434">
                  <c:v>14261.988661511432</c:v>
                </c:pt>
                <c:pt idx="1435">
                  <c:v>14275.797268316734</c:v>
                </c:pt>
                <c:pt idx="1436">
                  <c:v>14289.609418482309</c:v>
                </c:pt>
                <c:pt idx="1437">
                  <c:v>14303.425110425189</c:v>
                </c:pt>
                <c:pt idx="1438">
                  <c:v>14317.244342564392</c:v>
                </c:pt>
                <c:pt idx="1439">
                  <c:v>14331.067113320951</c:v>
                </c:pt>
                <c:pt idx="1440">
                  <c:v>14344.893421117853</c:v>
                </c:pt>
                <c:pt idx="1441">
                  <c:v>14358.723264380082</c:v>
                </c:pt>
                <c:pt idx="1442">
                  <c:v>14372.556641534593</c:v>
                </c:pt>
                <c:pt idx="1443">
                  <c:v>14386.393551010315</c:v>
                </c:pt>
                <c:pt idx="1444">
                  <c:v>14400.233991238147</c:v>
                </c:pt>
                <c:pt idx="1445">
                  <c:v>14414.077960650939</c:v>
                </c:pt>
                <c:pt idx="1446">
                  <c:v>14427.925457683525</c:v>
                </c:pt>
                <c:pt idx="1447">
                  <c:v>14441.776480772669</c:v>
                </c:pt>
                <c:pt idx="1448">
                  <c:v>14455.6310283571</c:v>
                </c:pt>
                <c:pt idx="1449">
                  <c:v>14469.489098877497</c:v>
                </c:pt>
                <c:pt idx="1450">
                  <c:v>14483.350690776484</c:v>
                </c:pt>
                <c:pt idx="1451">
                  <c:v>14497.215802498609</c:v>
                </c:pt>
                <c:pt idx="1452">
                  <c:v>14511.084432490381</c:v>
                </c:pt>
                <c:pt idx="1453">
                  <c:v>14524.956579200212</c:v>
                </c:pt>
                <c:pt idx="1454">
                  <c:v>14538.832241078475</c:v>
                </c:pt>
                <c:pt idx="1455">
                  <c:v>14552.711416577433</c:v>
                </c:pt>
                <c:pt idx="1456">
                  <c:v>14566.594104151296</c:v>
                </c:pt>
                <c:pt idx="1457">
                  <c:v>14580.480302256179</c:v>
                </c:pt>
                <c:pt idx="1458">
                  <c:v>14594.370009350114</c:v>
                </c:pt>
                <c:pt idx="1459">
                  <c:v>14608.263223893036</c:v>
                </c:pt>
                <c:pt idx="1460">
                  <c:v>14622.159944346786</c:v>
                </c:pt>
                <c:pt idx="1461">
                  <c:v>14636.060169175114</c:v>
                </c:pt>
                <c:pt idx="1462">
                  <c:v>14649.963896843652</c:v>
                </c:pt>
                <c:pt idx="1463">
                  <c:v>14663.871125819936</c:v>
                </c:pt>
                <c:pt idx="1464">
                  <c:v>14677.781854573401</c:v>
                </c:pt>
                <c:pt idx="1465">
                  <c:v>14691.696081575345</c:v>
                </c:pt>
                <c:pt idx="1466">
                  <c:v>14705.613805298963</c:v>
                </c:pt>
                <c:pt idx="1467">
                  <c:v>14719.535024219327</c:v>
                </c:pt>
                <c:pt idx="1468">
                  <c:v>14733.459736813373</c:v>
                </c:pt>
                <c:pt idx="1469">
                  <c:v>14747.387941559913</c:v>
                </c:pt>
                <c:pt idx="1470">
                  <c:v>14761.319636939643</c:v>
                </c:pt>
                <c:pt idx="1471">
                  <c:v>14775.254821435095</c:v>
                </c:pt>
                <c:pt idx="1472">
                  <c:v>14789.193493530674</c:v>
                </c:pt>
                <c:pt idx="1473">
                  <c:v>14803.135651712641</c:v>
                </c:pt>
                <c:pt idx="1474">
                  <c:v>14817.081294469106</c:v>
                </c:pt>
                <c:pt idx="1475">
                  <c:v>14831.030420290022</c:v>
                </c:pt>
                <c:pt idx="1476">
                  <c:v>14844.983027667209</c:v>
                </c:pt>
                <c:pt idx="1477">
                  <c:v>14858.93911509429</c:v>
                </c:pt>
                <c:pt idx="1478">
                  <c:v>14872.898681066759</c:v>
                </c:pt>
                <c:pt idx="1479">
                  <c:v>14886.861724081926</c:v>
                </c:pt>
                <c:pt idx="1480">
                  <c:v>14900.828242638932</c:v>
                </c:pt>
                <c:pt idx="1481">
                  <c:v>14914.79823523875</c:v>
                </c:pt>
                <c:pt idx="1482">
                  <c:v>14928.771700384183</c:v>
                </c:pt>
                <c:pt idx="1483">
                  <c:v>14942.748636579829</c:v>
                </c:pt>
                <c:pt idx="1484">
                  <c:v>14956.729042332121</c:v>
                </c:pt>
                <c:pt idx="1485">
                  <c:v>14970.712916149296</c:v>
                </c:pt>
                <c:pt idx="1486">
                  <c:v>14984.700256541404</c:v>
                </c:pt>
                <c:pt idx="1487">
                  <c:v>14998.691062020291</c:v>
                </c:pt>
                <c:pt idx="1488">
                  <c:v>15012.685331099608</c:v>
                </c:pt>
                <c:pt idx="1489">
                  <c:v>15026.683062294809</c:v>
                </c:pt>
                <c:pt idx="1490">
                  <c:v>15040.684254123144</c:v>
                </c:pt>
                <c:pt idx="1491">
                  <c:v>15054.688905103631</c:v>
                </c:pt>
                <c:pt idx="1492">
                  <c:v>15068.697013757101</c:v>
                </c:pt>
                <c:pt idx="1493">
                  <c:v>15082.708578606156</c:v>
                </c:pt>
                <c:pt idx="1494">
                  <c:v>15096.723598175176</c:v>
                </c:pt>
                <c:pt idx="1495">
                  <c:v>15110.74207099032</c:v>
                </c:pt>
                <c:pt idx="1496">
                  <c:v>15124.763995579524</c:v>
                </c:pt>
                <c:pt idx="1497">
                  <c:v>15138.789370472488</c:v>
                </c:pt>
                <c:pt idx="1498">
                  <c:v>15152.818194200674</c:v>
                </c:pt>
                <c:pt idx="1499">
                  <c:v>15166.850465297312</c:v>
                </c:pt>
                <c:pt idx="1500">
                  <c:v>15180.886182297398</c:v>
                </c:pt>
                <c:pt idx="1501">
                  <c:v>15194.925343737668</c:v>
                </c:pt>
                <c:pt idx="1502">
                  <c:v>15208.96794815662</c:v>
                </c:pt>
                <c:pt idx="1503">
                  <c:v>15223.013994094496</c:v>
                </c:pt>
                <c:pt idx="1504">
                  <c:v>15237.063480093278</c:v>
                </c:pt>
                <c:pt idx="1505">
                  <c:v>15251.11640469671</c:v>
                </c:pt>
                <c:pt idx="1506">
                  <c:v>15265.17276645025</c:v>
                </c:pt>
                <c:pt idx="1507">
                  <c:v>15279.232563901105</c:v>
                </c:pt>
                <c:pt idx="1508">
                  <c:v>15293.295795598209</c:v>
                </c:pt>
                <c:pt idx="1509">
                  <c:v>15307.362460092223</c:v>
                </c:pt>
                <c:pt idx="1510">
                  <c:v>15321.432555935542</c:v>
                </c:pt>
                <c:pt idx="1511">
                  <c:v>15335.506081682266</c:v>
                </c:pt>
                <c:pt idx="1512">
                  <c:v>15349.583035888219</c:v>
                </c:pt>
                <c:pt idx="1513">
                  <c:v>15363.663417110958</c:v>
                </c:pt>
                <c:pt idx="1514">
                  <c:v>15377.747223909715</c:v>
                </c:pt>
                <c:pt idx="1515">
                  <c:v>15391.834454845468</c:v>
                </c:pt>
                <c:pt idx="1516">
                  <c:v>15405.925108480878</c:v>
                </c:pt>
                <c:pt idx="1517">
                  <c:v>15420.019183380315</c:v>
                </c:pt>
                <c:pt idx="1518">
                  <c:v>15434.116678109831</c:v>
                </c:pt>
                <c:pt idx="1519">
                  <c:v>15448.2175912372</c:v>
                </c:pt>
                <c:pt idx="1520">
                  <c:v>15462.321921331864</c:v>
                </c:pt>
                <c:pt idx="1521">
                  <c:v>15476.42966696497</c:v>
                </c:pt>
                <c:pt idx="1522">
                  <c:v>15490.540826709341</c:v>
                </c:pt>
                <c:pt idx="1523">
                  <c:v>15504.655399139483</c:v>
                </c:pt>
                <c:pt idx="1524">
                  <c:v>15518.773382831576</c:v>
                </c:pt>
                <c:pt idx="1525">
                  <c:v>15532.894776363486</c:v>
                </c:pt>
                <c:pt idx="1526">
                  <c:v>15547.019578314746</c:v>
                </c:pt>
                <c:pt idx="1527">
                  <c:v>15561.14778726656</c:v>
                </c:pt>
                <c:pt idx="1528">
                  <c:v>15575.279401801785</c:v>
                </c:pt>
                <c:pt idx="1529">
                  <c:v>15589.414420504954</c:v>
                </c:pt>
                <c:pt idx="1530">
                  <c:v>15603.552841962264</c:v>
                </c:pt>
                <c:pt idx="1531">
                  <c:v>15617.694664761551</c:v>
                </c:pt>
                <c:pt idx="1532">
                  <c:v>15631.839887492319</c:v>
                </c:pt>
                <c:pt idx="1533">
                  <c:v>15645.988508745711</c:v>
                </c:pt>
                <c:pt idx="1534">
                  <c:v>15660.140527114527</c:v>
                </c:pt>
                <c:pt idx="1535">
                  <c:v>15674.295941193195</c:v>
                </c:pt>
                <c:pt idx="1536">
                  <c:v>15688.454749577799</c:v>
                </c:pt>
                <c:pt idx="1537">
                  <c:v>15702.616950866055</c:v>
                </c:pt>
                <c:pt idx="1538">
                  <c:v>15716.782543657315</c:v>
                </c:pt>
                <c:pt idx="1539">
                  <c:v>15730.951526552541</c:v>
                </c:pt>
                <c:pt idx="1540">
                  <c:v>15745.123898154368</c:v>
                </c:pt>
                <c:pt idx="1541">
                  <c:v>15759.299657067013</c:v>
                </c:pt>
                <c:pt idx="1542">
                  <c:v>15773.478801896337</c:v>
                </c:pt>
                <c:pt idx="1543">
                  <c:v>15787.661331249805</c:v>
                </c:pt>
                <c:pt idx="1544">
                  <c:v>15801.847243736505</c:v>
                </c:pt>
                <c:pt idx="1545">
                  <c:v>15816.036537967149</c:v>
                </c:pt>
                <c:pt idx="1546">
                  <c:v>15830.229212554041</c:v>
                </c:pt>
                <c:pt idx="1547">
                  <c:v>15844.425266111095</c:v>
                </c:pt>
                <c:pt idx="1548">
                  <c:v>15858.624697253836</c:v>
                </c:pt>
                <c:pt idx="1549">
                  <c:v>15872.827504599381</c:v>
                </c:pt>
                <c:pt idx="1550">
                  <c:v>15887.033686766452</c:v>
                </c:pt>
                <c:pt idx="1551">
                  <c:v>15901.243242375353</c:v>
                </c:pt>
                <c:pt idx="1552">
                  <c:v>15915.456170047995</c:v>
                </c:pt>
                <c:pt idx="1553">
                  <c:v>15929.672468407865</c:v>
                </c:pt>
                <c:pt idx="1554">
                  <c:v>15943.892136080038</c:v>
                </c:pt>
                <c:pt idx="1555">
                  <c:v>15958.115171691174</c:v>
                </c:pt>
                <c:pt idx="1556">
                  <c:v>15972.341573869508</c:v>
                </c:pt>
                <c:pt idx="1557">
                  <c:v>15986.571341244866</c:v>
                </c:pt>
                <c:pt idx="1558">
                  <c:v>16000.804472448619</c:v>
                </c:pt>
                <c:pt idx="1559">
                  <c:v>16015.040966113742</c:v>
                </c:pt>
                <c:pt idx="1560">
                  <c:v>16029.280820874745</c:v>
                </c:pt>
                <c:pt idx="1561">
                  <c:v>16043.524035367722</c:v>
                </c:pt>
                <c:pt idx="1562">
                  <c:v>16057.770608230328</c:v>
                </c:pt>
                <c:pt idx="1563">
                  <c:v>16072.020538101777</c:v>
                </c:pt>
                <c:pt idx="1564">
                  <c:v>16086.273823622818</c:v>
                </c:pt>
                <c:pt idx="1565">
                  <c:v>16100.530463435793</c:v>
                </c:pt>
                <c:pt idx="1566">
                  <c:v>16114.790456184548</c:v>
                </c:pt>
                <c:pt idx="1567">
                  <c:v>16129.053800514514</c:v>
                </c:pt>
                <c:pt idx="1568">
                  <c:v>16143.320495072639</c:v>
                </c:pt>
                <c:pt idx="1569">
                  <c:v>16157.59053850744</c:v>
                </c:pt>
                <c:pt idx="1570">
                  <c:v>16171.863929468935</c:v>
                </c:pt>
                <c:pt idx="1571">
                  <c:v>16186.140666608715</c:v>
                </c:pt>
                <c:pt idx="1572">
                  <c:v>16200.42074857988</c:v>
                </c:pt>
                <c:pt idx="1573">
                  <c:v>16214.704174037066</c:v>
                </c:pt>
                <c:pt idx="1574">
                  <c:v>16228.990941636444</c:v>
                </c:pt>
                <c:pt idx="1575">
                  <c:v>16243.281050035697</c:v>
                </c:pt>
                <c:pt idx="1576">
                  <c:v>16257.574497894038</c:v>
                </c:pt>
                <c:pt idx="1577">
                  <c:v>16271.871283872193</c:v>
                </c:pt>
                <c:pt idx="1578">
                  <c:v>16286.171406632404</c:v>
                </c:pt>
                <c:pt idx="1579">
                  <c:v>16300.474864838428</c:v>
                </c:pt>
                <c:pt idx="1580">
                  <c:v>16314.781657155534</c:v>
                </c:pt>
                <c:pt idx="1581">
                  <c:v>16329.091782250496</c:v>
                </c:pt>
                <c:pt idx="1582">
                  <c:v>16343.405238791594</c:v>
                </c:pt>
                <c:pt idx="1583">
                  <c:v>16357.722025448604</c:v>
                </c:pt>
                <c:pt idx="1584">
                  <c:v>16372.042140892807</c:v>
                </c:pt>
                <c:pt idx="1585">
                  <c:v>16386.365583796978</c:v>
                </c:pt>
                <c:pt idx="1586">
                  <c:v>16400.692352835387</c:v>
                </c:pt>
                <c:pt idx="1587">
                  <c:v>16415.02244668379</c:v>
                </c:pt>
                <c:pt idx="1588">
                  <c:v>16429.355864019435</c:v>
                </c:pt>
                <c:pt idx="1589">
                  <c:v>16443.692603521064</c:v>
                </c:pt>
                <c:pt idx="1590">
                  <c:v>16458.032663868878</c:v>
                </c:pt>
                <c:pt idx="1591">
                  <c:v>16472.376043744582</c:v>
                </c:pt>
                <c:pt idx="1592">
                  <c:v>16486.722741831349</c:v>
                </c:pt>
                <c:pt idx="1593">
                  <c:v>16501.072756813814</c:v>
                </c:pt>
                <c:pt idx="1594">
                  <c:v>16515.426087378106</c:v>
                </c:pt>
                <c:pt idx="1595">
                  <c:v>16529.782732211803</c:v>
                </c:pt>
                <c:pt idx="1596">
                  <c:v>16544.142690003966</c:v>
                </c:pt>
                <c:pt idx="1597">
                  <c:v>16558.505959445116</c:v>
                </c:pt>
                <c:pt idx="1598">
                  <c:v>16572.872539227214</c:v>
                </c:pt>
                <c:pt idx="1599">
                  <c:v>16587.242428043712</c:v>
                </c:pt>
                <c:pt idx="1600">
                  <c:v>16601.615624589489</c:v>
                </c:pt>
                <c:pt idx="1601">
                  <c:v>16615.992127560901</c:v>
                </c:pt>
                <c:pt idx="1602">
                  <c:v>16630.371935655738</c:v>
                </c:pt>
                <c:pt idx="1603">
                  <c:v>16644.755047573239</c:v>
                </c:pt>
                <c:pt idx="1604">
                  <c:v>16659.141462014093</c:v>
                </c:pt>
                <c:pt idx="1605">
                  <c:v>16673.531177680437</c:v>
                </c:pt>
                <c:pt idx="1606">
                  <c:v>16687.924193275834</c:v>
                </c:pt>
                <c:pt idx="1607">
                  <c:v>16702.32050750529</c:v>
                </c:pt>
                <c:pt idx="1608">
                  <c:v>16716.720119075253</c:v>
                </c:pt>
                <c:pt idx="1609">
                  <c:v>16731.123026693585</c:v>
                </c:pt>
                <c:pt idx="1610">
                  <c:v>16745.529229069605</c:v>
                </c:pt>
                <c:pt idx="1611">
                  <c:v>16759.938724914027</c:v>
                </c:pt>
                <c:pt idx="1612">
                  <c:v>16774.351512939014</c:v>
                </c:pt>
                <c:pt idx="1613">
                  <c:v>16788.767591858144</c:v>
                </c:pt>
                <c:pt idx="1614">
                  <c:v>16803.186960386396</c:v>
                </c:pt>
                <c:pt idx="1615">
                  <c:v>16817.609617240196</c:v>
                </c:pt>
                <c:pt idx="1616">
                  <c:v>16832.035561137367</c:v>
                </c:pt>
                <c:pt idx="1617">
                  <c:v>16846.464790797138</c:v>
                </c:pt>
                <c:pt idx="1618">
                  <c:v>16860.897304940157</c:v>
                </c:pt>
                <c:pt idx="1619">
                  <c:v>16875.333102288492</c:v>
                </c:pt>
                <c:pt idx="1620">
                  <c:v>16889.772181565568</c:v>
                </c:pt>
                <c:pt idx="1621">
                  <c:v>16904.214541496272</c:v>
                </c:pt>
                <c:pt idx="1622">
                  <c:v>16918.660180806841</c:v>
                </c:pt>
                <c:pt idx="1623">
                  <c:v>16933.109098224926</c:v>
                </c:pt>
                <c:pt idx="1624">
                  <c:v>16947.56129247959</c:v>
                </c:pt>
                <c:pt idx="1625">
                  <c:v>16962.016762301246</c:v>
                </c:pt>
                <c:pt idx="1626">
                  <c:v>16976.475506421739</c:v>
                </c:pt>
                <c:pt idx="1627">
                  <c:v>16990.93752357427</c:v>
                </c:pt>
                <c:pt idx="1628">
                  <c:v>17005.402812493441</c:v>
                </c:pt>
                <c:pt idx="1629">
                  <c:v>17019.871371915226</c:v>
                </c:pt>
                <c:pt idx="1630">
                  <c:v>17034.343200576979</c:v>
                </c:pt>
                <c:pt idx="1631">
                  <c:v>17048.81829721744</c:v>
                </c:pt>
                <c:pt idx="1632">
                  <c:v>17063.296660576707</c:v>
                </c:pt>
                <c:pt idx="1633">
                  <c:v>17077.778289396261</c:v>
                </c:pt>
                <c:pt idx="1634">
                  <c:v>17092.263182418945</c:v>
                </c:pt>
                <c:pt idx="1635">
                  <c:v>17106.751338388982</c:v>
                </c:pt>
                <c:pt idx="1636">
                  <c:v>17121.242756051935</c:v>
                </c:pt>
                <c:pt idx="1637">
                  <c:v>17135.737434154769</c:v>
                </c:pt>
                <c:pt idx="1638">
                  <c:v>17150.23537144576</c:v>
                </c:pt>
                <c:pt idx="1639">
                  <c:v>17164.736566674568</c:v>
                </c:pt>
                <c:pt idx="1640">
                  <c:v>17179.241018592209</c:v>
                </c:pt>
                <c:pt idx="1641">
                  <c:v>17193.748725951038</c:v>
                </c:pt>
                <c:pt idx="1642">
                  <c:v>17208.259687504782</c:v>
                </c:pt>
                <c:pt idx="1643">
                  <c:v>17222.773902008481</c:v>
                </c:pt>
                <c:pt idx="1644">
                  <c:v>17237.291368218554</c:v>
                </c:pt>
                <c:pt idx="1645">
                  <c:v>17251.812084892739</c:v>
                </c:pt>
                <c:pt idx="1646">
                  <c:v>17266.336050790138</c:v>
                </c:pt>
                <c:pt idx="1647">
                  <c:v>17280.863264671163</c:v>
                </c:pt>
                <c:pt idx="1648">
                  <c:v>17295.393725297574</c:v>
                </c:pt>
                <c:pt idx="1649">
                  <c:v>17309.927431432479</c:v>
                </c:pt>
                <c:pt idx="1650">
                  <c:v>17324.464381840287</c:v>
                </c:pt>
                <c:pt idx="1651">
                  <c:v>17339.004575286766</c:v>
                </c:pt>
                <c:pt idx="1652">
                  <c:v>17353.548010538976</c:v>
                </c:pt>
                <c:pt idx="1653">
                  <c:v>17368.094686365344</c:v>
                </c:pt>
                <c:pt idx="1654">
                  <c:v>17382.64460153558</c:v>
                </c:pt>
                <c:pt idx="1655">
                  <c:v>17397.197754820736</c:v>
                </c:pt>
                <c:pt idx="1656">
                  <c:v>17411.754144993163</c:v>
                </c:pt>
                <c:pt idx="1657">
                  <c:v>17426.313770826542</c:v>
                </c:pt>
                <c:pt idx="1658">
                  <c:v>17440.876631095867</c:v>
                </c:pt>
                <c:pt idx="1659">
                  <c:v>17455.442724577417</c:v>
                </c:pt>
                <c:pt idx="1660">
                  <c:v>17470.012050048823</c:v>
                </c:pt>
                <c:pt idx="1661">
                  <c:v>17484.584606288976</c:v>
                </c:pt>
                <c:pt idx="1662">
                  <c:v>17499.160392078098</c:v>
                </c:pt>
                <c:pt idx="1663">
                  <c:v>17513.739406197703</c:v>
                </c:pt>
                <c:pt idx="1664">
                  <c:v>17528.321647430595</c:v>
                </c:pt>
                <c:pt idx="1665">
                  <c:v>17542.907114560905</c:v>
                </c:pt>
                <c:pt idx="1666">
                  <c:v>17557.495806374012</c:v>
                </c:pt>
                <c:pt idx="1667">
                  <c:v>17572.087721656626</c:v>
                </c:pt>
                <c:pt idx="1668">
                  <c:v>17586.682859196728</c:v>
                </c:pt>
                <c:pt idx="1669">
                  <c:v>17601.281217783595</c:v>
                </c:pt>
                <c:pt idx="1670">
                  <c:v>17615.88279620777</c:v>
                </c:pt>
                <c:pt idx="1671">
                  <c:v>17630.48759326111</c:v>
                </c:pt>
                <c:pt idx="1672">
                  <c:v>17645.09560773673</c:v>
                </c:pt>
                <c:pt idx="1673">
                  <c:v>17659.706838429011</c:v>
                </c:pt>
                <c:pt idx="1674">
                  <c:v>17674.321284133664</c:v>
                </c:pt>
                <c:pt idx="1675">
                  <c:v>17688.938943647609</c:v>
                </c:pt>
                <c:pt idx="1676">
                  <c:v>17703.559815769077</c:v>
                </c:pt>
                <c:pt idx="1677">
                  <c:v>17718.183899297554</c:v>
                </c:pt>
                <c:pt idx="1678">
                  <c:v>17732.811193033805</c:v>
                </c:pt>
                <c:pt idx="1679">
                  <c:v>17747.441695779853</c:v>
                </c:pt>
                <c:pt idx="1680">
                  <c:v>17762.075406338972</c:v>
                </c:pt>
                <c:pt idx="1681">
                  <c:v>17776.712323515727</c:v>
                </c:pt>
                <c:pt idx="1682">
                  <c:v>17791.352446115903</c:v>
                </c:pt>
                <c:pt idx="1683">
                  <c:v>17805.995772946575</c:v>
                </c:pt>
                <c:pt idx="1684">
                  <c:v>17820.642302816057</c:v>
                </c:pt>
                <c:pt idx="1685">
                  <c:v>17835.292034533919</c:v>
                </c:pt>
                <c:pt idx="1686">
                  <c:v>17849.944966910971</c:v>
                </c:pt>
                <c:pt idx="1687">
                  <c:v>17864.601098759296</c:v>
                </c:pt>
                <c:pt idx="1688">
                  <c:v>17879.260428892187</c:v>
                </c:pt>
                <c:pt idx="1689">
                  <c:v>17893.92295612421</c:v>
                </c:pt>
                <c:pt idx="1690">
                  <c:v>17908.588679271161</c:v>
                </c:pt>
                <c:pt idx="1691">
                  <c:v>17923.257597150066</c:v>
                </c:pt>
                <c:pt idx="1692">
                  <c:v>17937.929708579217</c:v>
                </c:pt>
                <c:pt idx="1693">
                  <c:v>17952.60501237811</c:v>
                </c:pt>
                <c:pt idx="1694">
                  <c:v>17967.283507367494</c:v>
                </c:pt>
                <c:pt idx="1695">
                  <c:v>17981.965192369331</c:v>
                </c:pt>
                <c:pt idx="1696">
                  <c:v>17996.650066206832</c:v>
                </c:pt>
                <c:pt idx="1697">
                  <c:v>18011.338127704417</c:v>
                </c:pt>
                <c:pt idx="1698">
                  <c:v>18026.029375687747</c:v>
                </c:pt>
                <c:pt idx="1699">
                  <c:v>18040.723808983694</c:v>
                </c:pt>
                <c:pt idx="1700">
                  <c:v>18055.42142642034</c:v>
                </c:pt>
                <c:pt idx="1701">
                  <c:v>18070.122226827025</c:v>
                </c:pt>
                <c:pt idx="1702">
                  <c:v>18084.82620903425</c:v>
                </c:pt>
                <c:pt idx="1703">
                  <c:v>18099.533371873786</c:v>
                </c:pt>
                <c:pt idx="1704">
                  <c:v>18114.24371417857</c:v>
                </c:pt>
                <c:pt idx="1705">
                  <c:v>18128.957234782778</c:v>
                </c:pt>
                <c:pt idx="1706">
                  <c:v>18143.673932521786</c:v>
                </c:pt>
                <c:pt idx="1707">
                  <c:v>18158.393806232165</c:v>
                </c:pt>
                <c:pt idx="1708">
                  <c:v>18173.116854751705</c:v>
                </c:pt>
                <c:pt idx="1709">
                  <c:v>18187.843076919387</c:v>
                </c:pt>
                <c:pt idx="1710">
                  <c:v>18202.572471575411</c:v>
                </c:pt>
                <c:pt idx="1711">
                  <c:v>18217.305037561146</c:v>
                </c:pt>
                <c:pt idx="1712">
                  <c:v>18232.040773719182</c:v>
                </c:pt>
                <c:pt idx="1713">
                  <c:v>18246.779678893286</c:v>
                </c:pt>
                <c:pt idx="1714">
                  <c:v>18261.521751928423</c:v>
                </c:pt>
                <c:pt idx="1715">
                  <c:v>18276.266991670753</c:v>
                </c:pt>
                <c:pt idx="1716">
                  <c:v>18291.015396967614</c:v>
                </c:pt>
                <c:pt idx="1717">
                  <c:v>18305.766966667547</c:v>
                </c:pt>
                <c:pt idx="1718">
                  <c:v>18320.521699620243</c:v>
                </c:pt>
                <c:pt idx="1719">
                  <c:v>18335.27959467662</c:v>
                </c:pt>
                <c:pt idx="1720">
                  <c:v>18350.040650688723</c:v>
                </c:pt>
                <c:pt idx="1721">
                  <c:v>18364.804866509836</c:v>
                </c:pt>
                <c:pt idx="1722">
                  <c:v>18379.572240994374</c:v>
                </c:pt>
                <c:pt idx="1723">
                  <c:v>18394.342772997927</c:v>
                </c:pt>
                <c:pt idx="1724">
                  <c:v>18409.116461377282</c:v>
                </c:pt>
                <c:pt idx="1725">
                  <c:v>18423.893304990379</c:v>
                </c:pt>
                <c:pt idx="1726">
                  <c:v>18438.67330269633</c:v>
                </c:pt>
                <c:pt idx="1727">
                  <c:v>18453.456453355408</c:v>
                </c:pt>
                <c:pt idx="1728">
                  <c:v>18468.242755829066</c:v>
                </c:pt>
                <c:pt idx="1729">
                  <c:v>18483.032208979894</c:v>
                </c:pt>
                <c:pt idx="1730">
                  <c:v>18497.824811671664</c:v>
                </c:pt>
                <c:pt idx="1731">
                  <c:v>18512.620562769298</c:v>
                </c:pt>
                <c:pt idx="1732">
                  <c:v>18527.419461138867</c:v>
                </c:pt>
                <c:pt idx="1733">
                  <c:v>18542.22150564762</c:v>
                </c:pt>
                <c:pt idx="1734">
                  <c:v>18557.026695163921</c:v>
                </c:pt>
                <c:pt idx="1735">
                  <c:v>18571.835028557325</c:v>
                </c:pt>
                <c:pt idx="1736">
                  <c:v>18586.64650469851</c:v>
                </c:pt>
                <c:pt idx="1737">
                  <c:v>18601.461122459306</c:v>
                </c:pt>
                <c:pt idx="1738">
                  <c:v>18616.278880712685</c:v>
                </c:pt>
                <c:pt idx="1739">
                  <c:v>18631.099778332773</c:v>
                </c:pt>
                <c:pt idx="1740">
                  <c:v>18645.923814194834</c:v>
                </c:pt>
                <c:pt idx="1741">
                  <c:v>18660.750987175248</c:v>
                </c:pt>
                <c:pt idx="1742">
                  <c:v>18675.58129615158</c:v>
                </c:pt>
                <c:pt idx="1743">
                  <c:v>18690.414740002478</c:v>
                </c:pt>
                <c:pt idx="1744">
                  <c:v>18705.251317607763</c:v>
                </c:pt>
                <c:pt idx="1745">
                  <c:v>18720.091027848372</c:v>
                </c:pt>
                <c:pt idx="1746">
                  <c:v>18734.933869606357</c:v>
                </c:pt>
                <c:pt idx="1747">
                  <c:v>18749.779841764925</c:v>
                </c:pt>
                <c:pt idx="1748">
                  <c:v>18764.628943208394</c:v>
                </c:pt>
                <c:pt idx="1749">
                  <c:v>18779.481172822208</c:v>
                </c:pt>
                <c:pt idx="1750">
                  <c:v>18794.336529492939</c:v>
                </c:pt>
                <c:pt idx="1751">
                  <c:v>18809.195012108274</c:v>
                </c:pt>
                <c:pt idx="1752">
                  <c:v>18824.056619557014</c:v>
                </c:pt>
                <c:pt idx="1753">
                  <c:v>18838.921350729088</c:v>
                </c:pt>
                <c:pt idx="1754">
                  <c:v>18853.789204515528</c:v>
                </c:pt>
                <c:pt idx="1755">
                  <c:v>18868.660179808499</c:v>
                </c:pt>
                <c:pt idx="1756">
                  <c:v>18883.534275501246</c:v>
                </c:pt>
                <c:pt idx="1757">
                  <c:v>18898.411490488154</c:v>
                </c:pt>
                <c:pt idx="1758">
                  <c:v>18913.291823664698</c:v>
                </c:pt>
                <c:pt idx="1759">
                  <c:v>18928.17527392746</c:v>
                </c:pt>
                <c:pt idx="1760">
                  <c:v>18943.061840174141</c:v>
                </c:pt>
                <c:pt idx="1761">
                  <c:v>18957.951521303519</c:v>
                </c:pt>
                <c:pt idx="1762">
                  <c:v>18972.844316215502</c:v>
                </c:pt>
                <c:pt idx="1763">
                  <c:v>18987.740223811074</c:v>
                </c:pt>
                <c:pt idx="1764">
                  <c:v>19002.639242992314</c:v>
                </c:pt>
                <c:pt idx="1765">
                  <c:v>19017.541372662421</c:v>
                </c:pt>
                <c:pt idx="1766">
                  <c:v>19032.446611725652</c:v>
                </c:pt>
                <c:pt idx="1767">
                  <c:v>19047.354959087403</c:v>
                </c:pt>
                <c:pt idx="1768">
                  <c:v>19062.266413654099</c:v>
                </c:pt>
                <c:pt idx="1769">
                  <c:v>19077.180974333311</c:v>
                </c:pt>
                <c:pt idx="1770">
                  <c:v>19092.098640033655</c:v>
                </c:pt>
                <c:pt idx="1771">
                  <c:v>19107.019409664852</c:v>
                </c:pt>
                <c:pt idx="1772">
                  <c:v>19121.943282137712</c:v>
                </c:pt>
                <c:pt idx="1773">
                  <c:v>19136.870256364091</c:v>
                </c:pt>
                <c:pt idx="1774">
                  <c:v>19151.800331256964</c:v>
                </c:pt>
                <c:pt idx="1775">
                  <c:v>19166.733505730357</c:v>
                </c:pt>
                <c:pt idx="1776">
                  <c:v>19181.669778699394</c:v>
                </c:pt>
                <c:pt idx="1777">
                  <c:v>19196.60914908025</c:v>
                </c:pt>
                <c:pt idx="1778">
                  <c:v>19211.551615790191</c:v>
                </c:pt>
                <c:pt idx="1779">
                  <c:v>19226.497177747537</c:v>
                </c:pt>
                <c:pt idx="1780">
                  <c:v>19241.445833871687</c:v>
                </c:pt>
                <c:pt idx="1781">
                  <c:v>19256.397583083108</c:v>
                </c:pt>
                <c:pt idx="1782">
                  <c:v>19271.352424303317</c:v>
                </c:pt>
                <c:pt idx="1783">
                  <c:v>19286.310356454924</c:v>
                </c:pt>
                <c:pt idx="1784">
                  <c:v>19301.27137846157</c:v>
                </c:pt>
                <c:pt idx="1785">
                  <c:v>19316.235489247978</c:v>
                </c:pt>
                <c:pt idx="1786">
                  <c:v>19331.202687739911</c:v>
                </c:pt>
                <c:pt idx="1787">
                  <c:v>19346.172972864202</c:v>
                </c:pt>
                <c:pt idx="1788">
                  <c:v>19361.146343548746</c:v>
                </c:pt>
                <c:pt idx="1789">
                  <c:v>19376.122798722452</c:v>
                </c:pt>
                <c:pt idx="1790">
                  <c:v>19391.102337315344</c:v>
                </c:pt>
                <c:pt idx="1791">
                  <c:v>19406.084958258434</c:v>
                </c:pt>
                <c:pt idx="1792">
                  <c:v>19421.070660483827</c:v>
                </c:pt>
                <c:pt idx="1793">
                  <c:v>19436.059442924648</c:v>
                </c:pt>
                <c:pt idx="1794">
                  <c:v>19451.051304515073</c:v>
                </c:pt>
                <c:pt idx="1795">
                  <c:v>19466.046244190329</c:v>
                </c:pt>
                <c:pt idx="1796">
                  <c:v>19481.044260886676</c:v>
                </c:pt>
                <c:pt idx="1797">
                  <c:v>19496.04535354142</c:v>
                </c:pt>
                <c:pt idx="1798">
                  <c:v>19511.049521092897</c:v>
                </c:pt>
                <c:pt idx="1799">
                  <c:v>19526.056762480497</c:v>
                </c:pt>
                <c:pt idx="1800">
                  <c:v>19541.067076644613</c:v>
                </c:pt>
                <c:pt idx="1801">
                  <c:v>19556.080462526705</c:v>
                </c:pt>
                <c:pt idx="1802">
                  <c:v>19571.096919069241</c:v>
                </c:pt>
                <c:pt idx="1803">
                  <c:v>19586.116445215743</c:v>
                </c:pt>
                <c:pt idx="1804">
                  <c:v>19601.139039910733</c:v>
                </c:pt>
                <c:pt idx="1805">
                  <c:v>19616.164702099777</c:v>
                </c:pt>
                <c:pt idx="1806">
                  <c:v>19631.193430729465</c:v>
                </c:pt>
                <c:pt idx="1807">
                  <c:v>19646.225224747399</c:v>
                </c:pt>
                <c:pt idx="1808">
                  <c:v>19661.260083102217</c:v>
                </c:pt>
                <c:pt idx="1809">
                  <c:v>19676.29800474357</c:v>
                </c:pt>
                <c:pt idx="1810">
                  <c:v>19691.338988622141</c:v>
                </c:pt>
                <c:pt idx="1811">
                  <c:v>19706.383033689595</c:v>
                </c:pt>
                <c:pt idx="1812">
                  <c:v>19721.43013889865</c:v>
                </c:pt>
                <c:pt idx="1813">
                  <c:v>19736.480303203032</c:v>
                </c:pt>
                <c:pt idx="1814">
                  <c:v>19751.533525557446</c:v>
                </c:pt>
                <c:pt idx="1815">
                  <c:v>19766.589804917647</c:v>
                </c:pt>
                <c:pt idx="1816">
                  <c:v>19781.649140240377</c:v>
                </c:pt>
                <c:pt idx="1817">
                  <c:v>19796.711530483401</c:v>
                </c:pt>
                <c:pt idx="1818">
                  <c:v>19811.776974605458</c:v>
                </c:pt>
                <c:pt idx="1819">
                  <c:v>19826.845471566339</c:v>
                </c:pt>
                <c:pt idx="1820">
                  <c:v>19841.917020326793</c:v>
                </c:pt>
                <c:pt idx="1821">
                  <c:v>19856.991619848603</c:v>
                </c:pt>
                <c:pt idx="1822">
                  <c:v>19872.069269094533</c:v>
                </c:pt>
                <c:pt idx="1823">
                  <c:v>19887.149967028341</c:v>
                </c:pt>
                <c:pt idx="1824">
                  <c:v>19902.233712614798</c:v>
                </c:pt>
                <c:pt idx="1825">
                  <c:v>19917.320504819647</c:v>
                </c:pt>
                <c:pt idx="1826">
                  <c:v>19932.410342609655</c:v>
                </c:pt>
                <c:pt idx="1827">
                  <c:v>19947.503224952554</c:v>
                </c:pt>
                <c:pt idx="1828">
                  <c:v>19962.599150817085</c:v>
                </c:pt>
                <c:pt idx="1829">
                  <c:v>19977.69811917295</c:v>
                </c:pt>
                <c:pt idx="1830">
                  <c:v>19992.800128990868</c:v>
                </c:pt>
                <c:pt idx="1831">
                  <c:v>20007.905179242531</c:v>
                </c:pt>
                <c:pt idx="1832">
                  <c:v>20023.013268900613</c:v>
                </c:pt>
                <c:pt idx="1833">
                  <c:v>20038.124396938765</c:v>
                </c:pt>
                <c:pt idx="1834">
                  <c:v>20053.238562331637</c:v>
                </c:pt>
                <c:pt idx="1835">
                  <c:v>20068.355764054839</c:v>
                </c:pt>
                <c:pt idx="1836">
                  <c:v>20083.47600108496</c:v>
                </c:pt>
                <c:pt idx="1837">
                  <c:v>20098.599272399595</c:v>
                </c:pt>
                <c:pt idx="1838">
                  <c:v>20113.725576977275</c:v>
                </c:pt>
                <c:pt idx="1839">
                  <c:v>20128.854913797513</c:v>
                </c:pt>
                <c:pt idx="1840">
                  <c:v>20143.987281840808</c:v>
                </c:pt>
                <c:pt idx="1841">
                  <c:v>20159.122680088614</c:v>
                </c:pt>
                <c:pt idx="1842">
                  <c:v>20174.261107523373</c:v>
                </c:pt>
                <c:pt idx="1843">
                  <c:v>20189.402563128468</c:v>
                </c:pt>
                <c:pt idx="1844">
                  <c:v>20204.547045888277</c:v>
                </c:pt>
                <c:pt idx="1845">
                  <c:v>20219.694554788097</c:v>
                </c:pt>
                <c:pt idx="1846">
                  <c:v>20234.845088814251</c:v>
                </c:pt>
                <c:pt idx="1847">
                  <c:v>20249.998646953973</c:v>
                </c:pt>
                <c:pt idx="1848">
                  <c:v>20265.155228195465</c:v>
                </c:pt>
                <c:pt idx="1849">
                  <c:v>20280.314831527903</c:v>
                </c:pt>
                <c:pt idx="1850">
                  <c:v>20295.477455941407</c:v>
                </c:pt>
                <c:pt idx="1851">
                  <c:v>20310.64310042706</c:v>
                </c:pt>
                <c:pt idx="1852">
                  <c:v>20325.811763976886</c:v>
                </c:pt>
                <c:pt idx="1853">
                  <c:v>20340.983445583886</c:v>
                </c:pt>
                <c:pt idx="1854">
                  <c:v>20356.15814424197</c:v>
                </c:pt>
                <c:pt idx="1855">
                  <c:v>20371.335858946055</c:v>
                </c:pt>
                <c:pt idx="1856">
                  <c:v>20386.516588691942</c:v>
                </c:pt>
                <c:pt idx="1857">
                  <c:v>20401.700332476426</c:v>
                </c:pt>
                <c:pt idx="1858">
                  <c:v>20416.887089297234</c:v>
                </c:pt>
                <c:pt idx="1859">
                  <c:v>20432.076858153003</c:v>
                </c:pt>
                <c:pt idx="1860">
                  <c:v>20447.269638043384</c:v>
                </c:pt>
                <c:pt idx="1861">
                  <c:v>20462.465427968898</c:v>
                </c:pt>
                <c:pt idx="1862">
                  <c:v>20477.664226931047</c:v>
                </c:pt>
                <c:pt idx="1863">
                  <c:v>20492.866033932245</c:v>
                </c:pt>
                <c:pt idx="1864">
                  <c:v>20508.070847975858</c:v>
                </c:pt>
                <c:pt idx="1865">
                  <c:v>20523.278668066188</c:v>
                </c:pt>
                <c:pt idx="1866">
                  <c:v>20538.489493208464</c:v>
                </c:pt>
                <c:pt idx="1867">
                  <c:v>20553.703322408837</c:v>
                </c:pt>
                <c:pt idx="1868">
                  <c:v>20568.920154674401</c:v>
                </c:pt>
                <c:pt idx="1869">
                  <c:v>20584.139989013191</c:v>
                </c:pt>
                <c:pt idx="1870">
                  <c:v>20599.362824434138</c:v>
                </c:pt>
                <c:pt idx="1871">
                  <c:v>20614.588659947134</c:v>
                </c:pt>
                <c:pt idx="1872">
                  <c:v>20629.817494562969</c:v>
                </c:pt>
                <c:pt idx="1873">
                  <c:v>20645.04932729336</c:v>
                </c:pt>
                <c:pt idx="1874">
                  <c:v>20660.28415715096</c:v>
                </c:pt>
                <c:pt idx="1875">
                  <c:v>20675.52198314932</c:v>
                </c:pt>
                <c:pt idx="1876">
                  <c:v>20690.762804302954</c:v>
                </c:pt>
                <c:pt idx="1877">
                  <c:v>20706.006619627238</c:v>
                </c:pt>
                <c:pt idx="1878">
                  <c:v>20721.253428138494</c:v>
                </c:pt>
                <c:pt idx="1879">
                  <c:v>20736.503228853951</c:v>
                </c:pt>
                <c:pt idx="1880">
                  <c:v>20751.756020791778</c:v>
                </c:pt>
                <c:pt idx="1881">
                  <c:v>20767.01180297101</c:v>
                </c:pt>
                <c:pt idx="1882">
                  <c:v>20782.270574411628</c:v>
                </c:pt>
                <c:pt idx="1883">
                  <c:v>20797.532334134507</c:v>
                </c:pt>
                <c:pt idx="1884">
                  <c:v>20812.797081161432</c:v>
                </c:pt>
                <c:pt idx="1885">
                  <c:v>20828.064814515106</c:v>
                </c:pt>
                <c:pt idx="1886">
                  <c:v>20843.335533219106</c:v>
                </c:pt>
                <c:pt idx="1887">
                  <c:v>20858.609236297958</c:v>
                </c:pt>
                <c:pt idx="1888">
                  <c:v>20873.885922777066</c:v>
                </c:pt>
                <c:pt idx="1889">
                  <c:v>20889.165591682711</c:v>
                </c:pt>
                <c:pt idx="1890">
                  <c:v>20904.448242042126</c:v>
                </c:pt>
                <c:pt idx="1891">
                  <c:v>20919.733872883389</c:v>
                </c:pt>
                <c:pt idx="1892">
                  <c:v>20935.022483235531</c:v>
                </c:pt>
                <c:pt idx="1893">
                  <c:v>20950.314072128425</c:v>
                </c:pt>
                <c:pt idx="1894">
                  <c:v>20965.608638592876</c:v>
                </c:pt>
                <c:pt idx="1895">
                  <c:v>20980.906181660568</c:v>
                </c:pt>
                <c:pt idx="1896">
                  <c:v>20996.206700364066</c:v>
                </c:pt>
                <c:pt idx="1897">
                  <c:v>21011.510193736838</c:v>
                </c:pt>
                <c:pt idx="1898">
                  <c:v>21026.816660813245</c:v>
                </c:pt>
                <c:pt idx="1899">
                  <c:v>21042.126100628535</c:v>
                </c:pt>
                <c:pt idx="1900">
                  <c:v>21057.438512218818</c:v>
                </c:pt>
                <c:pt idx="1901">
                  <c:v>21072.753894621121</c:v>
                </c:pt>
                <c:pt idx="1902">
                  <c:v>21088.072246873351</c:v>
                </c:pt>
                <c:pt idx="1903">
                  <c:v>21103.39356801426</c:v>
                </c:pt>
                <c:pt idx="1904">
                  <c:v>21118.717857083531</c:v>
                </c:pt>
                <c:pt idx="1905">
                  <c:v>21134.045113121705</c:v>
                </c:pt>
                <c:pt idx="1906">
                  <c:v>21149.375335170193</c:v>
                </c:pt>
                <c:pt idx="1907">
                  <c:v>21164.708522271285</c:v>
                </c:pt>
                <c:pt idx="1908">
                  <c:v>21180.044673468161</c:v>
                </c:pt>
                <c:pt idx="1909">
                  <c:v>21195.383787804865</c:v>
                </c:pt>
                <c:pt idx="1910">
                  <c:v>21210.725864326312</c:v>
                </c:pt>
                <c:pt idx="1911">
                  <c:v>21226.070902078296</c:v>
                </c:pt>
                <c:pt idx="1912">
                  <c:v>21241.418900107485</c:v>
                </c:pt>
                <c:pt idx="1913">
                  <c:v>21256.769857461404</c:v>
                </c:pt>
                <c:pt idx="1914">
                  <c:v>21272.123773188439</c:v>
                </c:pt>
                <c:pt idx="1915">
                  <c:v>21287.480646337874</c:v>
                </c:pt>
                <c:pt idx="1916">
                  <c:v>21302.84047595982</c:v>
                </c:pt>
                <c:pt idx="1917">
                  <c:v>21318.203261105296</c:v>
                </c:pt>
                <c:pt idx="1918">
                  <c:v>21333.569000826137</c:v>
                </c:pt>
                <c:pt idx="1919">
                  <c:v>21348.937694175063</c:v>
                </c:pt>
                <c:pt idx="1920">
                  <c:v>21364.309340205662</c:v>
                </c:pt>
                <c:pt idx="1921">
                  <c:v>21379.683937972368</c:v>
                </c:pt>
                <c:pt idx="1922">
                  <c:v>21395.061486530481</c:v>
                </c:pt>
                <c:pt idx="1923">
                  <c:v>21410.44198493614</c:v>
                </c:pt>
                <c:pt idx="1924">
                  <c:v>21425.825432246369</c:v>
                </c:pt>
                <c:pt idx="1925">
                  <c:v>21441.211827519001</c:v>
                </c:pt>
                <c:pt idx="1926">
                  <c:v>21456.601169812777</c:v>
                </c:pt>
                <c:pt idx="1927">
                  <c:v>21471.993458187237</c:v>
                </c:pt>
                <c:pt idx="1928">
                  <c:v>21487.388691702807</c:v>
                </c:pt>
                <c:pt idx="1929">
                  <c:v>21502.78686942075</c:v>
                </c:pt>
                <c:pt idx="1930">
                  <c:v>21518.187990403188</c:v>
                </c:pt>
                <c:pt idx="1931">
                  <c:v>21533.592053713051</c:v>
                </c:pt>
                <c:pt idx="1932">
                  <c:v>21548.999058414156</c:v>
                </c:pt>
                <c:pt idx="1933">
                  <c:v>21564.409003571149</c:v>
                </c:pt>
                <c:pt idx="1934">
                  <c:v>21579.821888249517</c:v>
                </c:pt>
                <c:pt idx="1935">
                  <c:v>21595.237711515583</c:v>
                </c:pt>
                <c:pt idx="1936">
                  <c:v>21610.65647243652</c:v>
                </c:pt>
                <c:pt idx="1937">
                  <c:v>21626.078170080335</c:v>
                </c:pt>
                <c:pt idx="1938">
                  <c:v>21641.502803515876</c:v>
                </c:pt>
                <c:pt idx="1939">
                  <c:v>21656.930371812825</c:v>
                </c:pt>
                <c:pt idx="1940">
                  <c:v>21672.360874041697</c:v>
                </c:pt>
                <c:pt idx="1941">
                  <c:v>21687.794309273835</c:v>
                </c:pt>
                <c:pt idx="1942">
                  <c:v>21703.230676581436</c:v>
                </c:pt>
                <c:pt idx="1943">
                  <c:v>21718.669975037505</c:v>
                </c:pt>
                <c:pt idx="1944">
                  <c:v>21734.112203715897</c:v>
                </c:pt>
                <c:pt idx="1945">
                  <c:v>21749.557361691273</c:v>
                </c:pt>
                <c:pt idx="1946">
                  <c:v>21765.005448039141</c:v>
                </c:pt>
                <c:pt idx="1947">
                  <c:v>21780.456461835827</c:v>
                </c:pt>
                <c:pt idx="1948">
                  <c:v>21795.910402158486</c:v>
                </c:pt>
                <c:pt idx="1949">
                  <c:v>21811.367268085112</c:v>
                </c:pt>
                <c:pt idx="1950">
                  <c:v>21826.827058694475</c:v>
                </c:pt>
                <c:pt idx="1951">
                  <c:v>21842.28977306623</c:v>
                </c:pt>
                <c:pt idx="1952">
                  <c:v>21857.755410280777</c:v>
                </c:pt>
                <c:pt idx="1953">
                  <c:v>21873.223969419432</c:v>
                </c:pt>
                <c:pt idx="1954">
                  <c:v>21888.695449564231</c:v>
                </c:pt>
                <c:pt idx="1955">
                  <c:v>21904.169849798098</c:v>
                </c:pt>
                <c:pt idx="1956">
                  <c:v>21919.647169204742</c:v>
                </c:pt>
                <c:pt idx="1957">
                  <c:v>21935.127406868669</c:v>
                </c:pt>
                <c:pt idx="1958">
                  <c:v>21950.610561875255</c:v>
                </c:pt>
                <c:pt idx="1959">
                  <c:v>21966.09663331063</c:v>
                </c:pt>
                <c:pt idx="1960">
                  <c:v>21981.585620261765</c:v>
                </c:pt>
                <c:pt idx="1961">
                  <c:v>21997.077521816434</c:v>
                </c:pt>
                <c:pt idx="1962">
                  <c:v>22012.572337063226</c:v>
                </c:pt>
                <c:pt idx="1963">
                  <c:v>22028.070065091524</c:v>
                </c:pt>
                <c:pt idx="1964">
                  <c:v>22043.570704991522</c:v>
                </c:pt>
                <c:pt idx="1965">
                  <c:v>22059.074255854233</c:v>
                </c:pt>
                <c:pt idx="1966">
                  <c:v>22074.580716771452</c:v>
                </c:pt>
                <c:pt idx="1967">
                  <c:v>22090.090086835804</c:v>
                </c:pt>
                <c:pt idx="1968">
                  <c:v>22105.602365140679</c:v>
                </c:pt>
                <c:pt idx="1969">
                  <c:v>22121.117550780305</c:v>
                </c:pt>
                <c:pt idx="1970">
                  <c:v>22136.635642849687</c:v>
                </c:pt>
                <c:pt idx="1971">
                  <c:v>22152.156640444638</c:v>
                </c:pt>
                <c:pt idx="1972">
                  <c:v>22167.680542661757</c:v>
                </c:pt>
                <c:pt idx="1973">
                  <c:v>22183.207348598444</c:v>
                </c:pt>
                <c:pt idx="1974">
                  <c:v>22198.737057352904</c:v>
                </c:pt>
                <c:pt idx="1975">
                  <c:v>22214.269668024128</c:v>
                </c:pt>
                <c:pt idx="1976">
                  <c:v>22229.80517971189</c:v>
                </c:pt>
                <c:pt idx="1977">
                  <c:v>22245.343591516765</c:v>
                </c:pt>
                <c:pt idx="1978">
                  <c:v>22260.884902540136</c:v>
                </c:pt>
                <c:pt idx="1979">
                  <c:v>22276.429111884128</c:v>
                </c:pt>
                <c:pt idx="1980">
                  <c:v>22291.976218651707</c:v>
                </c:pt>
                <c:pt idx="1981">
                  <c:v>22307.526221946588</c:v>
                </c:pt>
                <c:pt idx="1982">
                  <c:v>22323.079120873284</c:v>
                </c:pt>
                <c:pt idx="1983">
                  <c:v>22338.634914537095</c:v>
                </c:pt>
                <c:pt idx="1984">
                  <c:v>22354.193602044099</c:v>
                </c:pt>
                <c:pt idx="1985">
                  <c:v>22369.755182501183</c:v>
                </c:pt>
                <c:pt idx="1986">
                  <c:v>22385.319655015963</c:v>
                </c:pt>
                <c:pt idx="1987">
                  <c:v>22400.887018696878</c:v>
                </c:pt>
                <c:pt idx="1988">
                  <c:v>22416.457272653133</c:v>
                </c:pt>
                <c:pt idx="1989">
                  <c:v>22432.030415994705</c:v>
                </c:pt>
                <c:pt idx="1990">
                  <c:v>22447.606447832368</c:v>
                </c:pt>
                <c:pt idx="1991">
                  <c:v>22463.185367277627</c:v>
                </c:pt>
                <c:pt idx="1992">
                  <c:v>22478.76717344283</c:v>
                </c:pt>
                <c:pt idx="1993">
                  <c:v>22494.351865441015</c:v>
                </c:pt>
                <c:pt idx="1994">
                  <c:v>22509.939442386072</c:v>
                </c:pt>
                <c:pt idx="1995">
                  <c:v>22525.529903392613</c:v>
                </c:pt>
                <c:pt idx="1996">
                  <c:v>22541.221666643109</c:v>
                </c:pt>
                <c:pt idx="1997">
                  <c:v>22556.817918001907</c:v>
                </c:pt>
                <c:pt idx="1998">
                  <c:v>22572.417050764401</c:v>
                </c:pt>
                <c:pt idx="1999">
                  <c:v>22588.019064048294</c:v>
                </c:pt>
                <c:pt idx="2000">
                  <c:v>22603.623956972049</c:v>
                </c:pt>
                <c:pt idx="2001">
                  <c:v>22619.231728654919</c:v>
                </c:pt>
                <c:pt idx="2002">
                  <c:v>22634.842378216876</c:v>
                </c:pt>
                <c:pt idx="2003">
                  <c:v>22650.455904778697</c:v>
                </c:pt>
                <c:pt idx="2004">
                  <c:v>22666.072307461905</c:v>
                </c:pt>
                <c:pt idx="2005">
                  <c:v>22681.691585388788</c:v>
                </c:pt>
                <c:pt idx="2006">
                  <c:v>22697.313737682372</c:v>
                </c:pt>
                <c:pt idx="2007">
                  <c:v>22712.938763466471</c:v>
                </c:pt>
                <c:pt idx="2008">
                  <c:v>22728.566661865636</c:v>
                </c:pt>
                <c:pt idx="2009">
                  <c:v>22744.197432005174</c:v>
                </c:pt>
                <c:pt idx="2010">
                  <c:v>22759.831073011163</c:v>
                </c:pt>
                <c:pt idx="2011">
                  <c:v>22775.467584010425</c:v>
                </c:pt>
                <c:pt idx="2012">
                  <c:v>22791.106964130537</c:v>
                </c:pt>
                <c:pt idx="2013">
                  <c:v>22806.749212499817</c:v>
                </c:pt>
                <c:pt idx="2014">
                  <c:v>22822.394328247341</c:v>
                </c:pt>
                <c:pt idx="2015">
                  <c:v>22838.042310502951</c:v>
                </c:pt>
                <c:pt idx="2016">
                  <c:v>22853.6931583972</c:v>
                </c:pt>
                <c:pt idx="2017">
                  <c:v>22869.346871061447</c:v>
                </c:pt>
                <c:pt idx="2018">
                  <c:v>22885.003447627714</c:v>
                </c:pt>
                <c:pt idx="2019">
                  <c:v>22900.662887228857</c:v>
                </c:pt>
                <c:pt idx="2020">
                  <c:v>22916.325188998417</c:v>
                </c:pt>
                <c:pt idx="2021">
                  <c:v>22931.990352070694</c:v>
                </c:pt>
                <c:pt idx="2022">
                  <c:v>22947.658375580748</c:v>
                </c:pt>
                <c:pt idx="2023">
                  <c:v>22963.329258664347</c:v>
                </c:pt>
                <c:pt idx="2024">
                  <c:v>22979.003000458029</c:v>
                </c:pt>
                <c:pt idx="2025">
                  <c:v>22994.679600099058</c:v>
                </c:pt>
                <c:pt idx="2026">
                  <c:v>23010.359056725443</c:v>
                </c:pt>
                <c:pt idx="2027">
                  <c:v>23026.041369475908</c:v>
                </c:pt>
                <c:pt idx="2028">
                  <c:v>23041.726537489951</c:v>
                </c:pt>
                <c:pt idx="2029">
                  <c:v>23057.41455990776</c:v>
                </c:pt>
                <c:pt idx="2030">
                  <c:v>23073.105435870311</c:v>
                </c:pt>
                <c:pt idx="2031">
                  <c:v>23088.799164519267</c:v>
                </c:pt>
                <c:pt idx="2032">
                  <c:v>23104.495744997039</c:v>
                </c:pt>
                <c:pt idx="2033">
                  <c:v>23120.195176446774</c:v>
                </c:pt>
                <c:pt idx="2034">
                  <c:v>23135.897458012332</c:v>
                </c:pt>
                <c:pt idx="2035">
                  <c:v>23151.60258883833</c:v>
                </c:pt>
                <c:pt idx="2036">
                  <c:v>23167.310568070083</c:v>
                </c:pt>
                <c:pt idx="2037">
                  <c:v>23183.021394853651</c:v>
                </c:pt>
                <c:pt idx="2038">
                  <c:v>23198.735068335831</c:v>
                </c:pt>
                <c:pt idx="2039">
                  <c:v>23214.451587664105</c:v>
                </c:pt>
                <c:pt idx="2040">
                  <c:v>23230.170951986722</c:v>
                </c:pt>
                <c:pt idx="2041">
                  <c:v>23245.893160452619</c:v>
                </c:pt>
                <c:pt idx="2042">
                  <c:v>23261.618212211491</c:v>
                </c:pt>
                <c:pt idx="2043">
                  <c:v>23277.346106413715</c:v>
                </c:pt>
                <c:pt idx="2044">
                  <c:v>23293.076842210427</c:v>
                </c:pt>
                <c:pt idx="2045">
                  <c:v>23308.810418753434</c:v>
                </c:pt>
                <c:pt idx="2046">
                  <c:v>23324.546835195324</c:v>
                </c:pt>
                <c:pt idx="2047">
                  <c:v>23340.286090689333</c:v>
                </c:pt>
                <c:pt idx="2048">
                  <c:v>23356.028184389463</c:v>
                </c:pt>
                <c:pt idx="2049">
                  <c:v>23371.7731154504</c:v>
                </c:pt>
                <c:pt idx="2050">
                  <c:v>23387.520883027577</c:v>
                </c:pt>
                <c:pt idx="2051">
                  <c:v>23403.271486277117</c:v>
                </c:pt>
                <c:pt idx="2052">
                  <c:v>23419.024924355854</c:v>
                </c:pt>
                <c:pt idx="2053">
                  <c:v>23434.78119642134</c:v>
                </c:pt>
                <c:pt idx="2054">
                  <c:v>23450.540301631831</c:v>
                </c:pt>
                <c:pt idx="2055">
                  <c:v>23466.302239146295</c:v>
                </c:pt>
                <c:pt idx="2056">
                  <c:v>23482.067008124417</c:v>
                </c:pt>
                <c:pt idx="2057">
                  <c:v>23497.834607726581</c:v>
                </c:pt>
                <c:pt idx="2058">
                  <c:v>23513.605037113866</c:v>
                </c:pt>
                <c:pt idx="2059">
                  <c:v>23529.37829544807</c:v>
                </c:pt>
                <c:pt idx="2060">
                  <c:v>23545.154381891705</c:v>
                </c:pt>
                <c:pt idx="2061">
                  <c:v>23560.933295607952</c:v>
                </c:pt>
                <c:pt idx="2062">
                  <c:v>23576.715035760735</c:v>
                </c:pt>
                <c:pt idx="2063">
                  <c:v>23592.499601514643</c:v>
                </c:pt>
                <c:pt idx="2064">
                  <c:v>23608.286992034991</c:v>
                </c:pt>
                <c:pt idx="2065">
                  <c:v>23624.077206487789</c:v>
                </c:pt>
                <c:pt idx="2066">
                  <c:v>23639.870244039725</c:v>
                </c:pt>
                <c:pt idx="2067">
                  <c:v>23655.666103858217</c:v>
                </c:pt>
                <c:pt idx="2068">
                  <c:v>23671.464785111348</c:v>
                </c:pt>
                <c:pt idx="2069">
                  <c:v>23687.266286967919</c:v>
                </c:pt>
                <c:pt idx="2070">
                  <c:v>23703.070608597416</c:v>
                </c:pt>
                <c:pt idx="2071">
                  <c:v>23718.877749170031</c:v>
                </c:pt>
                <c:pt idx="2072">
                  <c:v>23734.68770785661</c:v>
                </c:pt>
                <c:pt idx="2073">
                  <c:v>23750.500483828742</c:v>
                </c:pt>
                <c:pt idx="2074">
                  <c:v>23766.316076258674</c:v>
                </c:pt>
                <c:pt idx="2075">
                  <c:v>23782.134484319347</c:v>
                </c:pt>
                <c:pt idx="2076">
                  <c:v>23797.955707184406</c:v>
                </c:pt>
                <c:pt idx="2077">
                  <c:v>23813.779744028165</c:v>
                </c:pt>
                <c:pt idx="2078">
                  <c:v>23829.606594025641</c:v>
                </c:pt>
                <c:pt idx="2079">
                  <c:v>23845.436256352521</c:v>
                </c:pt>
                <c:pt idx="2080">
                  <c:v>23861.268730185187</c:v>
                </c:pt>
                <c:pt idx="2081">
                  <c:v>23877.104014700715</c:v>
                </c:pt>
                <c:pt idx="2082">
                  <c:v>23892.942109076837</c:v>
                </c:pt>
                <c:pt idx="2083">
                  <c:v>23908.783012491993</c:v>
                </c:pt>
                <c:pt idx="2084">
                  <c:v>23924.626724125294</c:v>
                </c:pt>
                <c:pt idx="2085">
                  <c:v>23940.473243156528</c:v>
                </c:pt>
                <c:pt idx="2086">
                  <c:v>23956.322568766169</c:v>
                </c:pt>
                <c:pt idx="2087">
                  <c:v>23972.174700135372</c:v>
                </c:pt>
                <c:pt idx="2088">
                  <c:v>23988.029636445957</c:v>
                </c:pt>
                <c:pt idx="2089">
                  <c:v>24003.887376880433</c:v>
                </c:pt>
                <c:pt idx="2090">
                  <c:v>24019.747920621972</c:v>
                </c:pt>
                <c:pt idx="2091">
                  <c:v>24035.611266854437</c:v>
                </c:pt>
                <c:pt idx="2092">
                  <c:v>24051.477414762361</c:v>
                </c:pt>
                <c:pt idx="2093">
                  <c:v>24067.34636353096</c:v>
                </c:pt>
                <c:pt idx="2094">
                  <c:v>24083.218112346072</c:v>
                </c:pt>
                <c:pt idx="2095">
                  <c:v>24099.092660394268</c:v>
                </c:pt>
                <c:pt idx="2096">
                  <c:v>24114.970006862764</c:v>
                </c:pt>
                <c:pt idx="2097">
                  <c:v>24130.850150939441</c:v>
                </c:pt>
                <c:pt idx="2098">
                  <c:v>24146.733091812861</c:v>
                </c:pt>
                <c:pt idx="2099">
                  <c:v>24162.618828672232</c:v>
                </c:pt>
                <c:pt idx="2100">
                  <c:v>24178.507360707459</c:v>
                </c:pt>
                <c:pt idx="2101">
                  <c:v>24194.398687109089</c:v>
                </c:pt>
                <c:pt idx="2102">
                  <c:v>24210.292807068337</c:v>
                </c:pt>
                <c:pt idx="2103">
                  <c:v>24226.189719777103</c:v>
                </c:pt>
                <c:pt idx="2104">
                  <c:v>24242.089424427915</c:v>
                </c:pt>
                <c:pt idx="2105">
                  <c:v>24257.991920214008</c:v>
                </c:pt>
                <c:pt idx="2106">
                  <c:v>24273.897206329235</c:v>
                </c:pt>
                <c:pt idx="2107">
                  <c:v>24289.805281968125</c:v>
                </c:pt>
                <c:pt idx="2108">
                  <c:v>24305.716146325878</c:v>
                </c:pt>
                <c:pt idx="2109">
                  <c:v>24321.62979859834</c:v>
                </c:pt>
                <c:pt idx="2110">
                  <c:v>24337.546237982027</c:v>
                </c:pt>
                <c:pt idx="2111">
                  <c:v>24353.465463674096</c:v>
                </c:pt>
                <c:pt idx="2112">
                  <c:v>24369.387474872372</c:v>
                </c:pt>
                <c:pt idx="2113">
                  <c:v>24385.312270775335</c:v>
                </c:pt>
                <c:pt idx="2114">
                  <c:v>24401.239850582107</c:v>
                </c:pt>
                <c:pt idx="2115">
                  <c:v>24417.170213492485</c:v>
                </c:pt>
                <c:pt idx="2116">
                  <c:v>24433.103358706889</c:v>
                </c:pt>
                <c:pt idx="2117">
                  <c:v>24449.039285426428</c:v>
                </c:pt>
                <c:pt idx="2118">
                  <c:v>24464.977992852822</c:v>
                </c:pt>
                <c:pt idx="2119">
                  <c:v>24480.919480188473</c:v>
                </c:pt>
                <c:pt idx="2120">
                  <c:v>24496.863746636416</c:v>
                </c:pt>
                <c:pt idx="2121">
                  <c:v>24512.810791400356</c:v>
                </c:pt>
                <c:pt idx="2122">
                  <c:v>24528.760613684593</c:v>
                </c:pt>
                <c:pt idx="2123">
                  <c:v>24544.71321269414</c:v>
                </c:pt>
                <c:pt idx="2124">
                  <c:v>24560.668587634609</c:v>
                </c:pt>
                <c:pt idx="2125">
                  <c:v>24576.626737712275</c:v>
                </c:pt>
                <c:pt idx="2126">
                  <c:v>24592.58766213405</c:v>
                </c:pt>
                <c:pt idx="2127">
                  <c:v>24608.5513601075</c:v>
                </c:pt>
                <c:pt idx="2128">
                  <c:v>24624.517830840825</c:v>
                </c:pt>
                <c:pt idx="2129">
                  <c:v>24640.487073542863</c:v>
                </c:pt>
                <c:pt idx="2130">
                  <c:v>24656.4590874231</c:v>
                </c:pt>
                <c:pt idx="2131">
                  <c:v>24672.433871691668</c:v>
                </c:pt>
                <c:pt idx="2132">
                  <c:v>24688.411425559316</c:v>
                </c:pt>
                <c:pt idx="2133">
                  <c:v>24704.391748237453</c:v>
                </c:pt>
                <c:pt idx="2134">
                  <c:v>24720.374838938103</c:v>
                </c:pt>
                <c:pt idx="2135">
                  <c:v>24736.360696873962</c:v>
                </c:pt>
                <c:pt idx="2136">
                  <c:v>24752.34932125832</c:v>
                </c:pt>
                <c:pt idx="2137">
                  <c:v>24768.340711305129</c:v>
                </c:pt>
                <c:pt idx="2138">
                  <c:v>24784.334866228965</c:v>
                </c:pt>
                <c:pt idx="2139">
                  <c:v>24800.331785245042</c:v>
                </c:pt>
                <c:pt idx="2140">
                  <c:v>24816.331467569209</c:v>
                </c:pt>
                <c:pt idx="2141">
                  <c:v>24832.333912417911</c:v>
                </c:pt>
                <c:pt idx="2142">
                  <c:v>24848.339119008291</c:v>
                </c:pt>
                <c:pt idx="2143">
                  <c:v>24864.34708655806</c:v>
                </c:pt>
                <c:pt idx="2144">
                  <c:v>24880.357814285599</c:v>
                </c:pt>
                <c:pt idx="2145">
                  <c:v>24896.371301409872</c:v>
                </c:pt>
                <c:pt idx="2146">
                  <c:v>24912.387547150527</c:v>
                </c:pt>
                <c:pt idx="2147">
                  <c:v>24928.406550727799</c:v>
                </c:pt>
                <c:pt idx="2148">
                  <c:v>24944.428311362546</c:v>
                </c:pt>
                <c:pt idx="2149">
                  <c:v>24960.45282827628</c:v>
                </c:pt>
                <c:pt idx="2150">
                  <c:v>24976.480100691115</c:v>
                </c:pt>
                <c:pt idx="2151">
                  <c:v>24992.510127829784</c:v>
                </c:pt>
                <c:pt idx="2152">
                  <c:v>25008.542908915661</c:v>
                </c:pt>
                <c:pt idx="2153">
                  <c:v>25024.578443172737</c:v>
                </c:pt>
                <c:pt idx="2154">
                  <c:v>25040.616729825604</c:v>
                </c:pt>
                <c:pt idx="2155">
                  <c:v>25056.657768099511</c:v>
                </c:pt>
                <c:pt idx="2156">
                  <c:v>25072.70155722028</c:v>
                </c:pt>
                <c:pt idx="2157">
                  <c:v>25088.748096414387</c:v>
                </c:pt>
                <c:pt idx="2158">
                  <c:v>25104.79738490891</c:v>
                </c:pt>
                <c:pt idx="2159">
                  <c:v>25120.849421931547</c:v>
                </c:pt>
                <c:pt idx="2160">
                  <c:v>25136.90420671062</c:v>
                </c:pt>
                <c:pt idx="2161">
                  <c:v>25152.961738475035</c:v>
                </c:pt>
                <c:pt idx="2162">
                  <c:v>25169.022016454357</c:v>
                </c:pt>
                <c:pt idx="2163">
                  <c:v>25185.085039878748</c:v>
                </c:pt>
                <c:pt idx="2164">
                  <c:v>25201.150807978942</c:v>
                </c:pt>
                <c:pt idx="2165">
                  <c:v>25217.21931998635</c:v>
                </c:pt>
                <c:pt idx="2166">
                  <c:v>25233.290575132956</c:v>
                </c:pt>
                <c:pt idx="2167">
                  <c:v>25249.364572651361</c:v>
                </c:pt>
                <c:pt idx="2168">
                  <c:v>25265.441311774775</c:v>
                </c:pt>
                <c:pt idx="2169">
                  <c:v>25281.520791737028</c:v>
                </c:pt>
                <c:pt idx="2170">
                  <c:v>25297.60301177252</c:v>
                </c:pt>
                <c:pt idx="2171">
                  <c:v>25313.68797111632</c:v>
                </c:pt>
                <c:pt idx="2172">
                  <c:v>25329.775669004055</c:v>
                </c:pt>
                <c:pt idx="2173">
                  <c:v>25345.866104671957</c:v>
                </c:pt>
                <c:pt idx="2174">
                  <c:v>25361.959277356902</c:v>
                </c:pt>
                <c:pt idx="2175">
                  <c:v>25378.055186296318</c:v>
                </c:pt>
                <c:pt idx="2176">
                  <c:v>25394.15383072829</c:v>
                </c:pt>
                <c:pt idx="2177">
                  <c:v>25410.25520989146</c:v>
                </c:pt>
                <c:pt idx="2178">
                  <c:v>25426.359323025099</c:v>
                </c:pt>
                <c:pt idx="2179">
                  <c:v>25442.466169369065</c:v>
                </c:pt>
                <c:pt idx="2180">
                  <c:v>25458.575748163821</c:v>
                </c:pt>
                <c:pt idx="2181">
                  <c:v>25474.688058650445</c:v>
                </c:pt>
                <c:pt idx="2182">
                  <c:v>25490.803100070567</c:v>
                </c:pt>
                <c:pt idx="2183">
                  <c:v>25506.920871666469</c:v>
                </c:pt>
                <c:pt idx="2184">
                  <c:v>25523.041372681</c:v>
                </c:pt>
                <c:pt idx="2185">
                  <c:v>25539.164602357607</c:v>
                </c:pt>
                <c:pt idx="2186">
                  <c:v>25555.290559940338</c:v>
                </c:pt>
                <c:pt idx="2187">
                  <c:v>25571.419244673838</c:v>
                </c:pt>
                <c:pt idx="2188">
                  <c:v>25587.550655803345</c:v>
                </c:pt>
                <c:pt idx="2189">
                  <c:v>25603.68479257467</c:v>
                </c:pt>
                <c:pt idx="2190">
                  <c:v>25619.821654234256</c:v>
                </c:pt>
                <c:pt idx="2191">
                  <c:v>25635.961240029101</c:v>
                </c:pt>
                <c:pt idx="2192">
                  <c:v>25652.103549206804</c:v>
                </c:pt>
                <c:pt idx="2193">
                  <c:v>25668.248581015563</c:v>
                </c:pt>
                <c:pt idx="2194">
                  <c:v>25684.396334704172</c:v>
                </c:pt>
                <c:pt idx="2195">
                  <c:v>25700.546809521984</c:v>
                </c:pt>
                <c:pt idx="2196">
                  <c:v>25716.700004718972</c:v>
                </c:pt>
                <c:pt idx="2197">
                  <c:v>25732.855919545669</c:v>
                </c:pt>
                <c:pt idx="2198">
                  <c:v>25749.014553253211</c:v>
                </c:pt>
                <c:pt idx="2199">
                  <c:v>25765.175905093325</c:v>
                </c:pt>
                <c:pt idx="2200">
                  <c:v>25781.339974318289</c:v>
                </c:pt>
                <c:pt idx="2201">
                  <c:v>25797.506760181011</c:v>
                </c:pt>
                <c:pt idx="2202">
                  <c:v>25813.676261934947</c:v>
                </c:pt>
                <c:pt idx="2203">
                  <c:v>25829.848478834159</c:v>
                </c:pt>
                <c:pt idx="2204">
                  <c:v>25846.023410133275</c:v>
                </c:pt>
                <c:pt idx="2205">
                  <c:v>25862.201055087513</c:v>
                </c:pt>
                <c:pt idx="2206">
                  <c:v>25878.381412952673</c:v>
                </c:pt>
                <c:pt idx="2207">
                  <c:v>25894.564482985108</c:v>
                </c:pt>
                <c:pt idx="2208">
                  <c:v>25910.750264441791</c:v>
                </c:pt>
                <c:pt idx="2209">
                  <c:v>25926.938756580239</c:v>
                </c:pt>
                <c:pt idx="2210">
                  <c:v>25943.129958658574</c:v>
                </c:pt>
                <c:pt idx="2211">
                  <c:v>25959.323869935477</c:v>
                </c:pt>
                <c:pt idx="2212">
                  <c:v>25975.520489670209</c:v>
                </c:pt>
                <c:pt idx="2213">
                  <c:v>25991.719817122597</c:v>
                </c:pt>
                <c:pt idx="2214">
                  <c:v>26007.92185155307</c:v>
                </c:pt>
                <c:pt idx="2215">
                  <c:v>26024.126592222598</c:v>
                </c:pt>
                <c:pt idx="2216">
                  <c:v>26040.334038392739</c:v>
                </c:pt>
                <c:pt idx="2217">
                  <c:v>26056.544189325636</c:v>
                </c:pt>
                <c:pt idx="2218">
                  <c:v>26072.757044283964</c:v>
                </c:pt>
                <c:pt idx="2219">
                  <c:v>26088.972602531023</c:v>
                </c:pt>
                <c:pt idx="2220">
                  <c:v>26105.19086333063</c:v>
                </c:pt>
                <c:pt idx="2221">
                  <c:v>26121.411825947223</c:v>
                </c:pt>
                <c:pt idx="2222">
                  <c:v>26137.635489645756</c:v>
                </c:pt>
                <c:pt idx="2223">
                  <c:v>26153.861853691797</c:v>
                </c:pt>
                <c:pt idx="2224">
                  <c:v>26170.090917351445</c:v>
                </c:pt>
                <c:pt idx="2225">
                  <c:v>26186.322679891386</c:v>
                </c:pt>
                <c:pt idx="2226">
                  <c:v>26202.557140578872</c:v>
                </c:pt>
                <c:pt idx="2227">
                  <c:v>26218.794298681718</c:v>
                </c:pt>
                <c:pt idx="2228">
                  <c:v>26235.034153468288</c:v>
                </c:pt>
                <c:pt idx="2229">
                  <c:v>26251.276704207528</c:v>
                </c:pt>
                <c:pt idx="2230">
                  <c:v>26267.521950168939</c:v>
                </c:pt>
                <c:pt idx="2231">
                  <c:v>26283.769890622607</c:v>
                </c:pt>
                <c:pt idx="2232">
                  <c:v>26300.020524839114</c:v>
                </c:pt>
                <c:pt idx="2233">
                  <c:v>26316.273852089682</c:v>
                </c:pt>
                <c:pt idx="2234">
                  <c:v>26332.52987164606</c:v>
                </c:pt>
                <c:pt idx="2235">
                  <c:v>26348.788582780529</c:v>
                </c:pt>
                <c:pt idx="2236">
                  <c:v>26365.049984765974</c:v>
                </c:pt>
                <c:pt idx="2237">
                  <c:v>26381.31407687582</c:v>
                </c:pt>
                <c:pt idx="2238">
                  <c:v>26397.580858384041</c:v>
                </c:pt>
                <c:pt idx="2239">
                  <c:v>26413.850328565168</c:v>
                </c:pt>
                <c:pt idx="2240">
                  <c:v>26430.122486694308</c:v>
                </c:pt>
                <c:pt idx="2241">
                  <c:v>26446.397332047094</c:v>
                </c:pt>
                <c:pt idx="2242">
                  <c:v>26462.674863899741</c:v>
                </c:pt>
                <c:pt idx="2243">
                  <c:v>26478.955081528999</c:v>
                </c:pt>
                <c:pt idx="2244">
                  <c:v>26495.237984212177</c:v>
                </c:pt>
                <c:pt idx="2245">
                  <c:v>26511.523571227142</c:v>
                </c:pt>
                <c:pt idx="2246">
                  <c:v>26527.811841852301</c:v>
                </c:pt>
                <c:pt idx="2247">
                  <c:v>26544.102795366627</c:v>
                </c:pt>
                <c:pt idx="2248">
                  <c:v>26560.396431049623</c:v>
                </c:pt>
                <c:pt idx="2249">
                  <c:v>26576.692748181369</c:v>
                </c:pt>
                <c:pt idx="2250">
                  <c:v>26592.991746042462</c:v>
                </c:pt>
                <c:pt idx="2251">
                  <c:v>26609.293423914074</c:v>
                </c:pt>
                <c:pt idx="2252">
                  <c:v>26625.597781077908</c:v>
                </c:pt>
                <c:pt idx="2253">
                  <c:v>26641.90481681623</c:v>
                </c:pt>
                <c:pt idx="2254">
                  <c:v>26658.214530411824</c:v>
                </c:pt>
                <c:pt idx="2255">
                  <c:v>26674.526921148063</c:v>
                </c:pt>
                <c:pt idx="2256">
                  <c:v>26690.841988308825</c:v>
                </c:pt>
                <c:pt idx="2257">
                  <c:v>26707.159731178537</c:v>
                </c:pt>
                <c:pt idx="2258">
                  <c:v>26723.480149042196</c:v>
                </c:pt>
                <c:pt idx="2259">
                  <c:v>26739.80324118532</c:v>
                </c:pt>
                <c:pt idx="2260">
                  <c:v>26756.129006893978</c:v>
                </c:pt>
                <c:pt idx="2261">
                  <c:v>26772.457445454762</c:v>
                </c:pt>
                <c:pt idx="2262">
                  <c:v>26788.788556154832</c:v>
                </c:pt>
                <c:pt idx="2263">
                  <c:v>26805.122338281879</c:v>
                </c:pt>
                <c:pt idx="2264">
                  <c:v>26821.458791124132</c:v>
                </c:pt>
                <c:pt idx="2265">
                  <c:v>26837.797913970331</c:v>
                </c:pt>
                <c:pt idx="2266">
                  <c:v>26854.139706109811</c:v>
                </c:pt>
                <c:pt idx="2267">
                  <c:v>26870.484166832401</c:v>
                </c:pt>
                <c:pt idx="2268">
                  <c:v>26886.831295428477</c:v>
                </c:pt>
                <c:pt idx="2269">
                  <c:v>26903.181091188948</c:v>
                </c:pt>
                <c:pt idx="2270">
                  <c:v>26919.533553405272</c:v>
                </c:pt>
                <c:pt idx="2271">
                  <c:v>26935.888681369448</c:v>
                </c:pt>
                <c:pt idx="2272">
                  <c:v>26952.246474373973</c:v>
                </c:pt>
                <c:pt idx="2273">
                  <c:v>26968.606931711904</c:v>
                </c:pt>
                <c:pt idx="2274">
                  <c:v>26984.970052676828</c:v>
                </c:pt>
                <c:pt idx="2275">
                  <c:v>27001.335836562866</c:v>
                </c:pt>
                <c:pt idx="2276">
                  <c:v>27017.704282664658</c:v>
                </c:pt>
                <c:pt idx="2277">
                  <c:v>27034.075390277383</c:v>
                </c:pt>
                <c:pt idx="2278">
                  <c:v>27050.449158696778</c:v>
                </c:pt>
                <c:pt idx="2279">
                  <c:v>27066.825587219042</c:v>
                </c:pt>
                <c:pt idx="2280">
                  <c:v>27083.204675140973</c:v>
                </c:pt>
                <c:pt idx="2281">
                  <c:v>27099.586421759857</c:v>
                </c:pt>
                <c:pt idx="2282">
                  <c:v>27115.970826373508</c:v>
                </c:pt>
                <c:pt idx="2283">
                  <c:v>27132.35788828029</c:v>
                </c:pt>
                <c:pt idx="2284">
                  <c:v>27148.74760677907</c:v>
                </c:pt>
                <c:pt idx="2285">
                  <c:v>27165.139981169279</c:v>
                </c:pt>
                <c:pt idx="2286">
                  <c:v>27181.535010750806</c:v>
                </c:pt>
                <c:pt idx="2287">
                  <c:v>27197.932694824129</c:v>
                </c:pt>
                <c:pt idx="2288">
                  <c:v>27214.333032690211</c:v>
                </c:pt>
                <c:pt idx="2289">
                  <c:v>27230.736023650563</c:v>
                </c:pt>
                <c:pt idx="2290">
                  <c:v>27247.141667007199</c:v>
                </c:pt>
                <c:pt idx="2291">
                  <c:v>27263.549962062651</c:v>
                </c:pt>
                <c:pt idx="2292">
                  <c:v>27279.960908120003</c:v>
                </c:pt>
                <c:pt idx="2293">
                  <c:v>27296.374504482839</c:v>
                </c:pt>
                <c:pt idx="2294">
                  <c:v>27312.79075045525</c:v>
                </c:pt>
                <c:pt idx="2295">
                  <c:v>27329.209645341874</c:v>
                </c:pt>
                <c:pt idx="2296">
                  <c:v>27345.631188447849</c:v>
                </c:pt>
                <c:pt idx="2297">
                  <c:v>27362.055379078829</c:v>
                </c:pt>
                <c:pt idx="2298">
                  <c:v>27378.482216541001</c:v>
                </c:pt>
                <c:pt idx="2299">
                  <c:v>27394.911700141056</c:v>
                </c:pt>
                <c:pt idx="2300">
                  <c:v>27411.343829186204</c:v>
                </c:pt>
                <c:pt idx="2301">
                  <c:v>27427.778602984177</c:v>
                </c:pt>
                <c:pt idx="2302">
                  <c:v>27444.216020843196</c:v>
                </c:pt>
                <c:pt idx="2303">
                  <c:v>27460.656082072055</c:v>
                </c:pt>
                <c:pt idx="2304">
                  <c:v>27477.098785979982</c:v>
                </c:pt>
                <c:pt idx="2305">
                  <c:v>27493.544131876792</c:v>
                </c:pt>
                <c:pt idx="2306">
                  <c:v>27509.992119072762</c:v>
                </c:pt>
                <c:pt idx="2307">
                  <c:v>27526.442746878696</c:v>
                </c:pt>
                <c:pt idx="2308">
                  <c:v>27542.896014605918</c:v>
                </c:pt>
                <c:pt idx="2309">
                  <c:v>27559.351921566245</c:v>
                </c:pt>
                <c:pt idx="2310">
                  <c:v>27575.810467072039</c:v>
                </c:pt>
                <c:pt idx="2311">
                  <c:v>27592.271650436116</c:v>
                </c:pt>
                <c:pt idx="2312">
                  <c:v>27608.735470971849</c:v>
                </c:pt>
                <c:pt idx="2313">
                  <c:v>27625.201927993112</c:v>
                </c:pt>
                <c:pt idx="2314">
                  <c:v>27641.671020814239</c:v>
                </c:pt>
                <c:pt idx="2315">
                  <c:v>27658.142748750146</c:v>
                </c:pt>
                <c:pt idx="2316">
                  <c:v>27674.617111116182</c:v>
                </c:pt>
                <c:pt idx="2317">
                  <c:v>27691.094107228284</c:v>
                </c:pt>
                <c:pt idx="2318">
                  <c:v>27707.573736402795</c:v>
                </c:pt>
                <c:pt idx="2319">
                  <c:v>27724.055997956642</c:v>
                </c:pt>
                <c:pt idx="2320">
                  <c:v>27740.540891207209</c:v>
                </c:pt>
                <c:pt idx="2321">
                  <c:v>27757.028415472425</c:v>
                </c:pt>
                <c:pt idx="2322">
                  <c:v>27773.51857007069</c:v>
                </c:pt>
                <c:pt idx="2323">
                  <c:v>27790.011354320894</c:v>
                </c:pt>
                <c:pt idx="2324">
                  <c:v>27806.506767542473</c:v>
                </c:pt>
                <c:pt idx="2325">
                  <c:v>27823.00480905531</c:v>
                </c:pt>
                <c:pt idx="2326">
                  <c:v>27839.505478179857</c:v>
                </c:pt>
                <c:pt idx="2327">
                  <c:v>27856.008774236991</c:v>
                </c:pt>
                <c:pt idx="2328">
                  <c:v>27872.51469654814</c:v>
                </c:pt>
                <c:pt idx="2329">
                  <c:v>27889.023244435197</c:v>
                </c:pt>
                <c:pt idx="2330">
                  <c:v>27905.534417220581</c:v>
                </c:pt>
                <c:pt idx="2331">
                  <c:v>27922.048214227201</c:v>
                </c:pt>
                <c:pt idx="2332">
                  <c:v>27938.564634778431</c:v>
                </c:pt>
                <c:pt idx="2333">
                  <c:v>27955.083678198193</c:v>
                </c:pt>
                <c:pt idx="2334">
                  <c:v>27971.605343810857</c:v>
                </c:pt>
                <c:pt idx="2335">
                  <c:v>27988.129630941319</c:v>
                </c:pt>
                <c:pt idx="2336">
                  <c:v>28004.656538914962</c:v>
                </c:pt>
                <c:pt idx="2337">
                  <c:v>28021.186067057657</c:v>
                </c:pt>
                <c:pt idx="2338">
                  <c:v>28037.718214695757</c:v>
                </c:pt>
                <c:pt idx="2339">
                  <c:v>28054.25298115614</c:v>
                </c:pt>
                <c:pt idx="2340">
                  <c:v>28070.790365766145</c:v>
                </c:pt>
                <c:pt idx="2341">
                  <c:v>28087.33036785361</c:v>
                </c:pt>
                <c:pt idx="2342">
                  <c:v>28103.872986746872</c:v>
                </c:pt>
                <c:pt idx="2343">
                  <c:v>28120.418221774751</c:v>
                </c:pt>
                <c:pt idx="2344">
                  <c:v>28136.966072266565</c:v>
                </c:pt>
                <c:pt idx="2345">
                  <c:v>28153.516537552103</c:v>
                </c:pt>
                <c:pt idx="2346">
                  <c:v>28170.069616961657</c:v>
                </c:pt>
                <c:pt idx="2347">
                  <c:v>28186.625309826013</c:v>
                </c:pt>
                <c:pt idx="2348">
                  <c:v>28203.18361547641</c:v>
                </c:pt>
                <c:pt idx="2349">
                  <c:v>28219.744533244622</c:v>
                </c:pt>
                <c:pt idx="2350">
                  <c:v>28236.308062462867</c:v>
                </c:pt>
                <c:pt idx="2351">
                  <c:v>28252.874202463892</c:v>
                </c:pt>
                <c:pt idx="2352">
                  <c:v>28269.442952580859</c:v>
                </c:pt>
                <c:pt idx="2353">
                  <c:v>28286.014312147498</c:v>
                </c:pt>
                <c:pt idx="2354">
                  <c:v>28302.588280497956</c:v>
                </c:pt>
                <c:pt idx="2355">
                  <c:v>28319.164856966912</c:v>
                </c:pt>
                <c:pt idx="2356">
                  <c:v>28335.744040889476</c:v>
                </c:pt>
                <c:pt idx="2357">
                  <c:v>28352.325831601302</c:v>
                </c:pt>
                <c:pt idx="2358">
                  <c:v>28368.910228438464</c:v>
                </c:pt>
                <c:pt idx="2359">
                  <c:v>28385.49723073755</c:v>
                </c:pt>
                <c:pt idx="2360">
                  <c:v>28402.086837835635</c:v>
                </c:pt>
                <c:pt idx="2361">
                  <c:v>28418.679049070248</c:v>
                </c:pt>
                <c:pt idx="2362">
                  <c:v>28435.273863779417</c:v>
                </c:pt>
                <c:pt idx="2363">
                  <c:v>28451.871281301646</c:v>
                </c:pt>
                <c:pt idx="2364">
                  <c:v>28468.471300975907</c:v>
                </c:pt>
                <c:pt idx="2365">
                  <c:v>28485.073922141641</c:v>
                </c:pt>
                <c:pt idx="2366">
                  <c:v>28501.679144138801</c:v>
                </c:pt>
                <c:pt idx="2367">
                  <c:v>28518.286966307795</c:v>
                </c:pt>
                <c:pt idx="2368">
                  <c:v>28534.897387989491</c:v>
                </c:pt>
                <c:pt idx="2369">
                  <c:v>28551.510408525268</c:v>
                </c:pt>
                <c:pt idx="2370">
                  <c:v>28568.126027256942</c:v>
                </c:pt>
                <c:pt idx="2371">
                  <c:v>28584.744243526831</c:v>
                </c:pt>
                <c:pt idx="2372">
                  <c:v>28601.365056677703</c:v>
                </c:pt>
                <c:pt idx="2373">
                  <c:v>28617.988466052819</c:v>
                </c:pt>
                <c:pt idx="2374">
                  <c:v>28634.614470995897</c:v>
                </c:pt>
                <c:pt idx="2375">
                  <c:v>28651.243070851157</c:v>
                </c:pt>
                <c:pt idx="2376">
                  <c:v>28667.874264963248</c:v>
                </c:pt>
                <c:pt idx="2377">
                  <c:v>28684.508052677309</c:v>
                </c:pt>
                <c:pt idx="2378">
                  <c:v>28701.144433338959</c:v>
                </c:pt>
                <c:pt idx="2379">
                  <c:v>28717.783406294264</c:v>
                </c:pt>
                <c:pt idx="2380">
                  <c:v>28734.424970889791</c:v>
                </c:pt>
                <c:pt idx="2381">
                  <c:v>28751.069126472539</c:v>
                </c:pt>
                <c:pt idx="2382">
                  <c:v>28767.715872389992</c:v>
                </c:pt>
                <c:pt idx="2383">
                  <c:v>28784.365207990122</c:v>
                </c:pt>
                <c:pt idx="2384">
                  <c:v>28801.017132621317</c:v>
                </c:pt>
                <c:pt idx="2385">
                  <c:v>28817.671645632494</c:v>
                </c:pt>
                <c:pt idx="2386">
                  <c:v>28834.328746372965</c:v>
                </c:pt>
                <c:pt idx="2387">
                  <c:v>28850.988434192586</c:v>
                </c:pt>
                <c:pt idx="2388">
                  <c:v>28867.650708441608</c:v>
                </c:pt>
                <c:pt idx="2389">
                  <c:v>28884.315568470785</c:v>
                </c:pt>
                <c:pt idx="2390">
                  <c:v>28900.983013631321</c:v>
                </c:pt>
                <c:pt idx="2391">
                  <c:v>28917.653043274888</c:v>
                </c:pt>
                <c:pt idx="2392">
                  <c:v>28934.325656753623</c:v>
                </c:pt>
                <c:pt idx="2393">
                  <c:v>28951.000853420108</c:v>
                </c:pt>
                <c:pt idx="2394">
                  <c:v>28967.678632627416</c:v>
                </c:pt>
                <c:pt idx="2395">
                  <c:v>28984.358993729049</c:v>
                </c:pt>
                <c:pt idx="2396">
                  <c:v>29001.041936079</c:v>
                </c:pt>
                <c:pt idx="2397">
                  <c:v>29017.727459031685</c:v>
                </c:pt>
                <c:pt idx="2398">
                  <c:v>29034.415561942013</c:v>
                </c:pt>
                <c:pt idx="2399">
                  <c:v>29051.106244165341</c:v>
                </c:pt>
                <c:pt idx="2400">
                  <c:v>29067.799505057475</c:v>
                </c:pt>
                <c:pt idx="2401">
                  <c:v>29084.495343974679</c:v>
                </c:pt>
                <c:pt idx="2402">
                  <c:v>29101.193760273694</c:v>
                </c:pt>
                <c:pt idx="2403">
                  <c:v>29117.894753311703</c:v>
                </c:pt>
                <c:pt idx="2404">
                  <c:v>29134.598322446334</c:v>
                </c:pt>
                <c:pt idx="2405">
                  <c:v>29151.30446703569</c:v>
                </c:pt>
                <c:pt idx="2406">
                  <c:v>29168.013186438329</c:v>
                </c:pt>
                <c:pt idx="2407">
                  <c:v>29184.724480013228</c:v>
                </c:pt>
                <c:pt idx="2408">
                  <c:v>29201.438347119882</c:v>
                </c:pt>
                <c:pt idx="2409">
                  <c:v>29218.154787118179</c:v>
                </c:pt>
                <c:pt idx="2410">
                  <c:v>29234.873799368492</c:v>
                </c:pt>
                <c:pt idx="2411">
                  <c:v>29251.595383231637</c:v>
                </c:pt>
                <c:pt idx="2412">
                  <c:v>29268.31953806887</c:v>
                </c:pt>
                <c:pt idx="2413">
                  <c:v>29285.04626324194</c:v>
                </c:pt>
                <c:pt idx="2414">
                  <c:v>29301.775558112986</c:v>
                </c:pt>
                <c:pt idx="2415">
                  <c:v>29318.507422044655</c:v>
                </c:pt>
                <c:pt idx="2416">
                  <c:v>29335.241854399996</c:v>
                </c:pt>
                <c:pt idx="2417">
                  <c:v>29351.97885454254</c:v>
                </c:pt>
                <c:pt idx="2418">
                  <c:v>29368.71842183626</c:v>
                </c:pt>
                <c:pt idx="2419">
                  <c:v>29385.460555645564</c:v>
                </c:pt>
                <c:pt idx="2420">
                  <c:v>29402.205255335321</c:v>
                </c:pt>
                <c:pt idx="2421">
                  <c:v>29418.952520270846</c:v>
                </c:pt>
                <c:pt idx="2422">
                  <c:v>29435.70234981789</c:v>
                </c:pt>
                <c:pt idx="2423">
                  <c:v>29452.454743342649</c:v>
                </c:pt>
                <c:pt idx="2424">
                  <c:v>29469.209700211795</c:v>
                </c:pt>
                <c:pt idx="2425">
                  <c:v>29485.967219792397</c:v>
                </c:pt>
                <c:pt idx="2426">
                  <c:v>29502.727301452025</c:v>
                </c:pt>
                <c:pt idx="2427">
                  <c:v>29519.48994455862</c:v>
                </c:pt>
                <c:pt idx="2428">
                  <c:v>29536.255148480657</c:v>
                </c:pt>
                <c:pt idx="2429">
                  <c:v>29553.022912586966</c:v>
                </c:pt>
                <c:pt idx="2430">
                  <c:v>29569.793236246889</c:v>
                </c:pt>
                <c:pt idx="2431">
                  <c:v>29586.566118830156</c:v>
                </c:pt>
                <c:pt idx="2432">
                  <c:v>29603.341559706976</c:v>
                </c:pt>
                <c:pt idx="2433">
                  <c:v>29620.119558247985</c:v>
                </c:pt>
                <c:pt idx="2434">
                  <c:v>29636.900113824253</c:v>
                </c:pt>
                <c:pt idx="2435">
                  <c:v>29653.683225807319</c:v>
                </c:pt>
                <c:pt idx="2436">
                  <c:v>29670.468893569105</c:v>
                </c:pt>
                <c:pt idx="2437">
                  <c:v>29687.257116482033</c:v>
                </c:pt>
                <c:pt idx="2438">
                  <c:v>29704.047893918934</c:v>
                </c:pt>
                <c:pt idx="2439">
                  <c:v>29720.841225253054</c:v>
                </c:pt>
                <c:pt idx="2440">
                  <c:v>29737.637109858144</c:v>
                </c:pt>
                <c:pt idx="2441">
                  <c:v>29754.435547108318</c:v>
                </c:pt>
                <c:pt idx="2442">
                  <c:v>29771.236536378179</c:v>
                </c:pt>
                <c:pt idx="2443">
                  <c:v>29788.040077042733</c:v>
                </c:pt>
                <c:pt idx="2444">
                  <c:v>29804.846168477437</c:v>
                </c:pt>
                <c:pt idx="2445">
                  <c:v>29821.654810058175</c:v>
                </c:pt>
                <c:pt idx="2446">
                  <c:v>29838.46600116129</c:v>
                </c:pt>
                <c:pt idx="2447">
                  <c:v>29855.279741163526</c:v>
                </c:pt>
                <c:pt idx="2448">
                  <c:v>29872.096029442069</c:v>
                </c:pt>
                <c:pt idx="2449">
                  <c:v>29888.914865374551</c:v>
                </c:pt>
                <c:pt idx="2450">
                  <c:v>29905.736248339024</c:v>
                </c:pt>
                <c:pt idx="2451">
                  <c:v>29922.560177713982</c:v>
                </c:pt>
                <c:pt idx="2452">
                  <c:v>29939.386652878347</c:v>
                </c:pt>
                <c:pt idx="2453">
                  <c:v>29956.215673211467</c:v>
                </c:pt>
                <c:pt idx="2454">
                  <c:v>29973.047238093117</c:v>
                </c:pt>
                <c:pt idx="2455">
                  <c:v>29989.881346903527</c:v>
                </c:pt>
                <c:pt idx="2456">
                  <c:v>30006.717999023305</c:v>
                </c:pt>
                <c:pt idx="2457">
                  <c:v>30023.557193833556</c:v>
                </c:pt>
                <c:pt idx="2458">
                  <c:v>30040.398930715764</c:v>
                </c:pt>
                <c:pt idx="2459">
                  <c:v>30057.243209051856</c:v>
                </c:pt>
                <c:pt idx="2460">
                  <c:v>30074.090028224182</c:v>
                </c:pt>
                <c:pt idx="2461">
                  <c:v>30090.939387615537</c:v>
                </c:pt>
                <c:pt idx="2462">
                  <c:v>30107.791286609128</c:v>
                </c:pt>
                <c:pt idx="2463">
                  <c:v>30124.645724588576</c:v>
                </c:pt>
                <c:pt idx="2464">
                  <c:v>30141.502700937934</c:v>
                </c:pt>
                <c:pt idx="2465">
                  <c:v>30158.362215041714</c:v>
                </c:pt>
                <c:pt idx="2466">
                  <c:v>30175.224266284818</c:v>
                </c:pt>
                <c:pt idx="2467">
                  <c:v>30192.088854052578</c:v>
                </c:pt>
                <c:pt idx="2468">
                  <c:v>30208.955977730744</c:v>
                </c:pt>
                <c:pt idx="2469">
                  <c:v>30225.825636705511</c:v>
                </c:pt>
                <c:pt idx="2470">
                  <c:v>30242.697830363468</c:v>
                </c:pt>
                <c:pt idx="2471">
                  <c:v>30259.572558091662</c:v>
                </c:pt>
                <c:pt idx="2472">
                  <c:v>30276.449819277514</c:v>
                </c:pt>
                <c:pt idx="2473">
                  <c:v>30293.329613308917</c:v>
                </c:pt>
                <c:pt idx="2474">
                  <c:v>30310.211939574154</c:v>
                </c:pt>
                <c:pt idx="2475">
                  <c:v>30327.096797461927</c:v>
                </c:pt>
                <c:pt idx="2476">
                  <c:v>30343.984186361398</c:v>
                </c:pt>
                <c:pt idx="2477">
                  <c:v>30360.874105662075</c:v>
                </c:pt>
                <c:pt idx="2478">
                  <c:v>30377.766554753947</c:v>
                </c:pt>
                <c:pt idx="2479">
                  <c:v>30394.661533027407</c:v>
                </c:pt>
                <c:pt idx="2480">
                  <c:v>30411.559039873264</c:v>
                </c:pt>
                <c:pt idx="2481">
                  <c:v>30428.459074682731</c:v>
                </c:pt>
                <c:pt idx="2482">
                  <c:v>30445.36163684744</c:v>
                </c:pt>
                <c:pt idx="2483">
                  <c:v>30462.266725759466</c:v>
                </c:pt>
                <c:pt idx="2484">
                  <c:v>30479.174340811274</c:v>
                </c:pt>
                <c:pt idx="2485">
                  <c:v>30496.084481395774</c:v>
                </c:pt>
                <c:pt idx="2486">
                  <c:v>30512.997146906237</c:v>
                </c:pt>
                <c:pt idx="2487">
                  <c:v>30529.912336736394</c:v>
                </c:pt>
                <c:pt idx="2488">
                  <c:v>30546.830050280405</c:v>
                </c:pt>
                <c:pt idx="2489">
                  <c:v>30563.750286932773</c:v>
                </c:pt>
                <c:pt idx="2490">
                  <c:v>30580.673046088494</c:v>
                </c:pt>
                <c:pt idx="2491">
                  <c:v>30597.598327142914</c:v>
                </c:pt>
                <c:pt idx="2492">
                  <c:v>30614.526129491856</c:v>
                </c:pt>
                <c:pt idx="2493">
                  <c:v>30631.456452531485</c:v>
                </c:pt>
                <c:pt idx="2494">
                  <c:v>30648.389295658424</c:v>
                </c:pt>
                <c:pt idx="2495">
                  <c:v>30665.324658269688</c:v>
                </c:pt>
                <c:pt idx="2496">
                  <c:v>30682.262539762727</c:v>
                </c:pt>
                <c:pt idx="2497">
                  <c:v>30699.20293953536</c:v>
                </c:pt>
                <c:pt idx="2498">
                  <c:v>30716.145856985859</c:v>
                </c:pt>
                <c:pt idx="2499">
                  <c:v>30733.091291512857</c:v>
                </c:pt>
                <c:pt idx="2500">
                  <c:v>30750.03924251545</c:v>
                </c:pt>
                <c:pt idx="2501">
                  <c:v>30766.98970939311</c:v>
                </c:pt>
                <c:pt idx="2502">
                  <c:v>30783.942691545715</c:v>
                </c:pt>
                <c:pt idx="2503">
                  <c:v>30800.898188373572</c:v>
                </c:pt>
                <c:pt idx="2504">
                  <c:v>30817.856199277372</c:v>
                </c:pt>
                <c:pt idx="2505">
                  <c:v>30834.816723658212</c:v>
                </c:pt>
                <c:pt idx="2506">
                  <c:v>30851.779760917627</c:v>
                </c:pt>
                <c:pt idx="2507">
                  <c:v>30868.745310457514</c:v>
                </c:pt>
                <c:pt idx="2508">
                  <c:v>30885.713371680213</c:v>
                </c:pt>
                <c:pt idx="2509">
                  <c:v>30902.683943988442</c:v>
                </c:pt>
                <c:pt idx="2510">
                  <c:v>30919.657026785357</c:v>
                </c:pt>
                <c:pt idx="2511">
                  <c:v>30936.632619474454</c:v>
                </c:pt>
                <c:pt idx="2512">
                  <c:v>30953.610721459707</c:v>
                </c:pt>
                <c:pt idx="2513">
                  <c:v>30970.591332145446</c:v>
                </c:pt>
                <c:pt idx="2514">
                  <c:v>30987.574450936416</c:v>
                </c:pt>
                <c:pt idx="2515">
                  <c:v>31004.560077237773</c:v>
                </c:pt>
                <c:pt idx="2516">
                  <c:v>31021.548210455057</c:v>
                </c:pt>
                <c:pt idx="2517">
                  <c:v>31038.53884999422</c:v>
                </c:pt>
                <c:pt idx="2518">
                  <c:v>31055.531995261605</c:v>
                </c:pt>
                <c:pt idx="2519">
                  <c:v>31072.527645663991</c:v>
                </c:pt>
                <c:pt idx="2520">
                  <c:v>31089.525800608506</c:v>
                </c:pt>
                <c:pt idx="2521">
                  <c:v>31106.526459502707</c:v>
                </c:pt>
                <c:pt idx="2522">
                  <c:v>31123.52962175454</c:v>
                </c:pt>
                <c:pt idx="2523">
                  <c:v>31140.535286772349</c:v>
                </c:pt>
                <c:pt idx="2524">
                  <c:v>31157.543453964892</c:v>
                </c:pt>
                <c:pt idx="2525">
                  <c:v>31174.554122741305</c:v>
                </c:pt>
                <c:pt idx="2526">
                  <c:v>31191.56729251115</c:v>
                </c:pt>
                <c:pt idx="2527">
                  <c:v>31208.582962684322</c:v>
                </c:pt>
                <c:pt idx="2528">
                  <c:v>31225.601132671203</c:v>
                </c:pt>
                <c:pt idx="2529">
                  <c:v>31242.621801882487</c:v>
                </c:pt>
                <c:pt idx="2530">
                  <c:v>31259.644969729314</c:v>
                </c:pt>
                <c:pt idx="2531">
                  <c:v>31276.67063562321</c:v>
                </c:pt>
                <c:pt idx="2532">
                  <c:v>31293.698798976075</c:v>
                </c:pt>
                <c:pt idx="2533">
                  <c:v>31310.729459200229</c:v>
                </c:pt>
                <c:pt idx="2534">
                  <c:v>31327.762615708372</c:v>
                </c:pt>
                <c:pt idx="2535">
                  <c:v>31344.798267913604</c:v>
                </c:pt>
                <c:pt idx="2536">
                  <c:v>31361.836415229409</c:v>
                </c:pt>
                <c:pt idx="2537">
                  <c:v>31378.87705706968</c:v>
                </c:pt>
                <c:pt idx="2538">
                  <c:v>31395.920192848669</c:v>
                </c:pt>
                <c:pt idx="2539">
                  <c:v>31412.965821981055</c:v>
                </c:pt>
                <c:pt idx="2540">
                  <c:v>31430.013943881899</c:v>
                </c:pt>
                <c:pt idx="2541">
                  <c:v>31447.064557966638</c:v>
                </c:pt>
                <c:pt idx="2542">
                  <c:v>31464.117663651115</c:v>
                </c:pt>
                <c:pt idx="2543">
                  <c:v>31481.173260351556</c:v>
                </c:pt>
                <c:pt idx="2544">
                  <c:v>31498.231347484587</c:v>
                </c:pt>
                <c:pt idx="2545">
                  <c:v>31515.291924467187</c:v>
                </c:pt>
                <c:pt idx="2546">
                  <c:v>31532.354990716773</c:v>
                </c:pt>
                <c:pt idx="2547">
                  <c:v>31549.420545651126</c:v>
                </c:pt>
                <c:pt idx="2548">
                  <c:v>31566.488588688415</c:v>
                </c:pt>
                <c:pt idx="2549">
                  <c:v>31583.559119247184</c:v>
                </c:pt>
                <c:pt idx="2550">
                  <c:v>31600.63213674639</c:v>
                </c:pt>
                <c:pt idx="2551">
                  <c:v>31617.70764060536</c:v>
                </c:pt>
                <c:pt idx="2552">
                  <c:v>31634.785630243816</c:v>
                </c:pt>
                <c:pt idx="2553">
                  <c:v>31651.866105081866</c:v>
                </c:pt>
                <c:pt idx="2554">
                  <c:v>31668.949064539964</c:v>
                </c:pt>
                <c:pt idx="2555">
                  <c:v>31686.034508039033</c:v>
                </c:pt>
                <c:pt idx="2556">
                  <c:v>31703.122435000296</c:v>
                </c:pt>
                <c:pt idx="2557">
                  <c:v>31720.212844845388</c:v>
                </c:pt>
                <c:pt idx="2558">
                  <c:v>31737.305736996364</c:v>
                </c:pt>
                <c:pt idx="2559">
                  <c:v>31754.401110875595</c:v>
                </c:pt>
                <c:pt idx="2560">
                  <c:v>31771.498965905914</c:v>
                </c:pt>
                <c:pt idx="2561">
                  <c:v>31788.599301510454</c:v>
                </c:pt>
                <c:pt idx="2562">
                  <c:v>31805.702117112793</c:v>
                </c:pt>
                <c:pt idx="2563">
                  <c:v>31822.807412136863</c:v>
                </c:pt>
                <c:pt idx="2564">
                  <c:v>31839.915186006961</c:v>
                </c:pt>
                <c:pt idx="2565">
                  <c:v>31857.025438147815</c:v>
                </c:pt>
                <c:pt idx="2566">
                  <c:v>31874.138167984478</c:v>
                </c:pt>
                <c:pt idx="2567">
                  <c:v>31891.253374942426</c:v>
                </c:pt>
                <c:pt idx="2568">
                  <c:v>31908.371058447479</c:v>
                </c:pt>
                <c:pt idx="2569">
                  <c:v>31925.491217925868</c:v>
                </c:pt>
                <c:pt idx="2570">
                  <c:v>31942.613852804181</c:v>
                </c:pt>
                <c:pt idx="2571">
                  <c:v>31959.738962509389</c:v>
                </c:pt>
                <c:pt idx="2572">
                  <c:v>31976.86654646886</c:v>
                </c:pt>
                <c:pt idx="2573">
                  <c:v>31993.996604110282</c:v>
                </c:pt>
                <c:pt idx="2574">
                  <c:v>32011.129134861796</c:v>
                </c:pt>
                <c:pt idx="2575">
                  <c:v>32028.264138151852</c:v>
                </c:pt>
                <c:pt idx="2576">
                  <c:v>32045.401613409347</c:v>
                </c:pt>
                <c:pt idx="2577">
                  <c:v>32062.541560063495</c:v>
                </c:pt>
                <c:pt idx="2578">
                  <c:v>32079.683977543893</c:v>
                </c:pt>
                <c:pt idx="2579">
                  <c:v>32096.828865280539</c:v>
                </c:pt>
                <c:pt idx="2580">
                  <c:v>32113.976222703779</c:v>
                </c:pt>
                <c:pt idx="2581">
                  <c:v>32131.126049244369</c:v>
                </c:pt>
                <c:pt idx="2582">
                  <c:v>32148.278344333383</c:v>
                </c:pt>
                <c:pt idx="2583">
                  <c:v>32165.433107402321</c:v>
                </c:pt>
                <c:pt idx="2584">
                  <c:v>32182.590337883026</c:v>
                </c:pt>
                <c:pt idx="2585">
                  <c:v>32199.750035207726</c:v>
                </c:pt>
                <c:pt idx="2586">
                  <c:v>32216.912198809012</c:v>
                </c:pt>
                <c:pt idx="2587">
                  <c:v>32234.076828119869</c:v>
                </c:pt>
                <c:pt idx="2588">
                  <c:v>32251.243922573623</c:v>
                </c:pt>
                <c:pt idx="2589">
                  <c:v>32268.413481603977</c:v>
                </c:pt>
                <c:pt idx="2590">
                  <c:v>32285.585504645034</c:v>
                </c:pt>
                <c:pt idx="2591">
                  <c:v>32302.759991131221</c:v>
                </c:pt>
                <c:pt idx="2592">
                  <c:v>32319.936940497373</c:v>
                </c:pt>
                <c:pt idx="2593">
                  <c:v>32337.11635217868</c:v>
                </c:pt>
                <c:pt idx="2594">
                  <c:v>32354.298225610713</c:v>
                </c:pt>
                <c:pt idx="2595">
                  <c:v>32371.482560229357</c:v>
                </c:pt>
                <c:pt idx="2596">
                  <c:v>32388.669355470956</c:v>
                </c:pt>
                <c:pt idx="2597">
                  <c:v>32405.858610772142</c:v>
                </c:pt>
                <c:pt idx="2598">
                  <c:v>32423.050325569966</c:v>
                </c:pt>
                <c:pt idx="2599">
                  <c:v>32440.244499301822</c:v>
                </c:pt>
                <c:pt idx="2600">
                  <c:v>32457.44113140546</c:v>
                </c:pt>
                <c:pt idx="2601">
                  <c:v>32474.640221319023</c:v>
                </c:pt>
                <c:pt idx="2602">
                  <c:v>32491.841768481005</c:v>
                </c:pt>
                <c:pt idx="2603">
                  <c:v>32509.045772330261</c:v>
                </c:pt>
                <c:pt idx="2604">
                  <c:v>32526.25223230604</c:v>
                </c:pt>
                <c:pt idx="2605">
                  <c:v>32543.461147847913</c:v>
                </c:pt>
                <c:pt idx="2606">
                  <c:v>32560.672518395841</c:v>
                </c:pt>
                <c:pt idx="2607">
                  <c:v>32577.886343390135</c:v>
                </c:pt>
                <c:pt idx="2608">
                  <c:v>32595.102622271486</c:v>
                </c:pt>
                <c:pt idx="2609">
                  <c:v>32612.321354480955</c:v>
                </c:pt>
                <c:pt idx="2610">
                  <c:v>32629.542539459915</c:v>
                </c:pt>
                <c:pt idx="2611">
                  <c:v>32646.76617665017</c:v>
                </c:pt>
                <c:pt idx="2612">
                  <c:v>32663.992265493842</c:v>
                </c:pt>
                <c:pt idx="2613">
                  <c:v>32681.220805433437</c:v>
                </c:pt>
                <c:pt idx="2614">
                  <c:v>32698.451795911769</c:v>
                </c:pt>
                <c:pt idx="2615">
                  <c:v>32715.685236372097</c:v>
                </c:pt>
                <c:pt idx="2616">
                  <c:v>32732.921126257977</c:v>
                </c:pt>
                <c:pt idx="2617">
                  <c:v>32750.15946501337</c:v>
                </c:pt>
                <c:pt idx="2618">
                  <c:v>32767.400252082552</c:v>
                </c:pt>
                <c:pt idx="2619">
                  <c:v>32784.643486910172</c:v>
                </c:pt>
                <c:pt idx="2620">
                  <c:v>32801.889168941256</c:v>
                </c:pt>
                <c:pt idx="2621">
                  <c:v>32819.137297621179</c:v>
                </c:pt>
                <c:pt idx="2622">
                  <c:v>32836.387872395673</c:v>
                </c:pt>
                <c:pt idx="2623">
                  <c:v>32853.640892710806</c:v>
                </c:pt>
                <c:pt idx="2624">
                  <c:v>32870.896358013051</c:v>
                </c:pt>
                <c:pt idx="2625">
                  <c:v>32888.154267749203</c:v>
                </c:pt>
                <c:pt idx="2626">
                  <c:v>32905.414621366421</c:v>
                </c:pt>
                <c:pt idx="2627">
                  <c:v>32922.677418312203</c:v>
                </c:pt>
                <c:pt idx="2628">
                  <c:v>32939.942658034452</c:v>
                </c:pt>
                <c:pt idx="2629">
                  <c:v>32957.210339981364</c:v>
                </c:pt>
                <c:pt idx="2630">
                  <c:v>32974.480463601561</c:v>
                </c:pt>
                <c:pt idx="2631">
                  <c:v>32991.753028343941</c:v>
                </c:pt>
                <c:pt idx="2632">
                  <c:v>33009.028033657814</c:v>
                </c:pt>
                <c:pt idx="2633">
                  <c:v>33026.305478992821</c:v>
                </c:pt>
                <c:pt idx="2634">
                  <c:v>33043.585363798957</c:v>
                </c:pt>
                <c:pt idx="2635">
                  <c:v>33060.867687526596</c:v>
                </c:pt>
                <c:pt idx="2636">
                  <c:v>33078.152449626403</c:v>
                </c:pt>
                <c:pt idx="2637">
                  <c:v>33095.439649549466</c:v>
                </c:pt>
                <c:pt idx="2638">
                  <c:v>33112.729286747184</c:v>
                </c:pt>
                <c:pt idx="2639">
                  <c:v>33130.021360671322</c:v>
                </c:pt>
                <c:pt idx="2640">
                  <c:v>33147.315870773993</c:v>
                </c:pt>
                <c:pt idx="2641">
                  <c:v>33164.612816507659</c:v>
                </c:pt>
                <c:pt idx="2642">
                  <c:v>33181.912197325139</c:v>
                </c:pt>
                <c:pt idx="2643">
                  <c:v>33199.214012679578</c:v>
                </c:pt>
                <c:pt idx="2644">
                  <c:v>33216.518262024518</c:v>
                </c:pt>
                <c:pt idx="2645">
                  <c:v>33233.824944813794</c:v>
                </c:pt>
                <c:pt idx="2646">
                  <c:v>33251.134060501659</c:v>
                </c:pt>
                <c:pt idx="2647">
                  <c:v>33268.445608542643</c:v>
                </c:pt>
                <c:pt idx="2648">
                  <c:v>33285.759588391651</c:v>
                </c:pt>
                <c:pt idx="2649">
                  <c:v>33303.075999503963</c:v>
                </c:pt>
                <c:pt idx="2650">
                  <c:v>33320.394841335183</c:v>
                </c:pt>
                <c:pt idx="2651">
                  <c:v>33337.716113341245</c:v>
                </c:pt>
                <c:pt idx="2652">
                  <c:v>33355.039814978467</c:v>
                </c:pt>
                <c:pt idx="2653">
                  <c:v>33372.365945703496</c:v>
                </c:pt>
                <c:pt idx="2654">
                  <c:v>33389.694504973319</c:v>
                </c:pt>
                <c:pt idx="2655">
                  <c:v>33407.025492245259</c:v>
                </c:pt>
                <c:pt idx="2656">
                  <c:v>33424.358906977053</c:v>
                </c:pt>
                <c:pt idx="2657">
                  <c:v>33441.694748626665</c:v>
                </c:pt>
                <c:pt idx="2658">
                  <c:v>33459.033016652531</c:v>
                </c:pt>
                <c:pt idx="2659">
                  <c:v>33476.373710513304</c:v>
                </c:pt>
                <c:pt idx="2660">
                  <c:v>33493.716829668105</c:v>
                </c:pt>
                <c:pt idx="2661">
                  <c:v>33511.062373576322</c:v>
                </c:pt>
                <c:pt idx="2662">
                  <c:v>33528.410341697687</c:v>
                </c:pt>
                <c:pt idx="2663">
                  <c:v>33545.76073349233</c:v>
                </c:pt>
                <c:pt idx="2664">
                  <c:v>33563.113548420646</c:v>
                </c:pt>
                <c:pt idx="2665">
                  <c:v>33580.468785943434</c:v>
                </c:pt>
                <c:pt idx="2666">
                  <c:v>33597.82644552183</c:v>
                </c:pt>
                <c:pt idx="2667">
                  <c:v>33615.186526617275</c:v>
                </c:pt>
                <c:pt idx="2668">
                  <c:v>33632.549028691559</c:v>
                </c:pt>
                <c:pt idx="2669">
                  <c:v>33649.913951206865</c:v>
                </c:pt>
                <c:pt idx="2670">
                  <c:v>33667.281293625638</c:v>
                </c:pt>
                <c:pt idx="2671">
                  <c:v>33684.651055410723</c:v>
                </c:pt>
                <c:pt idx="2672">
                  <c:v>33702.023236025285</c:v>
                </c:pt>
                <c:pt idx="2673">
                  <c:v>33719.397834932832</c:v>
                </c:pt>
                <c:pt idx="2674">
                  <c:v>33736.774851597191</c:v>
                </c:pt>
                <c:pt idx="2675">
                  <c:v>33754.154285482553</c:v>
                </c:pt>
                <c:pt idx="2676">
                  <c:v>33771.536136053444</c:v>
                </c:pt>
                <c:pt idx="2677">
                  <c:v>33788.920402774718</c:v>
                </c:pt>
                <c:pt idx="2678">
                  <c:v>33806.307085111548</c:v>
                </c:pt>
                <c:pt idx="2679">
                  <c:v>33823.6961825295</c:v>
                </c:pt>
                <c:pt idx="2680">
                  <c:v>33841.087694494447</c:v>
                </c:pt>
                <c:pt idx="2681">
                  <c:v>33858.481620472565</c:v>
                </c:pt>
                <c:pt idx="2682">
                  <c:v>33875.877959930425</c:v>
                </c:pt>
                <c:pt idx="2683">
                  <c:v>33893.276712334897</c:v>
                </c:pt>
                <c:pt idx="2684">
                  <c:v>33910.67787715319</c:v>
                </c:pt>
                <c:pt idx="2685">
                  <c:v>33928.081453852865</c:v>
                </c:pt>
                <c:pt idx="2686">
                  <c:v>33945.487441901794</c:v>
                </c:pt>
                <c:pt idx="2687">
                  <c:v>33962.895840768208</c:v>
                </c:pt>
                <c:pt idx="2688">
                  <c:v>33980.306649920662</c:v>
                </c:pt>
                <c:pt idx="2689">
                  <c:v>33997.719868828033</c:v>
                </c:pt>
                <c:pt idx="2690">
                  <c:v>34015.135496959556</c:v>
                </c:pt>
                <c:pt idx="2691">
                  <c:v>34032.553533784769</c:v>
                </c:pt>
                <c:pt idx="2692">
                  <c:v>34049.973978773574</c:v>
                </c:pt>
                <c:pt idx="2693">
                  <c:v>34067.396831396196</c:v>
                </c:pt>
                <c:pt idx="2694">
                  <c:v>34084.822091123184</c:v>
                </c:pt>
                <c:pt idx="2695">
                  <c:v>34102.249757425394</c:v>
                </c:pt>
                <c:pt idx="2696">
                  <c:v>34119.67982977409</c:v>
                </c:pt>
                <c:pt idx="2697">
                  <c:v>34137.112307640775</c:v>
                </c:pt>
                <c:pt idx="2698">
                  <c:v>34154.547190497353</c:v>
                </c:pt>
                <c:pt idx="2699">
                  <c:v>34171.984477816033</c:v>
                </c:pt>
                <c:pt idx="2700">
                  <c:v>34189.424169069331</c:v>
                </c:pt>
                <c:pt idx="2701">
                  <c:v>34206.866263730139</c:v>
                </c:pt>
                <c:pt idx="2702">
                  <c:v>34224.310761271641</c:v>
                </c:pt>
                <c:pt idx="2703">
                  <c:v>34241.757661167372</c:v>
                </c:pt>
                <c:pt idx="2704">
                  <c:v>34259.206962891185</c:v>
                </c:pt>
                <c:pt idx="2705">
                  <c:v>34276.658665917261</c:v>
                </c:pt>
                <c:pt idx="2706">
                  <c:v>34294.112769720115</c:v>
                </c:pt>
                <c:pt idx="2707">
                  <c:v>34311.569273774585</c:v>
                </c:pt>
                <c:pt idx="2708">
                  <c:v>34329.028177555854</c:v>
                </c:pt>
                <c:pt idx="2709">
                  <c:v>34346.4894805394</c:v>
                </c:pt>
                <c:pt idx="2710">
                  <c:v>34363.953182201032</c:v>
                </c:pt>
                <c:pt idx="2711">
                  <c:v>34381.419282016919</c:v>
                </c:pt>
                <c:pt idx="2712">
                  <c:v>34398.887779463541</c:v>
                </c:pt>
                <c:pt idx="2713">
                  <c:v>34416.358674017683</c:v>
                </c:pt>
                <c:pt idx="2714">
                  <c:v>34433.831965156452</c:v>
                </c:pt>
                <c:pt idx="2715">
                  <c:v>34451.307652357355</c:v>
                </c:pt>
                <c:pt idx="2716">
                  <c:v>34468.785735098121</c:v>
                </c:pt>
                <c:pt idx="2717">
                  <c:v>34486.266212856841</c:v>
                </c:pt>
                <c:pt idx="2718">
                  <c:v>34503.74908511198</c:v>
                </c:pt>
                <c:pt idx="2719">
                  <c:v>34521.234351342267</c:v>
                </c:pt>
                <c:pt idx="2720">
                  <c:v>34538.722011026766</c:v>
                </c:pt>
                <c:pt idx="2721">
                  <c:v>34556.212063644882</c:v>
                </c:pt>
                <c:pt idx="2722">
                  <c:v>34573.704508676325</c:v>
                </c:pt>
                <c:pt idx="2723">
                  <c:v>34591.199345601126</c:v>
                </c:pt>
                <c:pt idx="2724">
                  <c:v>34608.696573899666</c:v>
                </c:pt>
                <c:pt idx="2725">
                  <c:v>34626.196193052609</c:v>
                </c:pt>
                <c:pt idx="2726">
                  <c:v>34643.698202540982</c:v>
                </c:pt>
                <c:pt idx="2727">
                  <c:v>34661.202601846104</c:v>
                </c:pt>
                <c:pt idx="2728">
                  <c:v>34678.709390449614</c:v>
                </c:pt>
                <c:pt idx="2729">
                  <c:v>34696.218567833479</c:v>
                </c:pt>
                <c:pt idx="2730">
                  <c:v>34713.730133479999</c:v>
                </c:pt>
                <c:pt idx="2731">
                  <c:v>34731.244086871775</c:v>
                </c:pt>
                <c:pt idx="2732">
                  <c:v>34748.760427491725</c:v>
                </c:pt>
                <c:pt idx="2733">
                  <c:v>34766.279154823118</c:v>
                </c:pt>
                <c:pt idx="2734">
                  <c:v>34783.800268349485</c:v>
                </c:pt>
                <c:pt idx="2735">
                  <c:v>34801.323767554757</c:v>
                </c:pt>
                <c:pt idx="2736">
                  <c:v>34818.849651923105</c:v>
                </c:pt>
                <c:pt idx="2737">
                  <c:v>34836.377920939056</c:v>
                </c:pt>
                <c:pt idx="2738">
                  <c:v>34853.908574087443</c:v>
                </c:pt>
                <c:pt idx="2739">
                  <c:v>34871.441610853421</c:v>
                </c:pt>
                <c:pt idx="2740">
                  <c:v>34888.977030722483</c:v>
                </c:pt>
                <c:pt idx="2741">
                  <c:v>34906.514833180387</c:v>
                </c:pt>
                <c:pt idx="2742">
                  <c:v>34924.055017713268</c:v>
                </c:pt>
                <c:pt idx="2743">
                  <c:v>34941.597583807525</c:v>
                </c:pt>
                <c:pt idx="2744">
                  <c:v>34959.142530949903</c:v>
                </c:pt>
                <c:pt idx="2745">
                  <c:v>34976.689858627455</c:v>
                </c:pt>
                <c:pt idx="2746">
                  <c:v>34994.239566327553</c:v>
                </c:pt>
                <c:pt idx="2747">
                  <c:v>35011.791653537883</c:v>
                </c:pt>
                <c:pt idx="2748">
                  <c:v>35029.346119746398</c:v>
                </c:pt>
                <c:pt idx="2749">
                  <c:v>35046.902964441484</c:v>
                </c:pt>
                <c:pt idx="2750">
                  <c:v>35064.462187111698</c:v>
                </c:pt>
                <c:pt idx="2751">
                  <c:v>35082.023787246027</c:v>
                </c:pt>
                <c:pt idx="2752">
                  <c:v>35099.587764333693</c:v>
                </c:pt>
                <c:pt idx="2753">
                  <c:v>35117.154117864273</c:v>
                </c:pt>
                <c:pt idx="2754">
                  <c:v>35134.722847327619</c:v>
                </c:pt>
                <c:pt idx="2755">
                  <c:v>35152.293952213964</c:v>
                </c:pt>
                <c:pt idx="2756">
                  <c:v>35169.867432013794</c:v>
                </c:pt>
                <c:pt idx="2757">
                  <c:v>35187.443286217895</c:v>
                </c:pt>
                <c:pt idx="2758">
                  <c:v>35205.021514317414</c:v>
                </c:pt>
                <c:pt idx="2759">
                  <c:v>35222.602115803769</c:v>
                </c:pt>
                <c:pt idx="2760">
                  <c:v>35240.185090168728</c:v>
                </c:pt>
                <c:pt idx="2761">
                  <c:v>35257.770436904335</c:v>
                </c:pt>
                <c:pt idx="2762">
                  <c:v>35275.358155502967</c:v>
                </c:pt>
                <c:pt idx="2763">
                  <c:v>35292.948245457279</c:v>
                </c:pt>
                <c:pt idx="2764">
                  <c:v>35310.540706260283</c:v>
                </c:pt>
                <c:pt idx="2765">
                  <c:v>35328.135537405251</c:v>
                </c:pt>
                <c:pt idx="2766">
                  <c:v>35345.732738385777</c:v>
                </c:pt>
                <c:pt idx="2767">
                  <c:v>35363.332308695812</c:v>
                </c:pt>
                <c:pt idx="2768">
                  <c:v>35380.934247829529</c:v>
                </c:pt>
                <c:pt idx="2769">
                  <c:v>35398.538555281499</c:v>
                </c:pt>
                <c:pt idx="2770">
                  <c:v>35416.145230546521</c:v>
                </c:pt>
                <c:pt idx="2771">
                  <c:v>35433.754273119768</c:v>
                </c:pt>
                <c:pt idx="2772">
                  <c:v>35451.365682496682</c:v>
                </c:pt>
                <c:pt idx="2773">
                  <c:v>35468.979458172995</c:v>
                </c:pt>
                <c:pt idx="2774">
                  <c:v>35486.595599644803</c:v>
                </c:pt>
                <c:pt idx="2775">
                  <c:v>35504.21410640845</c:v>
                </c:pt>
                <c:pt idx="2776">
                  <c:v>35521.834977960621</c:v>
                </c:pt>
                <c:pt idx="2777">
                  <c:v>35539.458213798309</c:v>
                </c:pt>
                <c:pt idx="2778">
                  <c:v>35557.083813418772</c:v>
                </c:pt>
                <c:pt idx="2779">
                  <c:v>35574.7117763196</c:v>
                </c:pt>
                <c:pt idx="2780">
                  <c:v>35592.342101998722</c:v>
                </c:pt>
                <c:pt idx="2781">
                  <c:v>35609.974789954307</c:v>
                </c:pt>
                <c:pt idx="2782">
                  <c:v>35627.609839684868</c:v>
                </c:pt>
                <c:pt idx="2783">
                  <c:v>35645.247250689208</c:v>
                </c:pt>
                <c:pt idx="2784">
                  <c:v>35662.887022466435</c:v>
                </c:pt>
                <c:pt idx="2785">
                  <c:v>35680.529154515971</c:v>
                </c:pt>
                <c:pt idx="2786">
                  <c:v>35698.17364633752</c:v>
                </c:pt>
                <c:pt idx="2787">
                  <c:v>35715.820497431116</c:v>
                </c:pt>
                <c:pt idx="2788">
                  <c:v>35733.469707297059</c:v>
                </c:pt>
                <c:pt idx="2789">
                  <c:v>35751.121275435973</c:v>
                </c:pt>
                <c:pt idx="2790">
                  <c:v>35768.775201348792</c:v>
                </c:pt>
                <c:pt idx="2791">
                  <c:v>35786.431484536733</c:v>
                </c:pt>
                <c:pt idx="2792">
                  <c:v>35804.090124501337</c:v>
                </c:pt>
                <c:pt idx="2793">
                  <c:v>35821.751120744404</c:v>
                </c:pt>
                <c:pt idx="2794">
                  <c:v>35839.414472768083</c:v>
                </c:pt>
                <c:pt idx="2795">
                  <c:v>35857.080180074787</c:v>
                </c:pt>
                <c:pt idx="2796">
                  <c:v>35874.748242167247</c:v>
                </c:pt>
                <c:pt idx="2797">
                  <c:v>35892.418658548493</c:v>
                </c:pt>
                <c:pt idx="2798">
                  <c:v>35910.091428721847</c:v>
                </c:pt>
                <c:pt idx="2799">
                  <c:v>35927.766552190929</c:v>
                </c:pt>
                <c:pt idx="2800">
                  <c:v>35945.444028459664</c:v>
                </c:pt>
                <c:pt idx="2801">
                  <c:v>35963.123857032275</c:v>
                </c:pt>
                <c:pt idx="2802">
                  <c:v>35980.806037413276</c:v>
                </c:pt>
                <c:pt idx="2803">
                  <c:v>35998.490569107482</c:v>
                </c:pt>
                <c:pt idx="2804">
                  <c:v>36016.177451620024</c:v>
                </c:pt>
                <c:pt idx="2805">
                  <c:v>36033.86668445629</c:v>
                </c:pt>
                <c:pt idx="2806">
                  <c:v>36051.558267121989</c:v>
                </c:pt>
                <c:pt idx="2807">
                  <c:v>36069.252199123148</c:v>
                </c:pt>
                <c:pt idx="2808">
                  <c:v>36086.948479966049</c:v>
                </c:pt>
                <c:pt idx="2809">
                  <c:v>36104.647109157275</c:v>
                </c:pt>
                <c:pt idx="2810">
                  <c:v>36122.348086203754</c:v>
                </c:pt>
                <c:pt idx="2811">
                  <c:v>36140.051410612643</c:v>
                </c:pt>
                <c:pt idx="2812">
                  <c:v>36157.757081891454</c:v>
                </c:pt>
                <c:pt idx="2813">
                  <c:v>36175.465099547924</c:v>
                </c:pt>
                <c:pt idx="2814">
                  <c:v>36193.175463090149</c:v>
                </c:pt>
                <c:pt idx="2815">
                  <c:v>36210.888172026505</c:v>
                </c:pt>
                <c:pt idx="2816">
                  <c:v>36228.603225865634</c:v>
                </c:pt>
                <c:pt idx="2817">
                  <c:v>36246.320624116488</c:v>
                </c:pt>
                <c:pt idx="2818">
                  <c:v>36264.040366288311</c:v>
                </c:pt>
                <c:pt idx="2819">
                  <c:v>36281.762451890681</c:v>
                </c:pt>
                <c:pt idx="2820">
                  <c:v>36299.486880433382</c:v>
                </c:pt>
                <c:pt idx="2821">
                  <c:v>36317.213651426558</c:v>
                </c:pt>
                <c:pt idx="2822">
                  <c:v>36334.942764380627</c:v>
                </c:pt>
                <c:pt idx="2823">
                  <c:v>36352.674218806307</c:v>
                </c:pt>
                <c:pt idx="2824">
                  <c:v>36370.408014214598</c:v>
                </c:pt>
                <c:pt idx="2825">
                  <c:v>36388.144150116765</c:v>
                </c:pt>
                <c:pt idx="2826">
                  <c:v>36405.882626024424</c:v>
                </c:pt>
                <c:pt idx="2827">
                  <c:v>36423.623441449417</c:v>
                </c:pt>
                <c:pt idx="2828">
                  <c:v>36441.366595903935</c:v>
                </c:pt>
                <c:pt idx="2829">
                  <c:v>36459.112088900431</c:v>
                </c:pt>
                <c:pt idx="2830">
                  <c:v>36476.859919951632</c:v>
                </c:pt>
                <c:pt idx="2831">
                  <c:v>36494.610088570604</c:v>
                </c:pt>
                <c:pt idx="2832">
                  <c:v>36512.36259427062</c:v>
                </c:pt>
                <c:pt idx="2833">
                  <c:v>36530.117436565335</c:v>
                </c:pt>
                <c:pt idx="2834">
                  <c:v>36547.874614968634</c:v>
                </c:pt>
                <c:pt idx="2835">
                  <c:v>36565.63412899473</c:v>
                </c:pt>
                <c:pt idx="2836">
                  <c:v>36583.395978158063</c:v>
                </c:pt>
                <c:pt idx="2837">
                  <c:v>36601.160161973407</c:v>
                </c:pt>
                <c:pt idx="2838">
                  <c:v>36618.926679955854</c:v>
                </c:pt>
                <c:pt idx="2839">
                  <c:v>36636.695531620702</c:v>
                </c:pt>
                <c:pt idx="2840">
                  <c:v>36654.466716483585</c:v>
                </c:pt>
                <c:pt idx="2841">
                  <c:v>36672.240234060446</c:v>
                </c:pt>
                <c:pt idx="2842">
                  <c:v>36690.016083867449</c:v>
                </c:pt>
                <c:pt idx="2843">
                  <c:v>36707.794265421122</c:v>
                </c:pt>
                <c:pt idx="2844">
                  <c:v>36725.57477823821</c:v>
                </c:pt>
                <c:pt idx="2845">
                  <c:v>36743.357621835763</c:v>
                </c:pt>
                <c:pt idx="2846">
                  <c:v>36761.142795731168</c:v>
                </c:pt>
                <c:pt idx="2847">
                  <c:v>36778.930299442029</c:v>
                </c:pt>
                <c:pt idx="2848">
                  <c:v>36796.720132486247</c:v>
                </c:pt>
                <c:pt idx="2849">
                  <c:v>36814.512294382046</c:v>
                </c:pt>
                <c:pt idx="2850">
                  <c:v>36832.306784647895</c:v>
                </c:pt>
                <c:pt idx="2851">
                  <c:v>36850.103602802585</c:v>
                </c:pt>
                <c:pt idx="2852">
                  <c:v>36867.902748365137</c:v>
                </c:pt>
                <c:pt idx="2853">
                  <c:v>36885.70422085491</c:v>
                </c:pt>
                <c:pt idx="2854">
                  <c:v>36903.508019791509</c:v>
                </c:pt>
                <c:pt idx="2855">
                  <c:v>36921.31414469485</c:v>
                </c:pt>
                <c:pt idx="2856">
                  <c:v>36939.122595085108</c:v>
                </c:pt>
                <c:pt idx="2857">
                  <c:v>36956.93337048273</c:v>
                </c:pt>
                <c:pt idx="2858">
                  <c:v>36974.7464704085</c:v>
                </c:pt>
                <c:pt idx="2859">
                  <c:v>36992.561894383434</c:v>
                </c:pt>
                <c:pt idx="2860">
                  <c:v>37010.379641928848</c:v>
                </c:pt>
                <c:pt idx="2861">
                  <c:v>37028.199712566318</c:v>
                </c:pt>
                <c:pt idx="2862">
                  <c:v>37046.022105817756</c:v>
                </c:pt>
                <c:pt idx="2863">
                  <c:v>37063.846821205283</c:v>
                </c:pt>
                <c:pt idx="2864">
                  <c:v>37081.673858251328</c:v>
                </c:pt>
                <c:pt idx="2865">
                  <c:v>37099.503216478653</c:v>
                </c:pt>
                <c:pt idx="2866">
                  <c:v>37117.334895410211</c:v>
                </c:pt>
                <c:pt idx="2867">
                  <c:v>37135.168894569317</c:v>
                </c:pt>
                <c:pt idx="2868">
                  <c:v>37153.005213479468</c:v>
                </c:pt>
                <c:pt idx="2869">
                  <c:v>37170.843851664569</c:v>
                </c:pt>
                <c:pt idx="2870">
                  <c:v>37188.684808648679</c:v>
                </c:pt>
                <c:pt idx="2871">
                  <c:v>37206.528083956211</c:v>
                </c:pt>
                <c:pt idx="2872">
                  <c:v>37224.373677111857</c:v>
                </c:pt>
                <c:pt idx="2873">
                  <c:v>37242.221587640524</c:v>
                </c:pt>
                <c:pt idx="2874">
                  <c:v>37260.071815067466</c:v>
                </c:pt>
                <c:pt idx="2875">
                  <c:v>37277.924358918186</c:v>
                </c:pt>
                <c:pt idx="2876">
                  <c:v>37295.779218718439</c:v>
                </c:pt>
                <c:pt idx="2877">
                  <c:v>37313.63639399434</c:v>
                </c:pt>
                <c:pt idx="2878">
                  <c:v>37331.495884272161</c:v>
                </c:pt>
                <c:pt idx="2879">
                  <c:v>37349.357689078548</c:v>
                </c:pt>
                <c:pt idx="2880">
                  <c:v>37367.221807940397</c:v>
                </c:pt>
                <c:pt idx="2881">
                  <c:v>37385.08824038483</c:v>
                </c:pt>
                <c:pt idx="2882">
                  <c:v>37402.95698593933</c:v>
                </c:pt>
                <c:pt idx="2883">
                  <c:v>37420.828044131602</c:v>
                </c:pt>
                <c:pt idx="2884">
                  <c:v>37438.701414489624</c:v>
                </c:pt>
                <c:pt idx="2885">
                  <c:v>37456.577096541674</c:v>
                </c:pt>
                <c:pt idx="2886">
                  <c:v>37474.455089816285</c:v>
                </c:pt>
                <c:pt idx="2887">
                  <c:v>37492.335393842266</c:v>
                </c:pt>
                <c:pt idx="2888">
                  <c:v>37510.218008148724</c:v>
                </c:pt>
                <c:pt idx="2889">
                  <c:v>37528.102932264999</c:v>
                </c:pt>
                <c:pt idx="2890">
                  <c:v>37545.990165720752</c:v>
                </c:pt>
                <c:pt idx="2891">
                  <c:v>37563.879708045861</c:v>
                </c:pt>
                <c:pt idx="2892">
                  <c:v>37581.771558770561</c:v>
                </c:pt>
                <c:pt idx="2893">
                  <c:v>37599.665717425247</c:v>
                </c:pt>
                <c:pt idx="2894">
                  <c:v>37617.562183540678</c:v>
                </c:pt>
                <c:pt idx="2895">
                  <c:v>37635.460956647861</c:v>
                </c:pt>
                <c:pt idx="2896">
                  <c:v>37653.362036278035</c:v>
                </c:pt>
                <c:pt idx="2897">
                  <c:v>37671.265421962788</c:v>
                </c:pt>
                <c:pt idx="2898">
                  <c:v>37689.171113233904</c:v>
                </c:pt>
                <c:pt idx="2899">
                  <c:v>37707.07910962349</c:v>
                </c:pt>
                <c:pt idx="2900">
                  <c:v>37724.989410663889</c:v>
                </c:pt>
                <c:pt idx="2901">
                  <c:v>37742.902015887732</c:v>
                </c:pt>
                <c:pt idx="2902">
                  <c:v>37760.81692482793</c:v>
                </c:pt>
                <c:pt idx="2903">
                  <c:v>37778.734137017636</c:v>
                </c:pt>
                <c:pt idx="2904">
                  <c:v>37796.653651990295</c:v>
                </c:pt>
                <c:pt idx="2905">
                  <c:v>37814.575469279633</c:v>
                </c:pt>
                <c:pt idx="2906">
                  <c:v>37832.499588419625</c:v>
                </c:pt>
                <c:pt idx="2907">
                  <c:v>37850.426008944502</c:v>
                </c:pt>
                <c:pt idx="2908">
                  <c:v>37868.354730388775</c:v>
                </c:pt>
                <c:pt idx="2909">
                  <c:v>37886.285752287244</c:v>
                </c:pt>
                <c:pt idx="2910">
                  <c:v>37904.21907417498</c:v>
                </c:pt>
                <c:pt idx="2911">
                  <c:v>37922.154695587269</c:v>
                </c:pt>
                <c:pt idx="2912">
                  <c:v>37940.092616059745</c:v>
                </c:pt>
                <c:pt idx="2913">
                  <c:v>37958.032835128244</c:v>
                </c:pt>
                <c:pt idx="2914">
                  <c:v>37975.975352328867</c:v>
                </c:pt>
                <c:pt idx="2915">
                  <c:v>37993.920167198048</c:v>
                </c:pt>
                <c:pt idx="2916">
                  <c:v>38011.867279272425</c:v>
                </c:pt>
                <c:pt idx="2917">
                  <c:v>38029.816688088933</c:v>
                </c:pt>
                <c:pt idx="2918">
                  <c:v>38047.768393184757</c:v>
                </c:pt>
                <c:pt idx="2919">
                  <c:v>38065.722394097364</c:v>
                </c:pt>
                <c:pt idx="2920">
                  <c:v>38083.678690364482</c:v>
                </c:pt>
                <c:pt idx="2921">
                  <c:v>38101.637281524097</c:v>
                </c:pt>
                <c:pt idx="2922">
                  <c:v>38119.598167114447</c:v>
                </c:pt>
                <c:pt idx="2923">
                  <c:v>38137.561346674083</c:v>
                </c:pt>
                <c:pt idx="2924">
                  <c:v>38155.526819741768</c:v>
                </c:pt>
                <c:pt idx="2925">
                  <c:v>38173.494585856577</c:v>
                </c:pt>
                <c:pt idx="2926">
                  <c:v>38191.464644557811</c:v>
                </c:pt>
                <c:pt idx="2927">
                  <c:v>38209.436995385055</c:v>
                </c:pt>
                <c:pt idx="2928">
                  <c:v>38227.411637878147</c:v>
                </c:pt>
                <c:pt idx="2929">
                  <c:v>38245.388571577198</c:v>
                </c:pt>
                <c:pt idx="2930">
                  <c:v>38263.367796022583</c:v>
                </c:pt>
                <c:pt idx="2931">
                  <c:v>38281.349310754937</c:v>
                </c:pt>
                <c:pt idx="2932">
                  <c:v>38299.333115315138</c:v>
                </c:pt>
                <c:pt idx="2933">
                  <c:v>38317.319209244364</c:v>
                </c:pt>
                <c:pt idx="2934">
                  <c:v>38335.307592084035</c:v>
                </c:pt>
                <c:pt idx="2935">
                  <c:v>38353.298263375851</c:v>
                </c:pt>
                <c:pt idx="2936">
                  <c:v>38371.291222661726</c:v>
                </c:pt>
                <c:pt idx="2937">
                  <c:v>38389.286469483872</c:v>
                </c:pt>
                <c:pt idx="2938">
                  <c:v>38407.284003384804</c:v>
                </c:pt>
                <c:pt idx="2939">
                  <c:v>38425.283823907201</c:v>
                </c:pt>
                <c:pt idx="2940">
                  <c:v>38443.285930594066</c:v>
                </c:pt>
                <c:pt idx="2941">
                  <c:v>38461.290322988672</c:v>
                </c:pt>
                <c:pt idx="2942">
                  <c:v>38479.297000634528</c:v>
                </c:pt>
                <c:pt idx="2943">
                  <c:v>38497.305963075385</c:v>
                </c:pt>
                <c:pt idx="2944">
                  <c:v>38515.317209855304</c:v>
                </c:pt>
                <c:pt idx="2945">
                  <c:v>38533.33074051857</c:v>
                </c:pt>
                <c:pt idx="2946">
                  <c:v>38551.346554609721</c:v>
                </c:pt>
                <c:pt idx="2947">
                  <c:v>38569.364651673604</c:v>
                </c:pt>
                <c:pt idx="2948">
                  <c:v>38587.385031255239</c:v>
                </c:pt>
                <c:pt idx="2949">
                  <c:v>38605.4076929</c:v>
                </c:pt>
                <c:pt idx="2950">
                  <c:v>38623.432636153448</c:v>
                </c:pt>
                <c:pt idx="2951">
                  <c:v>38641.459860561459</c:v>
                </c:pt>
                <c:pt idx="2952">
                  <c:v>38659.489365670102</c:v>
                </c:pt>
                <c:pt idx="2953">
                  <c:v>38677.52115102578</c:v>
                </c:pt>
                <c:pt idx="2954">
                  <c:v>38695.555216175082</c:v>
                </c:pt>
                <c:pt idx="2955">
                  <c:v>38713.591560664907</c:v>
                </c:pt>
                <c:pt idx="2956">
                  <c:v>38731.630184042384</c:v>
                </c:pt>
                <c:pt idx="2957">
                  <c:v>38749.671085854876</c:v>
                </c:pt>
                <c:pt idx="2958">
                  <c:v>38767.714265650087</c:v>
                </c:pt>
                <c:pt idx="2959">
                  <c:v>38785.759722975876</c:v>
                </c:pt>
                <c:pt idx="2960">
                  <c:v>38803.807457380433</c:v>
                </c:pt>
                <c:pt idx="2961">
                  <c:v>38821.857468412141</c:v>
                </c:pt>
                <c:pt idx="2962">
                  <c:v>38839.909755619723</c:v>
                </c:pt>
                <c:pt idx="2963">
                  <c:v>38857.964318552076</c:v>
                </c:pt>
                <c:pt idx="2964">
                  <c:v>38876.021156758376</c:v>
                </c:pt>
                <c:pt idx="2965">
                  <c:v>38894.080269788072</c:v>
                </c:pt>
                <c:pt idx="2966">
                  <c:v>38912.141657190863</c:v>
                </c:pt>
                <c:pt idx="2967">
                  <c:v>38930.205318516702</c:v>
                </c:pt>
                <c:pt idx="2968">
                  <c:v>38948.271253315761</c:v>
                </c:pt>
                <c:pt idx="2969">
                  <c:v>38966.339461138523</c:v>
                </c:pt>
                <c:pt idx="2970">
                  <c:v>38984.409941535705</c:v>
                </c:pt>
                <c:pt idx="2971">
                  <c:v>39002.48269405825</c:v>
                </c:pt>
                <c:pt idx="2972">
                  <c:v>39020.557718257398</c:v>
                </c:pt>
                <c:pt idx="2973">
                  <c:v>39038.635013684587</c:v>
                </c:pt>
                <c:pt idx="2974">
                  <c:v>39056.714579891574</c:v>
                </c:pt>
                <c:pt idx="2975">
                  <c:v>39074.796416430283</c:v>
                </c:pt>
                <c:pt idx="2976">
                  <c:v>39092.880522853011</c:v>
                </c:pt>
                <c:pt idx="2977">
                  <c:v>39110.966898712191</c:v>
                </c:pt>
                <c:pt idx="2978">
                  <c:v>39129.055543560564</c:v>
                </c:pt>
                <c:pt idx="2979">
                  <c:v>39147.146456951115</c:v>
                </c:pt>
                <c:pt idx="2980">
                  <c:v>39165.239638437102</c:v>
                </c:pt>
                <c:pt idx="2981">
                  <c:v>39183.335087571984</c:v>
                </c:pt>
                <c:pt idx="2982">
                  <c:v>39201.432803909498</c:v>
                </c:pt>
                <c:pt idx="2983">
                  <c:v>39219.532787003656</c:v>
                </c:pt>
                <c:pt idx="2984">
                  <c:v>39237.635036408661</c:v>
                </c:pt>
                <c:pt idx="2985">
                  <c:v>39255.739551679057</c:v>
                </c:pt>
                <c:pt idx="2986">
                  <c:v>39273.846332369518</c:v>
                </c:pt>
                <c:pt idx="2987">
                  <c:v>39291.955378035083</c:v>
                </c:pt>
                <c:pt idx="2988">
                  <c:v>39310.06668823096</c:v>
                </c:pt>
                <c:pt idx="2989">
                  <c:v>39328.180262512658</c:v>
                </c:pt>
                <c:pt idx="2990">
                  <c:v>39346.296100435909</c:v>
                </c:pt>
                <c:pt idx="2991">
                  <c:v>39364.41420155669</c:v>
                </c:pt>
                <c:pt idx="2992">
                  <c:v>39382.53456543127</c:v>
                </c:pt>
                <c:pt idx="2993">
                  <c:v>39400.65719161609</c:v>
                </c:pt>
                <c:pt idx="2994">
                  <c:v>39418.782079667872</c:v>
                </c:pt>
                <c:pt idx="2995">
                  <c:v>39436.909229143639</c:v>
                </c:pt>
                <c:pt idx="2996">
                  <c:v>39455.038639600614</c:v>
                </c:pt>
                <c:pt idx="2997">
                  <c:v>39473.170310596266</c:v>
                </c:pt>
                <c:pt idx="2998">
                  <c:v>39491.304241688296</c:v>
                </c:pt>
                <c:pt idx="2999">
                  <c:v>39509.440432434698</c:v>
                </c:pt>
                <c:pt idx="3000">
                  <c:v>39527.578882393675</c:v>
                </c:pt>
                <c:pt idx="3001">
                  <c:v>39545.719591123692</c:v>
                </c:pt>
                <c:pt idx="3002">
                  <c:v>39563.862558183464</c:v>
                </c:pt>
                <c:pt idx="3003">
                  <c:v>39582.00778313195</c:v>
                </c:pt>
                <c:pt idx="3004">
                  <c:v>39600.155265528345</c:v>
                </c:pt>
                <c:pt idx="3005">
                  <c:v>39618.305004932103</c:v>
                </c:pt>
                <c:pt idx="3006">
                  <c:v>39636.457000902927</c:v>
                </c:pt>
                <c:pt idx="3007">
                  <c:v>39654.611253000723</c:v>
                </c:pt>
                <c:pt idx="3008">
                  <c:v>39672.767760785689</c:v>
                </c:pt>
                <c:pt idx="3009">
                  <c:v>39690.926523818271</c:v>
                </c:pt>
                <c:pt idx="3010">
                  <c:v>39709.087541659137</c:v>
                </c:pt>
                <c:pt idx="3011">
                  <c:v>39727.250813869177</c:v>
                </c:pt>
                <c:pt idx="3012">
                  <c:v>39745.4163400096</c:v>
                </c:pt>
                <c:pt idx="3013">
                  <c:v>39763.584119641768</c:v>
                </c:pt>
                <c:pt idx="3014">
                  <c:v>39781.754152327339</c:v>
                </c:pt>
                <c:pt idx="3015">
                  <c:v>39799.926437628237</c:v>
                </c:pt>
                <c:pt idx="3016">
                  <c:v>39818.100975106572</c:v>
                </c:pt>
                <c:pt idx="3017">
                  <c:v>39836.277764324732</c:v>
                </c:pt>
                <c:pt idx="3018">
                  <c:v>39854.456804845337</c:v>
                </c:pt>
                <c:pt idx="3019">
                  <c:v>39872.638096231247</c:v>
                </c:pt>
                <c:pt idx="3020">
                  <c:v>39890.821638045563</c:v>
                </c:pt>
                <c:pt idx="3021">
                  <c:v>39909.007429851656</c:v>
                </c:pt>
                <c:pt idx="3022">
                  <c:v>39927.195471213119</c:v>
                </c:pt>
                <c:pt idx="3023">
                  <c:v>39945.38576169376</c:v>
                </c:pt>
                <c:pt idx="3024">
                  <c:v>39963.578300857669</c:v>
                </c:pt>
                <c:pt idx="3025">
                  <c:v>39981.773088269161</c:v>
                </c:pt>
                <c:pt idx="3026">
                  <c:v>39999.970123492807</c:v>
                </c:pt>
                <c:pt idx="3027">
                  <c:v>40018.169406093373</c:v>
                </c:pt>
                <c:pt idx="3028">
                  <c:v>40036.370935635932</c:v>
                </c:pt>
                <c:pt idx="3029">
                  <c:v>40054.574711685753</c:v>
                </c:pt>
                <c:pt idx="3030">
                  <c:v>40072.780733808351</c:v>
                </c:pt>
                <c:pt idx="3031">
                  <c:v>40090.989001569476</c:v>
                </c:pt>
                <c:pt idx="3032">
                  <c:v>40109.199514535139</c:v>
                </c:pt>
                <c:pt idx="3033">
                  <c:v>40127.412272271606</c:v>
                </c:pt>
                <c:pt idx="3034">
                  <c:v>40145.627274345301</c:v>
                </c:pt>
                <c:pt idx="3035">
                  <c:v>40163.844520322986</c:v>
                </c:pt>
                <c:pt idx="3036">
                  <c:v>40182.06400977158</c:v>
                </c:pt>
                <c:pt idx="3037">
                  <c:v>40200.285742258326</c:v>
                </c:pt>
                <c:pt idx="3038">
                  <c:v>40218.509717350629</c:v>
                </c:pt>
                <c:pt idx="3039">
                  <c:v>40236.735934616139</c:v>
                </c:pt>
                <c:pt idx="3040">
                  <c:v>40254.964393622824</c:v>
                </c:pt>
                <c:pt idx="3041">
                  <c:v>40273.195093938775</c:v>
                </c:pt>
                <c:pt idx="3042">
                  <c:v>40291.42803513242</c:v>
                </c:pt>
                <c:pt idx="3043">
                  <c:v>40309.663216772358</c:v>
                </c:pt>
                <c:pt idx="3044">
                  <c:v>40327.900638427454</c:v>
                </c:pt>
                <c:pt idx="3045">
                  <c:v>40346.140299666811</c:v>
                </c:pt>
                <c:pt idx="3046">
                  <c:v>40364.382200059765</c:v>
                </c:pt>
                <c:pt idx="3047">
                  <c:v>40382.626339175869</c:v>
                </c:pt>
                <c:pt idx="3048">
                  <c:v>40400.872716584956</c:v>
                </c:pt>
                <c:pt idx="3049">
                  <c:v>40419.121331857066</c:v>
                </c:pt>
                <c:pt idx="3050">
                  <c:v>40437.372184562468</c:v>
                </c:pt>
                <c:pt idx="3051">
                  <c:v>40455.625274271646</c:v>
                </c:pt>
                <c:pt idx="3052">
                  <c:v>40473.880600555407</c:v>
                </c:pt>
                <c:pt idx="3053">
                  <c:v>40492.138162984716</c:v>
                </c:pt>
                <c:pt idx="3054">
                  <c:v>40510.39796113078</c:v>
                </c:pt>
                <c:pt idx="3055">
                  <c:v>40528.659994565074</c:v>
                </c:pt>
                <c:pt idx="3056">
                  <c:v>40546.924262859284</c:v>
                </c:pt>
                <c:pt idx="3057">
                  <c:v>40565.190765585328</c:v>
                </c:pt>
                <c:pt idx="3058">
                  <c:v>40583.459502315367</c:v>
                </c:pt>
                <c:pt idx="3059">
                  <c:v>40601.730472621784</c:v>
                </c:pt>
                <c:pt idx="3060">
                  <c:v>40620.003676077235</c:v>
                </c:pt>
                <c:pt idx="3061">
                  <c:v>40638.279112254546</c:v>
                </c:pt>
                <c:pt idx="3062">
                  <c:v>40656.556780726853</c:v>
                </c:pt>
                <c:pt idx="3063">
                  <c:v>40674.836681067449</c:v>
                </c:pt>
                <c:pt idx="3064">
                  <c:v>40693.118812849891</c:v>
                </c:pt>
                <c:pt idx="3065">
                  <c:v>40711.403175648004</c:v>
                </c:pt>
                <c:pt idx="3066">
                  <c:v>40729.689769035795</c:v>
                </c:pt>
                <c:pt idx="3067">
                  <c:v>40747.978592587519</c:v>
                </c:pt>
                <c:pt idx="3068">
                  <c:v>40766.269645877663</c:v>
                </c:pt>
                <c:pt idx="3069">
                  <c:v>40784.562928480969</c:v>
                </c:pt>
                <c:pt idx="3070">
                  <c:v>40802.85843997237</c:v>
                </c:pt>
                <c:pt idx="3071">
                  <c:v>40821.156179927057</c:v>
                </c:pt>
                <c:pt idx="3072">
                  <c:v>40839.456147920457</c:v>
                </c:pt>
                <c:pt idx="3073">
                  <c:v>40857.758343528199</c:v>
                </c:pt>
                <c:pt idx="3074">
                  <c:v>40876.062766326191</c:v>
                </c:pt>
                <c:pt idx="3075">
                  <c:v>40894.369415890513</c:v>
                </c:pt>
                <c:pt idx="3076">
                  <c:v>40912.678291797536</c:v>
                </c:pt>
                <c:pt idx="3077">
                  <c:v>40930.989393623779</c:v>
                </c:pt>
                <c:pt idx="3078">
                  <c:v>40949.3027209461</c:v>
                </c:pt>
                <c:pt idx="3079">
                  <c:v>40967.61827334149</c:v>
                </c:pt>
                <c:pt idx="3080">
                  <c:v>40985.93605038723</c:v>
                </c:pt>
                <c:pt idx="3081">
                  <c:v>41004.256051660806</c:v>
                </c:pt>
                <c:pt idx="3082">
                  <c:v>41022.578276739929</c:v>
                </c:pt>
                <c:pt idx="3083">
                  <c:v>41040.90272520257</c:v>
                </c:pt>
                <c:pt idx="3084">
                  <c:v>41059.229396626863</c:v>
                </c:pt>
                <c:pt idx="3085">
                  <c:v>41077.558290591245</c:v>
                </c:pt>
                <c:pt idx="3086">
                  <c:v>41095.889406674352</c:v>
                </c:pt>
                <c:pt idx="3087">
                  <c:v>41114.22274445503</c:v>
                </c:pt>
                <c:pt idx="3088">
                  <c:v>41132.558303512371</c:v>
                </c:pt>
                <c:pt idx="3089">
                  <c:v>41150.896083425701</c:v>
                </c:pt>
                <c:pt idx="3090">
                  <c:v>41169.23608377458</c:v>
                </c:pt>
                <c:pt idx="3091">
                  <c:v>41187.578304138762</c:v>
                </c:pt>
                <c:pt idx="3092">
                  <c:v>41205.922744098229</c:v>
                </c:pt>
                <c:pt idx="3093">
                  <c:v>41224.269403233237</c:v>
                </c:pt>
                <c:pt idx="3094">
                  <c:v>41242.618281124247</c:v>
                </c:pt>
                <c:pt idx="3095">
                  <c:v>41260.96937735191</c:v>
                </c:pt>
                <c:pt idx="3096">
                  <c:v>41279.32269149716</c:v>
                </c:pt>
                <c:pt idx="3097">
                  <c:v>41297.678223141134</c:v>
                </c:pt>
                <c:pt idx="3098">
                  <c:v>41316.03597186516</c:v>
                </c:pt>
                <c:pt idx="3099">
                  <c:v>41334.395937250854</c:v>
                </c:pt>
                <c:pt idx="3100">
                  <c:v>41352.758118880003</c:v>
                </c:pt>
                <c:pt idx="3101">
                  <c:v>41371.122516334653</c:v>
                </c:pt>
                <c:pt idx="3102">
                  <c:v>41389.489129197085</c:v>
                </c:pt>
                <c:pt idx="3103">
                  <c:v>41407.857957049753</c:v>
                </c:pt>
                <c:pt idx="3104">
                  <c:v>41426.228999475388</c:v>
                </c:pt>
                <c:pt idx="3105">
                  <c:v>41444.60225605694</c:v>
                </c:pt>
                <c:pt idx="3106">
                  <c:v>41462.977726377547</c:v>
                </c:pt>
                <c:pt idx="3107">
                  <c:v>41481.355410020595</c:v>
                </c:pt>
                <c:pt idx="3108">
                  <c:v>41499.735306569695</c:v>
                </c:pt>
                <c:pt idx="3109">
                  <c:v>41518.117415608693</c:v>
                </c:pt>
                <c:pt idx="3110">
                  <c:v>41536.50173672165</c:v>
                </c:pt>
                <c:pt idx="3111">
                  <c:v>41554.888269492818</c:v>
                </c:pt>
                <c:pt idx="3112">
                  <c:v>41573.277013506726</c:v>
                </c:pt>
                <c:pt idx="3113">
                  <c:v>41591.667968348091</c:v>
                </c:pt>
                <c:pt idx="3114">
                  <c:v>41610.061133601848</c:v>
                </c:pt>
                <c:pt idx="3115">
                  <c:v>41628.456508853189</c:v>
                </c:pt>
                <c:pt idx="3116">
                  <c:v>41646.854093687522</c:v>
                </c:pt>
                <c:pt idx="3117">
                  <c:v>41665.253887690429</c:v>
                </c:pt>
                <c:pt idx="3118">
                  <c:v>41683.655890447764</c:v>
                </c:pt>
                <c:pt idx="3119">
                  <c:v>41702.060101545605</c:v>
                </c:pt>
                <c:pt idx="3120">
                  <c:v>41720.466520570219</c:v>
                </c:pt>
                <c:pt idx="3121">
                  <c:v>41738.87514710809</c:v>
                </c:pt>
                <c:pt idx="3122">
                  <c:v>41757.28598074599</c:v>
                </c:pt>
                <c:pt idx="3123">
                  <c:v>41775.699021070803</c:v>
                </c:pt>
                <c:pt idx="3124">
                  <c:v>41794.114267669764</c:v>
                </c:pt>
                <c:pt idx="3125">
                  <c:v>41812.53172013021</c:v>
                </c:pt>
                <c:pt idx="3126">
                  <c:v>41830.951378039783</c:v>
                </c:pt>
                <c:pt idx="3127">
                  <c:v>41849.373240986301</c:v>
                </c:pt>
                <c:pt idx="3128">
                  <c:v>41867.797308557812</c:v>
                </c:pt>
                <c:pt idx="3129">
                  <c:v>41886.223580342587</c:v>
                </c:pt>
                <c:pt idx="3130">
                  <c:v>41904.652055929095</c:v>
                </c:pt>
                <c:pt idx="3131">
                  <c:v>41923.082734906086</c:v>
                </c:pt>
                <c:pt idx="3132">
                  <c:v>41941.515616862438</c:v>
                </c:pt>
                <c:pt idx="3133">
                  <c:v>41959.950701387352</c:v>
                </c:pt>
                <c:pt idx="3134">
                  <c:v>41978.38798807015</c:v>
                </c:pt>
                <c:pt idx="3135">
                  <c:v>41996.827476500446</c:v>
                </c:pt>
                <c:pt idx="3136">
                  <c:v>42015.269166268008</c:v>
                </c:pt>
                <c:pt idx="3137">
                  <c:v>42033.713056962893</c:v>
                </c:pt>
                <c:pt idx="3138">
                  <c:v>42052.159148175357</c:v>
                </c:pt>
                <c:pt idx="3139">
                  <c:v>42070.607439495798</c:v>
                </c:pt>
                <c:pt idx="3140">
                  <c:v>42089.057930514944</c:v>
                </c:pt>
                <c:pt idx="3141">
                  <c:v>42107.510620823654</c:v>
                </c:pt>
                <c:pt idx="3142">
                  <c:v>42125.965510013077</c:v>
                </c:pt>
                <c:pt idx="3143">
                  <c:v>42144.422597674493</c:v>
                </c:pt>
                <c:pt idx="3144">
                  <c:v>42162.881883399503</c:v>
                </c:pt>
                <c:pt idx="3145">
                  <c:v>42181.343366779831</c:v>
                </c:pt>
                <c:pt idx="3146">
                  <c:v>42199.807047407456</c:v>
                </c:pt>
                <c:pt idx="3147">
                  <c:v>42218.272924874604</c:v>
                </c:pt>
                <c:pt idx="3148">
                  <c:v>42236.740998773654</c:v>
                </c:pt>
                <c:pt idx="3149">
                  <c:v>42255.21126869724</c:v>
                </c:pt>
                <c:pt idx="3150">
                  <c:v>42273.683734238228</c:v>
                </c:pt>
                <c:pt idx="3151">
                  <c:v>42292.158394989659</c:v>
                </c:pt>
                <c:pt idx="3152">
                  <c:v>42310.63525054483</c:v>
                </c:pt>
                <c:pt idx="3153">
                  <c:v>42329.114300497182</c:v>
                </c:pt>
                <c:pt idx="3154">
                  <c:v>42347.595544440475</c:v>
                </c:pt>
                <c:pt idx="3155">
                  <c:v>42366.078981968632</c:v>
                </c:pt>
                <c:pt idx="3156">
                  <c:v>42384.564612675749</c:v>
                </c:pt>
                <c:pt idx="3157">
                  <c:v>42403.052436156198</c:v>
                </c:pt>
                <c:pt idx="3158">
                  <c:v>42421.542452004534</c:v>
                </c:pt>
                <c:pt idx="3159">
                  <c:v>42440.034659815574</c:v>
                </c:pt>
                <c:pt idx="3160">
                  <c:v>42458.529059184264</c:v>
                </c:pt>
                <c:pt idx="3161">
                  <c:v>42477.025649705814</c:v>
                </c:pt>
                <c:pt idx="3162">
                  <c:v>42495.524430975689</c:v>
                </c:pt>
                <c:pt idx="3163">
                  <c:v>42514.02540258949</c:v>
                </c:pt>
                <c:pt idx="3164">
                  <c:v>42532.528564143053</c:v>
                </c:pt>
                <c:pt idx="3165">
                  <c:v>42551.033915232474</c:v>
                </c:pt>
                <c:pt idx="3166">
                  <c:v>42569.541455454026</c:v>
                </c:pt>
                <c:pt idx="3167">
                  <c:v>42588.051184404154</c:v>
                </c:pt>
                <c:pt idx="3168">
                  <c:v>42606.563101679596</c:v>
                </c:pt>
                <c:pt idx="3169">
                  <c:v>42625.077206877264</c:v>
                </c:pt>
                <c:pt idx="3170">
                  <c:v>42643.593499594266</c:v>
                </c:pt>
                <c:pt idx="3171">
                  <c:v>42662.111979427951</c:v>
                </c:pt>
                <c:pt idx="3172">
                  <c:v>42680.632645975842</c:v>
                </c:pt>
                <c:pt idx="3173">
                  <c:v>42699.155498835724</c:v>
                </c:pt>
                <c:pt idx="3174">
                  <c:v>42717.6805376056</c:v>
                </c:pt>
                <c:pt idx="3175">
                  <c:v>42736.20776188359</c:v>
                </c:pt>
                <c:pt idx="3176">
                  <c:v>42754.737171268105</c:v>
                </c:pt>
                <c:pt idx="3177">
                  <c:v>42773.268765357789</c:v>
                </c:pt>
                <c:pt idx="3178">
                  <c:v>42791.802543751408</c:v>
                </c:pt>
                <c:pt idx="3179">
                  <c:v>42810.338506048007</c:v>
                </c:pt>
                <c:pt idx="3180">
                  <c:v>42828.87665184684</c:v>
                </c:pt>
                <c:pt idx="3181">
                  <c:v>42847.416980747337</c:v>
                </c:pt>
                <c:pt idx="3182">
                  <c:v>42865.959492349153</c:v>
                </c:pt>
                <c:pt idx="3183">
                  <c:v>42884.504186252176</c:v>
                </c:pt>
                <c:pt idx="3184">
                  <c:v>42903.051062056446</c:v>
                </c:pt>
                <c:pt idx="3185">
                  <c:v>42921.600119362287</c:v>
                </c:pt>
                <c:pt idx="3186">
                  <c:v>42940.151357770177</c:v>
                </c:pt>
                <c:pt idx="3187">
                  <c:v>42958.704776880826</c:v>
                </c:pt>
                <c:pt idx="3188">
                  <c:v>42977.260376295148</c:v>
                </c:pt>
                <c:pt idx="3189">
                  <c:v>42995.818155614252</c:v>
                </c:pt>
                <c:pt idx="3190">
                  <c:v>43014.378114439482</c:v>
                </c:pt>
                <c:pt idx="3191">
                  <c:v>43032.940252372398</c:v>
                </c:pt>
                <c:pt idx="3192">
                  <c:v>43051.504569014709</c:v>
                </c:pt>
                <c:pt idx="3193">
                  <c:v>43070.071063968389</c:v>
                </c:pt>
                <c:pt idx="3194">
                  <c:v>43088.63973683559</c:v>
                </c:pt>
                <c:pt idx="3195">
                  <c:v>43107.210587218709</c:v>
                </c:pt>
                <c:pt idx="3196">
                  <c:v>43125.783614720334</c:v>
                </c:pt>
                <c:pt idx="3197">
                  <c:v>43144.358818943205</c:v>
                </c:pt>
                <c:pt idx="3198">
                  <c:v>43162.936199490374</c:v>
                </c:pt>
                <c:pt idx="3199">
                  <c:v>43181.515755964982</c:v>
                </c:pt>
                <c:pt idx="3200">
                  <c:v>43200.097487970466</c:v>
                </c:pt>
                <c:pt idx="3201">
                  <c:v>43218.681395110434</c:v>
                </c:pt>
                <c:pt idx="3202">
                  <c:v>43237.267476988731</c:v>
                </c:pt>
                <c:pt idx="3203">
                  <c:v>43255.855733209377</c:v>
                </c:pt>
                <c:pt idx="3204">
                  <c:v>43274.44616337656</c:v>
                </c:pt>
                <c:pt idx="3205">
                  <c:v>43293.038767094797</c:v>
                </c:pt>
                <c:pt idx="3206">
                  <c:v>43311.633543968652</c:v>
                </c:pt>
                <c:pt idx="3207">
                  <c:v>43330.230493603034</c:v>
                </c:pt>
                <c:pt idx="3208">
                  <c:v>43348.829615602976</c:v>
                </c:pt>
                <c:pt idx="3209">
                  <c:v>43367.430909573748</c:v>
                </c:pt>
                <c:pt idx="3210">
                  <c:v>43386.034375120813</c:v>
                </c:pt>
                <c:pt idx="3211">
                  <c:v>43404.640011849835</c:v>
                </c:pt>
                <c:pt idx="3212">
                  <c:v>43423.24781936669</c:v>
                </c:pt>
                <c:pt idx="3213">
                  <c:v>43441.857797277509</c:v>
                </c:pt>
                <c:pt idx="3214">
                  <c:v>43460.469945188524</c:v>
                </c:pt>
                <c:pt idx="3215">
                  <c:v>43479.084262706208</c:v>
                </c:pt>
                <c:pt idx="3216">
                  <c:v>43497.700749437325</c:v>
                </c:pt>
                <c:pt idx="3217">
                  <c:v>43516.319404988702</c:v>
                </c:pt>
                <c:pt idx="3218">
                  <c:v>43534.940228967462</c:v>
                </c:pt>
                <c:pt idx="3219">
                  <c:v>43553.563220980912</c:v>
                </c:pt>
                <c:pt idx="3220">
                  <c:v>43572.188380636602</c:v>
                </c:pt>
                <c:pt idx="3221">
                  <c:v>43590.815707542191</c:v>
                </c:pt>
                <c:pt idx="3222">
                  <c:v>43609.4452013056</c:v>
                </c:pt>
                <c:pt idx="3223">
                  <c:v>43628.076861534981</c:v>
                </c:pt>
                <c:pt idx="3224">
                  <c:v>43646.710687838597</c:v>
                </c:pt>
                <c:pt idx="3225">
                  <c:v>43665.34667982503</c:v>
                </c:pt>
                <c:pt idx="3226">
                  <c:v>43683.984837102966</c:v>
                </c:pt>
                <c:pt idx="3227">
                  <c:v>43702.625159281335</c:v>
                </c:pt>
                <c:pt idx="3228">
                  <c:v>43721.267645969274</c:v>
                </c:pt>
                <c:pt idx="3229">
                  <c:v>43739.912296776121</c:v>
                </c:pt>
                <c:pt idx="3230">
                  <c:v>43758.559111311428</c:v>
                </c:pt>
                <c:pt idx="3231">
                  <c:v>43777.20808918486</c:v>
                </c:pt>
                <c:pt idx="3232">
                  <c:v>43795.85923000639</c:v>
                </c:pt>
                <c:pt idx="3233">
                  <c:v>43814.512533386187</c:v>
                </c:pt>
                <c:pt idx="3234">
                  <c:v>43833.167998934528</c:v>
                </c:pt>
                <c:pt idx="3235">
                  <c:v>43851.825626262013</c:v>
                </c:pt>
                <c:pt idx="3236">
                  <c:v>43870.485414979325</c:v>
                </c:pt>
                <c:pt idx="3237">
                  <c:v>43889.147364697448</c:v>
                </c:pt>
                <c:pt idx="3238">
                  <c:v>43907.811475027491</c:v>
                </c:pt>
                <c:pt idx="3239">
                  <c:v>43926.477745580793</c:v>
                </c:pt>
                <c:pt idx="3240">
                  <c:v>43945.146175968919</c:v>
                </c:pt>
                <c:pt idx="3241">
                  <c:v>43963.816765803582</c:v>
                </c:pt>
                <c:pt idx="3242">
                  <c:v>43982.489514696761</c:v>
                </c:pt>
                <c:pt idx="3243">
                  <c:v>44001.16442226051</c:v>
                </c:pt>
                <c:pt idx="3244">
                  <c:v>44019.841488107253</c:v>
                </c:pt>
                <c:pt idx="3245">
                  <c:v>44038.520711849516</c:v>
                </c:pt>
                <c:pt idx="3246">
                  <c:v>44057.202093099993</c:v>
                </c:pt>
                <c:pt idx="3247">
                  <c:v>44075.885631471625</c:v>
                </c:pt>
                <c:pt idx="3248">
                  <c:v>44094.571326577592</c:v>
                </c:pt>
                <c:pt idx="3249">
                  <c:v>44113.259178031163</c:v>
                </c:pt>
                <c:pt idx="3250">
                  <c:v>44131.949185445897</c:v>
                </c:pt>
                <c:pt idx="3251">
                  <c:v>44150.641348435514</c:v>
                </c:pt>
                <c:pt idx="3252">
                  <c:v>44169.335666613988</c:v>
                </c:pt>
                <c:pt idx="3253">
                  <c:v>44188.032139595351</c:v>
                </c:pt>
                <c:pt idx="3254">
                  <c:v>44206.730766993991</c:v>
                </c:pt>
                <c:pt idx="3255">
                  <c:v>44225.431548424429</c:v>
                </c:pt>
                <c:pt idx="3256">
                  <c:v>44244.134483501337</c:v>
                </c:pt>
                <c:pt idx="3257">
                  <c:v>44262.83957183965</c:v>
                </c:pt>
                <c:pt idx="3258">
                  <c:v>44281.54681305449</c:v>
                </c:pt>
                <c:pt idx="3259">
                  <c:v>44300.256206761143</c:v>
                </c:pt>
                <c:pt idx="3260">
                  <c:v>44318.967752575132</c:v>
                </c:pt>
                <c:pt idx="3261">
                  <c:v>44337.681450112141</c:v>
                </c:pt>
                <c:pt idx="3262">
                  <c:v>44356.397298988057</c:v>
                </c:pt>
                <c:pt idx="3263">
                  <c:v>44375.11529881903</c:v>
                </c:pt>
                <c:pt idx="3264">
                  <c:v>44393.835449221267</c:v>
                </c:pt>
                <c:pt idx="3265">
                  <c:v>44412.557749811283</c:v>
                </c:pt>
                <c:pt idx="3266">
                  <c:v>44431.282200205795</c:v>
                </c:pt>
                <c:pt idx="3267">
                  <c:v>44450.00880002162</c:v>
                </c:pt>
                <c:pt idx="3268">
                  <c:v>44468.737548875855</c:v>
                </c:pt>
                <c:pt idx="3269">
                  <c:v>44487.468446385756</c:v>
                </c:pt>
                <c:pt idx="3270">
                  <c:v>44506.20149216881</c:v>
                </c:pt>
                <c:pt idx="3271">
                  <c:v>44524.936685842651</c:v>
                </c:pt>
                <c:pt idx="3272">
                  <c:v>44543.674027025103</c:v>
                </c:pt>
                <c:pt idx="3273">
                  <c:v>44562.41351533428</c:v>
                </c:pt>
                <c:pt idx="3274">
                  <c:v>44581.155150388353</c:v>
                </c:pt>
                <c:pt idx="3275">
                  <c:v>44599.898931805772</c:v>
                </c:pt>
                <c:pt idx="3276">
                  <c:v>44618.64485920516</c:v>
                </c:pt>
                <c:pt idx="3277">
                  <c:v>44637.392932205388</c:v>
                </c:pt>
                <c:pt idx="3278">
                  <c:v>44656.1431504254</c:v>
                </c:pt>
                <c:pt idx="3279">
                  <c:v>44674.895513484415</c:v>
                </c:pt>
                <c:pt idx="3280">
                  <c:v>44693.6500210019</c:v>
                </c:pt>
                <c:pt idx="3281">
                  <c:v>44712.406672597368</c:v>
                </c:pt>
                <c:pt idx="3282">
                  <c:v>44731.165467890649</c:v>
                </c:pt>
                <c:pt idx="3283">
                  <c:v>44749.926406501698</c:v>
                </c:pt>
                <c:pt idx="3284">
                  <c:v>44768.689488050732</c:v>
                </c:pt>
                <c:pt idx="3285">
                  <c:v>44787.454712158069</c:v>
                </c:pt>
                <c:pt idx="3286">
                  <c:v>44806.222078444276</c:v>
                </c:pt>
                <c:pt idx="3287">
                  <c:v>44824.99158653013</c:v>
                </c:pt>
                <c:pt idx="3288">
                  <c:v>44843.763236036539</c:v>
                </c:pt>
                <c:pt idx="3289">
                  <c:v>44862.53702658465</c:v>
                </c:pt>
                <c:pt idx="3290">
                  <c:v>44881.312957795803</c:v>
                </c:pt>
                <c:pt idx="3291">
                  <c:v>44900.091029291492</c:v>
                </c:pt>
                <c:pt idx="3292">
                  <c:v>44918.87124069345</c:v>
                </c:pt>
                <c:pt idx="3293">
                  <c:v>44937.653591623544</c:v>
                </c:pt>
                <c:pt idx="3294">
                  <c:v>44956.438081703891</c:v>
                </c:pt>
                <c:pt idx="3295">
                  <c:v>44975.22471055678</c:v>
                </c:pt>
                <c:pt idx="3296">
                  <c:v>44994.013477804634</c:v>
                </c:pt>
                <c:pt idx="3297">
                  <c:v>45012.804383070179</c:v>
                </c:pt>
                <c:pt idx="3298">
                  <c:v>45031.597425976252</c:v>
                </c:pt>
                <c:pt idx="3299">
                  <c:v>45050.392606145848</c:v>
                </c:pt>
                <c:pt idx="3300">
                  <c:v>45069.189923202284</c:v>
                </c:pt>
                <c:pt idx="3301">
                  <c:v>45087.989376768906</c:v>
                </c:pt>
                <c:pt idx="3302">
                  <c:v>45106.790966469373</c:v>
                </c:pt>
                <c:pt idx="3303">
                  <c:v>45125.594691927472</c:v>
                </c:pt>
                <c:pt idx="3304">
                  <c:v>45144.400552767183</c:v>
                </c:pt>
                <c:pt idx="3305">
                  <c:v>45163.208548612762</c:v>
                </c:pt>
                <c:pt idx="3306">
                  <c:v>45182.018679088491</c:v>
                </c:pt>
                <c:pt idx="3307">
                  <c:v>45200.830943818975</c:v>
                </c:pt>
                <c:pt idx="3308">
                  <c:v>45219.645342428943</c:v>
                </c:pt>
                <c:pt idx="3309">
                  <c:v>45238.461874543362</c:v>
                </c:pt>
                <c:pt idx="3310">
                  <c:v>45257.280539787324</c:v>
                </c:pt>
                <c:pt idx="3311">
                  <c:v>45276.101337786182</c:v>
                </c:pt>
                <c:pt idx="3312">
                  <c:v>45294.9242681654</c:v>
                </c:pt>
                <c:pt idx="3313">
                  <c:v>45313.749330550723</c:v>
                </c:pt>
                <c:pt idx="3314">
                  <c:v>45332.576524567987</c:v>
                </c:pt>
                <c:pt idx="3315">
                  <c:v>45351.405849843264</c:v>
                </c:pt>
                <c:pt idx="3316">
                  <c:v>45370.237306002833</c:v>
                </c:pt>
                <c:pt idx="3317">
                  <c:v>45389.070892673102</c:v>
                </c:pt>
                <c:pt idx="3318">
                  <c:v>45407.906609480757</c:v>
                </c:pt>
                <c:pt idx="3319">
                  <c:v>45426.744456052547</c:v>
                </c:pt>
                <c:pt idx="3320">
                  <c:v>45445.58443201553</c:v>
                </c:pt>
                <c:pt idx="3321">
                  <c:v>45464.426536996885</c:v>
                </c:pt>
                <c:pt idx="3322">
                  <c:v>45483.270770623945</c:v>
                </c:pt>
                <c:pt idx="3323">
                  <c:v>45502.117132524356</c:v>
                </c:pt>
                <c:pt idx="3324">
                  <c:v>45520.965622325835</c:v>
                </c:pt>
                <c:pt idx="3325">
                  <c:v>45539.816239656284</c:v>
                </c:pt>
                <c:pt idx="3326">
                  <c:v>45558.668984143849</c:v>
                </c:pt>
                <c:pt idx="3327">
                  <c:v>45577.523855416861</c:v>
                </c:pt>
                <c:pt idx="3328">
                  <c:v>45596.380853103779</c:v>
                </c:pt>
                <c:pt idx="3329">
                  <c:v>45615.239976833342</c:v>
                </c:pt>
                <c:pt idx="3330">
                  <c:v>45634.101226234365</c:v>
                </c:pt>
                <c:pt idx="3331">
                  <c:v>45652.964600935913</c:v>
                </c:pt>
                <c:pt idx="3332">
                  <c:v>45671.830100567233</c:v>
                </c:pt>
                <c:pt idx="3333">
                  <c:v>45690.697724757709</c:v>
                </c:pt>
                <c:pt idx="3334">
                  <c:v>45709.567473137024</c:v>
                </c:pt>
                <c:pt idx="3335">
                  <c:v>45728.439345334904</c:v>
                </c:pt>
                <c:pt idx="3336">
                  <c:v>45747.313340981331</c:v>
                </c:pt>
                <c:pt idx="3337">
                  <c:v>45766.189459706511</c:v>
                </c:pt>
                <c:pt idx="3338">
                  <c:v>45785.067701140768</c:v>
                </c:pt>
                <c:pt idx="3339">
                  <c:v>45803.948064914577</c:v>
                </c:pt>
                <c:pt idx="3340">
                  <c:v>45822.830550658749</c:v>
                </c:pt>
                <c:pt idx="3341">
                  <c:v>45841.715158004103</c:v>
                </c:pt>
                <c:pt idx="3342">
                  <c:v>45860.601886581775</c:v>
                </c:pt>
                <c:pt idx="3343">
                  <c:v>45879.490736022999</c:v>
                </c:pt>
                <c:pt idx="3344">
                  <c:v>45898.381705959204</c:v>
                </c:pt>
                <c:pt idx="3345">
                  <c:v>45917.274796022073</c:v>
                </c:pt>
                <c:pt idx="3346">
                  <c:v>45936.170005843378</c:v>
                </c:pt>
                <c:pt idx="3347">
                  <c:v>45955.067335055137</c:v>
                </c:pt>
                <c:pt idx="3348">
                  <c:v>45973.96678328955</c:v>
                </c:pt>
                <c:pt idx="3349">
                  <c:v>45992.868350178935</c:v>
                </c:pt>
                <c:pt idx="3350">
                  <c:v>46011.77203535584</c:v>
                </c:pt>
                <c:pt idx="3351">
                  <c:v>46030.677838453033</c:v>
                </c:pt>
                <c:pt idx="3352">
                  <c:v>46049.585759103415</c:v>
                </c:pt>
                <c:pt idx="3353">
                  <c:v>46068.495796940057</c:v>
                </c:pt>
                <c:pt idx="3354">
                  <c:v>46087.407951596229</c:v>
                </c:pt>
                <c:pt idx="3355">
                  <c:v>46106.322222705428</c:v>
                </c:pt>
                <c:pt idx="3356">
                  <c:v>46125.238609901244</c:v>
                </c:pt>
                <c:pt idx="3357">
                  <c:v>46144.157112817506</c:v>
                </c:pt>
                <c:pt idx="3358">
                  <c:v>46163.07773108824</c:v>
                </c:pt>
                <c:pt idx="3359">
                  <c:v>46182.000464347613</c:v>
                </c:pt>
                <c:pt idx="3360">
                  <c:v>46200.925312229971</c:v>
                </c:pt>
                <c:pt idx="3361">
                  <c:v>46219.852274369885</c:v>
                </c:pt>
                <c:pt idx="3362">
                  <c:v>46238.78135040206</c:v>
                </c:pt>
                <c:pt idx="3363">
                  <c:v>46257.712539961423</c:v>
                </c:pt>
                <c:pt idx="3364">
                  <c:v>46276.645842683029</c:v>
                </c:pt>
                <c:pt idx="3365">
                  <c:v>46295.581258202154</c:v>
                </c:pt>
                <c:pt idx="3366">
                  <c:v>46314.518786154265</c:v>
                </c:pt>
                <c:pt idx="3367">
                  <c:v>46333.458426174977</c:v>
                </c:pt>
                <c:pt idx="3368">
                  <c:v>46352.400177900068</c:v>
                </c:pt>
                <c:pt idx="3369">
                  <c:v>46371.344040965552</c:v>
                </c:pt>
                <c:pt idx="3370">
                  <c:v>46390.290015007573</c:v>
                </c:pt>
                <c:pt idx="3371">
                  <c:v>46409.238099662529</c:v>
                </c:pt>
                <c:pt idx="3372">
                  <c:v>46428.188294566862</c:v>
                </c:pt>
                <c:pt idx="3373">
                  <c:v>46447.140599357357</c:v>
                </c:pt>
                <c:pt idx="3374">
                  <c:v>46466.095013670827</c:v>
                </c:pt>
                <c:pt idx="3375">
                  <c:v>46485.051537144362</c:v>
                </c:pt>
                <c:pt idx="3376">
                  <c:v>46504.010169415196</c:v>
                </c:pt>
                <c:pt idx="3377">
                  <c:v>46522.970910120785</c:v>
                </c:pt>
                <c:pt idx="3378">
                  <c:v>46541.93375889866</c:v>
                </c:pt>
                <c:pt idx="3379">
                  <c:v>46560.898715386618</c:v>
                </c:pt>
                <c:pt idx="3380">
                  <c:v>46579.865779222651</c:v>
                </c:pt>
                <c:pt idx="3381">
                  <c:v>46598.834950044853</c:v>
                </c:pt>
                <c:pt idx="3382">
                  <c:v>46617.806227491528</c:v>
                </c:pt>
                <c:pt idx="3383">
                  <c:v>46636.779611201186</c:v>
                </c:pt>
                <c:pt idx="3384">
                  <c:v>46655.755100812472</c:v>
                </c:pt>
                <c:pt idx="3385">
                  <c:v>46674.732695964238</c:v>
                </c:pt>
                <c:pt idx="3386">
                  <c:v>46693.712396295487</c:v>
                </c:pt>
                <c:pt idx="3387">
                  <c:v>46712.694201445411</c:v>
                </c:pt>
                <c:pt idx="3388">
                  <c:v>46731.678111053428</c:v>
                </c:pt>
                <c:pt idx="3389">
                  <c:v>46750.66412475906</c:v>
                </c:pt>
                <c:pt idx="3390">
                  <c:v>46769.652242202006</c:v>
                </c:pt>
                <c:pt idx="3391">
                  <c:v>46788.642463022188</c:v>
                </c:pt>
                <c:pt idx="3392">
                  <c:v>46807.634786859708</c:v>
                </c:pt>
                <c:pt idx="3393">
                  <c:v>46826.629213354798</c:v>
                </c:pt>
                <c:pt idx="3394">
                  <c:v>46845.62574214788</c:v>
                </c:pt>
                <c:pt idx="3395">
                  <c:v>46864.624372879596</c:v>
                </c:pt>
                <c:pt idx="3396">
                  <c:v>46883.625105190702</c:v>
                </c:pt>
                <c:pt idx="3397">
                  <c:v>46902.627938722173</c:v>
                </c:pt>
                <c:pt idx="3398">
                  <c:v>46921.632873115122</c:v>
                </c:pt>
                <c:pt idx="3399">
                  <c:v>46940.63990801086</c:v>
                </c:pt>
                <c:pt idx="3400">
                  <c:v>46959.649043050893</c:v>
                </c:pt>
                <c:pt idx="3401">
                  <c:v>46978.660277876887</c:v>
                </c:pt>
                <c:pt idx="3402">
                  <c:v>46997.673612130653</c:v>
                </c:pt>
                <c:pt idx="3403">
                  <c:v>47016.689045454208</c:v>
                </c:pt>
                <c:pt idx="3404">
                  <c:v>47035.706577489749</c:v>
                </c:pt>
                <c:pt idx="3405">
                  <c:v>47054.726207879634</c:v>
                </c:pt>
                <c:pt idx="3406">
                  <c:v>47073.747936266373</c:v>
                </c:pt>
                <c:pt idx="3407">
                  <c:v>47092.771762292672</c:v>
                </c:pt>
                <c:pt idx="3408">
                  <c:v>47111.797685601472</c:v>
                </c:pt>
                <c:pt idx="3409">
                  <c:v>47130.82570583577</c:v>
                </c:pt>
                <c:pt idx="3410">
                  <c:v>47149.855822638841</c:v>
                </c:pt>
                <c:pt idx="3411">
                  <c:v>47168.888035654039</c:v>
                </c:pt>
                <c:pt idx="3412">
                  <c:v>47187.922344524966</c:v>
                </c:pt>
                <c:pt idx="3413">
                  <c:v>47206.958748895413</c:v>
                </c:pt>
                <c:pt idx="3414">
                  <c:v>47225.997248409221</c:v>
                </c:pt>
                <c:pt idx="3415">
                  <c:v>47245.037842710575</c:v>
                </c:pt>
                <c:pt idx="3416">
                  <c:v>47264.080531443666</c:v>
                </c:pt>
                <c:pt idx="3417">
                  <c:v>47283.125314253004</c:v>
                </c:pt>
                <c:pt idx="3418">
                  <c:v>47302.172190783174</c:v>
                </c:pt>
                <c:pt idx="3419">
                  <c:v>47321.22116067895</c:v>
                </c:pt>
                <c:pt idx="3420">
                  <c:v>47340.272223585343</c:v>
                </c:pt>
                <c:pt idx="3421">
                  <c:v>47359.325379147442</c:v>
                </c:pt>
                <c:pt idx="3422">
                  <c:v>47378.380627010571</c:v>
                </c:pt>
                <c:pt idx="3423">
                  <c:v>47397.437966820216</c:v>
                </c:pt>
                <c:pt idx="3424">
                  <c:v>47416.497398222025</c:v>
                </c:pt>
                <c:pt idx="3425">
                  <c:v>47435.558920861775</c:v>
                </c:pt>
                <c:pt idx="3426">
                  <c:v>47454.622534385533</c:v>
                </c:pt>
                <c:pt idx="3427">
                  <c:v>47473.688238439434</c:v>
                </c:pt>
                <c:pt idx="3428">
                  <c:v>47492.756032669771</c:v>
                </c:pt>
                <c:pt idx="3429">
                  <c:v>47511.825916723115</c:v>
                </c:pt>
                <c:pt idx="3430">
                  <c:v>47530.897890246153</c:v>
                </c:pt>
                <c:pt idx="3431">
                  <c:v>47549.971952885673</c:v>
                </c:pt>
                <c:pt idx="3432">
                  <c:v>47569.048104288726</c:v>
                </c:pt>
                <c:pt idx="3433">
                  <c:v>47588.126344102493</c:v>
                </c:pt>
                <c:pt idx="3434">
                  <c:v>47607.206671974389</c:v>
                </c:pt>
                <c:pt idx="3435">
                  <c:v>47626.289087551871</c:v>
                </c:pt>
                <c:pt idx="3436">
                  <c:v>47645.37359048269</c:v>
                </c:pt>
                <c:pt idx="3437">
                  <c:v>47664.46018041471</c:v>
                </c:pt>
                <c:pt idx="3438">
                  <c:v>47683.548856995985</c:v>
                </c:pt>
                <c:pt idx="3439">
                  <c:v>47702.63961987471</c:v>
                </c:pt>
                <c:pt idx="3440">
                  <c:v>47721.732468699265</c:v>
                </c:pt>
                <c:pt idx="3441">
                  <c:v>47740.827403118223</c:v>
                </c:pt>
                <c:pt idx="3442">
                  <c:v>47759.924422780277</c:v>
                </c:pt>
                <c:pt idx="3443">
                  <c:v>47779.023527334357</c:v>
                </c:pt>
                <c:pt idx="3444">
                  <c:v>47798.124716429491</c:v>
                </c:pt>
                <c:pt idx="3445">
                  <c:v>47817.227989714942</c:v>
                </c:pt>
                <c:pt idx="3446">
                  <c:v>47836.333346840067</c:v>
                </c:pt>
                <c:pt idx="3447">
                  <c:v>47855.44078745447</c:v>
                </c:pt>
                <c:pt idx="3448">
                  <c:v>47874.550311207888</c:v>
                </c:pt>
                <c:pt idx="3449">
                  <c:v>47893.661917750171</c:v>
                </c:pt>
                <c:pt idx="3450">
                  <c:v>47912.775606731484</c:v>
                </c:pt>
                <c:pt idx="3451">
                  <c:v>47931.891377801978</c:v>
                </c:pt>
                <c:pt idx="3452">
                  <c:v>47951.009230612151</c:v>
                </c:pt>
                <c:pt idx="3453">
                  <c:v>47970.12916481249</c:v>
                </c:pt>
                <c:pt idx="3454">
                  <c:v>47989.25118005379</c:v>
                </c:pt>
                <c:pt idx="3455">
                  <c:v>48008.375275986997</c:v>
                </c:pt>
                <c:pt idx="3456">
                  <c:v>48027.501452263154</c:v>
                </c:pt>
                <c:pt idx="3457">
                  <c:v>48046.629708533495</c:v>
                </c:pt>
                <c:pt idx="3458">
                  <c:v>48065.760044449446</c:v>
                </c:pt>
                <c:pt idx="3459">
                  <c:v>48084.892459662631</c:v>
                </c:pt>
                <c:pt idx="3460">
                  <c:v>48104.026953824752</c:v>
                </c:pt>
                <c:pt idx="3461">
                  <c:v>48123.163526587727</c:v>
                </c:pt>
                <c:pt idx="3462">
                  <c:v>48142.302177603677</c:v>
                </c:pt>
                <c:pt idx="3463">
                  <c:v>48161.442906524855</c:v>
                </c:pt>
                <c:pt idx="3464">
                  <c:v>48180.585713003631</c:v>
                </c:pt>
                <c:pt idx="3465">
                  <c:v>48199.730596692636</c:v>
                </c:pt>
                <c:pt idx="3466">
                  <c:v>48218.877557244603</c:v>
                </c:pt>
                <c:pt idx="3467">
                  <c:v>48238.02659431244</c:v>
                </c:pt>
                <c:pt idx="3468">
                  <c:v>48257.17770754925</c:v>
                </c:pt>
                <c:pt idx="3469">
                  <c:v>48276.330896608255</c:v>
                </c:pt>
                <c:pt idx="3470">
                  <c:v>48295.486161142908</c:v>
                </c:pt>
                <c:pt idx="3471">
                  <c:v>48314.643500806749</c:v>
                </c:pt>
                <c:pt idx="3472">
                  <c:v>48333.802915253575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F02-A8B6-524D8CE5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3632"/>
        <c:axId val="805854192"/>
      </c:scatterChart>
      <c:valAx>
        <c:axId val="8058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/>
                  <a:t>Qout [L/s]</a:t>
                </a:r>
              </a:p>
            </c:rich>
          </c:tx>
          <c:layout>
            <c:manualLayout>
              <c:xMode val="edge"/>
              <c:yMode val="edge"/>
              <c:x val="0.49884102564102561"/>
              <c:y val="0.89569861111111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54192"/>
        <c:crosses val="autoZero"/>
        <c:crossBetween val="midCat"/>
      </c:valAx>
      <c:valAx>
        <c:axId val="80585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2S/t + Qout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53632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pt-BR" b="1"/>
              <a:t>System outlet flow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470705553253213"/>
          <c:y val="0.13730387868183144"/>
          <c:w val="0.80507076829212143"/>
          <c:h val="0.45637212015164769"/>
        </c:manualLayout>
      </c:layout>
      <c:scatterChart>
        <c:scatterStyle val="lineMarker"/>
        <c:varyColors val="0"/>
        <c:ser>
          <c:idx val="0"/>
          <c:order val="0"/>
          <c:tx>
            <c:v>Hydrograph without LID practice</c:v>
          </c:tx>
          <c:spPr>
            <a:ln w="3810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[0]!Vazao_secao_i</c:f>
              <c:numCache>
                <c:formatCode>0.0</c:formatCode>
                <c:ptCount val="5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613.31392590176938</c:v>
                </c:pt>
                <c:pt idx="24">
                  <c:v>613.31392590176938</c:v>
                </c:pt>
                <c:pt idx="25">
                  <c:v>613.31392590176938</c:v>
                </c:pt>
                <c:pt idx="26">
                  <c:v>613.31392590176938</c:v>
                </c:pt>
                <c:pt idx="27">
                  <c:v>613.31392590176938</c:v>
                </c:pt>
                <c:pt idx="28">
                  <c:v>613.31392590176938</c:v>
                </c:pt>
                <c:pt idx="29">
                  <c:v>613.31392590176938</c:v>
                </c:pt>
                <c:pt idx="30">
                  <c:v>613.31392590176938</c:v>
                </c:pt>
                <c:pt idx="31">
                  <c:v>613.31392590176938</c:v>
                </c:pt>
                <c:pt idx="32">
                  <c:v>613.31392590176938</c:v>
                </c:pt>
                <c:pt idx="33">
                  <c:v>585.43602017896171</c:v>
                </c:pt>
                <c:pt idx="34">
                  <c:v>557.55811445615393</c:v>
                </c:pt>
                <c:pt idx="35">
                  <c:v>529.68020873334626</c:v>
                </c:pt>
                <c:pt idx="36">
                  <c:v>501.80230301053859</c:v>
                </c:pt>
                <c:pt idx="37">
                  <c:v>473.92439728773087</c:v>
                </c:pt>
                <c:pt idx="38">
                  <c:v>446.04649156492314</c:v>
                </c:pt>
                <c:pt idx="39">
                  <c:v>418.16858584211548</c:v>
                </c:pt>
                <c:pt idx="40">
                  <c:v>390.29068011930781</c:v>
                </c:pt>
                <c:pt idx="41">
                  <c:v>362.41277439650008</c:v>
                </c:pt>
                <c:pt idx="42">
                  <c:v>334.53486867369236</c:v>
                </c:pt>
                <c:pt idx="43">
                  <c:v>306.65696295088469</c:v>
                </c:pt>
                <c:pt idx="44">
                  <c:v>278.77905722807697</c:v>
                </c:pt>
                <c:pt idx="45">
                  <c:v>250.9011515052693</c:v>
                </c:pt>
                <c:pt idx="46">
                  <c:v>223.02324578246157</c:v>
                </c:pt>
                <c:pt idx="47">
                  <c:v>195.1453400596539</c:v>
                </c:pt>
                <c:pt idx="48">
                  <c:v>167.26743433684618</c:v>
                </c:pt>
                <c:pt idx="49">
                  <c:v>139.38952861403845</c:v>
                </c:pt>
                <c:pt idx="50">
                  <c:v>111.51162289123079</c:v>
                </c:pt>
                <c:pt idx="51">
                  <c:v>83.633717168423118</c:v>
                </c:pt>
                <c:pt idx="52">
                  <c:v>55.755811445615336</c:v>
                </c:pt>
                <c:pt idx="53">
                  <c:v>27.877905722807668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EC-4DFF-96DF-D2900E35DD15}"/>
            </c:ext>
          </c:extLst>
        </c:ser>
        <c:ser>
          <c:idx val="1"/>
          <c:order val="1"/>
          <c:tx>
            <c:v>Hydrograph with LID practice</c:v>
          </c:tx>
          <c:spPr>
            <a:ln w="3810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[0]!Qsis_efl</c:f>
              <c:numCache>
                <c:formatCode>0.00</c:formatCode>
                <c:ptCount val="91"/>
                <c:pt idx="0">
                  <c:v>0</c:v>
                </c:pt>
                <c:pt idx="1">
                  <c:v>26.357292683381825</c:v>
                </c:pt>
                <c:pt idx="2">
                  <c:v>52.71458536676365</c:v>
                </c:pt>
                <c:pt idx="3">
                  <c:v>79.071878050145486</c:v>
                </c:pt>
                <c:pt idx="4">
                  <c:v>105.4291707335273</c:v>
                </c:pt>
                <c:pt idx="5">
                  <c:v>135.6893641085729</c:v>
                </c:pt>
                <c:pt idx="6">
                  <c:v>164.06706535819583</c:v>
                </c:pt>
                <c:pt idx="7">
                  <c:v>192.03386802701843</c:v>
                </c:pt>
                <c:pt idx="8">
                  <c:v>219.81411912024583</c:v>
                </c:pt>
                <c:pt idx="9">
                  <c:v>247.39740909363178</c:v>
                </c:pt>
                <c:pt idx="10">
                  <c:v>274.76785042364315</c:v>
                </c:pt>
                <c:pt idx="11">
                  <c:v>302.0539189266276</c:v>
                </c:pt>
                <c:pt idx="12">
                  <c:v>329.2040537704429</c:v>
                </c:pt>
                <c:pt idx="13">
                  <c:v>356.30825996976608</c:v>
                </c:pt>
                <c:pt idx="14">
                  <c:v>383.31077148232407</c:v>
                </c:pt>
                <c:pt idx="15">
                  <c:v>410.28541763676122</c:v>
                </c:pt>
                <c:pt idx="16">
                  <c:v>437.23552431650887</c:v>
                </c:pt>
                <c:pt idx="17">
                  <c:v>464.13403505662643</c:v>
                </c:pt>
                <c:pt idx="18">
                  <c:v>490.99093022972716</c:v>
                </c:pt>
                <c:pt idx="19">
                  <c:v>517.83318762162446</c:v>
                </c:pt>
                <c:pt idx="20">
                  <c:v>544.662023089537</c:v>
                </c:pt>
                <c:pt idx="21">
                  <c:v>571.42805413948588</c:v>
                </c:pt>
                <c:pt idx="22">
                  <c:v>598.18497033081826</c:v>
                </c:pt>
                <c:pt idx="23">
                  <c:v>598.57606286161331</c:v>
                </c:pt>
                <c:pt idx="24">
                  <c:v>598.95914849996598</c:v>
                </c:pt>
                <c:pt idx="25">
                  <c:v>599.33469977154846</c:v>
                </c:pt>
                <c:pt idx="26">
                  <c:v>599.70314447662201</c:v>
                </c:pt>
                <c:pt idx="27">
                  <c:v>602.56191606212133</c:v>
                </c:pt>
                <c:pt idx="28">
                  <c:v>606.72090306965367</c:v>
                </c:pt>
                <c:pt idx="29">
                  <c:v>610.08446084104492</c:v>
                </c:pt>
                <c:pt idx="30">
                  <c:v>612.87164644958443</c:v>
                </c:pt>
                <c:pt idx="31">
                  <c:v>614.84548865792328</c:v>
                </c:pt>
                <c:pt idx="32">
                  <c:v>615.86545545777278</c:v>
                </c:pt>
                <c:pt idx="33">
                  <c:v>589.50816277439105</c:v>
                </c:pt>
                <c:pt idx="34">
                  <c:v>562.1309032911596</c:v>
                </c:pt>
                <c:pt idx="35">
                  <c:v>532.84696378073772</c:v>
                </c:pt>
                <c:pt idx="36">
                  <c:v>503.7750643913858</c:v>
                </c:pt>
                <c:pt idx="37">
                  <c:v>474.1622396659148</c:v>
                </c:pt>
                <c:pt idx="38">
                  <c:v>444.41815996183038</c:v>
                </c:pt>
                <c:pt idx="39">
                  <c:v>415.3849213546294</c:v>
                </c:pt>
                <c:pt idx="40">
                  <c:v>388.56911990751081</c:v>
                </c:pt>
                <c:pt idx="41">
                  <c:v>361.83809108649251</c:v>
                </c:pt>
                <c:pt idx="42">
                  <c:v>335.0996388013636</c:v>
                </c:pt>
                <c:pt idx="43">
                  <c:v>308.35330230036897</c:v>
                </c:pt>
                <c:pt idx="44">
                  <c:v>281.64872881404011</c:v>
                </c:pt>
                <c:pt idx="45">
                  <c:v>254.93735120101854</c:v>
                </c:pt>
                <c:pt idx="46">
                  <c:v>228.21875313307194</c:v>
                </c:pt>
                <c:pt idx="47">
                  <c:v>201.49247400954161</c:v>
                </c:pt>
                <c:pt idx="48">
                  <c:v>174.75800207171528</c:v>
                </c:pt>
                <c:pt idx="49">
                  <c:v>148.01476607589623</c:v>
                </c:pt>
                <c:pt idx="50">
                  <c:v>121.26212513832455</c:v>
                </c:pt>
                <c:pt idx="51">
                  <c:v>94.473982094313982</c:v>
                </c:pt>
                <c:pt idx="52">
                  <c:v>67.700949434174277</c:v>
                </c:pt>
                <c:pt idx="53">
                  <c:v>40.977902156550471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EC-4DFF-96DF-D2900E35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6992"/>
        <c:axId val="806412208"/>
      </c:scatterChart>
      <c:valAx>
        <c:axId val="8058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6655300259598692"/>
              <c:y val="0.706610892388451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6412208"/>
        <c:crosses val="autoZero"/>
        <c:crossBetween val="midCat"/>
      </c:valAx>
      <c:valAx>
        <c:axId val="8064122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856992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215472297520187"/>
          <c:y val="0.80954250510352854"/>
          <c:w val="0.77586625684947275"/>
          <c:h val="0.1639134848852790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 sz="18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System's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552952306770498"/>
          <c:y val="0.14435473865154633"/>
          <c:w val="0.84424821472915113"/>
          <c:h val="0.56896143567230684"/>
        </c:manualLayout>
      </c:layout>
      <c:scatterChart>
        <c:scatterStyle val="lineMarker"/>
        <c:varyColors val="0"/>
        <c:ser>
          <c:idx val="1"/>
          <c:order val="0"/>
          <c:tx>
            <c:v>Outlet hydrograph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[0]!Vazao_exutorio</c:f>
              <c:numCache>
                <c:formatCode>0.0</c:formatCode>
                <c:ptCount val="6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641.19183162457705</c:v>
                </c:pt>
                <c:pt idx="24">
                  <c:v>669.06973734738483</c:v>
                </c:pt>
                <c:pt idx="25">
                  <c:v>696.9476430701925</c:v>
                </c:pt>
                <c:pt idx="26">
                  <c:v>724.82554879300017</c:v>
                </c:pt>
                <c:pt idx="27">
                  <c:v>752.70345451580795</c:v>
                </c:pt>
                <c:pt idx="28">
                  <c:v>780.58136023861562</c:v>
                </c:pt>
                <c:pt idx="29">
                  <c:v>808.45926596142328</c:v>
                </c:pt>
                <c:pt idx="30">
                  <c:v>836.33717168423095</c:v>
                </c:pt>
                <c:pt idx="31">
                  <c:v>864.21507740703873</c:v>
                </c:pt>
                <c:pt idx="32">
                  <c:v>892.0929831298464</c:v>
                </c:pt>
                <c:pt idx="33">
                  <c:v>864.21507740703873</c:v>
                </c:pt>
                <c:pt idx="34">
                  <c:v>836.33717168423095</c:v>
                </c:pt>
                <c:pt idx="35">
                  <c:v>808.45926596142328</c:v>
                </c:pt>
                <c:pt idx="36">
                  <c:v>780.58136023861562</c:v>
                </c:pt>
                <c:pt idx="37">
                  <c:v>752.70345451580783</c:v>
                </c:pt>
                <c:pt idx="38">
                  <c:v>724.82554879300017</c:v>
                </c:pt>
                <c:pt idx="39">
                  <c:v>696.9476430701925</c:v>
                </c:pt>
                <c:pt idx="40">
                  <c:v>669.06973734738483</c:v>
                </c:pt>
                <c:pt idx="41">
                  <c:v>641.19183162457716</c:v>
                </c:pt>
                <c:pt idx="42">
                  <c:v>613.31392590176938</c:v>
                </c:pt>
                <c:pt idx="43">
                  <c:v>585.43602017896171</c:v>
                </c:pt>
                <c:pt idx="44">
                  <c:v>557.55811445615404</c:v>
                </c:pt>
                <c:pt idx="45">
                  <c:v>529.68020873334626</c:v>
                </c:pt>
                <c:pt idx="46">
                  <c:v>501.80230301053859</c:v>
                </c:pt>
                <c:pt idx="47">
                  <c:v>473.92439728773093</c:v>
                </c:pt>
                <c:pt idx="48">
                  <c:v>446.0464915649232</c:v>
                </c:pt>
                <c:pt idx="49">
                  <c:v>418.16858584211548</c:v>
                </c:pt>
                <c:pt idx="50">
                  <c:v>390.29068011930781</c:v>
                </c:pt>
                <c:pt idx="51">
                  <c:v>362.41277439650014</c:v>
                </c:pt>
                <c:pt idx="52">
                  <c:v>334.53486867369236</c:v>
                </c:pt>
                <c:pt idx="53">
                  <c:v>306.65696295088469</c:v>
                </c:pt>
                <c:pt idx="54">
                  <c:v>278.77905722807702</c:v>
                </c:pt>
                <c:pt idx="55">
                  <c:v>250.90115150526935</c:v>
                </c:pt>
                <c:pt idx="56">
                  <c:v>223.02324578246157</c:v>
                </c:pt>
                <c:pt idx="57">
                  <c:v>195.1453400596539</c:v>
                </c:pt>
                <c:pt idx="58">
                  <c:v>167.26743433684624</c:v>
                </c:pt>
                <c:pt idx="59">
                  <c:v>139.38952861403845</c:v>
                </c:pt>
                <c:pt idx="60">
                  <c:v>111.51162289123079</c:v>
                </c:pt>
                <c:pt idx="61">
                  <c:v>83.633717168423118</c:v>
                </c:pt>
                <c:pt idx="62">
                  <c:v>55.75581144561545</c:v>
                </c:pt>
                <c:pt idx="63">
                  <c:v>27.877905722807668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7-4777-A842-1CA462679C83}"/>
            </c:ext>
          </c:extLst>
        </c:ser>
        <c:ser>
          <c:idx val="0"/>
          <c:order val="1"/>
          <c:tx>
            <c:v>Lot reference hydrograph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[0]!Vazao_secao_i</c:f>
              <c:numCache>
                <c:formatCode>0.0</c:formatCode>
                <c:ptCount val="5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613.31392590176938</c:v>
                </c:pt>
                <c:pt idx="24">
                  <c:v>613.31392590176938</c:v>
                </c:pt>
                <c:pt idx="25">
                  <c:v>613.31392590176938</c:v>
                </c:pt>
                <c:pt idx="26">
                  <c:v>613.31392590176938</c:v>
                </c:pt>
                <c:pt idx="27">
                  <c:v>613.31392590176938</c:v>
                </c:pt>
                <c:pt idx="28">
                  <c:v>613.31392590176938</c:v>
                </c:pt>
                <c:pt idx="29">
                  <c:v>613.31392590176938</c:v>
                </c:pt>
                <c:pt idx="30">
                  <c:v>613.31392590176938</c:v>
                </c:pt>
                <c:pt idx="31">
                  <c:v>613.31392590176938</c:v>
                </c:pt>
                <c:pt idx="32">
                  <c:v>613.31392590176938</c:v>
                </c:pt>
                <c:pt idx="33">
                  <c:v>585.43602017896171</c:v>
                </c:pt>
                <c:pt idx="34">
                  <c:v>557.55811445615393</c:v>
                </c:pt>
                <c:pt idx="35">
                  <c:v>529.68020873334626</c:v>
                </c:pt>
                <c:pt idx="36">
                  <c:v>501.80230301053859</c:v>
                </c:pt>
                <c:pt idx="37">
                  <c:v>473.92439728773087</c:v>
                </c:pt>
                <c:pt idx="38">
                  <c:v>446.04649156492314</c:v>
                </c:pt>
                <c:pt idx="39">
                  <c:v>418.16858584211548</c:v>
                </c:pt>
                <c:pt idx="40">
                  <c:v>390.29068011930781</c:v>
                </c:pt>
                <c:pt idx="41">
                  <c:v>362.41277439650008</c:v>
                </c:pt>
                <c:pt idx="42">
                  <c:v>334.53486867369236</c:v>
                </c:pt>
                <c:pt idx="43">
                  <c:v>306.65696295088469</c:v>
                </c:pt>
                <c:pt idx="44">
                  <c:v>278.77905722807697</c:v>
                </c:pt>
                <c:pt idx="45">
                  <c:v>250.9011515052693</c:v>
                </c:pt>
                <c:pt idx="46">
                  <c:v>223.02324578246157</c:v>
                </c:pt>
                <c:pt idx="47">
                  <c:v>195.1453400596539</c:v>
                </c:pt>
                <c:pt idx="48">
                  <c:v>167.26743433684618</c:v>
                </c:pt>
                <c:pt idx="49">
                  <c:v>139.38952861403845</c:v>
                </c:pt>
                <c:pt idx="50">
                  <c:v>111.51162289123079</c:v>
                </c:pt>
                <c:pt idx="51">
                  <c:v>83.633717168423118</c:v>
                </c:pt>
                <c:pt idx="52">
                  <c:v>55.755811445615336</c:v>
                </c:pt>
                <c:pt idx="53">
                  <c:v>27.877905722807668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7-4777-A842-1CA46267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9216"/>
        <c:axId val="805259776"/>
      </c:scatterChart>
      <c:valAx>
        <c:axId val="80525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467470821857522"/>
              <c:y val="0.809404759215633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259776"/>
        <c:crosses val="autoZero"/>
        <c:crossBetween val="midCat"/>
        <c:majorUnit val="10"/>
      </c:valAx>
      <c:valAx>
        <c:axId val="80525977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rate</a:t>
                </a:r>
                <a:r>
                  <a:rPr lang="pt-BR" sz="1200" b="1">
                    <a:solidFill>
                      <a:sysClr val="windowText" lastClr="000000"/>
                    </a:solidFill>
                  </a:rPr>
                  <a:t>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259216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Specifc discharge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331740770744962"/>
          <c:y val="0.13037490802060339"/>
          <c:w val="0.79646039733474305"/>
          <c:h val="0.57372111846946283"/>
        </c:manualLayout>
      </c:layout>
      <c:scatterChart>
        <c:scatterStyle val="lineMarker"/>
        <c:varyColors val="0"/>
        <c:ser>
          <c:idx val="1"/>
          <c:order val="0"/>
          <c:tx>
            <c:v>Outlet specific discharge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[0]!Tempo_exutório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[0]!qsis_exut</c:f>
              <c:numCache>
                <c:formatCode>0.0</c:formatCode>
                <c:ptCount val="65"/>
                <c:pt idx="0">
                  <c:v>0</c:v>
                </c:pt>
                <c:pt idx="1">
                  <c:v>9.2926352409358995E-2</c:v>
                </c:pt>
                <c:pt idx="2">
                  <c:v>0.18585270481871799</c:v>
                </c:pt>
                <c:pt idx="3">
                  <c:v>0.278779057228077</c:v>
                </c:pt>
                <c:pt idx="4">
                  <c:v>0.37170540963743598</c:v>
                </c:pt>
                <c:pt idx="5">
                  <c:v>0.46463176204679502</c:v>
                </c:pt>
                <c:pt idx="6">
                  <c:v>0.557558114456154</c:v>
                </c:pt>
                <c:pt idx="7">
                  <c:v>0.65048446686551298</c:v>
                </c:pt>
                <c:pt idx="8">
                  <c:v>0.74341081927487196</c:v>
                </c:pt>
                <c:pt idx="9">
                  <c:v>0.83633717168423094</c:v>
                </c:pt>
                <c:pt idx="10">
                  <c:v>0.92926352409359003</c:v>
                </c:pt>
                <c:pt idx="11">
                  <c:v>1.0221898765029489</c:v>
                </c:pt>
                <c:pt idx="12">
                  <c:v>1.115116228912308</c:v>
                </c:pt>
                <c:pt idx="13">
                  <c:v>1.2080425813216669</c:v>
                </c:pt>
                <c:pt idx="14">
                  <c:v>1.300968933731026</c:v>
                </c:pt>
                <c:pt idx="15">
                  <c:v>1.3938952861403848</c:v>
                </c:pt>
                <c:pt idx="16">
                  <c:v>1.4868216385497439</c:v>
                </c:pt>
                <c:pt idx="17">
                  <c:v>1.579747990959103</c:v>
                </c:pt>
                <c:pt idx="18">
                  <c:v>1.6726743433684619</c:v>
                </c:pt>
                <c:pt idx="19">
                  <c:v>1.765600695777821</c:v>
                </c:pt>
                <c:pt idx="20">
                  <c:v>1.8585270481871801</c:v>
                </c:pt>
                <c:pt idx="21">
                  <c:v>1.9514534005965389</c:v>
                </c:pt>
                <c:pt idx="22">
                  <c:v>2.0443797530058978</c:v>
                </c:pt>
                <c:pt idx="23">
                  <c:v>2.1373061054152567</c:v>
                </c:pt>
                <c:pt idx="24">
                  <c:v>2.230232457824616</c:v>
                </c:pt>
                <c:pt idx="25">
                  <c:v>2.3231588102339749</c:v>
                </c:pt>
                <c:pt idx="26">
                  <c:v>2.4160851626433337</c:v>
                </c:pt>
                <c:pt idx="27">
                  <c:v>2.509011515052693</c:v>
                </c:pt>
                <c:pt idx="28">
                  <c:v>2.6019378674620519</c:v>
                </c:pt>
                <c:pt idx="29">
                  <c:v>2.6948642198714108</c:v>
                </c:pt>
                <c:pt idx="30">
                  <c:v>2.7877905722807697</c:v>
                </c:pt>
                <c:pt idx="31">
                  <c:v>2.880716924690129</c:v>
                </c:pt>
                <c:pt idx="32">
                  <c:v>2.9736432770994878</c:v>
                </c:pt>
                <c:pt idx="33">
                  <c:v>2.880716924690129</c:v>
                </c:pt>
                <c:pt idx="34">
                  <c:v>2.7877905722807697</c:v>
                </c:pt>
                <c:pt idx="35">
                  <c:v>2.6948642198714108</c:v>
                </c:pt>
                <c:pt idx="36">
                  <c:v>2.6019378674620519</c:v>
                </c:pt>
                <c:pt idx="37">
                  <c:v>2.5090115150526926</c:v>
                </c:pt>
                <c:pt idx="38">
                  <c:v>2.4160851626433337</c:v>
                </c:pt>
                <c:pt idx="39">
                  <c:v>2.3231588102339749</c:v>
                </c:pt>
                <c:pt idx="40">
                  <c:v>2.230232457824616</c:v>
                </c:pt>
                <c:pt idx="41">
                  <c:v>2.1373061054152571</c:v>
                </c:pt>
                <c:pt idx="42">
                  <c:v>2.0443797530058978</c:v>
                </c:pt>
                <c:pt idx="43">
                  <c:v>1.9514534005965389</c:v>
                </c:pt>
                <c:pt idx="44">
                  <c:v>1.8585270481871801</c:v>
                </c:pt>
                <c:pt idx="45">
                  <c:v>1.765600695777821</c:v>
                </c:pt>
                <c:pt idx="46">
                  <c:v>1.6726743433684619</c:v>
                </c:pt>
                <c:pt idx="47">
                  <c:v>1.579747990959103</c:v>
                </c:pt>
                <c:pt idx="48">
                  <c:v>1.4868216385497439</c:v>
                </c:pt>
                <c:pt idx="49">
                  <c:v>1.3938952861403848</c:v>
                </c:pt>
                <c:pt idx="50">
                  <c:v>1.300968933731026</c:v>
                </c:pt>
                <c:pt idx="51">
                  <c:v>1.2080425813216671</c:v>
                </c:pt>
                <c:pt idx="52">
                  <c:v>1.1151162289123078</c:v>
                </c:pt>
                <c:pt idx="53">
                  <c:v>1.0221898765029489</c:v>
                </c:pt>
                <c:pt idx="54">
                  <c:v>0.92926352409359003</c:v>
                </c:pt>
                <c:pt idx="55">
                  <c:v>0.83633717168423116</c:v>
                </c:pt>
                <c:pt idx="56">
                  <c:v>0.74341081927487196</c:v>
                </c:pt>
                <c:pt idx="57">
                  <c:v>0.65048446686551298</c:v>
                </c:pt>
                <c:pt idx="58">
                  <c:v>0.55755811445615411</c:v>
                </c:pt>
                <c:pt idx="59">
                  <c:v>0.46463176204679485</c:v>
                </c:pt>
                <c:pt idx="60">
                  <c:v>0.37170540963743598</c:v>
                </c:pt>
                <c:pt idx="61">
                  <c:v>0.27877905722807705</c:v>
                </c:pt>
                <c:pt idx="62">
                  <c:v>0.18585270481871816</c:v>
                </c:pt>
                <c:pt idx="63">
                  <c:v>9.2926352409358898E-2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54-492B-9B82-1B704D2A680A}"/>
            </c:ext>
          </c:extLst>
        </c:ser>
        <c:ser>
          <c:idx val="0"/>
          <c:order val="1"/>
          <c:tx>
            <c:v>Lot reference specific discharge</c:v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[0]!qsis_i</c:f>
              <c:numCache>
                <c:formatCode>0.0</c:formatCode>
                <c:ptCount val="55"/>
                <c:pt idx="0">
                  <c:v>0</c:v>
                </c:pt>
                <c:pt idx="1">
                  <c:v>0.12671775328548954</c:v>
                </c:pt>
                <c:pt idx="2">
                  <c:v>0.25343550657097907</c:v>
                </c:pt>
                <c:pt idx="3">
                  <c:v>0.38015325985646858</c:v>
                </c:pt>
                <c:pt idx="4">
                  <c:v>0.50687101314195815</c:v>
                </c:pt>
                <c:pt idx="5">
                  <c:v>0.63358876642744766</c:v>
                </c:pt>
                <c:pt idx="6">
                  <c:v>0.76030651971293717</c:v>
                </c:pt>
                <c:pt idx="7">
                  <c:v>0.88702427299842668</c:v>
                </c:pt>
                <c:pt idx="8">
                  <c:v>1.0137420262839163</c:v>
                </c:pt>
                <c:pt idx="9">
                  <c:v>1.1404597795694058</c:v>
                </c:pt>
                <c:pt idx="10">
                  <c:v>1.2671775328548953</c:v>
                </c:pt>
                <c:pt idx="11">
                  <c:v>1.3938952861403848</c:v>
                </c:pt>
                <c:pt idx="12">
                  <c:v>1.5206130394258743</c:v>
                </c:pt>
                <c:pt idx="13">
                  <c:v>1.6473307927113638</c:v>
                </c:pt>
                <c:pt idx="14">
                  <c:v>1.7740485459968534</c:v>
                </c:pt>
                <c:pt idx="15">
                  <c:v>1.9007662992823429</c:v>
                </c:pt>
                <c:pt idx="16">
                  <c:v>2.0274840525678326</c:v>
                </c:pt>
                <c:pt idx="17">
                  <c:v>2.1542018058533223</c:v>
                </c:pt>
                <c:pt idx="18">
                  <c:v>2.2809195591388116</c:v>
                </c:pt>
                <c:pt idx="19">
                  <c:v>2.4076373124243009</c:v>
                </c:pt>
                <c:pt idx="20">
                  <c:v>2.5343550657097906</c:v>
                </c:pt>
                <c:pt idx="21">
                  <c:v>2.6610728189952804</c:v>
                </c:pt>
                <c:pt idx="22">
                  <c:v>2.7877905722807697</c:v>
                </c:pt>
                <c:pt idx="23">
                  <c:v>2.7877905722807697</c:v>
                </c:pt>
                <c:pt idx="24">
                  <c:v>2.7877905722807697</c:v>
                </c:pt>
                <c:pt idx="25">
                  <c:v>2.7877905722807697</c:v>
                </c:pt>
                <c:pt idx="26">
                  <c:v>2.7877905722807697</c:v>
                </c:pt>
                <c:pt idx="27">
                  <c:v>2.7877905722807697</c:v>
                </c:pt>
                <c:pt idx="28">
                  <c:v>2.7877905722807697</c:v>
                </c:pt>
                <c:pt idx="29">
                  <c:v>2.7877905722807697</c:v>
                </c:pt>
                <c:pt idx="30">
                  <c:v>2.7877905722807697</c:v>
                </c:pt>
                <c:pt idx="31">
                  <c:v>2.7877905722807697</c:v>
                </c:pt>
                <c:pt idx="32">
                  <c:v>2.7877905722807697</c:v>
                </c:pt>
                <c:pt idx="33">
                  <c:v>2.6610728189952804</c:v>
                </c:pt>
                <c:pt idx="34">
                  <c:v>2.5343550657097902</c:v>
                </c:pt>
                <c:pt idx="35">
                  <c:v>2.4076373124243009</c:v>
                </c:pt>
                <c:pt idx="36">
                  <c:v>2.2809195591388116</c:v>
                </c:pt>
                <c:pt idx="37">
                  <c:v>2.1542018058533219</c:v>
                </c:pt>
                <c:pt idx="38">
                  <c:v>2.0274840525678322</c:v>
                </c:pt>
                <c:pt idx="39">
                  <c:v>1.9007662992823429</c:v>
                </c:pt>
                <c:pt idx="40">
                  <c:v>1.7740485459968534</c:v>
                </c:pt>
                <c:pt idx="41">
                  <c:v>1.6473307927113638</c:v>
                </c:pt>
                <c:pt idx="42">
                  <c:v>1.5206130394258741</c:v>
                </c:pt>
                <c:pt idx="43">
                  <c:v>1.3938952861403848</c:v>
                </c:pt>
                <c:pt idx="44">
                  <c:v>1.2671775328548951</c:v>
                </c:pt>
                <c:pt idx="45">
                  <c:v>1.1404597795694058</c:v>
                </c:pt>
                <c:pt idx="46">
                  <c:v>1.0137420262839161</c:v>
                </c:pt>
                <c:pt idx="47">
                  <c:v>0.88702427299842668</c:v>
                </c:pt>
                <c:pt idx="48">
                  <c:v>0.76030651971293706</c:v>
                </c:pt>
                <c:pt idx="49">
                  <c:v>0.63358876642744744</c:v>
                </c:pt>
                <c:pt idx="50">
                  <c:v>0.50687101314195804</c:v>
                </c:pt>
                <c:pt idx="51">
                  <c:v>0.38015325985646869</c:v>
                </c:pt>
                <c:pt idx="52">
                  <c:v>0.25343550657097874</c:v>
                </c:pt>
                <c:pt idx="53">
                  <c:v>0.12671775328548937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54-492B-9B82-1B704D2A6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427920"/>
        <c:axId val="805428480"/>
      </c:scatterChart>
      <c:valAx>
        <c:axId val="805427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7398902647394736"/>
              <c:y val="0.80499734277087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428480"/>
        <c:crosses val="autoZero"/>
        <c:crossBetween val="midCat"/>
        <c:majorUnit val="10"/>
      </c:valAx>
      <c:valAx>
        <c:axId val="80542848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   [L/s/100m²]</a:t>
                </a:r>
              </a:p>
            </c:rich>
          </c:tx>
          <c:layout>
            <c:manualLayout>
              <c:xMode val="edge"/>
              <c:yMode val="edge"/>
              <c:x val="3.5828925789050101E-2"/>
              <c:y val="0.24230235389715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42792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Inflow hydrographs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911136249371543"/>
          <c:y val="0.14906512141280354"/>
          <c:w val="0.83066634346046109"/>
          <c:h val="0.53648896247240618"/>
        </c:manualLayout>
      </c:layout>
      <c:scatterChart>
        <c:scatterStyle val="lineMarker"/>
        <c:varyColors val="0"/>
        <c:ser>
          <c:idx val="0"/>
          <c:order val="0"/>
          <c:tx>
            <c:v>Inflow </c:v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06"/>
                <c:pt idx="0">
                  <c:v>0</c:v>
                </c:pt>
                <c:pt idx="1">
                  <c:v>5.117411171832984</c:v>
                </c:pt>
                <c:pt idx="2">
                  <c:v>10.234822343665968</c:v>
                </c:pt>
                <c:pt idx="3">
                  <c:v>15.352233515498952</c:v>
                </c:pt>
                <c:pt idx="4">
                  <c:v>20.469644687331936</c:v>
                </c:pt>
                <c:pt idx="5">
                  <c:v>25.58705585916492</c:v>
                </c:pt>
                <c:pt idx="6">
                  <c:v>30.704467030997904</c:v>
                </c:pt>
                <c:pt idx="7">
                  <c:v>35.821878202830888</c:v>
                </c:pt>
                <c:pt idx="8">
                  <c:v>40.939289374663872</c:v>
                </c:pt>
                <c:pt idx="9">
                  <c:v>40.939289374663872</c:v>
                </c:pt>
                <c:pt idx="10">
                  <c:v>40.939289374663872</c:v>
                </c:pt>
                <c:pt idx="11">
                  <c:v>40.939289374663872</c:v>
                </c:pt>
                <c:pt idx="12">
                  <c:v>40.939289374663872</c:v>
                </c:pt>
                <c:pt idx="13">
                  <c:v>40.939289374663872</c:v>
                </c:pt>
                <c:pt idx="14">
                  <c:v>40.939289374663872</c:v>
                </c:pt>
                <c:pt idx="15">
                  <c:v>40.939289374663872</c:v>
                </c:pt>
                <c:pt idx="16">
                  <c:v>40.939289374663872</c:v>
                </c:pt>
                <c:pt idx="17">
                  <c:v>40.939289374663872</c:v>
                </c:pt>
                <c:pt idx="18">
                  <c:v>40.939289374663872</c:v>
                </c:pt>
                <c:pt idx="19">
                  <c:v>40.939289374663872</c:v>
                </c:pt>
                <c:pt idx="20">
                  <c:v>40.939289374663872</c:v>
                </c:pt>
                <c:pt idx="21">
                  <c:v>40.939289374663872</c:v>
                </c:pt>
                <c:pt idx="22">
                  <c:v>40.939289374663872</c:v>
                </c:pt>
                <c:pt idx="23">
                  <c:v>40.939289374663872</c:v>
                </c:pt>
                <c:pt idx="24">
                  <c:v>40.939289374663872</c:v>
                </c:pt>
                <c:pt idx="25">
                  <c:v>40.939289374663872</c:v>
                </c:pt>
                <c:pt idx="26">
                  <c:v>40.939289374663872</c:v>
                </c:pt>
                <c:pt idx="27">
                  <c:v>40.939289374663872</c:v>
                </c:pt>
                <c:pt idx="28">
                  <c:v>40.939289374663872</c:v>
                </c:pt>
                <c:pt idx="29">
                  <c:v>40.939289374663872</c:v>
                </c:pt>
                <c:pt idx="30">
                  <c:v>40.939289374663872</c:v>
                </c:pt>
                <c:pt idx="31">
                  <c:v>40.939289374663872</c:v>
                </c:pt>
                <c:pt idx="32">
                  <c:v>40.939289374663872</c:v>
                </c:pt>
                <c:pt idx="33">
                  <c:v>35.821878202830888</c:v>
                </c:pt>
                <c:pt idx="34">
                  <c:v>30.704467030997904</c:v>
                </c:pt>
                <c:pt idx="35">
                  <c:v>25.58705585916492</c:v>
                </c:pt>
                <c:pt idx="36">
                  <c:v>20.469644687331936</c:v>
                </c:pt>
                <c:pt idx="37">
                  <c:v>15.352233515498952</c:v>
                </c:pt>
                <c:pt idx="38">
                  <c:v>10.234822343665968</c:v>
                </c:pt>
                <c:pt idx="39">
                  <c:v>5.117411171832984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7-4566-A610-BD55F8349559}"/>
            </c:ext>
          </c:extLst>
        </c:ser>
        <c:ser>
          <c:idx val="1"/>
          <c:order val="1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55"/>
                <c:pt idx="0">
                  <c:v>0</c:v>
                </c:pt>
                <c:pt idx="1">
                  <c:v>1.5206130394258743</c:v>
                </c:pt>
                <c:pt idx="2">
                  <c:v>3.0412260788517487</c:v>
                </c:pt>
                <c:pt idx="3">
                  <c:v>4.5618391182776232</c:v>
                </c:pt>
                <c:pt idx="4">
                  <c:v>6.0824521577034973</c:v>
                </c:pt>
                <c:pt idx="5">
                  <c:v>7.6030651971293715</c:v>
                </c:pt>
                <c:pt idx="6">
                  <c:v>9.1236782365552465</c:v>
                </c:pt>
                <c:pt idx="7">
                  <c:v>10.64429127598112</c:v>
                </c:pt>
                <c:pt idx="8">
                  <c:v>12.164904315406995</c:v>
                </c:pt>
                <c:pt idx="9">
                  <c:v>13.685517354832871</c:v>
                </c:pt>
                <c:pt idx="10">
                  <c:v>15.206130394258743</c:v>
                </c:pt>
                <c:pt idx="11">
                  <c:v>16.726743433684618</c:v>
                </c:pt>
                <c:pt idx="12">
                  <c:v>18.247356473110493</c:v>
                </c:pt>
                <c:pt idx="13">
                  <c:v>19.767969512536364</c:v>
                </c:pt>
                <c:pt idx="14">
                  <c:v>21.288582551962239</c:v>
                </c:pt>
                <c:pt idx="15">
                  <c:v>22.809195591388114</c:v>
                </c:pt>
                <c:pt idx="16">
                  <c:v>24.329808630813989</c:v>
                </c:pt>
                <c:pt idx="17">
                  <c:v>25.850421670239868</c:v>
                </c:pt>
                <c:pt idx="18">
                  <c:v>27.371034709665743</c:v>
                </c:pt>
                <c:pt idx="19">
                  <c:v>28.891647749091611</c:v>
                </c:pt>
                <c:pt idx="20">
                  <c:v>30.412260788517486</c:v>
                </c:pt>
                <c:pt idx="21">
                  <c:v>31.932873827943364</c:v>
                </c:pt>
                <c:pt idx="22">
                  <c:v>33.453486867369236</c:v>
                </c:pt>
                <c:pt idx="23">
                  <c:v>33.453486867369236</c:v>
                </c:pt>
                <c:pt idx="24">
                  <c:v>33.453486867369236</c:v>
                </c:pt>
                <c:pt idx="25">
                  <c:v>33.453486867369236</c:v>
                </c:pt>
                <c:pt idx="26">
                  <c:v>33.453486867369236</c:v>
                </c:pt>
                <c:pt idx="27">
                  <c:v>33.453486867369236</c:v>
                </c:pt>
                <c:pt idx="28">
                  <c:v>33.453486867369236</c:v>
                </c:pt>
                <c:pt idx="29">
                  <c:v>33.453486867369236</c:v>
                </c:pt>
                <c:pt idx="30">
                  <c:v>33.453486867369236</c:v>
                </c:pt>
                <c:pt idx="31">
                  <c:v>33.453486867369236</c:v>
                </c:pt>
                <c:pt idx="32">
                  <c:v>33.453486867369236</c:v>
                </c:pt>
                <c:pt idx="33">
                  <c:v>31.932873827943364</c:v>
                </c:pt>
                <c:pt idx="34">
                  <c:v>30.412260788517482</c:v>
                </c:pt>
                <c:pt idx="35">
                  <c:v>28.891647749091611</c:v>
                </c:pt>
                <c:pt idx="36">
                  <c:v>27.371034709665743</c:v>
                </c:pt>
                <c:pt idx="37">
                  <c:v>25.850421670239861</c:v>
                </c:pt>
                <c:pt idx="38">
                  <c:v>24.329808630813986</c:v>
                </c:pt>
                <c:pt idx="39">
                  <c:v>22.809195591388114</c:v>
                </c:pt>
                <c:pt idx="40">
                  <c:v>21.288582551962239</c:v>
                </c:pt>
                <c:pt idx="41">
                  <c:v>19.767969512536364</c:v>
                </c:pt>
                <c:pt idx="42">
                  <c:v>18.247356473110489</c:v>
                </c:pt>
                <c:pt idx="43">
                  <c:v>16.726743433684618</c:v>
                </c:pt>
                <c:pt idx="44">
                  <c:v>15.206130394258741</c:v>
                </c:pt>
                <c:pt idx="45">
                  <c:v>13.685517354832871</c:v>
                </c:pt>
                <c:pt idx="46">
                  <c:v>12.164904315406993</c:v>
                </c:pt>
                <c:pt idx="47">
                  <c:v>10.64429127598112</c:v>
                </c:pt>
                <c:pt idx="48">
                  <c:v>9.1236782365552447</c:v>
                </c:pt>
                <c:pt idx="49">
                  <c:v>7.6030651971293697</c:v>
                </c:pt>
                <c:pt idx="50">
                  <c:v>6.0824521577034965</c:v>
                </c:pt>
                <c:pt idx="51">
                  <c:v>4.5618391182776241</c:v>
                </c:pt>
                <c:pt idx="52">
                  <c:v>3.0412260788517447</c:v>
                </c:pt>
                <c:pt idx="53">
                  <c:v>1.5206130394258723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7-4566-A610-BD55F8349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3280"/>
        <c:axId val="805593840"/>
      </c:scatterChart>
      <c:valAx>
        <c:axId val="80559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8275353731236081"/>
              <c:y val="0.777915378955114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93840"/>
        <c:crosses val="autoZero"/>
        <c:crossBetween val="midCat"/>
      </c:valAx>
      <c:valAx>
        <c:axId val="80559384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</a:t>
                </a:r>
                <a:r>
                  <a:rPr lang="pt-BR" sz="1200" b="1" baseline="0">
                    <a:solidFill>
                      <a:sysClr val="windowText" lastClr="000000"/>
                    </a:solidFill>
                  </a:rPr>
                  <a:t> [L/s]</a:t>
                </a:r>
                <a:endParaRPr lang="pt-BR" sz="12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93280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Lot</a:t>
            </a:r>
            <a:r>
              <a:rPr lang="pt-BR" sz="1600" b="1" baseline="0">
                <a:solidFill>
                  <a:sysClr val="windowText" lastClr="000000"/>
                </a:solidFill>
              </a:rPr>
              <a:t> scale reservoir simulation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639937168684003"/>
          <c:y val="0.11613887693518571"/>
          <c:w val="0.77098695642113335"/>
          <c:h val="0.57407650722462211"/>
        </c:manualLayout>
      </c:layout>
      <c:scatterChart>
        <c:scatterStyle val="lineMarker"/>
        <c:varyColors val="0"/>
        <c:ser>
          <c:idx val="0"/>
          <c:order val="0"/>
          <c:tx>
            <c:v>Outflow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[0]!Outflow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3.9029006916637665</c:v>
                </c:pt>
                <c:pt idx="6">
                  <c:v>5.9233092579048678</c:v>
                </c:pt>
                <c:pt idx="7">
                  <c:v>7.5328192433456307</c:v>
                </c:pt>
                <c:pt idx="8">
                  <c:v>8.9557776531912481</c:v>
                </c:pt>
                <c:pt idx="9">
                  <c:v>10.181774943195375</c:v>
                </c:pt>
                <c:pt idx="10">
                  <c:v>11.194923589824896</c:v>
                </c:pt>
                <c:pt idx="11">
                  <c:v>12.12369940942758</c:v>
                </c:pt>
                <c:pt idx="12">
                  <c:v>12.916541569860977</c:v>
                </c:pt>
                <c:pt idx="13">
                  <c:v>13.66345508580237</c:v>
                </c:pt>
                <c:pt idx="14">
                  <c:v>14.308673914978494</c:v>
                </c:pt>
                <c:pt idx="15">
                  <c:v>14.926027386033876</c:v>
                </c:pt>
                <c:pt idx="16">
                  <c:v>15.518841382399671</c:v>
                </c:pt>
                <c:pt idx="17">
                  <c:v>16.060059439135358</c:v>
                </c:pt>
                <c:pt idx="18">
                  <c:v>16.559661928854325</c:v>
                </c:pt>
                <c:pt idx="19">
                  <c:v>17.044626637369745</c:v>
                </c:pt>
                <c:pt idx="20">
                  <c:v>17.516169421900464</c:v>
                </c:pt>
                <c:pt idx="21">
                  <c:v>17.924907788467554</c:v>
                </c:pt>
                <c:pt idx="22">
                  <c:v>18.324531296418154</c:v>
                </c:pt>
                <c:pt idx="23">
                  <c:v>18.715623827213246</c:v>
                </c:pt>
                <c:pt idx="24">
                  <c:v>19.098709465565886</c:v>
                </c:pt>
                <c:pt idx="25">
                  <c:v>19.474260737148398</c:v>
                </c:pt>
                <c:pt idx="26">
                  <c:v>19.84270544222192</c:v>
                </c:pt>
                <c:pt idx="27">
                  <c:v>22.701477027721246</c:v>
                </c:pt>
                <c:pt idx="28">
                  <c:v>26.860464035253568</c:v>
                </c:pt>
                <c:pt idx="29">
                  <c:v>30.224021806644814</c:v>
                </c:pt>
                <c:pt idx="30">
                  <c:v>33.011207415184309</c:v>
                </c:pt>
                <c:pt idx="31">
                  <c:v>34.985049623523182</c:v>
                </c:pt>
                <c:pt idx="32">
                  <c:v>36.005016423372723</c:v>
                </c:pt>
                <c:pt idx="33">
                  <c:v>36.005016423372723</c:v>
                </c:pt>
                <c:pt idx="34">
                  <c:v>34.985049623523182</c:v>
                </c:pt>
                <c:pt idx="35">
                  <c:v>32.058402796483072</c:v>
                </c:pt>
                <c:pt idx="36">
                  <c:v>29.343796090512949</c:v>
                </c:pt>
                <c:pt idx="37">
                  <c:v>26.088264048423817</c:v>
                </c:pt>
                <c:pt idx="38">
                  <c:v>22.701477027721246</c:v>
                </c:pt>
                <c:pt idx="39">
                  <c:v>20.025531103902033</c:v>
                </c:pt>
                <c:pt idx="40">
                  <c:v>19.567022340165238</c:v>
                </c:pt>
                <c:pt idx="41">
                  <c:v>19.193286202528785</c:v>
                </c:pt>
                <c:pt idx="42">
                  <c:v>18.812126600781692</c:v>
                </c:pt>
                <c:pt idx="43">
                  <c:v>18.423082783168901</c:v>
                </c:pt>
                <c:pt idx="44">
                  <c:v>18.07580198022189</c:v>
                </c:pt>
                <c:pt idx="45">
                  <c:v>17.721717050582114</c:v>
                </c:pt>
                <c:pt idx="46">
                  <c:v>17.36041166601737</c:v>
                </c:pt>
                <c:pt idx="47">
                  <c:v>16.991425225868817</c:v>
                </c:pt>
                <c:pt idx="48">
                  <c:v>16.614245971424353</c:v>
                </c:pt>
                <c:pt idx="49">
                  <c:v>16.228302658987158</c:v>
                </c:pt>
                <c:pt idx="50">
                  <c:v>15.832954404797258</c:v>
                </c:pt>
                <c:pt idx="51">
                  <c:v>15.402104044168482</c:v>
                </c:pt>
                <c:pt idx="52">
                  <c:v>14.98636406741068</c:v>
                </c:pt>
                <c:pt idx="53">
                  <c:v>14.620609473168674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4E-470C-AEB7-C26305D8940F}"/>
            </c:ext>
          </c:extLst>
        </c:ser>
        <c:ser>
          <c:idx val="2"/>
          <c:order val="2"/>
          <c:tx>
            <c:v>Inflow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06"/>
                <c:pt idx="0">
                  <c:v>0</c:v>
                </c:pt>
                <c:pt idx="1">
                  <c:v>5.117411171832984</c:v>
                </c:pt>
                <c:pt idx="2">
                  <c:v>10.234822343665968</c:v>
                </c:pt>
                <c:pt idx="3">
                  <c:v>15.352233515498952</c:v>
                </c:pt>
                <c:pt idx="4">
                  <c:v>20.469644687331936</c:v>
                </c:pt>
                <c:pt idx="5">
                  <c:v>25.58705585916492</c:v>
                </c:pt>
                <c:pt idx="6">
                  <c:v>30.704467030997904</c:v>
                </c:pt>
                <c:pt idx="7">
                  <c:v>35.821878202830888</c:v>
                </c:pt>
                <c:pt idx="8">
                  <c:v>40.939289374663872</c:v>
                </c:pt>
                <c:pt idx="9">
                  <c:v>40.939289374663872</c:v>
                </c:pt>
                <c:pt idx="10">
                  <c:v>40.939289374663872</c:v>
                </c:pt>
                <c:pt idx="11">
                  <c:v>40.939289374663872</c:v>
                </c:pt>
                <c:pt idx="12">
                  <c:v>40.939289374663872</c:v>
                </c:pt>
                <c:pt idx="13">
                  <c:v>40.939289374663872</c:v>
                </c:pt>
                <c:pt idx="14">
                  <c:v>40.939289374663872</c:v>
                </c:pt>
                <c:pt idx="15">
                  <c:v>40.939289374663872</c:v>
                </c:pt>
                <c:pt idx="16">
                  <c:v>40.939289374663872</c:v>
                </c:pt>
                <c:pt idx="17">
                  <c:v>40.939289374663872</c:v>
                </c:pt>
                <c:pt idx="18">
                  <c:v>40.939289374663872</c:v>
                </c:pt>
                <c:pt idx="19">
                  <c:v>40.939289374663872</c:v>
                </c:pt>
                <c:pt idx="20">
                  <c:v>40.939289374663872</c:v>
                </c:pt>
                <c:pt idx="21">
                  <c:v>40.939289374663872</c:v>
                </c:pt>
                <c:pt idx="22">
                  <c:v>40.939289374663872</c:v>
                </c:pt>
                <c:pt idx="23">
                  <c:v>40.939289374663872</c:v>
                </c:pt>
                <c:pt idx="24">
                  <c:v>40.939289374663872</c:v>
                </c:pt>
                <c:pt idx="25">
                  <c:v>40.939289374663872</c:v>
                </c:pt>
                <c:pt idx="26">
                  <c:v>40.939289374663872</c:v>
                </c:pt>
                <c:pt idx="27">
                  <c:v>40.939289374663872</c:v>
                </c:pt>
                <c:pt idx="28">
                  <c:v>40.939289374663872</c:v>
                </c:pt>
                <c:pt idx="29">
                  <c:v>40.939289374663872</c:v>
                </c:pt>
                <c:pt idx="30">
                  <c:v>40.939289374663872</c:v>
                </c:pt>
                <c:pt idx="31">
                  <c:v>40.939289374663872</c:v>
                </c:pt>
                <c:pt idx="32">
                  <c:v>40.939289374663872</c:v>
                </c:pt>
                <c:pt idx="33">
                  <c:v>35.821878202830888</c:v>
                </c:pt>
                <c:pt idx="34">
                  <c:v>30.704467030997904</c:v>
                </c:pt>
                <c:pt idx="35">
                  <c:v>25.58705585916492</c:v>
                </c:pt>
                <c:pt idx="36">
                  <c:v>20.469644687331936</c:v>
                </c:pt>
                <c:pt idx="37">
                  <c:v>15.352233515498952</c:v>
                </c:pt>
                <c:pt idx="38">
                  <c:v>10.234822343665968</c:v>
                </c:pt>
                <c:pt idx="39">
                  <c:v>5.117411171832984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4E-470C-AEB7-C26305D8940F}"/>
            </c:ext>
          </c:extLst>
        </c:ser>
        <c:ser>
          <c:idx val="3"/>
          <c:order val="3"/>
          <c:tx>
            <c:v>Lot reference hydrograph</c:v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55"/>
                <c:pt idx="0">
                  <c:v>0</c:v>
                </c:pt>
                <c:pt idx="1">
                  <c:v>1.5206130394258743</c:v>
                </c:pt>
                <c:pt idx="2">
                  <c:v>3.0412260788517487</c:v>
                </c:pt>
                <c:pt idx="3">
                  <c:v>4.5618391182776232</c:v>
                </c:pt>
                <c:pt idx="4">
                  <c:v>6.0824521577034973</c:v>
                </c:pt>
                <c:pt idx="5">
                  <c:v>7.6030651971293715</c:v>
                </c:pt>
                <c:pt idx="6">
                  <c:v>9.1236782365552465</c:v>
                </c:pt>
                <c:pt idx="7">
                  <c:v>10.64429127598112</c:v>
                </c:pt>
                <c:pt idx="8">
                  <c:v>12.164904315406995</c:v>
                </c:pt>
                <c:pt idx="9">
                  <c:v>13.685517354832871</c:v>
                </c:pt>
                <c:pt idx="10">
                  <c:v>15.206130394258743</c:v>
                </c:pt>
                <c:pt idx="11">
                  <c:v>16.726743433684618</c:v>
                </c:pt>
                <c:pt idx="12">
                  <c:v>18.247356473110493</c:v>
                </c:pt>
                <c:pt idx="13">
                  <c:v>19.767969512536364</c:v>
                </c:pt>
                <c:pt idx="14">
                  <c:v>21.288582551962239</c:v>
                </c:pt>
                <c:pt idx="15">
                  <c:v>22.809195591388114</c:v>
                </c:pt>
                <c:pt idx="16">
                  <c:v>24.329808630813989</c:v>
                </c:pt>
                <c:pt idx="17">
                  <c:v>25.850421670239868</c:v>
                </c:pt>
                <c:pt idx="18">
                  <c:v>27.371034709665743</c:v>
                </c:pt>
                <c:pt idx="19">
                  <c:v>28.891647749091611</c:v>
                </c:pt>
                <c:pt idx="20">
                  <c:v>30.412260788517486</c:v>
                </c:pt>
                <c:pt idx="21">
                  <c:v>31.932873827943364</c:v>
                </c:pt>
                <c:pt idx="22">
                  <c:v>33.453486867369236</c:v>
                </c:pt>
                <c:pt idx="23">
                  <c:v>33.453486867369236</c:v>
                </c:pt>
                <c:pt idx="24">
                  <c:v>33.453486867369236</c:v>
                </c:pt>
                <c:pt idx="25">
                  <c:v>33.453486867369236</c:v>
                </c:pt>
                <c:pt idx="26">
                  <c:v>33.453486867369236</c:v>
                </c:pt>
                <c:pt idx="27">
                  <c:v>33.453486867369236</c:v>
                </c:pt>
                <c:pt idx="28">
                  <c:v>33.453486867369236</c:v>
                </c:pt>
                <c:pt idx="29">
                  <c:v>33.453486867369236</c:v>
                </c:pt>
                <c:pt idx="30">
                  <c:v>33.453486867369236</c:v>
                </c:pt>
                <c:pt idx="31">
                  <c:v>33.453486867369236</c:v>
                </c:pt>
                <c:pt idx="32">
                  <c:v>33.453486867369236</c:v>
                </c:pt>
                <c:pt idx="33">
                  <c:v>31.932873827943364</c:v>
                </c:pt>
                <c:pt idx="34">
                  <c:v>30.412260788517482</c:v>
                </c:pt>
                <c:pt idx="35">
                  <c:v>28.891647749091611</c:v>
                </c:pt>
                <c:pt idx="36">
                  <c:v>27.371034709665743</c:v>
                </c:pt>
                <c:pt idx="37">
                  <c:v>25.850421670239861</c:v>
                </c:pt>
                <c:pt idx="38">
                  <c:v>24.329808630813986</c:v>
                </c:pt>
                <c:pt idx="39">
                  <c:v>22.809195591388114</c:v>
                </c:pt>
                <c:pt idx="40">
                  <c:v>21.288582551962239</c:v>
                </c:pt>
                <c:pt idx="41">
                  <c:v>19.767969512536364</c:v>
                </c:pt>
                <c:pt idx="42">
                  <c:v>18.247356473110489</c:v>
                </c:pt>
                <c:pt idx="43">
                  <c:v>16.726743433684618</c:v>
                </c:pt>
                <c:pt idx="44">
                  <c:v>15.206130394258741</c:v>
                </c:pt>
                <c:pt idx="45">
                  <c:v>13.685517354832871</c:v>
                </c:pt>
                <c:pt idx="46">
                  <c:v>12.164904315406993</c:v>
                </c:pt>
                <c:pt idx="47">
                  <c:v>10.64429127598112</c:v>
                </c:pt>
                <c:pt idx="48">
                  <c:v>9.1236782365552447</c:v>
                </c:pt>
                <c:pt idx="49">
                  <c:v>7.6030651971293697</c:v>
                </c:pt>
                <c:pt idx="50">
                  <c:v>6.0824521577034965</c:v>
                </c:pt>
                <c:pt idx="51">
                  <c:v>4.5618391182776241</c:v>
                </c:pt>
                <c:pt idx="52">
                  <c:v>3.0412260788517447</c:v>
                </c:pt>
                <c:pt idx="53">
                  <c:v>1.5206130394258723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4E-470C-AEB7-C26305D89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4E-470C-AEB7-C26305D89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207296500625758"/>
              <c:y val="0.7621315384289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278384"/>
        <c:crosses val="autoZero"/>
        <c:crossBetween val="midCat"/>
        <c:majorUnit val="10"/>
      </c:valAx>
      <c:valAx>
        <c:axId val="80527838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715235733131574E-2"/>
          <c:y val="0.86856215890865451"/>
          <c:w val="0.94791887239713257"/>
          <c:h val="0.11289017913833031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Hole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58067401828198"/>
          <c:y val="0.13923097033789089"/>
          <c:w val="0.73087173786290049"/>
          <c:h val="0.57527883474052066"/>
        </c:manualLayout>
      </c:layout>
      <c:scatterChart>
        <c:scatterStyle val="lineMarker"/>
        <c:varyColors val="0"/>
        <c:ser>
          <c:idx val="0"/>
          <c:order val="0"/>
          <c:tx>
            <c:v>Hidrograma do orifício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[0]!Orificio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3.9029006916637665</c:v>
                </c:pt>
                <c:pt idx="6">
                  <c:v>5.9233092579048678</c:v>
                </c:pt>
                <c:pt idx="7">
                  <c:v>7.5328192433456307</c:v>
                </c:pt>
                <c:pt idx="8">
                  <c:v>8.9557776531912481</c:v>
                </c:pt>
                <c:pt idx="9">
                  <c:v>10.181774943195375</c:v>
                </c:pt>
                <c:pt idx="10">
                  <c:v>11.194923589824896</c:v>
                </c:pt>
                <c:pt idx="11">
                  <c:v>12.12369940942758</c:v>
                </c:pt>
                <c:pt idx="12">
                  <c:v>12.916541569860977</c:v>
                </c:pt>
                <c:pt idx="13">
                  <c:v>13.66345508580237</c:v>
                </c:pt>
                <c:pt idx="14">
                  <c:v>14.308673914978494</c:v>
                </c:pt>
                <c:pt idx="15">
                  <c:v>14.926027386033876</c:v>
                </c:pt>
                <c:pt idx="16">
                  <c:v>15.518841382399671</c:v>
                </c:pt>
                <c:pt idx="17">
                  <c:v>16.060059439135358</c:v>
                </c:pt>
                <c:pt idx="18">
                  <c:v>16.559661928854325</c:v>
                </c:pt>
                <c:pt idx="19">
                  <c:v>17.044626637369745</c:v>
                </c:pt>
                <c:pt idx="20">
                  <c:v>17.516169421900464</c:v>
                </c:pt>
                <c:pt idx="21">
                  <c:v>17.924907788467554</c:v>
                </c:pt>
                <c:pt idx="22">
                  <c:v>18.324531296418154</c:v>
                </c:pt>
                <c:pt idx="23">
                  <c:v>18.715623827213246</c:v>
                </c:pt>
                <c:pt idx="24">
                  <c:v>19.098709465565886</c:v>
                </c:pt>
                <c:pt idx="25">
                  <c:v>19.474260737148398</c:v>
                </c:pt>
                <c:pt idx="26">
                  <c:v>19.84270544222192</c:v>
                </c:pt>
                <c:pt idx="27">
                  <c:v>20.159571455615925</c:v>
                </c:pt>
                <c:pt idx="28">
                  <c:v>20.427259172006949</c:v>
                </c:pt>
                <c:pt idx="29">
                  <c:v>20.603785605672417</c:v>
                </c:pt>
                <c:pt idx="30">
                  <c:v>20.73519421871044</c:v>
                </c:pt>
                <c:pt idx="31">
                  <c:v>20.822339236736319</c:v>
                </c:pt>
                <c:pt idx="32">
                  <c:v>20.865775262155292</c:v>
                </c:pt>
                <c:pt idx="33">
                  <c:v>20.865775262155292</c:v>
                </c:pt>
                <c:pt idx="34">
                  <c:v>20.822339236736319</c:v>
                </c:pt>
                <c:pt idx="35">
                  <c:v>20.691484076464885</c:v>
                </c:pt>
                <c:pt idx="36">
                  <c:v>20.559796090512936</c:v>
                </c:pt>
                <c:pt idx="37">
                  <c:v>20.382888688291928</c:v>
                </c:pt>
                <c:pt idx="38">
                  <c:v>20.159571455615925</c:v>
                </c:pt>
                <c:pt idx="39">
                  <c:v>19.888281103902028</c:v>
                </c:pt>
                <c:pt idx="40">
                  <c:v>19.567022340165238</c:v>
                </c:pt>
                <c:pt idx="41">
                  <c:v>19.193286202528785</c:v>
                </c:pt>
                <c:pt idx="42">
                  <c:v>18.812126600781692</c:v>
                </c:pt>
                <c:pt idx="43">
                  <c:v>18.423082783168901</c:v>
                </c:pt>
                <c:pt idx="44">
                  <c:v>18.07580198022189</c:v>
                </c:pt>
                <c:pt idx="45">
                  <c:v>17.721717050582114</c:v>
                </c:pt>
                <c:pt idx="46">
                  <c:v>17.36041166601737</c:v>
                </c:pt>
                <c:pt idx="47">
                  <c:v>16.991425225868817</c:v>
                </c:pt>
                <c:pt idx="48">
                  <c:v>16.614245971424353</c:v>
                </c:pt>
                <c:pt idx="49">
                  <c:v>16.228302658987158</c:v>
                </c:pt>
                <c:pt idx="50">
                  <c:v>15.832954404797258</c:v>
                </c:pt>
                <c:pt idx="51">
                  <c:v>15.402104044168482</c:v>
                </c:pt>
                <c:pt idx="52">
                  <c:v>14.98636406741068</c:v>
                </c:pt>
                <c:pt idx="53">
                  <c:v>14.620609473168674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DE-4984-B440-FA5E425F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6640"/>
        <c:axId val="805597200"/>
      </c:scatterChart>
      <c:scatterChart>
        <c:scatterStyle val="lineMarker"/>
        <c:varyColors val="0"/>
        <c:ser>
          <c:idx val="1"/>
          <c:order val="1"/>
          <c:tx>
            <c:v>Nível d'água no reservatório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DE-4984-B440-FA5E425FD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98320"/>
        <c:axId val="805597760"/>
      </c:scatterChart>
      <c:valAx>
        <c:axId val="8055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4176145061695637"/>
              <c:y val="0.807373103320868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97200"/>
        <c:crosses val="autoZero"/>
        <c:crossBetween val="midCat"/>
        <c:majorUnit val="10"/>
      </c:valAx>
      <c:valAx>
        <c:axId val="80559720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96640"/>
        <c:crosses val="autoZero"/>
        <c:crossBetween val="midCat"/>
      </c:valAx>
      <c:valAx>
        <c:axId val="8055977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Water level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598320"/>
        <c:crosses val="max"/>
        <c:crossBetween val="midCat"/>
      </c:valAx>
      <c:valAx>
        <c:axId val="80559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59776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Weir hydrograph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883603164294693"/>
          <c:y val="0.11153789551140544"/>
          <c:w val="0.73255556941239297"/>
          <c:h val="0.63024908020603387"/>
        </c:manualLayout>
      </c:layout>
      <c:scatterChart>
        <c:scatterStyle val="lineMarker"/>
        <c:varyColors val="0"/>
        <c:ser>
          <c:idx val="0"/>
          <c:order val="0"/>
          <c:tx>
            <c:v>Weir hydrograph</c:v>
          </c:tx>
          <c:spPr>
            <a:ln w="19050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[0]!Vertedor</c:f>
              <c:numCache>
                <c:formatCode>0.00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2.5419055721053216</c:v>
                </c:pt>
                <c:pt idx="28">
                  <c:v>6.433204863246619</c:v>
                </c:pt>
                <c:pt idx="29">
                  <c:v>9.6202362009723945</c:v>
                </c:pt>
                <c:pt idx="30">
                  <c:v>12.276013196473867</c:v>
                </c:pt>
                <c:pt idx="31">
                  <c:v>14.162710386786864</c:v>
                </c:pt>
                <c:pt idx="32">
                  <c:v>15.139241161217427</c:v>
                </c:pt>
                <c:pt idx="33">
                  <c:v>15.139241161217427</c:v>
                </c:pt>
                <c:pt idx="34">
                  <c:v>14.162710386786864</c:v>
                </c:pt>
                <c:pt idx="35">
                  <c:v>11.366918720018189</c:v>
                </c:pt>
                <c:pt idx="36">
                  <c:v>8.7840000000000131</c:v>
                </c:pt>
                <c:pt idx="37">
                  <c:v>5.7053753601318888</c:v>
                </c:pt>
                <c:pt idx="38">
                  <c:v>2.5419055721053216</c:v>
                </c:pt>
                <c:pt idx="39">
                  <c:v>0.13725000000000487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4-408A-BF58-C167A66B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49712"/>
        <c:axId val="805850272"/>
      </c:scatterChart>
      <c:scatterChart>
        <c:scatterStyle val="lineMarker"/>
        <c:varyColors val="0"/>
        <c:ser>
          <c:idx val="1"/>
          <c:order val="1"/>
          <c:tx>
            <c:v>Water level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[0]!Altura</c:f>
              <c:numCache>
                <c:formatCode>0</c:formatCode>
                <c:ptCount val="91"/>
                <c:pt idx="0">
                  <c:v>0</c:v>
                </c:pt>
                <c:pt idx="1">
                  <c:v>0</c:v>
                </c:pt>
                <c:pt idx="2">
                  <c:v>1.25</c:v>
                </c:pt>
                <c:pt idx="3">
                  <c:v>3</c:v>
                </c:pt>
                <c:pt idx="4">
                  <c:v>5.25</c:v>
                </c:pt>
                <c:pt idx="5">
                  <c:v>7.75</c:v>
                </c:pt>
                <c:pt idx="6">
                  <c:v>10.5</c:v>
                </c:pt>
                <c:pt idx="7">
                  <c:v>13.5</c:v>
                </c:pt>
                <c:pt idx="8">
                  <c:v>16.75</c:v>
                </c:pt>
                <c:pt idx="9">
                  <c:v>20</c:v>
                </c:pt>
                <c:pt idx="10">
                  <c:v>23</c:v>
                </c:pt>
                <c:pt idx="11">
                  <c:v>26</c:v>
                </c:pt>
                <c:pt idx="12">
                  <c:v>28.75</c:v>
                </c:pt>
                <c:pt idx="13">
                  <c:v>31.5</c:v>
                </c:pt>
                <c:pt idx="14">
                  <c:v>34</c:v>
                </c:pt>
                <c:pt idx="15">
                  <c:v>36.5</c:v>
                </c:pt>
                <c:pt idx="16">
                  <c:v>39</c:v>
                </c:pt>
                <c:pt idx="17">
                  <c:v>41.25</c:v>
                </c:pt>
                <c:pt idx="18">
                  <c:v>43.5</c:v>
                </c:pt>
                <c:pt idx="19">
                  <c:v>45.75</c:v>
                </c:pt>
                <c:pt idx="20">
                  <c:v>48</c:v>
                </c:pt>
                <c:pt idx="21">
                  <c:v>50</c:v>
                </c:pt>
                <c:pt idx="22">
                  <c:v>52</c:v>
                </c:pt>
                <c:pt idx="23">
                  <c:v>54</c:v>
                </c:pt>
                <c:pt idx="24">
                  <c:v>56</c:v>
                </c:pt>
                <c:pt idx="25">
                  <c:v>58</c:v>
                </c:pt>
                <c:pt idx="26">
                  <c:v>60</c:v>
                </c:pt>
                <c:pt idx="27">
                  <c:v>61.75</c:v>
                </c:pt>
                <c:pt idx="28">
                  <c:v>63.25</c:v>
                </c:pt>
                <c:pt idx="29">
                  <c:v>64.25</c:v>
                </c:pt>
                <c:pt idx="30">
                  <c:v>65</c:v>
                </c:pt>
                <c:pt idx="31">
                  <c:v>65.5</c:v>
                </c:pt>
                <c:pt idx="32">
                  <c:v>65.75</c:v>
                </c:pt>
                <c:pt idx="33">
                  <c:v>65.75</c:v>
                </c:pt>
                <c:pt idx="34">
                  <c:v>65.5</c:v>
                </c:pt>
                <c:pt idx="35">
                  <c:v>64.75</c:v>
                </c:pt>
                <c:pt idx="36">
                  <c:v>64</c:v>
                </c:pt>
                <c:pt idx="37">
                  <c:v>63</c:v>
                </c:pt>
                <c:pt idx="38">
                  <c:v>61.75</c:v>
                </c:pt>
                <c:pt idx="39">
                  <c:v>60.25</c:v>
                </c:pt>
                <c:pt idx="40">
                  <c:v>58.5</c:v>
                </c:pt>
                <c:pt idx="41">
                  <c:v>56.5</c:v>
                </c:pt>
                <c:pt idx="42">
                  <c:v>54.5</c:v>
                </c:pt>
                <c:pt idx="43">
                  <c:v>52.5</c:v>
                </c:pt>
                <c:pt idx="44">
                  <c:v>50.75</c:v>
                </c:pt>
                <c:pt idx="45">
                  <c:v>49</c:v>
                </c:pt>
                <c:pt idx="46">
                  <c:v>47.25</c:v>
                </c:pt>
                <c:pt idx="47">
                  <c:v>45.5</c:v>
                </c:pt>
                <c:pt idx="48">
                  <c:v>43.75</c:v>
                </c:pt>
                <c:pt idx="49">
                  <c:v>42</c:v>
                </c:pt>
                <c:pt idx="50">
                  <c:v>40.25</c:v>
                </c:pt>
                <c:pt idx="51">
                  <c:v>38.5</c:v>
                </c:pt>
                <c:pt idx="52">
                  <c:v>36.75</c:v>
                </c:pt>
                <c:pt idx="53">
                  <c:v>35.25</c:v>
                </c:pt>
                <c:pt idx="54">
                  <c:v>33.75</c:v>
                </c:pt>
                <c:pt idx="55">
                  <c:v>32.25</c:v>
                </c:pt>
                <c:pt idx="56">
                  <c:v>30.75</c:v>
                </c:pt>
                <c:pt idx="57">
                  <c:v>29.25</c:v>
                </c:pt>
                <c:pt idx="58">
                  <c:v>27.75</c:v>
                </c:pt>
                <c:pt idx="59">
                  <c:v>26.25</c:v>
                </c:pt>
                <c:pt idx="60">
                  <c:v>24.75</c:v>
                </c:pt>
                <c:pt idx="61">
                  <c:v>23.5</c:v>
                </c:pt>
                <c:pt idx="62">
                  <c:v>22.25</c:v>
                </c:pt>
                <c:pt idx="63">
                  <c:v>21</c:v>
                </c:pt>
                <c:pt idx="64">
                  <c:v>19.75</c:v>
                </c:pt>
                <c:pt idx="65">
                  <c:v>18.5</c:v>
                </c:pt>
                <c:pt idx="66">
                  <c:v>17.25</c:v>
                </c:pt>
                <c:pt idx="67">
                  <c:v>16.25</c:v>
                </c:pt>
                <c:pt idx="68">
                  <c:v>15.25</c:v>
                </c:pt>
                <c:pt idx="69">
                  <c:v>14.25</c:v>
                </c:pt>
                <c:pt idx="70">
                  <c:v>13.25</c:v>
                </c:pt>
                <c:pt idx="71">
                  <c:v>12.25</c:v>
                </c:pt>
                <c:pt idx="72">
                  <c:v>11.25</c:v>
                </c:pt>
                <c:pt idx="73">
                  <c:v>10.5</c:v>
                </c:pt>
                <c:pt idx="74">
                  <c:v>9.75</c:v>
                </c:pt>
                <c:pt idx="75">
                  <c:v>9</c:v>
                </c:pt>
                <c:pt idx="76">
                  <c:v>8.25</c:v>
                </c:pt>
                <c:pt idx="77">
                  <c:v>7.75</c:v>
                </c:pt>
                <c:pt idx="78">
                  <c:v>7.25</c:v>
                </c:pt>
                <c:pt idx="79">
                  <c:v>6.75</c:v>
                </c:pt>
                <c:pt idx="80">
                  <c:v>6.25</c:v>
                </c:pt>
                <c:pt idx="81">
                  <c:v>6</c:v>
                </c:pt>
                <c:pt idx="82">
                  <c:v>5.75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14-408A-BF58-C167A66B9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1392"/>
        <c:axId val="805850832"/>
      </c:scatterChart>
      <c:valAx>
        <c:axId val="80584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Time [min]</a:t>
                </a:r>
              </a:p>
            </c:rich>
          </c:tx>
          <c:layout>
            <c:manualLayout>
              <c:xMode val="edge"/>
              <c:yMode val="edge"/>
              <c:x val="0.43581468330822754"/>
              <c:y val="0.823996320824135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50272"/>
        <c:crosses val="autoZero"/>
        <c:crossBetween val="midCat"/>
        <c:majorUnit val="10"/>
      </c:valAx>
      <c:valAx>
        <c:axId val="80585027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49712"/>
        <c:crosses val="autoZero"/>
        <c:crossBetween val="midCat"/>
      </c:valAx>
      <c:valAx>
        <c:axId val="805850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 baseline="0">
                    <a:solidFill>
                      <a:sysClr val="windowText" lastClr="000000"/>
                    </a:solidFill>
                  </a:rPr>
                  <a:t>Water level [cm]</a:t>
                </a:r>
                <a:endParaRPr lang="pt-BR" sz="1400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51392"/>
        <c:crosses val="max"/>
        <c:crossBetween val="midCat"/>
      </c:valAx>
      <c:valAx>
        <c:axId val="805851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85083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976579872319058E-2"/>
          <c:y val="0.89823196955826623"/>
          <c:w val="0.87663833297467897"/>
          <c:h val="7.8345842531273011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solidFill>
                  <a:sysClr val="windowText" lastClr="000000"/>
                </a:solidFill>
              </a:rPr>
              <a:t>Auxiliary</a:t>
            </a:r>
            <a:r>
              <a:rPr lang="pt-BR" sz="1600" b="1" baseline="0">
                <a:solidFill>
                  <a:sysClr val="windowText" lastClr="000000"/>
                </a:solidFill>
              </a:rPr>
              <a:t> Curve</a:t>
            </a:r>
            <a:endParaRPr lang="pt-BR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08178326262401"/>
          <c:y val="0.10894963714279109"/>
          <c:w val="0.79454737186497792"/>
          <c:h val="0.695173263888889"/>
        </c:manualLayout>
      </c:layout>
      <c:scatterChart>
        <c:scatterStyle val="lineMarker"/>
        <c:varyColors val="0"/>
        <c:ser>
          <c:idx val="0"/>
          <c:order val="0"/>
          <c:tx>
            <c:v>Curva auxiliar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[0]!Vazão_de_saida</c:f>
              <c:numCache>
                <c:formatCode>0.00</c:formatCode>
                <c:ptCount val="34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0.89113318321768431</c:v>
                </c:pt>
                <c:pt idx="20">
                  <c:v>1.6121205856189567</c:v>
                </c:pt>
                <c:pt idx="21">
                  <c:v>2.0985107135588175</c:v>
                </c:pt>
                <c:pt idx="22">
                  <c:v>2.4916985466275539</c:v>
                </c:pt>
                <c:pt idx="23">
                  <c:v>2.8307907163212538</c:v>
                </c:pt>
                <c:pt idx="24">
                  <c:v>3.1333991944779918</c:v>
                </c:pt>
                <c:pt idx="25">
                  <c:v>3.4092528425301705</c:v>
                </c:pt>
                <c:pt idx="26">
                  <c:v>3.6643989106870958</c:v>
                </c:pt>
                <c:pt idx="27">
                  <c:v>3.9029006916637665</c:v>
                </c:pt>
                <c:pt idx="28">
                  <c:v>4.1276443937595007</c:v>
                </c:pt>
                <c:pt idx="29">
                  <c:v>4.3407675212661374</c:v>
                </c:pt>
                <c:pt idx="30">
                  <c:v>4.5439054904370204</c:v>
                </c:pt>
                <c:pt idx="31">
                  <c:v>4.7383426995489062</c:v>
                </c:pt>
                <c:pt idx="32">
                  <c:v>4.9251097419969385</c:v>
                </c:pt>
                <c:pt idx="33">
                  <c:v>5.1050485211266974</c:v>
                </c:pt>
                <c:pt idx="34">
                  <c:v>5.2788573418309577</c:v>
                </c:pt>
                <c:pt idx="35">
                  <c:v>5.447123026676314</c:v>
                </c:pt>
                <c:pt idx="36">
                  <c:v>5.6103443477287609</c:v>
                </c:pt>
                <c:pt idx="37">
                  <c:v>5.7689494825693162</c:v>
                </c:pt>
                <c:pt idx="38">
                  <c:v>5.9233092579048678</c:v>
                </c:pt>
                <c:pt idx="39">
                  <c:v>6.0737473603308727</c:v>
                </c:pt>
                <c:pt idx="40">
                  <c:v>6.2205483222519042</c:v>
                </c:pt>
                <c:pt idx="41">
                  <c:v>6.3639638482486456</c:v>
                </c:pt>
                <c:pt idx="42">
                  <c:v>6.5042178848928822</c:v>
                </c:pt>
                <c:pt idx="43">
                  <c:v>6.6415107262207407</c:v>
                </c:pt>
                <c:pt idx="44">
                  <c:v>6.7760223700080768</c:v>
                </c:pt>
                <c:pt idx="45">
                  <c:v>6.9079152854674328</c:v>
                </c:pt>
                <c:pt idx="46">
                  <c:v>7.0373367138100855</c:v>
                </c:pt>
                <c:pt idx="47">
                  <c:v>7.1644205945689743</c:v>
                </c:pt>
                <c:pt idx="48">
                  <c:v>7.2892891895046112</c:v>
                </c:pt>
                <c:pt idx="49">
                  <c:v>7.4120544601732066</c:v>
                </c:pt>
                <c:pt idx="50">
                  <c:v>7.5328192433456307</c:v>
                </c:pt>
                <c:pt idx="51">
                  <c:v>7.6516782593927051</c:v>
                </c:pt>
                <c:pt idx="52">
                  <c:v>7.7687189817631905</c:v>
                </c:pt>
                <c:pt idx="53">
                  <c:v>7.8840223902493092</c:v>
                </c:pt>
                <c:pt idx="54">
                  <c:v>7.9976636264784942</c:v>
                </c:pt>
                <c:pt idx="55">
                  <c:v>8.1097125667092467</c:v>
                </c:pt>
                <c:pt idx="56">
                  <c:v>8.2202343243356886</c:v>
                </c:pt>
                <c:pt idx="57">
                  <c:v>8.3292896923646094</c:v>
                </c:pt>
                <c:pt idx="58">
                  <c:v>8.4369355344032382</c:v>
                </c:pt>
                <c:pt idx="59">
                  <c:v>8.543225131296774</c:v>
                </c:pt>
                <c:pt idx="60">
                  <c:v>8.6482084894136033</c:v>
                </c:pt>
                <c:pt idx="61">
                  <c:v>8.7519326156404045</c:v>
                </c:pt>
                <c:pt idx="62">
                  <c:v>8.8544417633781389</c:v>
                </c:pt>
                <c:pt idx="63">
                  <c:v>8.9557776531912481</c:v>
                </c:pt>
                <c:pt idx="64">
                  <c:v>9.055979671230741</c:v>
                </c:pt>
                <c:pt idx="65">
                  <c:v>9.1550850481079173</c:v>
                </c:pt>
                <c:pt idx="66">
                  <c:v>9.2531290205224046</c:v>
                </c:pt>
                <c:pt idx="67">
                  <c:v>9.3501449776342298</c:v>
                </c:pt>
                <c:pt idx="68">
                  <c:v>9.4461645939038839</c:v>
                </c:pt>
                <c:pt idx="69">
                  <c:v>9.5412179498986447</c:v>
                </c:pt>
                <c:pt idx="70">
                  <c:v>9.6353336423713323</c:v>
                </c:pt>
                <c:pt idx="71">
                  <c:v>9.7285388847533305</c:v>
                </c:pt>
                <c:pt idx="72">
                  <c:v>9.8208595990627146</c:v>
                </c:pt>
                <c:pt idx="73">
                  <c:v>9.9123205001072794</c:v>
                </c:pt>
                <c:pt idx="74">
                  <c:v>10.002945172757457</c:v>
                </c:pt>
                <c:pt idx="75">
                  <c:v>10.092756142973853</c:v>
                </c:pt>
                <c:pt idx="76">
                  <c:v>10.181774943195375</c:v>
                </c:pt>
                <c:pt idx="77">
                  <c:v>10.270022172625817</c:v>
                </c:pt>
                <c:pt idx="78">
                  <c:v>10.357517552897056</c:v>
                </c:pt>
                <c:pt idx="79">
                  <c:v>10.444279979534988</c:v>
                </c:pt>
                <c:pt idx="80">
                  <c:v>10.530327569608653</c:v>
                </c:pt>
                <c:pt idx="81">
                  <c:v>10.615677705902945</c:v>
                </c:pt>
                <c:pt idx="82">
                  <c:v>10.700347077919929</c:v>
                </c:pt>
                <c:pt idx="83">
                  <c:v>10.78435171998272</c:v>
                </c:pt>
                <c:pt idx="84">
                  <c:v>10.86770704668832</c:v>
                </c:pt>
                <c:pt idx="85">
                  <c:v>10.950427885931386</c:v>
                </c:pt>
                <c:pt idx="86">
                  <c:v>11.032528509699326</c:v>
                </c:pt>
                <c:pt idx="87">
                  <c:v>11.114022662819847</c:v>
                </c:pt>
                <c:pt idx="88">
                  <c:v>11.194923589824896</c:v>
                </c:pt>
                <c:pt idx="89">
                  <c:v>11.275244060079704</c:v>
                </c:pt>
                <c:pt idx="90">
                  <c:v>11.354996391311948</c:v>
                </c:pt>
                <c:pt idx="91">
                  <c:v>11.434192471663756</c:v>
                </c:pt>
                <c:pt idx="92">
                  <c:v>11.512843780378365</c:v>
                </c:pt>
                <c:pt idx="93">
                  <c:v>11.59096140722337</c:v>
                </c:pt>
                <c:pt idx="94">
                  <c:v>11.668556070743556</c:v>
                </c:pt>
                <c:pt idx="95">
                  <c:v>11.745638135428445</c:v>
                </c:pt>
                <c:pt idx="96">
                  <c:v>11.82221762787235</c:v>
                </c:pt>
                <c:pt idx="97">
                  <c:v>11.898304251998285</c:v>
                </c:pt>
                <c:pt idx="98">
                  <c:v>11.973907403411186</c:v>
                </c:pt>
                <c:pt idx="99">
                  <c:v>12.049036182940522</c:v>
                </c:pt>
                <c:pt idx="100">
                  <c:v>12.12369940942758</c:v>
                </c:pt>
                <c:pt idx="101">
                  <c:v>12.197905631808249</c:v>
                </c:pt>
                <c:pt idx="102">
                  <c:v>12.271663140538211</c:v>
                </c:pt>
                <c:pt idx="103">
                  <c:v>12.344979978403725</c:v>
                </c:pt>
                <c:pt idx="104">
                  <c:v>12.417863950757939</c:v>
                </c:pt>
                <c:pt idx="105">
                  <c:v>12.49032263521957</c:v>
                </c:pt>
                <c:pt idx="106">
                  <c:v>12.562363390868098</c:v>
                </c:pt>
                <c:pt idx="107">
                  <c:v>12.633993366967061</c:v>
                </c:pt>
                <c:pt idx="108">
                  <c:v>12.705219511244678</c:v>
                </c:pt>
                <c:pt idx="109">
                  <c:v>12.776048577758978</c:v>
                </c:pt>
                <c:pt idx="110">
                  <c:v>12.846487134372644</c:v>
                </c:pt>
                <c:pt idx="111">
                  <c:v>12.916541569860977</c:v>
                </c:pt>
                <c:pt idx="112">
                  <c:v>12.986218100674705</c:v>
                </c:pt>
                <c:pt idx="113">
                  <c:v>13.055522777378014</c:v>
                </c:pt>
                <c:pt idx="114">
                  <c:v>13.12446149078052</c:v>
                </c:pt>
                <c:pt idx="115">
                  <c:v>13.193039977780918</c:v>
                </c:pt>
                <c:pt idx="116">
                  <c:v>13.261263826938603</c:v>
                </c:pt>
                <c:pt idx="117">
                  <c:v>13.329138483788627</c:v>
                </c:pt>
                <c:pt idx="118">
                  <c:v>13.396669255914315</c:v>
                </c:pt>
                <c:pt idx="119">
                  <c:v>13.463861317790839</c:v>
                </c:pt>
                <c:pt idx="120">
                  <c:v>13.530719715412378</c:v>
                </c:pt>
                <c:pt idx="121">
                  <c:v>13.597249370714428</c:v>
                </c:pt>
                <c:pt idx="122">
                  <c:v>13.66345508580237</c:v>
                </c:pt>
                <c:pt idx="123">
                  <c:v>13.729341546996469</c:v>
                </c:pt>
                <c:pt idx="124">
                  <c:v>13.794913328703014</c:v>
                </c:pt>
                <c:pt idx="125">
                  <c:v>13.860174897120629</c:v>
                </c:pt>
                <c:pt idx="126">
                  <c:v>13.925130613790222</c:v>
                </c:pt>
                <c:pt idx="127">
                  <c:v>13.989784738996605</c:v>
                </c:pt>
                <c:pt idx="128">
                  <c:v>14.054141435029289</c:v>
                </c:pt>
                <c:pt idx="129">
                  <c:v>14.118204769309438</c:v>
                </c:pt>
                <c:pt idx="130">
                  <c:v>14.181978717389773</c:v>
                </c:pt>
                <c:pt idx="131">
                  <c:v>14.24546716583353</c:v>
                </c:pt>
                <c:pt idx="132">
                  <c:v>14.308673914978494</c:v>
                </c:pt>
                <c:pt idx="133">
                  <c:v>14.371602681591595</c:v>
                </c:pt>
                <c:pt idx="134">
                  <c:v>14.434257101419364</c:v>
                </c:pt>
                <c:pt idx="135">
                  <c:v>14.496640731639181</c:v>
                </c:pt>
                <c:pt idx="136">
                  <c:v>14.558757053215938</c:v>
                </c:pt>
                <c:pt idx="137">
                  <c:v>14.620609473168674</c:v>
                </c:pt>
                <c:pt idx="138">
                  <c:v>14.682201326751187</c:v>
                </c:pt>
                <c:pt idx="139">
                  <c:v>14.743535879550706</c:v>
                </c:pt>
                <c:pt idx="140">
                  <c:v>14.804616329508299</c:v>
                </c:pt>
                <c:pt idx="141">
                  <c:v>14.865445808864546</c:v>
                </c:pt>
                <c:pt idx="142">
                  <c:v>14.926027386033876</c:v>
                </c:pt>
                <c:pt idx="143">
                  <c:v>14.98636406741068</c:v>
                </c:pt>
                <c:pt idx="144">
                  <c:v>15.046458799110264</c:v>
                </c:pt>
                <c:pt idx="145">
                  <c:v>15.106314468647453</c:v>
                </c:pt>
                <c:pt idx="146">
                  <c:v>15.165933906555578</c:v>
                </c:pt>
                <c:pt idx="147">
                  <c:v>15.225319887948393</c:v>
                </c:pt>
                <c:pt idx="148">
                  <c:v>15.284475134027391</c:v>
                </c:pt>
                <c:pt idx="149">
                  <c:v>15.343402313536796</c:v>
                </c:pt>
                <c:pt idx="150">
                  <c:v>15.402104044168482</c:v>
                </c:pt>
                <c:pt idx="151">
                  <c:v>15.460582893918838</c:v>
                </c:pt>
                <c:pt idx="152">
                  <c:v>15.518841382399671</c:v>
                </c:pt>
                <c:pt idx="153">
                  <c:v>15.576881982104931</c:v>
                </c:pt>
                <c:pt idx="154">
                  <c:v>15.63470711963515</c:v>
                </c:pt>
                <c:pt idx="155">
                  <c:v>15.692319176881238</c:v>
                </c:pt>
                <c:pt idx="156">
                  <c:v>15.775667313408515</c:v>
                </c:pt>
                <c:pt idx="157">
                  <c:v>15.832954404797258</c:v>
                </c:pt>
                <c:pt idx="158">
                  <c:v>15.890034964890159</c:v>
                </c:pt>
                <c:pt idx="159">
                  <c:v>15.946911211468969</c:v>
                </c:pt>
                <c:pt idx="160">
                  <c:v>16.003585322905543</c:v>
                </c:pt>
                <c:pt idx="161">
                  <c:v>16.060059439135358</c:v>
                </c:pt>
                <c:pt idx="162">
                  <c:v>16.116335662600342</c:v>
                </c:pt>
                <c:pt idx="163">
                  <c:v>16.172416059162174</c:v>
                </c:pt>
                <c:pt idx="164">
                  <c:v>16.228302658987158</c:v>
                </c:pt>
                <c:pt idx="165">
                  <c:v>16.283997457403775</c:v>
                </c:pt>
                <c:pt idx="166">
                  <c:v>16.33950241573395</c:v>
                </c:pt>
                <c:pt idx="167">
                  <c:v>16.394819462098951</c:v>
                </c:pt>
                <c:pt idx="168">
                  <c:v>16.449950492200927</c:v>
                </c:pt>
                <c:pt idx="169">
                  <c:v>16.504897370080933</c:v>
                </c:pt>
                <c:pt idx="170">
                  <c:v>16.559661928854325</c:v>
                </c:pt>
                <c:pt idx="171">
                  <c:v>16.614245971424353</c:v>
                </c:pt>
                <c:pt idx="172">
                  <c:v>16.668651271174681</c:v>
                </c:pt>
                <c:pt idx="173">
                  <c:v>16.722879572641681</c:v>
                </c:pt>
                <c:pt idx="174">
                  <c:v>16.776932592167118</c:v>
                </c:pt>
                <c:pt idx="175">
                  <c:v>16.830812018532033</c:v>
                </c:pt>
                <c:pt idx="176">
                  <c:v>16.884519513572343</c:v>
                </c:pt>
                <c:pt idx="177">
                  <c:v>16.938056712776948</c:v>
                </c:pt>
                <c:pt idx="178">
                  <c:v>16.991425225868817</c:v>
                </c:pt>
                <c:pt idx="179">
                  <c:v>17.044626637369745</c:v>
                </c:pt>
                <c:pt idx="180">
                  <c:v>17.097662507149249</c:v>
                </c:pt>
                <c:pt idx="181">
                  <c:v>17.150534370958244</c:v>
                </c:pt>
                <c:pt idx="182">
                  <c:v>17.203243740947901</c:v>
                </c:pt>
                <c:pt idx="183">
                  <c:v>17.255792106174265</c:v>
                </c:pt>
                <c:pt idx="184">
                  <c:v>17.308180933089098</c:v>
                </c:pt>
                <c:pt idx="185">
                  <c:v>17.36041166601737</c:v>
                </c:pt>
                <c:pt idx="186">
                  <c:v>17.41248572762186</c:v>
                </c:pt>
                <c:pt idx="187">
                  <c:v>17.464404519355305</c:v>
                </c:pt>
                <c:pt idx="188">
                  <c:v>17.516169421900464</c:v>
                </c:pt>
                <c:pt idx="189">
                  <c:v>17.567781795598549</c:v>
                </c:pt>
                <c:pt idx="190">
                  <c:v>17.619242980866311</c:v>
                </c:pt>
                <c:pt idx="191">
                  <c:v>17.67055429860223</c:v>
                </c:pt>
                <c:pt idx="192">
                  <c:v>17.721717050582114</c:v>
                </c:pt>
                <c:pt idx="193">
                  <c:v>17.772732519844432</c:v>
                </c:pt>
                <c:pt idx="194">
                  <c:v>17.823601971065745</c:v>
                </c:pt>
                <c:pt idx="195">
                  <c:v>17.874326650926509</c:v>
                </c:pt>
                <c:pt idx="196">
                  <c:v>17.924907788467554</c:v>
                </c:pt>
                <c:pt idx="197">
                  <c:v>17.975346595437529</c:v>
                </c:pt>
                <c:pt idx="198">
                  <c:v>18.025644266631655</c:v>
                </c:pt>
                <c:pt idx="199">
                  <c:v>18.07580198022189</c:v>
                </c:pt>
                <c:pt idx="200">
                  <c:v>18.125820898078977</c:v>
                </c:pt>
                <c:pt idx="201">
                  <c:v>18.175702166086445</c:v>
                </c:pt>
                <c:pt idx="202">
                  <c:v>18.225446914446913</c:v>
                </c:pt>
                <c:pt idx="203">
                  <c:v>18.275056257980864</c:v>
                </c:pt>
                <c:pt idx="204">
                  <c:v>18.324531296418154</c:v>
                </c:pt>
                <c:pt idx="205">
                  <c:v>18.373873114682471</c:v>
                </c:pt>
                <c:pt idx="206">
                  <c:v>18.423082783168901</c:v>
                </c:pt>
                <c:pt idx="207">
                  <c:v>18.472161358014858</c:v>
                </c:pt>
                <c:pt idx="208">
                  <c:v>18.52110988136457</c:v>
                </c:pt>
                <c:pt idx="209">
                  <c:v>18.569929381627261</c:v>
                </c:pt>
                <c:pt idx="210">
                  <c:v>18.618620873729245</c:v>
                </c:pt>
                <c:pt idx="211">
                  <c:v>18.667185359360133</c:v>
                </c:pt>
                <c:pt idx="212">
                  <c:v>18.715623827213246</c:v>
                </c:pt>
                <c:pt idx="213">
                  <c:v>18.763937253220472</c:v>
                </c:pt>
                <c:pt idx="214">
                  <c:v>18.812126600781692</c:v>
                </c:pt>
                <c:pt idx="215">
                  <c:v>18.860192820988896</c:v>
                </c:pt>
                <c:pt idx="216">
                  <c:v>18.908136852845235</c:v>
                </c:pt>
                <c:pt idx="217">
                  <c:v>18.955959623479028</c:v>
                </c:pt>
                <c:pt idx="218">
                  <c:v>19.003662048352947</c:v>
                </c:pt>
                <c:pt idx="219">
                  <c:v>19.051245031468497</c:v>
                </c:pt>
                <c:pt idx="220">
                  <c:v>19.098709465565886</c:v>
                </c:pt>
                <c:pt idx="221">
                  <c:v>19.146056232319459</c:v>
                </c:pt>
                <c:pt idx="222">
                  <c:v>19.193286202528785</c:v>
                </c:pt>
                <c:pt idx="223">
                  <c:v>19.240400236305504</c:v>
                </c:pt>
                <c:pt idx="224">
                  <c:v>19.287399183256095</c:v>
                </c:pt>
                <c:pt idx="225">
                  <c:v>19.334283882660635</c:v>
                </c:pt>
                <c:pt idx="226">
                  <c:v>19.381055163647662</c:v>
                </c:pt>
                <c:pt idx="227">
                  <c:v>19.427713845365254</c:v>
                </c:pt>
                <c:pt idx="228">
                  <c:v>19.474260737148398</c:v>
                </c:pt>
                <c:pt idx="229">
                  <c:v>19.520696638682818</c:v>
                </c:pt>
                <c:pt idx="230">
                  <c:v>19.567022340165238</c:v>
                </c:pt>
                <c:pt idx="231">
                  <c:v>19.613238622460308</c:v>
                </c:pt>
                <c:pt idx="232">
                  <c:v>19.659346257254121</c:v>
                </c:pt>
                <c:pt idx="233">
                  <c:v>19.705346007204607</c:v>
                </c:pt>
                <c:pt idx="234">
                  <c:v>19.751238626088682</c:v>
                </c:pt>
                <c:pt idx="235">
                  <c:v>19.797024858946372</c:v>
                </c:pt>
                <c:pt idx="236">
                  <c:v>19.84270544222192</c:v>
                </c:pt>
                <c:pt idx="237">
                  <c:v>20.025531103902033</c:v>
                </c:pt>
                <c:pt idx="238">
                  <c:v>20.321954186522582</c:v>
                </c:pt>
                <c:pt idx="239">
                  <c:v>20.692292452960693</c:v>
                </c:pt>
                <c:pt idx="240">
                  <c:v>21.122385715196245</c:v>
                </c:pt>
                <c:pt idx="241">
                  <c:v>21.604050455449183</c:v>
                </c:pt>
                <c:pt idx="242">
                  <c:v>22.131765295882058</c:v>
                </c:pt>
                <c:pt idx="243">
                  <c:v>22.701477027721246</c:v>
                </c:pt>
                <c:pt idx="244">
                  <c:v>23.310045350031949</c:v>
                </c:pt>
                <c:pt idx="245">
                  <c:v>23.954943892008913</c:v>
                </c:pt>
                <c:pt idx="246">
                  <c:v>24.634082776682884</c:v>
                </c:pt>
                <c:pt idx="247">
                  <c:v>25.345695682998553</c:v>
                </c:pt>
                <c:pt idx="248">
                  <c:v>26.088264048423817</c:v>
                </c:pt>
                <c:pt idx="249">
                  <c:v>26.860464035253568</c:v>
                </c:pt>
                <c:pt idx="250">
                  <c:v>27.661128155002817</c:v>
                </c:pt>
                <c:pt idx="251">
                  <c:v>28.489216717846155</c:v>
                </c:pt>
                <c:pt idx="252">
                  <c:v>29.343796090512949</c:v>
                </c:pt>
                <c:pt idx="253">
                  <c:v>30.224021806644814</c:v>
                </c:pt>
                <c:pt idx="254">
                  <c:v>31.129125219699176</c:v>
                </c:pt>
                <c:pt idx="255">
                  <c:v>32.058402796483072</c:v>
                </c:pt>
                <c:pt idx="256">
                  <c:v>33.011207415184309</c:v>
                </c:pt>
                <c:pt idx="257">
                  <c:v>33.98694120964312</c:v>
                </c:pt>
                <c:pt idx="258">
                  <c:v>34.985049623523182</c:v>
                </c:pt>
                <c:pt idx="259">
                  <c:v>36.005016423372723</c:v>
                </c:pt>
                <c:pt idx="260">
                  <c:v>37.046359480435768</c:v>
                </c:pt>
                <c:pt idx="261">
                  <c:v>38.108627175224242</c:v>
                </c:pt>
                <c:pt idx="262">
                  <c:v>39.191395311387858</c:v>
                </c:pt>
                <c:pt idx="263">
                  <c:v>40.294264449706951</c:v>
                </c:pt>
                <c:pt idx="264">
                  <c:v>41.416857591410093</c:v>
                </c:pt>
                <c:pt idx="265">
                  <c:v>42.558818154075368</c:v>
                </c:pt>
                <c:pt idx="266">
                  <c:v>43.719808194251542</c:v>
                </c:pt>
                <c:pt idx="267">
                  <c:v>44.899506839425811</c:v>
                </c:pt>
                <c:pt idx="268">
                  <c:v>46.097608898663381</c:v>
                </c:pt>
                <c:pt idx="269">
                  <c:v>47.313823626562254</c:v>
                </c:pt>
                <c:pt idx="270">
                  <c:v>48.54787361943422</c:v>
                </c:pt>
                <c:pt idx="271">
                  <c:v>49.799493826061038</c:v>
                </c:pt>
                <c:pt idx="272">
                  <c:v>51.068430658175316</c:v>
                </c:pt>
                <c:pt idx="273">
                  <c:v>52.354441188099244</c:v>
                </c:pt>
                <c:pt idx="274">
                  <c:v>53.657292422860266</c:v>
                </c:pt>
                <c:pt idx="275">
                  <c:v>54.976760645659198</c:v>
                </c:pt>
                <c:pt idx="276">
                  <c:v>56.312630816861869</c:v>
                </c:pt>
                <c:pt idx="277">
                  <c:v>57.664696027771711</c:v>
                </c:pt>
                <c:pt idx="278">
                  <c:v>59.032757001349069</c:v>
                </c:pt>
                <c:pt idx="279">
                  <c:v>60.416621634814845</c:v>
                </c:pt>
                <c:pt idx="280">
                  <c:v>61.816104579725156</c:v>
                </c:pt>
                <c:pt idx="281">
                  <c:v>63.231026855661682</c:v>
                </c:pt>
                <c:pt idx="282">
                  <c:v>64.66121549415395</c:v>
                </c:pt>
                <c:pt idx="283">
                  <c:v>66.10650320985944</c:v>
                </c:pt>
                <c:pt idx="284">
                  <c:v>67.566728096374788</c:v>
                </c:pt>
                <c:pt idx="285">
                  <c:v>69.04173334435724</c:v>
                </c:pt>
                <c:pt idx="286">
                  <c:v>70.531366979893775</c:v>
                </c:pt>
                <c:pt idx="287">
                  <c:v>72.03548162128773</c:v>
                </c:pt>
                <c:pt idx="288">
                  <c:v>73.553934252627016</c:v>
                </c:pt>
                <c:pt idx="289">
                  <c:v>75.086586012675582</c:v>
                </c:pt>
                <c:pt idx="290">
                  <c:v>76.633301997778702</c:v>
                </c:pt>
                <c:pt idx="291">
                  <c:v>78.193951077610279</c:v>
                </c:pt>
                <c:pt idx="292">
                  <c:v>79.768405722703775</c:v>
                </c:pt>
                <c:pt idx="293">
                  <c:v>81.356541842817762</c:v>
                </c:pt>
                <c:pt idx="294">
                  <c:v>82.958238635274157</c:v>
                </c:pt>
                <c:pt idx="295">
                  <c:v>84.573378442493976</c:v>
                </c:pt>
                <c:pt idx="296">
                  <c:v>86.201846618023623</c:v>
                </c:pt>
                <c:pt idx="297">
                  <c:v>87.84353140041425</c:v>
                </c:pt>
                <c:pt idx="298">
                  <c:v>89.498323794370364</c:v>
                </c:pt>
                <c:pt idx="299">
                  <c:v>91.166117458638411</c:v>
                </c:pt>
                <c:pt idx="300">
                  <c:v>92.846808600152855</c:v>
                </c:pt>
                <c:pt idx="301">
                  <c:v>94.540295873995404</c:v>
                </c:pt>
                <c:pt idx="302">
                  <c:v>96.246480288766378</c:v>
                </c:pt>
                <c:pt idx="303">
                  <c:v>97.965265116994644</c:v>
                </c:pt>
                <c:pt idx="304">
                  <c:v>99.696555810248711</c:v>
                </c:pt>
                <c:pt idx="305">
                  <c:v>101.44025991863481</c:v>
                </c:pt>
                <c:pt idx="306">
                  <c:v>103.19628701439629</c:v>
                </c:pt>
                <c:pt idx="307">
                  <c:v>104.96454861934821</c:v>
                </c:pt>
                <c:pt idx="308">
                  <c:v>106.74495813590427</c:v>
                </c:pt>
                <c:pt idx="309">
                  <c:v>108.5374307814694</c:v>
                </c:pt>
                <c:pt idx="310">
                  <c:v>110.34188352599196</c:v>
                </c:pt>
                <c:pt idx="311">
                  <c:v>112.1582350324795</c:v>
                </c:pt>
                <c:pt idx="312">
                  <c:v>113.98640560030286</c:v>
                </c:pt>
                <c:pt idx="313">
                  <c:v>115.82631711112046</c:v>
                </c:pt>
                <c:pt idx="314">
                  <c:v>117.67789297727069</c:v>
                </c:pt>
                <c:pt idx="315">
                  <c:v>119.54105809248853</c:v>
                </c:pt>
                <c:pt idx="316">
                  <c:v>121.41573878481407</c:v>
                </c:pt>
                <c:pt idx="317">
                  <c:v>123.30186277156879</c:v>
                </c:pt>
                <c:pt idx="318">
                  <c:v>125.19935911628494</c:v>
                </c:pt>
                <c:pt idx="319">
                  <c:v>127.10815818747973</c:v>
                </c:pt>
                <c:pt idx="320">
                  <c:v>129.02819161917461</c:v>
                </c:pt>
                <c:pt idx="321">
                  <c:v>130.95939227306542</c:v>
                </c:pt>
                <c:pt idx="322">
                  <c:v>132.90169420225592</c:v>
                </c:pt>
                <c:pt idx="323">
                  <c:v>134.85503261647284</c:v>
                </c:pt>
                <c:pt idx="324">
                  <c:v>136.8193438486845</c:v>
                </c:pt>
                <c:pt idx="325">
                  <c:v>138.79456532305312</c:v>
                </c:pt>
                <c:pt idx="326">
                  <c:v>140.78063552415028</c:v>
                </c:pt>
                <c:pt idx="327">
                  <c:v>142.77749396737553</c:v>
                </c:pt>
                <c:pt idx="328">
                  <c:v>144.78508117051484</c:v>
                </c:pt>
                <c:pt idx="329">
                  <c:v>146.80333862638659</c:v>
                </c:pt>
                <c:pt idx="330">
                  <c:v>148.83220877651888</c:v>
                </c:pt>
                <c:pt idx="331">
                  <c:v>150.87163498581202</c:v>
                </c:pt>
                <c:pt idx="332">
                  <c:v>152.92156151813569</c:v>
                </c:pt>
                <c:pt idx="333">
                  <c:v>154.98193351282106</c:v>
                </c:pt>
                <c:pt idx="334">
                  <c:v>157.05269696200165</c:v>
                </c:pt>
                <c:pt idx="335">
                  <c:v>159.13379868876828</c:v>
                </c:pt>
                <c:pt idx="336">
                  <c:v>161.22518632609729</c:v>
                </c:pt>
                <c:pt idx="337">
                  <c:v>163.3268082965198</c:v>
                </c:pt>
                <c:pt idx="338">
                  <c:v>165.43861379249697</c:v>
                </c:pt>
                <c:pt idx="339">
                  <c:v>167.56055275747167</c:v>
                </c:pt>
                <c:pt idx="340">
                  <c:v>169.69257586756558</c:v>
                </c:pt>
                <c:pt idx="341">
                  <c:v>171.83463451389457</c:v>
                </c:pt>
                <c:pt idx="342">
                  <c:v>173.98668078547493</c:v>
                </c:pt>
                <c:pt idx="343">
                  <c:v>176.14866745269705</c:v>
                </c:pt>
                <c:pt idx="344">
                  <c:v>178.32054795133976</c:v>
                </c:pt>
                <c:pt idx="345">
                  <c:v>180.50227636710622</c:v>
                </c:pt>
                <c:pt idx="346">
                  <c:v>182.69380742065607</c:v>
                </c:pt>
                <c:pt idx="347">
                  <c:v>184.89509645311699</c:v>
                </c:pt>
                <c:pt idx="348">
                  <c:v>187.10609941205385</c:v>
                </c:pt>
                <c:pt idx="349">
                  <c:v>189.32677283787683</c:v>
                </c:pt>
                <c:pt idx="350">
                  <c:v>191.55707385067424</c:v>
                </c:pt>
                <c:pt idx="351">
                  <c:v>193.79696013744802</c:v>
                </c:pt>
                <c:pt idx="352">
                  <c:v>196.04638993974126</c:v>
                </c:pt>
                <c:pt idx="353">
                  <c:v>198.30532204163868</c:v>
                </c:pt>
                <c:pt idx="354">
                  <c:v>200.57371575812809</c:v>
                </c:pt>
                <c:pt idx="355">
                  <c:v>202.85153092380762</c:v>
                </c:pt>
                <c:pt idx="356">
                  <c:v>205.13872788192674</c:v>
                </c:pt>
                <c:pt idx="357">
                  <c:v>207.43526747374682</c:v>
                </c:pt>
                <c:pt idx="358">
                  <c:v>209.74111102821175</c:v>
                </c:pt>
                <c:pt idx="359">
                  <c:v>212.05622035191456</c:v>
                </c:pt>
                <c:pt idx="360">
                  <c:v>214.3805577193516</c:v>
                </c:pt>
                <c:pt idx="361">
                  <c:v>216.71408586345146</c:v>
                </c:pt>
                <c:pt idx="362">
                  <c:v>219.05676796637101</c:v>
                </c:pt>
                <c:pt idx="363">
                  <c:v>221.40856765054673</c:v>
                </c:pt>
                <c:pt idx="364">
                  <c:v>223.76944896999512</c:v>
                </c:pt>
                <c:pt idx="365">
                  <c:v>226.13937640184912</c:v>
                </c:pt>
                <c:pt idx="366">
                  <c:v>228.51831483812808</c:v>
                </c:pt>
                <c:pt idx="367">
                  <c:v>230.90622957772666</c:v>
                </c:pt>
                <c:pt idx="368">
                  <c:v>233.3030863186215</c:v>
                </c:pt>
                <c:pt idx="369">
                  <c:v>235.70885115028256</c:v>
                </c:pt>
                <c:pt idx="370">
                  <c:v>238.12349054628706</c:v>
                </c:pt>
                <c:pt idx="371">
                  <c:v>240.54697135712416</c:v>
                </c:pt>
                <c:pt idx="372">
                  <c:v>242.97926080319033</c:v>
                </c:pt>
                <c:pt idx="373">
                  <c:v>245.42032646796196</c:v>
                </c:pt>
                <c:pt idx="374">
                  <c:v>247.87013629134537</c:v>
                </c:pt>
                <c:pt idx="375">
                  <c:v>250.32865856319489</c:v>
                </c:pt>
                <c:pt idx="376">
                  <c:v>252.79586191699491</c:v>
                </c:pt>
                <c:pt idx="377">
                  <c:v>255.2717153237005</c:v>
                </c:pt>
                <c:pt idx="378">
                  <c:v>257.75618808573091</c:v>
                </c:pt>
                <c:pt idx="379">
                  <c:v>260.24924983111225</c:v>
                </c:pt>
                <c:pt idx="380">
                  <c:v>262.75087050776301</c:v>
                </c:pt>
                <c:pt idx="381">
                  <c:v>265.26102037792049</c:v>
                </c:pt>
                <c:pt idx="382">
                  <c:v>267.77967001269985</c:v>
                </c:pt>
                <c:pt idx="383">
                  <c:v>270.30679028678651</c:v>
                </c:pt>
                <c:pt idx="384">
                  <c:v>272.84235237325277</c:v>
                </c:pt>
                <c:pt idx="385">
                  <c:v>275.38632773850003</c:v>
                </c:pt>
                <c:pt idx="386">
                  <c:v>277.93868813731774</c:v>
                </c:pt>
                <c:pt idx="387">
                  <c:v>280.49940560805976</c:v>
                </c:pt>
                <c:pt idx="388">
                  <c:v>283.06845246793154</c:v>
                </c:pt>
                <c:pt idx="389">
                  <c:v>285.64580130838726</c:v>
                </c:pt>
                <c:pt idx="390">
                  <c:v>288.23142499063158</c:v>
                </c:pt>
                <c:pt idx="391">
                  <c:v>290.82529664122507</c:v>
                </c:pt>
                <c:pt idx="392">
                  <c:v>293.42738964778772</c:v>
                </c:pt>
                <c:pt idx="393">
                  <c:v>296.03767765480075</c:v>
                </c:pt>
                <c:pt idx="394">
                  <c:v>298.65613455950052</c:v>
                </c:pt>
                <c:pt idx="395">
                  <c:v>301.28273450786554</c:v>
                </c:pt>
                <c:pt idx="396">
                  <c:v>303.91745189069042</c:v>
                </c:pt>
                <c:pt idx="397">
                  <c:v>306.56026133974683</c:v>
                </c:pt>
                <c:pt idx="398">
                  <c:v>309.21113772402856</c:v>
                </c:pt>
                <c:pt idx="399">
                  <c:v>311.87005614607671</c:v>
                </c:pt>
                <c:pt idx="400">
                  <c:v>314.53699193838452</c:v>
                </c:pt>
                <c:pt idx="401">
                  <c:v>317.21192065988032</c:v>
                </c:pt>
                <c:pt idx="402">
                  <c:v>319.8948180924836</c:v>
                </c:pt>
                <c:pt idx="403">
                  <c:v>322.58566023773471</c:v>
                </c:pt>
                <c:pt idx="404">
                  <c:v>325.28442331349476</c:v>
                </c:pt>
                <c:pt idx="405">
                  <c:v>327.99108375071648</c:v>
                </c:pt>
                <c:pt idx="406">
                  <c:v>330.70561819027944</c:v>
                </c:pt>
                <c:pt idx="407">
                  <c:v>333.42800347989242</c:v>
                </c:pt>
                <c:pt idx="408">
                  <c:v>336.15821667105791</c:v>
                </c:pt>
                <c:pt idx="409">
                  <c:v>338.89623501610117</c:v>
                </c:pt>
                <c:pt idx="410">
                  <c:v>341.64203596525635</c:v>
                </c:pt>
                <c:pt idx="411">
                  <c:v>344.39559716381382</c:v>
                </c:pt>
                <c:pt idx="412">
                  <c:v>347.15689644932291</c:v>
                </c:pt>
                <c:pt idx="413">
                  <c:v>349.92591184885208</c:v>
                </c:pt>
                <c:pt idx="414">
                  <c:v>352.70262157630299</c:v>
                </c:pt>
                <c:pt idx="415">
                  <c:v>355.48700402977636</c:v>
                </c:pt>
                <c:pt idx="416">
                  <c:v>358.27903778899008</c:v>
                </c:pt>
                <c:pt idx="417">
                  <c:v>361.07870161274991</c:v>
                </c:pt>
                <c:pt idx="418">
                  <c:v>363.88597443646478</c:v>
                </c:pt>
                <c:pt idx="419">
                  <c:v>366.70083536971447</c:v>
                </c:pt>
                <c:pt idx="420">
                  <c:v>369.52326369386077</c:v>
                </c:pt>
                <c:pt idx="421">
                  <c:v>372.35323885970564</c:v>
                </c:pt>
                <c:pt idx="422">
                  <c:v>375.19074048519411</c:v>
                </c:pt>
                <c:pt idx="423">
                  <c:v>378.03574835315987</c:v>
                </c:pt>
                <c:pt idx="424">
                  <c:v>380.88824240911265</c:v>
                </c:pt>
                <c:pt idx="425">
                  <c:v>383.74820275906791</c:v>
                </c:pt>
                <c:pt idx="426">
                  <c:v>386.61560966741689</c:v>
                </c:pt>
                <c:pt idx="427">
                  <c:v>389.49044355483522</c:v>
                </c:pt>
                <c:pt idx="428">
                  <c:v>392.37268499623065</c:v>
                </c:pt>
                <c:pt idx="429">
                  <c:v>395.26231471872723</c:v>
                </c:pt>
                <c:pt idx="430">
                  <c:v>398.15931359968801</c:v>
                </c:pt>
                <c:pt idx="431">
                  <c:v>401.06366266477181</c:v>
                </c:pt>
                <c:pt idx="432">
                  <c:v>403.97534308602576</c:v>
                </c:pt>
                <c:pt idx="433">
                  <c:v>406.89433618001152</c:v>
                </c:pt>
                <c:pt idx="434">
                  <c:v>409.82062340596542</c:v>
                </c:pt>
                <c:pt idx="435">
                  <c:v>412.75418636399155</c:v>
                </c:pt>
                <c:pt idx="436">
                  <c:v>415.69500679328547</c:v>
                </c:pt>
                <c:pt idx="437">
                  <c:v>418.64306657038924</c:v>
                </c:pt>
                <c:pt idx="438">
                  <c:v>421.59834770747898</c:v>
                </c:pt>
                <c:pt idx="439">
                  <c:v>424.56083235067968</c:v>
                </c:pt>
                <c:pt idx="440">
                  <c:v>427.53050277841078</c:v>
                </c:pt>
                <c:pt idx="441">
                  <c:v>430.50734139975793</c:v>
                </c:pt>
                <c:pt idx="442">
                  <c:v>433.49133075287671</c:v>
                </c:pt>
                <c:pt idx="443">
                  <c:v>436.48245350341932</c:v>
                </c:pt>
                <c:pt idx="444">
                  <c:v>439.48069244299097</c:v>
                </c:pt>
                <c:pt idx="445">
                  <c:v>442.48603048762914</c:v>
                </c:pt>
                <c:pt idx="446">
                  <c:v>445.49845067631298</c:v>
                </c:pt>
                <c:pt idx="447">
                  <c:v>448.51793616949311</c:v>
                </c:pt>
                <c:pt idx="448">
                  <c:v>451.54447024764818</c:v>
                </c:pt>
                <c:pt idx="449">
                  <c:v>454.57803630986558</c:v>
                </c:pt>
                <c:pt idx="450">
                  <c:v>457.61861787244311</c:v>
                </c:pt>
                <c:pt idx="451">
                  <c:v>460.66619856751748</c:v>
                </c:pt>
                <c:pt idx="452">
                  <c:v>463.72076214171182</c:v>
                </c:pt>
                <c:pt idx="453">
                  <c:v>466.78229245480662</c:v>
                </c:pt>
                <c:pt idx="454">
                  <c:v>469.85077347843134</c:v>
                </c:pt>
                <c:pt idx="455">
                  <c:v>472.92618929477891</c:v>
                </c:pt>
                <c:pt idx="456">
                  <c:v>476.00852409533894</c:v>
                </c:pt>
                <c:pt idx="457">
                  <c:v>479.09776217965157</c:v>
                </c:pt>
                <c:pt idx="458">
                  <c:v>482.19388795408156</c:v>
                </c:pt>
                <c:pt idx="459">
                  <c:v>485.29688593061172</c:v>
                </c:pt>
                <c:pt idx="460">
                  <c:v>488.40674072565508</c:v>
                </c:pt>
                <c:pt idx="461">
                  <c:v>491.5234370588858</c:v>
                </c:pt>
                <c:pt idx="462">
                  <c:v>494.6469597520877</c:v>
                </c:pt>
                <c:pt idx="463">
                  <c:v>497.77729372802207</c:v>
                </c:pt>
                <c:pt idx="464">
                  <c:v>500.9144240093118</c:v>
                </c:pt>
                <c:pt idx="465">
                  <c:v>504.05833571734331</c:v>
                </c:pt>
                <c:pt idx="466">
                  <c:v>507.20901407118356</c:v>
                </c:pt>
                <c:pt idx="467">
                  <c:v>510.36644438651757</c:v>
                </c:pt>
                <c:pt idx="468">
                  <c:v>513.53061207459791</c:v>
                </c:pt>
                <c:pt idx="469">
                  <c:v>516.70150264121196</c:v>
                </c:pt>
                <c:pt idx="470">
                  <c:v>519.87910168566475</c:v>
                </c:pt>
                <c:pt idx="471">
                  <c:v>523.06339489977665</c:v>
                </c:pt>
                <c:pt idx="472">
                  <c:v>526.25436806689663</c:v>
                </c:pt>
                <c:pt idx="473">
                  <c:v>529.45200706092908</c:v>
                </c:pt>
                <c:pt idx="474">
                  <c:v>532.65629784537668</c:v>
                </c:pt>
                <c:pt idx="475">
                  <c:v>535.8672264723948</c:v>
                </c:pt>
                <c:pt idx="476">
                  <c:v>539.08477908186376</c:v>
                </c:pt>
                <c:pt idx="477">
                  <c:v>542.30894190047013</c:v>
                </c:pt>
                <c:pt idx="478">
                  <c:v>545.53970124080524</c:v>
                </c:pt>
                <c:pt idx="479">
                  <c:v>548.77704350047372</c:v>
                </c:pt>
                <c:pt idx="480">
                  <c:v>552.02095516121699</c:v>
                </c:pt>
                <c:pt idx="481">
                  <c:v>555.27142278804899</c:v>
                </c:pt>
                <c:pt idx="482">
                  <c:v>558.52843302840438</c:v>
                </c:pt>
                <c:pt idx="483">
                  <c:v>561.79197261129616</c:v>
                </c:pt>
                <c:pt idx="484">
                  <c:v>565.06202834649071</c:v>
                </c:pt>
                <c:pt idx="485">
                  <c:v>568.33858712368885</c:v>
                </c:pt>
                <c:pt idx="486">
                  <c:v>571.62163591172316</c:v>
                </c:pt>
                <c:pt idx="487">
                  <c:v>574.91116175776199</c:v>
                </c:pt>
                <c:pt idx="488">
                  <c:v>578.20715178652927</c:v>
                </c:pt>
                <c:pt idx="489">
                  <c:v>581.50959319953131</c:v>
                </c:pt>
                <c:pt idx="490">
                  <c:v>584.8184732742975</c:v>
                </c:pt>
                <c:pt idx="491">
                  <c:v>588.1337793636277</c:v>
                </c:pt>
                <c:pt idx="492">
                  <c:v>591.45549889485449</c:v>
                </c:pt>
                <c:pt idx="493">
                  <c:v>594.78361936911188</c:v>
                </c:pt>
                <c:pt idx="494">
                  <c:v>598.11812836061597</c:v>
                </c:pt>
                <c:pt idx="495">
                  <c:v>601.45901351595398</c:v>
                </c:pt>
                <c:pt idx="496">
                  <c:v>604.80626255338541</c:v>
                </c:pt>
                <c:pt idx="497">
                  <c:v>608.15986326214966</c:v>
                </c:pt>
                <c:pt idx="498">
                  <c:v>611.51980350178394</c:v>
                </c:pt>
                <c:pt idx="499">
                  <c:v>614.88607120145252</c:v>
                </c:pt>
                <c:pt idx="500">
                  <c:v>618.25865435928051</c:v>
                </c:pt>
                <c:pt idx="501">
                  <c:v>621.63754104170096</c:v>
                </c:pt>
                <c:pt idx="502">
                  <c:v>625.02271938280842</c:v>
                </c:pt>
                <c:pt idx="503">
                  <c:v>628.41417758372086</c:v>
                </c:pt>
                <c:pt idx="504">
                  <c:v>631.81190391194946</c:v>
                </c:pt>
                <c:pt idx="505">
                  <c:v>635.21588670077995</c:v>
                </c:pt>
                <c:pt idx="506">
                  <c:v>638.62611434865801</c:v>
                </c:pt>
                <c:pt idx="507">
                  <c:v>642.04257531858514</c:v>
                </c:pt>
                <c:pt idx="508">
                  <c:v>645.46525813751987</c:v>
                </c:pt>
                <c:pt idx="509">
                  <c:v>648.89415139579069</c:v>
                </c:pt>
                <c:pt idx="510">
                  <c:v>652.32924374651304</c:v>
                </c:pt>
                <c:pt idx="511">
                  <c:v>655.7705239050149</c:v>
                </c:pt>
                <c:pt idx="512">
                  <c:v>659.21798064826942</c:v>
                </c:pt>
                <c:pt idx="513">
                  <c:v>662.67160281433587</c:v>
                </c:pt>
                <c:pt idx="514">
                  <c:v>666.13137930180665</c:v>
                </c:pt>
                <c:pt idx="515">
                  <c:v>669.59729906926168</c:v>
                </c:pt>
                <c:pt idx="516">
                  <c:v>673.06935113472809</c:v>
                </c:pt>
                <c:pt idx="517">
                  <c:v>676.54752457515031</c:v>
                </c:pt>
                <c:pt idx="518">
                  <c:v>680.03180852586286</c:v>
                </c:pt>
                <c:pt idx="519">
                  <c:v>683.52219218007247</c:v>
                </c:pt>
                <c:pt idx="520">
                  <c:v>687.01866478834393</c:v>
                </c:pt>
                <c:pt idx="521">
                  <c:v>690.52121565809614</c:v>
                </c:pt>
                <c:pt idx="522">
                  <c:v>694.02983415310041</c:v>
                </c:pt>
                <c:pt idx="523">
                  <c:v>697.54450969298762</c:v>
                </c:pt>
                <c:pt idx="524">
                  <c:v>701.06523175275993</c:v>
                </c:pt>
                <c:pt idx="525">
                  <c:v>704.59198986230786</c:v>
                </c:pt>
                <c:pt idx="526">
                  <c:v>708.12477360593698</c:v>
                </c:pt>
                <c:pt idx="527">
                  <c:v>711.66357262189513</c:v>
                </c:pt>
                <c:pt idx="528">
                  <c:v>715.20837660190978</c:v>
                </c:pt>
                <c:pt idx="529">
                  <c:v>718.75917529072672</c:v>
                </c:pt>
                <c:pt idx="530">
                  <c:v>722.31595848565894</c:v>
                </c:pt>
                <c:pt idx="531">
                  <c:v>725.87871603613723</c:v>
                </c:pt>
                <c:pt idx="532">
                  <c:v>729.44743784326806</c:v>
                </c:pt>
                <c:pt idx="533">
                  <c:v>733.02211385939495</c:v>
                </c:pt>
                <c:pt idx="534">
                  <c:v>736.60273408766761</c:v>
                </c:pt>
                <c:pt idx="535">
                  <c:v>740.18928858161394</c:v>
                </c:pt>
                <c:pt idx="536">
                  <c:v>743.78176744471796</c:v>
                </c:pt>
                <c:pt idx="537">
                  <c:v>747.38016083000173</c:v>
                </c:pt>
                <c:pt idx="538">
                  <c:v>750.98445893961434</c:v>
                </c:pt>
                <c:pt idx="539">
                  <c:v>754.59465202442345</c:v>
                </c:pt>
                <c:pt idx="540">
                  <c:v>758.21073038361271</c:v>
                </c:pt>
                <c:pt idx="541">
                  <c:v>761.8326843642825</c:v>
                </c:pt>
                <c:pt idx="542">
                  <c:v>765.46050436105759</c:v>
                </c:pt>
                <c:pt idx="543">
                  <c:v>769.09418081569754</c:v>
                </c:pt>
                <c:pt idx="544">
                  <c:v>772.73370421671177</c:v>
                </c:pt>
                <c:pt idx="545">
                  <c:v>776.37906509897834</c:v>
                </c:pt>
                <c:pt idx="546">
                  <c:v>780.03025404337029</c:v>
                </c:pt>
                <c:pt idx="547">
                  <c:v>783.68726167638192</c:v>
                </c:pt>
                <c:pt idx="548">
                  <c:v>787.35007866976139</c:v>
                </c:pt>
                <c:pt idx="549">
                  <c:v>791.01869574014859</c:v>
                </c:pt>
                <c:pt idx="550">
                  <c:v>794.69310364871342</c:v>
                </c:pt>
                <c:pt idx="551">
                  <c:v>798.37329320080312</c:v>
                </c:pt>
                <c:pt idx="552">
                  <c:v>802.05925524558927</c:v>
                </c:pt>
                <c:pt idx="553">
                  <c:v>805.75098067572071</c:v>
                </c:pt>
                <c:pt idx="554">
                  <c:v>809.44846042697941</c:v>
                </c:pt>
                <c:pt idx="555">
                  <c:v>813.15168547794144</c:v>
                </c:pt>
                <c:pt idx="556">
                  <c:v>816.86064684964083</c:v>
                </c:pt>
                <c:pt idx="557">
                  <c:v>820.57533560523643</c:v>
                </c:pt>
                <c:pt idx="558">
                  <c:v>824.29574284968317</c:v>
                </c:pt>
                <c:pt idx="559">
                  <c:v>828.02185972940754</c:v>
                </c:pt>
                <c:pt idx="560">
                  <c:v>831.75367743198535</c:v>
                </c:pt>
                <c:pt idx="561">
                  <c:v>835.49118718582451</c:v>
                </c:pt>
                <c:pt idx="562">
                  <c:v>839.23438025984819</c:v>
                </c:pt>
                <c:pt idx="563">
                  <c:v>842.98324796318548</c:v>
                </c:pt>
                <c:pt idx="564">
                  <c:v>846.73778164486271</c:v>
                </c:pt>
                <c:pt idx="565">
                  <c:v>850.49797269349847</c:v>
                </c:pt>
                <c:pt idx="566">
                  <c:v>854.26381253700197</c:v>
                </c:pt>
                <c:pt idx="567">
                  <c:v>858.03529264227518</c:v>
                </c:pt>
                <c:pt idx="568">
                  <c:v>861.81240451491794</c:v>
                </c:pt>
                <c:pt idx="569">
                  <c:v>865.59513969893567</c:v>
                </c:pt>
                <c:pt idx="570">
                  <c:v>869.38348977644944</c:v>
                </c:pt>
                <c:pt idx="571">
                  <c:v>873.1774463674119</c:v>
                </c:pt>
                <c:pt idx="572">
                  <c:v>876.97700112932353</c:v>
                </c:pt>
                <c:pt idx="573">
                  <c:v>880.7821457569521</c:v>
                </c:pt>
                <c:pt idx="574">
                  <c:v>884.59287198205698</c:v>
                </c:pt>
                <c:pt idx="575">
                  <c:v>888.40917157311287</c:v>
                </c:pt>
                <c:pt idx="576">
                  <c:v>892.23103633504104</c:v>
                </c:pt>
                <c:pt idx="577">
                  <c:v>896.0584581089397</c:v>
                </c:pt>
                <c:pt idx="578">
                  <c:v>899.89142877181735</c:v>
                </c:pt>
                <c:pt idx="579">
                  <c:v>903.72994023633078</c:v>
                </c:pt>
                <c:pt idx="580">
                  <c:v>907.57398445052445</c:v>
                </c:pt>
                <c:pt idx="581">
                  <c:v>911.42355339757319</c:v>
                </c:pt>
                <c:pt idx="582">
                  <c:v>915.27863909552696</c:v>
                </c:pt>
                <c:pt idx="583">
                  <c:v>919.13923359705723</c:v>
                </c:pt>
                <c:pt idx="584">
                  <c:v>923.00532898920869</c:v>
                </c:pt>
                <c:pt idx="585">
                  <c:v>926.87691739315142</c:v>
                </c:pt>
                <c:pt idx="586">
                  <c:v>930.75399096393562</c:v>
                </c:pt>
                <c:pt idx="587">
                  <c:v>934.6365418902484</c:v>
                </c:pt>
                <c:pt idx="588">
                  <c:v>938.52456239417609</c:v>
                </c:pt>
                <c:pt idx="589">
                  <c:v>942.41804473096363</c:v>
                </c:pt>
                <c:pt idx="590">
                  <c:v>946.31698118878205</c:v>
                </c:pt>
                <c:pt idx="591">
                  <c:v>950.22136408849303</c:v>
                </c:pt>
                <c:pt idx="592">
                  <c:v>954.13118578342039</c:v>
                </c:pt>
                <c:pt idx="593">
                  <c:v>958.04643865912021</c:v>
                </c:pt>
                <c:pt idx="594">
                  <c:v>961.96711513315574</c:v>
                </c:pt>
                <c:pt idx="595">
                  <c:v>965.89320765487196</c:v>
                </c:pt>
                <c:pt idx="596">
                  <c:v>969.82470870517591</c:v>
                </c:pt>
                <c:pt idx="597">
                  <c:v>973.76161079631572</c:v>
                </c:pt>
                <c:pt idx="598">
                  <c:v>977.70390647166346</c:v>
                </c:pt>
                <c:pt idx="599">
                  <c:v>981.65158830550001</c:v>
                </c:pt>
                <c:pt idx="600">
                  <c:v>985.60464890280116</c:v>
                </c:pt>
                <c:pt idx="601">
                  <c:v>989.56308089902757</c:v>
                </c:pt>
                <c:pt idx="602">
                  <c:v>993.52687695991483</c:v>
                </c:pt>
                <c:pt idx="603">
                  <c:v>997.4960297812662</c:v>
                </c:pt>
                <c:pt idx="604">
                  <c:v>1001.4705320887474</c:v>
                </c:pt>
                <c:pt idx="605">
                  <c:v>1005.4503766376843</c:v>
                </c:pt>
                <c:pt idx="606">
                  <c:v>1009.4355562128602</c:v>
                </c:pt>
                <c:pt idx="607">
                  <c:v>1013.4260636283183</c:v>
                </c:pt>
                <c:pt idx="608">
                  <c:v>1017.4218917271614</c:v>
                </c:pt>
                <c:pt idx="609">
                  <c:v>1021.4230333813598</c:v>
                </c:pt>
                <c:pt idx="610">
                  <c:v>1025.4294814915543</c:v>
                </c:pt>
                <c:pt idx="611">
                  <c:v>1029.4412289868667</c:v>
                </c:pt>
                <c:pt idx="612">
                  <c:v>1033.4582688247067</c:v>
                </c:pt>
                <c:pt idx="613">
                  <c:v>1037.4805939905875</c:v>
                </c:pt>
                <c:pt idx="614">
                  <c:v>1041.5081974979353</c:v>
                </c:pt>
                <c:pt idx="615">
                  <c:v>1045.541072387907</c:v>
                </c:pt>
                <c:pt idx="616">
                  <c:v>1049.5792117292046</c:v>
                </c:pt>
                <c:pt idx="617">
                  <c:v>1053.622608617897</c:v>
                </c:pt>
                <c:pt idx="618">
                  <c:v>1057.6712561772363</c:v>
                </c:pt>
                <c:pt idx="619">
                  <c:v>1061.7251475574831</c:v>
                </c:pt>
                <c:pt idx="620">
                  <c:v>1065.7842759357268</c:v>
                </c:pt>
                <c:pt idx="621">
                  <c:v>1069.848634515713</c:v>
                </c:pt>
                <c:pt idx="622">
                  <c:v>1073.9182165276695</c:v>
                </c:pt>
                <c:pt idx="623">
                  <c:v>1077.9930152281338</c:v>
                </c:pt>
                <c:pt idx="624">
                  <c:v>1082.0730238997839</c:v>
                </c:pt>
                <c:pt idx="625">
                  <c:v>1086.1582358512687</c:v>
                </c:pt>
                <c:pt idx="626">
                  <c:v>1090.2486444170409</c:v>
                </c:pt>
                <c:pt idx="627">
                  <c:v>1094.3442429571919</c:v>
                </c:pt>
                <c:pt idx="628">
                  <c:v>1098.445024857288</c:v>
                </c:pt>
                <c:pt idx="629">
                  <c:v>1102.550983528206</c:v>
                </c:pt>
                <c:pt idx="630">
                  <c:v>1106.6621124059739</c:v>
                </c:pt>
                <c:pt idx="631">
                  <c:v>1110.7784049516092</c:v>
                </c:pt>
                <c:pt idx="632">
                  <c:v>1114.8998546509624</c:v>
                </c:pt>
                <c:pt idx="633">
                  <c:v>1119.0264550145585</c:v>
                </c:pt>
                <c:pt idx="634">
                  <c:v>1123.1581995774418</c:v>
                </c:pt>
                <c:pt idx="635">
                  <c:v>1127.2950818990221</c:v>
                </c:pt>
                <c:pt idx="636">
                  <c:v>1131.437095562922</c:v>
                </c:pt>
                <c:pt idx="637">
                  <c:v>1135.5842341768232</c:v>
                </c:pt>
                <c:pt idx="638">
                  <c:v>1139.7364913723197</c:v>
                </c:pt>
                <c:pt idx="639">
                  <c:v>1143.8938608047663</c:v>
                </c:pt>
                <c:pt idx="640">
                  <c:v>1148.056336153132</c:v>
                </c:pt>
                <c:pt idx="641">
                  <c:v>1152.2239111198519</c:v>
                </c:pt>
                <c:pt idx="642">
                  <c:v>1156.3965794306862</c:v>
                </c:pt>
                <c:pt idx="643">
                  <c:v>1160.5743348345723</c:v>
                </c:pt>
                <c:pt idx="644">
                  <c:v>1164.7571711034846</c:v>
                </c:pt>
                <c:pt idx="645">
                  <c:v>1168.9450820322911</c:v>
                </c:pt>
                <c:pt idx="646">
                  <c:v>1173.1380614386158</c:v>
                </c:pt>
                <c:pt idx="647">
                  <c:v>1177.3361031626978</c:v>
                </c:pt>
                <c:pt idx="648">
                  <c:v>1181.539201067254</c:v>
                </c:pt>
                <c:pt idx="649">
                  <c:v>1185.7473490373443</c:v>
                </c:pt>
                <c:pt idx="650">
                  <c:v>1189.9605409802314</c:v>
                </c:pt>
                <c:pt idx="651">
                  <c:v>1194.1787708252523</c:v>
                </c:pt>
                <c:pt idx="652">
                  <c:v>1198.4020325236816</c:v>
                </c:pt>
                <c:pt idx="653">
                  <c:v>1202.6303200486009</c:v>
                </c:pt>
                <c:pt idx="654">
                  <c:v>1206.8636273947673</c:v>
                </c:pt>
                <c:pt idx="655">
                  <c:v>1211.1019485784834</c:v>
                </c:pt>
                <c:pt idx="656">
                  <c:v>1215.3452776374691</c:v>
                </c:pt>
                <c:pt idx="657">
                  <c:v>1219.5936086307345</c:v>
                </c:pt>
                <c:pt idx="658">
                  <c:v>1223.8469356384503</c:v>
                </c:pt>
                <c:pt idx="659">
                  <c:v>1228.1052527618267</c:v>
                </c:pt>
                <c:pt idx="660">
                  <c:v>1232.3685541229861</c:v>
                </c:pt>
                <c:pt idx="661">
                  <c:v>1236.6368338648401</c:v>
                </c:pt>
                <c:pt idx="662">
                  <c:v>1240.9100861509673</c:v>
                </c:pt>
                <c:pt idx="663">
                  <c:v>1245.1883051654918</c:v>
                </c:pt>
                <c:pt idx="664">
                  <c:v>1249.4714851129629</c:v>
                </c:pt>
                <c:pt idx="665">
                  <c:v>1253.759620218236</c:v>
                </c:pt>
                <c:pt idx="666">
                  <c:v>1258.0527047263508</c:v>
                </c:pt>
                <c:pt idx="667">
                  <c:v>1262.3507329024203</c:v>
                </c:pt>
                <c:pt idx="668">
                  <c:v>1266.6536990315085</c:v>
                </c:pt>
                <c:pt idx="669">
                  <c:v>1270.9615974185169</c:v>
                </c:pt>
                <c:pt idx="670">
                  <c:v>1275.2744223880709</c:v>
                </c:pt>
                <c:pt idx="671">
                  <c:v>1279.5921682844034</c:v>
                </c:pt>
                <c:pt idx="672">
                  <c:v>1283.9148294712443</c:v>
                </c:pt>
                <c:pt idx="673">
                  <c:v>1288.2424003317078</c:v>
                </c:pt>
                <c:pt idx="674">
                  <c:v>1292.5748752681818</c:v>
                </c:pt>
                <c:pt idx="675">
                  <c:v>1296.912248702215</c:v>
                </c:pt>
                <c:pt idx="676">
                  <c:v>1301.2545150744127</c:v>
                </c:pt>
                <c:pt idx="677">
                  <c:v>1305.6016688443237</c:v>
                </c:pt>
                <c:pt idx="678">
                  <c:v>1309.9537044903363</c:v>
                </c:pt>
                <c:pt idx="679">
                  <c:v>1314.3106165095692</c:v>
                </c:pt>
                <c:pt idx="680">
                  <c:v>1318.672399417766</c:v>
                </c:pt>
                <c:pt idx="681">
                  <c:v>1323.0390477491917</c:v>
                </c:pt>
                <c:pt idx="682">
                  <c:v>1327.4105560565285</c:v>
                </c:pt>
                <c:pt idx="683">
                  <c:v>1331.7869189107678</c:v>
                </c:pt>
                <c:pt idx="684">
                  <c:v>1336.1681309011151</c:v>
                </c:pt>
                <c:pt idx="685">
                  <c:v>1340.5541866348829</c:v>
                </c:pt>
                <c:pt idx="686">
                  <c:v>1344.9450807373921</c:v>
                </c:pt>
                <c:pt idx="687">
                  <c:v>1349.3408078518705</c:v>
                </c:pt>
                <c:pt idx="688">
                  <c:v>1353.7413626393547</c:v>
                </c:pt>
                <c:pt idx="689">
                  <c:v>1358.1467397785907</c:v>
                </c:pt>
                <c:pt idx="690">
                  <c:v>1362.5569339659369</c:v>
                </c:pt>
                <c:pt idx="691">
                  <c:v>1366.9719399152639</c:v>
                </c:pt>
                <c:pt idx="692">
                  <c:v>1371.3917523578627</c:v>
                </c:pt>
                <c:pt idx="693">
                  <c:v>1375.8163660423479</c:v>
                </c:pt>
                <c:pt idx="694">
                  <c:v>1380.2457757345596</c:v>
                </c:pt>
                <c:pt idx="695">
                  <c:v>1384.6799762174739</c:v>
                </c:pt>
                <c:pt idx="696">
                  <c:v>1389.1189622911056</c:v>
                </c:pt>
                <c:pt idx="697">
                  <c:v>1393.5627287724176</c:v>
                </c:pt>
                <c:pt idx="698">
                  <c:v>1398.0112704952289</c:v>
                </c:pt>
                <c:pt idx="699">
                  <c:v>1402.4645823101228</c:v>
                </c:pt>
                <c:pt idx="700">
                  <c:v>1406.9226590843548</c:v>
                </c:pt>
                <c:pt idx="701">
                  <c:v>1411.3854957017654</c:v>
                </c:pt>
                <c:pt idx="702">
                  <c:v>1415.8530870626905</c:v>
                </c:pt>
                <c:pt idx="703">
                  <c:v>1420.3254280838701</c:v>
                </c:pt>
                <c:pt idx="704">
                  <c:v>1424.802513698364</c:v>
                </c:pt>
                <c:pt idx="705">
                  <c:v>1429.2843388554616</c:v>
                </c:pt>
                <c:pt idx="706">
                  <c:v>1433.7708985205966</c:v>
                </c:pt>
                <c:pt idx="707">
                  <c:v>1438.2621876752626</c:v>
                </c:pt>
                <c:pt idx="708">
                  <c:v>1442.7582013169231</c:v>
                </c:pt>
                <c:pt idx="709">
                  <c:v>1447.2589344589319</c:v>
                </c:pt>
                <c:pt idx="710">
                  <c:v>1451.7643821304471</c:v>
                </c:pt>
                <c:pt idx="711">
                  <c:v>1456.2745393763466</c:v>
                </c:pt>
                <c:pt idx="712">
                  <c:v>1460.7894012571469</c:v>
                </c:pt>
                <c:pt idx="713">
                  <c:v>1465.3089628489206</c:v>
                </c:pt>
                <c:pt idx="714">
                  <c:v>1469.8332192432131</c:v>
                </c:pt>
                <c:pt idx="715">
                  <c:v>1474.3621655469651</c:v>
                </c:pt>
                <c:pt idx="716">
                  <c:v>1478.895796882427</c:v>
                </c:pt>
                <c:pt idx="717">
                  <c:v>1483.4341083870845</c:v>
                </c:pt>
                <c:pt idx="718">
                  <c:v>1487.9770952135764</c:v>
                </c:pt>
                <c:pt idx="719">
                  <c:v>1492.5247525296159</c:v>
                </c:pt>
                <c:pt idx="720">
                  <c:v>1497.0770755179142</c:v>
                </c:pt>
                <c:pt idx="721">
                  <c:v>1501.6340593761008</c:v>
                </c:pt>
                <c:pt idx="722">
                  <c:v>1506.1956993166484</c:v>
                </c:pt>
                <c:pt idx="723">
                  <c:v>1510.761990566795</c:v>
                </c:pt>
                <c:pt idx="724">
                  <c:v>1515.3329283684702</c:v>
                </c:pt>
                <c:pt idx="725">
                  <c:v>1519.9085079782153</c:v>
                </c:pt>
                <c:pt idx="726">
                  <c:v>1524.4887246671149</c:v>
                </c:pt>
                <c:pt idx="727">
                  <c:v>1529.0735737207178</c:v>
                </c:pt>
                <c:pt idx="728">
                  <c:v>1533.6630504389652</c:v>
                </c:pt>
                <c:pt idx="729">
                  <c:v>1538.2571501361174</c:v>
                </c:pt>
                <c:pt idx="730">
                  <c:v>1542.8558681406801</c:v>
                </c:pt>
                <c:pt idx="731">
                  <c:v>1547.4591997953346</c:v>
                </c:pt>
                <c:pt idx="732">
                  <c:v>1552.0671404568639</c:v>
                </c:pt>
                <c:pt idx="733">
                  <c:v>1556.6796854960805</c:v>
                </c:pt>
                <c:pt idx="734">
                  <c:v>1561.2968302977602</c:v>
                </c:pt>
                <c:pt idx="735">
                  <c:v>1565.9185702605682</c:v>
                </c:pt>
                <c:pt idx="736">
                  <c:v>1570.5449007969908</c:v>
                </c:pt>
                <c:pt idx="737">
                  <c:v>1575.1758173332653</c:v>
                </c:pt>
                <c:pt idx="738">
                  <c:v>1579.8113153093129</c:v>
                </c:pt>
                <c:pt idx="739">
                  <c:v>1584.4513901786697</c:v>
                </c:pt>
                <c:pt idx="740">
                  <c:v>1589.0960374084195</c:v>
                </c:pt>
                <c:pt idx="741">
                  <c:v>1593.7452524791231</c:v>
                </c:pt>
                <c:pt idx="742">
                  <c:v>1598.3990308847576</c:v>
                </c:pt>
                <c:pt idx="743">
                  <c:v>1603.0573681326457</c:v>
                </c:pt>
                <c:pt idx="744">
                  <c:v>1607.7202597433907</c:v>
                </c:pt>
                <c:pt idx="745">
                  <c:v>1612.3877012508121</c:v>
                </c:pt>
                <c:pt idx="746">
                  <c:v>1617.0596882018801</c:v>
                </c:pt>
                <c:pt idx="747">
                  <c:v>1621.7362161566502</c:v>
                </c:pt>
                <c:pt idx="748">
                  <c:v>1626.4172806882004</c:v>
                </c:pt>
                <c:pt idx="749">
                  <c:v>1631.1028773825678</c:v>
                </c:pt>
                <c:pt idx="750">
                  <c:v>1635.7930018386824</c:v>
                </c:pt>
                <c:pt idx="751">
                  <c:v>1640.4876496683089</c:v>
                </c:pt>
                <c:pt idx="752">
                  <c:v>1645.1868164959808</c:v>
                </c:pt>
                <c:pt idx="753">
                  <c:v>1649.8904979589418</c:v>
                </c:pt>
                <c:pt idx="754">
                  <c:v>1654.5986897070793</c:v>
                </c:pt>
                <c:pt idx="755">
                  <c:v>1659.3113874028688</c:v>
                </c:pt>
                <c:pt idx="756">
                  <c:v>1664.0285867213095</c:v>
                </c:pt>
                <c:pt idx="757">
                  <c:v>1668.7502833498663</c:v>
                </c:pt>
                <c:pt idx="758">
                  <c:v>1673.4764729884071</c:v>
                </c:pt>
                <c:pt idx="759">
                  <c:v>1678.2071513491469</c:v>
                </c:pt>
                <c:pt idx="760">
                  <c:v>1682.9423141565871</c:v>
                </c:pt>
                <c:pt idx="761">
                  <c:v>1687.6819571474559</c:v>
                </c:pt>
                <c:pt idx="762">
                  <c:v>1692.4260760706516</c:v>
                </c:pt>
                <c:pt idx="763">
                  <c:v>1697.1746666871836</c:v>
                </c:pt>
                <c:pt idx="764">
                  <c:v>1701.9277247701164</c:v>
                </c:pt>
                <c:pt idx="765">
                  <c:v>1706.6852461045105</c:v>
                </c:pt>
                <c:pt idx="766">
                  <c:v>1711.4472264873659</c:v>
                </c:pt>
                <c:pt idx="767">
                  <c:v>1716.2136617275687</c:v>
                </c:pt>
                <c:pt idx="768">
                  <c:v>1720.9845476458311</c:v>
                </c:pt>
                <c:pt idx="769">
                  <c:v>1725.7598800746391</c:v>
                </c:pt>
                <c:pt idx="770">
                  <c:v>1730.5396548581941</c:v>
                </c:pt>
                <c:pt idx="771">
                  <c:v>1735.3238678523614</c:v>
                </c:pt>
                <c:pt idx="772">
                  <c:v>1740.1125149246122</c:v>
                </c:pt>
                <c:pt idx="773">
                  <c:v>1744.9055919539733</c:v>
                </c:pt>
                <c:pt idx="774">
                  <c:v>1749.7030948309698</c:v>
                </c:pt>
                <c:pt idx="775">
                  <c:v>1754.5050194575715</c:v>
                </c:pt>
                <c:pt idx="776">
                  <c:v>1759.3113617471449</c:v>
                </c:pt>
                <c:pt idx="777">
                  <c:v>1764.1221176243939</c:v>
                </c:pt>
                <c:pt idx="778">
                  <c:v>1768.9372830253119</c:v>
                </c:pt>
                <c:pt idx="779">
                  <c:v>1773.7568538971275</c:v>
                </c:pt>
                <c:pt idx="780">
                  <c:v>1778.5808261982529</c:v>
                </c:pt>
                <c:pt idx="781">
                  <c:v>1783.4091958982342</c:v>
                </c:pt>
                <c:pt idx="782">
                  <c:v>1788.2419589776985</c:v>
                </c:pt>
                <c:pt idx="783">
                  <c:v>1793.079111428302</c:v>
                </c:pt>
                <c:pt idx="784">
                  <c:v>1797.9206492526835</c:v>
                </c:pt>
                <c:pt idx="785">
                  <c:v>1802.7665684644112</c:v>
                </c:pt>
                <c:pt idx="786">
                  <c:v>1807.6168650879335</c:v>
                </c:pt>
                <c:pt idx="787">
                  <c:v>1812.4715351585307</c:v>
                </c:pt>
                <c:pt idx="788">
                  <c:v>1817.3305747222635</c:v>
                </c:pt>
                <c:pt idx="789">
                  <c:v>1822.1939798359267</c:v>
                </c:pt>
                <c:pt idx="790">
                  <c:v>1827.0617465669993</c:v>
                </c:pt>
                <c:pt idx="791">
                  <c:v>1831.9338709935951</c:v>
                </c:pt>
                <c:pt idx="792">
                  <c:v>1836.8103492044177</c:v>
                </c:pt>
                <c:pt idx="793">
                  <c:v>1841.691177298711</c:v>
                </c:pt>
                <c:pt idx="794">
                  <c:v>1846.5763513862112</c:v>
                </c:pt>
                <c:pt idx="795">
                  <c:v>1851.4658675871026</c:v>
                </c:pt>
                <c:pt idx="796">
                  <c:v>1856.359722031968</c:v>
                </c:pt>
                <c:pt idx="797">
                  <c:v>1861.2579108617424</c:v>
                </c:pt>
                <c:pt idx="798">
                  <c:v>1866.1604302276685</c:v>
                </c:pt>
                <c:pt idx="799">
                  <c:v>1871.0672762912507</c:v>
                </c:pt>
                <c:pt idx="800">
                  <c:v>1875.9784452242081</c:v>
                </c:pt>
                <c:pt idx="801">
                  <c:v>1880.8939332084303</c:v>
                </c:pt>
                <c:pt idx="802">
                  <c:v>1885.8137364359307</c:v>
                </c:pt>
                <c:pt idx="803">
                  <c:v>1890.7378511088054</c:v>
                </c:pt>
                <c:pt idx="804">
                  <c:v>1895.6662734391844</c:v>
                </c:pt>
                <c:pt idx="805">
                  <c:v>1900.5989996491908</c:v>
                </c:pt>
                <c:pt idx="806">
                  <c:v>1905.5360259708953</c:v>
                </c:pt>
                <c:pt idx="807">
                  <c:v>1910.4773486462723</c:v>
                </c:pt>
                <c:pt idx="808">
                  <c:v>1915.4229639271578</c:v>
                </c:pt>
                <c:pt idx="809">
                  <c:v>1920.3728680752051</c:v>
                </c:pt>
                <c:pt idx="810">
                  <c:v>1925.3270573618415</c:v>
                </c:pt>
                <c:pt idx="811">
                  <c:v>1930.2855280682274</c:v>
                </c:pt>
                <c:pt idx="812">
                  <c:v>1935.2482764852139</c:v>
                </c:pt>
                <c:pt idx="813">
                  <c:v>1940.2152989132985</c:v>
                </c:pt>
                <c:pt idx="814">
                  <c:v>1945.1865916625864</c:v>
                </c:pt>
                <c:pt idx="815">
                  <c:v>1950.1621510527459</c:v>
                </c:pt>
                <c:pt idx="816">
                  <c:v>1955.1419734129686</c:v>
                </c:pt>
                <c:pt idx="817">
                  <c:v>1960.1260550819302</c:v>
                </c:pt>
                <c:pt idx="818">
                  <c:v>1965.1143924077442</c:v>
                </c:pt>
                <c:pt idx="819">
                  <c:v>1970.1069817479274</c:v>
                </c:pt>
                <c:pt idx="820">
                  <c:v>1975.1038194693576</c:v>
                </c:pt>
                <c:pt idx="821">
                  <c:v>1980.10490194823</c:v>
                </c:pt>
                <c:pt idx="822">
                  <c:v>1985.1102255700239</c:v>
                </c:pt>
                <c:pt idx="823">
                  <c:v>1990.119786729457</c:v>
                </c:pt>
                <c:pt idx="824">
                  <c:v>1995.1335818304494</c:v>
                </c:pt>
                <c:pt idx="825">
                  <c:v>2000.1516072860836</c:v>
                </c:pt>
                <c:pt idx="826">
                  <c:v>2005.1738595185666</c:v>
                </c:pt>
                <c:pt idx="827">
                  <c:v>2010.2003349591869</c:v>
                </c:pt>
                <c:pt idx="828">
                  <c:v>2015.2310300482834</c:v>
                </c:pt>
                <c:pt idx="829">
                  <c:v>2020.2659412352016</c:v>
                </c:pt>
                <c:pt idx="830">
                  <c:v>2025.3050649782567</c:v>
                </c:pt>
                <c:pt idx="831">
                  <c:v>2030.348397744697</c:v>
                </c:pt>
                <c:pt idx="832">
                  <c:v>2035.3959360106655</c:v>
                </c:pt>
                <c:pt idx="833">
                  <c:v>2040.4476762611625</c:v>
                </c:pt>
                <c:pt idx="834">
                  <c:v>2045.5036149900116</c:v>
                </c:pt>
                <c:pt idx="835">
                  <c:v>2050.5637486998139</c:v>
                </c:pt>
                <c:pt idx="836">
                  <c:v>2055.6280739019235</c:v>
                </c:pt>
                <c:pt idx="837">
                  <c:v>2060.6965871164016</c:v>
                </c:pt>
                <c:pt idx="838">
                  <c:v>2065.7692848719853</c:v>
                </c:pt>
                <c:pt idx="839">
                  <c:v>2070.8461637060495</c:v>
                </c:pt>
                <c:pt idx="840">
                  <c:v>2075.9272201645713</c:v>
                </c:pt>
                <c:pt idx="841">
                  <c:v>2081.0124508020945</c:v>
                </c:pt>
                <c:pt idx="842">
                  <c:v>2086.1018521816954</c:v>
                </c:pt>
                <c:pt idx="843">
                  <c:v>2091.1954208749439</c:v>
                </c:pt>
                <c:pt idx="844">
                  <c:v>2096.2931534618733</c:v>
                </c:pt>
                <c:pt idx="845">
                  <c:v>2101.3950465309435</c:v>
                </c:pt>
                <c:pt idx="846">
                  <c:v>2106.501096679006</c:v>
                </c:pt>
                <c:pt idx="847">
                  <c:v>2111.6113005112679</c:v>
                </c:pt>
                <c:pt idx="848">
                  <c:v>2116.7256546412614</c:v>
                </c:pt>
                <c:pt idx="849">
                  <c:v>2121.8441556908083</c:v>
                </c:pt>
                <c:pt idx="850">
                  <c:v>2126.966800289983</c:v>
                </c:pt>
                <c:pt idx="851">
                  <c:v>2132.0935850770861</c:v>
                </c:pt>
                <c:pt idx="852">
                  <c:v>2137.2245066986015</c:v>
                </c:pt>
                <c:pt idx="853">
                  <c:v>2142.3595618091717</c:v>
                </c:pt>
                <c:pt idx="854">
                  <c:v>2147.4987470715614</c:v>
                </c:pt>
                <c:pt idx="855">
                  <c:v>2152.6420591566221</c:v>
                </c:pt>
                <c:pt idx="856">
                  <c:v>2157.7894947432628</c:v>
                </c:pt>
                <c:pt idx="857">
                  <c:v>2162.9410505184183</c:v>
                </c:pt>
                <c:pt idx="858">
                  <c:v>2168.0967231770142</c:v>
                </c:pt>
                <c:pt idx="859">
                  <c:v>2173.2565094219349</c:v>
                </c:pt>
                <c:pt idx="860">
                  <c:v>2178.420405963991</c:v>
                </c:pt>
                <c:pt idx="861">
                  <c:v>2183.5884095218939</c:v>
                </c:pt>
                <c:pt idx="862">
                  <c:v>2188.7605168222144</c:v>
                </c:pt>
                <c:pt idx="863">
                  <c:v>2193.936724599359</c:v>
                </c:pt>
                <c:pt idx="864">
                  <c:v>2199.1170295955349</c:v>
                </c:pt>
                <c:pt idx="865">
                  <c:v>2204.301428560721</c:v>
                </c:pt>
                <c:pt idx="866">
                  <c:v>2209.4899182526337</c:v>
                </c:pt>
                <c:pt idx="867">
                  <c:v>2214.6824954367025</c:v>
                </c:pt>
                <c:pt idx="868">
                  <c:v>2219.8791568860302</c:v>
                </c:pt>
                <c:pt idx="869">
                  <c:v>2225.0798993813705</c:v>
                </c:pt>
                <c:pt idx="870">
                  <c:v>2230.2847197110959</c:v>
                </c:pt>
                <c:pt idx="871">
                  <c:v>2235.4936146711643</c:v>
                </c:pt>
                <c:pt idx="872">
                  <c:v>2240.7065810650947</c:v>
                </c:pt>
                <c:pt idx="873">
                  <c:v>2245.9236157039322</c:v>
                </c:pt>
                <c:pt idx="874">
                  <c:v>2251.1447154062212</c:v>
                </c:pt>
                <c:pt idx="875">
                  <c:v>2256.3698769979746</c:v>
                </c:pt>
                <c:pt idx="876">
                  <c:v>2261.5990973126482</c:v>
                </c:pt>
                <c:pt idx="877">
                  <c:v>2266.8323731911032</c:v>
                </c:pt>
                <c:pt idx="878">
                  <c:v>2272.0697014815901</c:v>
                </c:pt>
                <c:pt idx="879">
                  <c:v>2277.3110790397086</c:v>
                </c:pt>
                <c:pt idx="880">
                  <c:v>2282.5565027283833</c:v>
                </c:pt>
                <c:pt idx="881">
                  <c:v>2287.8059694178369</c:v>
                </c:pt>
                <c:pt idx="882">
                  <c:v>2293.059475985558</c:v>
                </c:pt>
                <c:pt idx="883">
                  <c:v>2298.3170193162787</c:v>
                </c:pt>
                <c:pt idx="884">
                  <c:v>2303.5785963019403</c:v>
                </c:pt>
                <c:pt idx="885">
                  <c:v>2308.8442038416661</c:v>
                </c:pt>
                <c:pt idx="886">
                  <c:v>2314.1138388417421</c:v>
                </c:pt>
                <c:pt idx="887">
                  <c:v>2319.3874982155789</c:v>
                </c:pt>
                <c:pt idx="888">
                  <c:v>2324.6651788836894</c:v>
                </c:pt>
                <c:pt idx="889">
                  <c:v>2329.946877773662</c:v>
                </c:pt>
                <c:pt idx="890">
                  <c:v>2335.2325918201313</c:v>
                </c:pt>
                <c:pt idx="891">
                  <c:v>2340.5223179647528</c:v>
                </c:pt>
                <c:pt idx="892">
                  <c:v>2345.8160531561771</c:v>
                </c:pt>
                <c:pt idx="893">
                  <c:v>2351.1137943500175</c:v>
                </c:pt>
                <c:pt idx="894">
                  <c:v>2356.4155385088316</c:v>
                </c:pt>
                <c:pt idx="895">
                  <c:v>2361.7212826020886</c:v>
                </c:pt>
                <c:pt idx="896">
                  <c:v>2367.0310236061491</c:v>
                </c:pt>
                <c:pt idx="897">
                  <c:v>2372.3447585042331</c:v>
                </c:pt>
                <c:pt idx="898">
                  <c:v>2377.6624842863935</c:v>
                </c:pt>
                <c:pt idx="899">
                  <c:v>2382.984197949499</c:v>
                </c:pt>
                <c:pt idx="900">
                  <c:v>2388.3098964971987</c:v>
                </c:pt>
                <c:pt idx="901">
                  <c:v>2393.6395769399028</c:v>
                </c:pt>
                <c:pt idx="902">
                  <c:v>2398.9732362947502</c:v>
                </c:pt>
                <c:pt idx="903">
                  <c:v>2404.3108715855956</c:v>
                </c:pt>
                <c:pt idx="904">
                  <c:v>2409.6524798429696</c:v>
                </c:pt>
                <c:pt idx="905">
                  <c:v>2414.9980581040641</c:v>
                </c:pt>
                <c:pt idx="906">
                  <c:v>2420.3476034127034</c:v>
                </c:pt>
                <c:pt idx="907">
                  <c:v>2425.7011128193199</c:v>
                </c:pt>
                <c:pt idx="908">
                  <c:v>2431.0585833809319</c:v>
                </c:pt>
                <c:pt idx="909">
                  <c:v>2436.4200121611138</c:v>
                </c:pt>
                <c:pt idx="910">
                  <c:v>2441.785396229975</c:v>
                </c:pt>
                <c:pt idx="911">
                  <c:v>2447.154732664138</c:v>
                </c:pt>
                <c:pt idx="912">
                  <c:v>2452.5280185467095</c:v>
                </c:pt>
                <c:pt idx="913">
                  <c:v>2457.9052509672601</c:v>
                </c:pt>
                <c:pt idx="914">
                  <c:v>2463.2864270217992</c:v>
                </c:pt>
                <c:pt idx="915">
                  <c:v>2468.6715438127494</c:v>
                </c:pt>
                <c:pt idx="916">
                  <c:v>2474.0605984489271</c:v>
                </c:pt>
                <c:pt idx="917">
                  <c:v>2479.4535880455155</c:v>
                </c:pt>
                <c:pt idx="918">
                  <c:v>2484.8505097240395</c:v>
                </c:pt>
                <c:pt idx="919">
                  <c:v>2490.2513606123498</c:v>
                </c:pt>
                <c:pt idx="920">
                  <c:v>2495.6561378445913</c:v>
                </c:pt>
                <c:pt idx="921">
                  <c:v>2501.0648385611862</c:v>
                </c:pt>
                <c:pt idx="922">
                  <c:v>2506.47745990881</c:v>
                </c:pt>
                <c:pt idx="923">
                  <c:v>2511.8939990403642</c:v>
                </c:pt>
                <c:pt idx="924">
                  <c:v>2517.3144531149592</c:v>
                </c:pt>
                <c:pt idx="925">
                  <c:v>2522.7388192978888</c:v>
                </c:pt>
                <c:pt idx="926">
                  <c:v>2528.1670947606099</c:v>
                </c:pt>
                <c:pt idx="927">
                  <c:v>2533.5992766807153</c:v>
                </c:pt>
                <c:pt idx="928">
                  <c:v>2539.0353622419198</c:v>
                </c:pt>
                <c:pt idx="929">
                  <c:v>2544.4753486340296</c:v>
                </c:pt>
                <c:pt idx="930">
                  <c:v>2549.9192330529249</c:v>
                </c:pt>
                <c:pt idx="931">
                  <c:v>2555.3670127005389</c:v>
                </c:pt>
                <c:pt idx="932">
                  <c:v>2560.8186847848319</c:v>
                </c:pt>
                <c:pt idx="933">
                  <c:v>2566.2742465197734</c:v>
                </c:pt>
                <c:pt idx="934">
                  <c:v>2571.7336951253201</c:v>
                </c:pt>
                <c:pt idx="935">
                  <c:v>2577.1970278273902</c:v>
                </c:pt>
                <c:pt idx="936">
                  <c:v>2582.6642418578481</c:v>
                </c:pt>
                <c:pt idx="937">
                  <c:v>2588.1353344544809</c:v>
                </c:pt>
                <c:pt idx="938">
                  <c:v>2593.6103028609759</c:v>
                </c:pt>
                <c:pt idx="939">
                  <c:v>2599.0891443268988</c:v>
                </c:pt>
                <c:pt idx="940">
                  <c:v>2604.5718561076792</c:v>
                </c:pt>
                <c:pt idx="941">
                  <c:v>2610.0584354645798</c:v>
                </c:pt>
                <c:pt idx="942">
                  <c:v>2615.5488796646855</c:v>
                </c:pt>
                <c:pt idx="943">
                  <c:v>2621.0431859808755</c:v>
                </c:pt>
                <c:pt idx="944">
                  <c:v>2626.541351691807</c:v>
                </c:pt>
                <c:pt idx="945">
                  <c:v>2632.0433740818935</c:v>
                </c:pt>
                <c:pt idx="946">
                  <c:v>2637.5492504412841</c:v>
                </c:pt>
                <c:pt idx="947">
                  <c:v>2643.0589780658433</c:v>
                </c:pt>
                <c:pt idx="948">
                  <c:v>2648.5725542571327</c:v>
                </c:pt>
                <c:pt idx="949">
                  <c:v>2654.0899763223879</c:v>
                </c:pt>
                <c:pt idx="950">
                  <c:v>2659.6112415745019</c:v>
                </c:pt>
                <c:pt idx="951">
                  <c:v>2665.1363473320039</c:v>
                </c:pt>
                <c:pt idx="952">
                  <c:v>2670.665290919037</c:v>
                </c:pt>
                <c:pt idx="953">
                  <c:v>2676.1980696653422</c:v>
                </c:pt>
                <c:pt idx="954">
                  <c:v>2681.7346809062401</c:v>
                </c:pt>
                <c:pt idx="955">
                  <c:v>2687.2751219826059</c:v>
                </c:pt>
                <c:pt idx="956">
                  <c:v>2692.8193902408543</c:v>
                </c:pt>
                <c:pt idx="957">
                  <c:v>2698.3674830329205</c:v>
                </c:pt>
                <c:pt idx="958">
                  <c:v>2703.9193977162386</c:v>
                </c:pt>
                <c:pt idx="959">
                  <c:v>2709.4751316537254</c:v>
                </c:pt>
                <c:pt idx="960">
                  <c:v>2715.0346822137553</c:v>
                </c:pt>
                <c:pt idx="961">
                  <c:v>2720.5980467701502</c:v>
                </c:pt>
                <c:pt idx="962">
                  <c:v>2726.1652227021568</c:v>
                </c:pt>
                <c:pt idx="963">
                  <c:v>2731.7362073944269</c:v>
                </c:pt>
                <c:pt idx="964">
                  <c:v>2737.310998236997</c:v>
                </c:pt>
                <c:pt idx="965">
                  <c:v>2742.8895926252762</c:v>
                </c:pt>
                <c:pt idx="966">
                  <c:v>2748.4719879600207</c:v>
                </c:pt>
                <c:pt idx="967">
                  <c:v>2754.0581816473223</c:v>
                </c:pt>
                <c:pt idx="968">
                  <c:v>2759.6481710985818</c:v>
                </c:pt>
                <c:pt idx="969">
                  <c:v>2765.2419537305013</c:v>
                </c:pt>
                <c:pt idx="970">
                  <c:v>2770.8395269650573</c:v>
                </c:pt>
                <c:pt idx="971">
                  <c:v>2776.4408882294842</c:v>
                </c:pt>
                <c:pt idx="972">
                  <c:v>2782.0460349562632</c:v>
                </c:pt>
                <c:pt idx="973">
                  <c:v>2787.6549645830946</c:v>
                </c:pt>
                <c:pt idx="974">
                  <c:v>2793.2676745528897</c:v>
                </c:pt>
                <c:pt idx="975">
                  <c:v>2798.8841623137419</c:v>
                </c:pt>
                <c:pt idx="976">
                  <c:v>2804.5044253189244</c:v>
                </c:pt>
                <c:pt idx="977">
                  <c:v>2810.1284610268553</c:v>
                </c:pt>
                <c:pt idx="978">
                  <c:v>2815.756266901094</c:v>
                </c:pt>
                <c:pt idx="979">
                  <c:v>2821.3878404103189</c:v>
                </c:pt>
                <c:pt idx="980">
                  <c:v>2827.0231790283074</c:v>
                </c:pt>
                <c:pt idx="981">
                  <c:v>2832.6622802339248</c:v>
                </c:pt>
                <c:pt idx="982">
                  <c:v>2838.3051415111017</c:v>
                </c:pt>
                <c:pt idx="983">
                  <c:v>2843.9517603488189</c:v>
                </c:pt>
                <c:pt idx="984">
                  <c:v>2849.6021342410941</c:v>
                </c:pt>
                <c:pt idx="985">
                  <c:v>2855.2562606869569</c:v>
                </c:pt>
                <c:pt idx="986">
                  <c:v>2860.9141371904407</c:v>
                </c:pt>
                <c:pt idx="987">
                  <c:v>2866.5757612605612</c:v>
                </c:pt>
                <c:pt idx="988">
                  <c:v>2872.2411304113016</c:v>
                </c:pt>
                <c:pt idx="989">
                  <c:v>2877.9102421615949</c:v>
                </c:pt>
                <c:pt idx="990">
                  <c:v>2883.583094035308</c:v>
                </c:pt>
                <c:pt idx="991">
                  <c:v>2889.2596835612258</c:v>
                </c:pt>
                <c:pt idx="992">
                  <c:v>2894.9400082730353</c:v>
                </c:pt>
                <c:pt idx="993">
                  <c:v>2900.6240657093053</c:v>
                </c:pt>
                <c:pt idx="994">
                  <c:v>2906.3118534134774</c:v>
                </c:pt>
                <c:pt idx="995">
                  <c:v>2912.0033689338434</c:v>
                </c:pt>
                <c:pt idx="996">
                  <c:v>2917.6986098235343</c:v>
                </c:pt>
                <c:pt idx="997">
                  <c:v>2923.3975736405014</c:v>
                </c:pt>
                <c:pt idx="998">
                  <c:v>2929.1002579475007</c:v>
                </c:pt>
                <c:pt idx="999">
                  <c:v>2934.8066603120778</c:v>
                </c:pt>
                <c:pt idx="1000">
                  <c:v>2940.5167783065522</c:v>
                </c:pt>
                <c:pt idx="1001">
                  <c:v>2946.230609508003</c:v>
                </c:pt>
                <c:pt idx="1002">
                  <c:v>2951.9481514982481</c:v>
                </c:pt>
                <c:pt idx="1003">
                  <c:v>2957.6694018638364</c:v>
                </c:pt>
                <c:pt idx="1004">
                  <c:v>2963.3943581960266</c:v>
                </c:pt>
                <c:pt idx="1005">
                  <c:v>2969.1230180907751</c:v>
                </c:pt>
                <c:pt idx="1006">
                  <c:v>2974.8553791487184</c:v>
                </c:pt>
                <c:pt idx="1007">
                  <c:v>2980.5914389751588</c:v>
                </c:pt>
                <c:pt idx="1008">
                  <c:v>2986.3311951800501</c:v>
                </c:pt>
                <c:pt idx="1009">
                  <c:v>2992.0746453779839</c:v>
                </c:pt>
                <c:pt idx="1010">
                  <c:v>2997.8217871881684</c:v>
                </c:pt>
                <c:pt idx="1011">
                  <c:v>3003.5726182344192</c:v>
                </c:pt>
                <c:pt idx="1012">
                  <c:v>3009.3271361451452</c:v>
                </c:pt>
                <c:pt idx="1013">
                  <c:v>3015.0853385533292</c:v>
                </c:pt>
                <c:pt idx="1014">
                  <c:v>3020.8472230965167</c:v>
                </c:pt>
                <c:pt idx="1015">
                  <c:v>3026.6127874167983</c:v>
                </c:pt>
                <c:pt idx="1016">
                  <c:v>3032.3820291607999</c:v>
                </c:pt>
                <c:pt idx="1017">
                  <c:v>3038.1549459796638</c:v>
                </c:pt>
                <c:pt idx="1018">
                  <c:v>3043.9315355290337</c:v>
                </c:pt>
                <c:pt idx="1019">
                  <c:v>3049.7117954690443</c:v>
                </c:pt>
                <c:pt idx="1020">
                  <c:v>3055.4957234643061</c:v>
                </c:pt>
                <c:pt idx="1021">
                  <c:v>3061.2833171838865</c:v>
                </c:pt>
                <c:pt idx="1022">
                  <c:v>3067.0745743013031</c:v>
                </c:pt>
                <c:pt idx="1023">
                  <c:v>3072.8694924945012</c:v>
                </c:pt>
                <c:pt idx="1024">
                  <c:v>3078.6680694458473</c:v>
                </c:pt>
                <c:pt idx="1025">
                  <c:v>3084.4703028421118</c:v>
                </c:pt>
                <c:pt idx="1026">
                  <c:v>3090.2761903744536</c:v>
                </c:pt>
                <c:pt idx="1027">
                  <c:v>3096.0857297384082</c:v>
                </c:pt>
                <c:pt idx="1028">
                  <c:v>3101.8989186338717</c:v>
                </c:pt>
                <c:pt idx="1029">
                  <c:v>3107.7157547650936</c:v>
                </c:pt>
                <c:pt idx="1030">
                  <c:v>3113.5362358406528</c:v>
                </c:pt>
                <c:pt idx="1031">
                  <c:v>3119.360359573453</c:v>
                </c:pt>
                <c:pt idx="1032">
                  <c:v>3125.1881236807039</c:v>
                </c:pt>
                <c:pt idx="1033">
                  <c:v>3131.0195258839099</c:v>
                </c:pt>
                <c:pt idx="1034">
                  <c:v>3136.8545639088561</c:v>
                </c:pt>
                <c:pt idx="1035">
                  <c:v>3142.6932354855926</c:v>
                </c:pt>
                <c:pt idx="1036">
                  <c:v>3148.535538348428</c:v>
                </c:pt>
                <c:pt idx="1037">
                  <c:v>3154.3814702359068</c:v>
                </c:pt>
                <c:pt idx="1038">
                  <c:v>3160.2310288908038</c:v>
                </c:pt>
                <c:pt idx="1039">
                  <c:v>3166.084212060106</c:v>
                </c:pt>
                <c:pt idx="1040">
                  <c:v>3171.941017495004</c:v>
                </c:pt>
                <c:pt idx="1041">
                  <c:v>3177.8014429508744</c:v>
                </c:pt>
                <c:pt idx="1042">
                  <c:v>3183.6654861872698</c:v>
                </c:pt>
                <c:pt idx="1043">
                  <c:v>3189.5331449679029</c:v>
                </c:pt>
                <c:pt idx="1044">
                  <c:v>3195.4044170606394</c:v>
                </c:pt>
                <c:pt idx="1045">
                  <c:v>3201.2793002374774</c:v>
                </c:pt>
                <c:pt idx="1046">
                  <c:v>3207.1577922745405</c:v>
                </c:pt>
                <c:pt idx="1047">
                  <c:v>3213.0398909520645</c:v>
                </c:pt>
                <c:pt idx="1048">
                  <c:v>3218.9255940543812</c:v>
                </c:pt>
                <c:pt idx="1049">
                  <c:v>3224.8148993699083</c:v>
                </c:pt>
                <c:pt idx="1050">
                  <c:v>3230.7078046911374</c:v>
                </c:pt>
                <c:pt idx="1051">
                  <c:v>3236.6043078146217</c:v>
                </c:pt>
                <c:pt idx="1052">
                  <c:v>3242.5044065409579</c:v>
                </c:pt>
                <c:pt idx="1053">
                  <c:v>3248.4080986747836</c:v>
                </c:pt>
                <c:pt idx="1054">
                  <c:v>3254.3153820247585</c:v>
                </c:pt>
                <c:pt idx="1055">
                  <c:v>3260.2262544035511</c:v>
                </c:pt>
                <c:pt idx="1056">
                  <c:v>3266.1407136278308</c:v>
                </c:pt>
                <c:pt idx="1057">
                  <c:v>3272.0587575182522</c:v>
                </c:pt>
                <c:pt idx="1058">
                  <c:v>3277.9803838994467</c:v>
                </c:pt>
                <c:pt idx="1059">
                  <c:v>3283.9055906000076</c:v>
                </c:pt>
                <c:pt idx="1060">
                  <c:v>3289.8343754524753</c:v>
                </c:pt>
                <c:pt idx="1061">
                  <c:v>3295.766736293333</c:v>
                </c:pt>
                <c:pt idx="1062">
                  <c:v>3301.7026709629877</c:v>
                </c:pt>
                <c:pt idx="1063">
                  <c:v>3307.6421773057618</c:v>
                </c:pt>
                <c:pt idx="1064">
                  <c:v>3313.5852531698802</c:v>
                </c:pt>
                <c:pt idx="1065">
                  <c:v>3319.5318964074613</c:v>
                </c:pt>
                <c:pt idx="1066">
                  <c:v>3325.4821048744984</c:v>
                </c:pt>
                <c:pt idx="1067">
                  <c:v>3331.4358764308572</c:v>
                </c:pt>
                <c:pt idx="1068">
                  <c:v>3337.3932089402547</c:v>
                </c:pt>
                <c:pt idx="1069">
                  <c:v>3343.3541002702545</c:v>
                </c:pt>
                <c:pt idx="1070">
                  <c:v>3349.3185482922545</c:v>
                </c:pt>
                <c:pt idx="1071">
                  <c:v>3355.2865508814716</c:v>
                </c:pt>
                <c:pt idx="1072">
                  <c:v>3361.2581059169343</c:v>
                </c:pt>
                <c:pt idx="1073">
                  <c:v>3367.2332112814688</c:v>
                </c:pt>
                <c:pt idx="1074">
                  <c:v>3373.2118648616888</c:v>
                </c:pt>
                <c:pt idx="1075">
                  <c:v>3379.1940645479858</c:v>
                </c:pt>
                <c:pt idx="1076">
                  <c:v>3385.1798082345131</c:v>
                </c:pt>
                <c:pt idx="1077">
                  <c:v>3391.1690938191778</c:v>
                </c:pt>
                <c:pt idx="1078">
                  <c:v>3397.1619192036305</c:v>
                </c:pt>
                <c:pt idx="1079">
                  <c:v>3403.1582822932533</c:v>
                </c:pt>
                <c:pt idx="1080">
                  <c:v>3409.1581809971481</c:v>
                </c:pt>
                <c:pt idx="1081">
                  <c:v>3415.1616132281247</c:v>
                </c:pt>
                <c:pt idx="1082">
                  <c:v>3421.1685769026931</c:v>
                </c:pt>
                <c:pt idx="1083">
                  <c:v>3427.1790699410521</c:v>
                </c:pt>
                <c:pt idx="1084">
                  <c:v>3433.193090267072</c:v>
                </c:pt>
                <c:pt idx="1085">
                  <c:v>3439.2106358082915</c:v>
                </c:pt>
                <c:pt idx="1086">
                  <c:v>3445.231704495905</c:v>
                </c:pt>
                <c:pt idx="1087">
                  <c:v>3451.2562942647487</c:v>
                </c:pt>
                <c:pt idx="1088">
                  <c:v>3457.2844030532947</c:v>
                </c:pt>
                <c:pt idx="1089">
                  <c:v>3463.3160288036352</c:v>
                </c:pt>
                <c:pt idx="1090">
                  <c:v>3469.351169461479</c:v>
                </c:pt>
                <c:pt idx="1091">
                  <c:v>3475.389822976128</c:v>
                </c:pt>
                <c:pt idx="1092">
                  <c:v>3481.431987300487</c:v>
                </c:pt>
                <c:pt idx="1093">
                  <c:v>3487.47766039103</c:v>
                </c:pt>
                <c:pt idx="1094">
                  <c:v>3493.5268402078073</c:v>
                </c:pt>
                <c:pt idx="1095">
                  <c:v>3499.579524714426</c:v>
                </c:pt>
                <c:pt idx="1096">
                  <c:v>3505.6357118780465</c:v>
                </c:pt>
                <c:pt idx="1097">
                  <c:v>3511.6953996693642</c:v>
                </c:pt>
                <c:pt idx="1098">
                  <c:v>3517.7585860626059</c:v>
                </c:pt>
                <c:pt idx="1099">
                  <c:v>3523.8252690355157</c:v>
                </c:pt>
                <c:pt idx="1100">
                  <c:v>3529.8954465693469</c:v>
                </c:pt>
                <c:pt idx="1101">
                  <c:v>3535.9691166488501</c:v>
                </c:pt>
                <c:pt idx="1102">
                  <c:v>3542.0462772622609</c:v>
                </c:pt>
                <c:pt idx="1103">
                  <c:v>3548.1269264013013</c:v>
                </c:pt>
                <c:pt idx="1104">
                  <c:v>3554.2110620611543</c:v>
                </c:pt>
                <c:pt idx="1105">
                  <c:v>3560.2986822404623</c:v>
                </c:pt>
                <c:pt idx="1106">
                  <c:v>3566.3897849413174</c:v>
                </c:pt>
                <c:pt idx="1107">
                  <c:v>3572.484368169251</c:v>
                </c:pt>
                <c:pt idx="1108">
                  <c:v>3578.5824299332166</c:v>
                </c:pt>
                <c:pt idx="1109">
                  <c:v>3584.6839682455957</c:v>
                </c:pt>
                <c:pt idx="1110">
                  <c:v>3590.7889811221698</c:v>
                </c:pt>
                <c:pt idx="1111">
                  <c:v>3596.8974665821243</c:v>
                </c:pt>
                <c:pt idx="1112">
                  <c:v>3603.0094226480314</c:v>
                </c:pt>
                <c:pt idx="1113">
                  <c:v>3609.1248473458459</c:v>
                </c:pt>
                <c:pt idx="1114">
                  <c:v>3615.2437387048899</c:v>
                </c:pt>
                <c:pt idx="1115">
                  <c:v>3621.3660947578469</c:v>
                </c:pt>
                <c:pt idx="1116">
                  <c:v>3627.4919135407517</c:v>
                </c:pt>
                <c:pt idx="1117">
                  <c:v>3633.6211930929812</c:v>
                </c:pt>
                <c:pt idx="1118">
                  <c:v>3639.7539314572409</c:v>
                </c:pt>
                <c:pt idx="1119">
                  <c:v>3645.8901266795601</c:v>
                </c:pt>
                <c:pt idx="1120">
                  <c:v>3652.0297768092846</c:v>
                </c:pt>
                <c:pt idx="1121">
                  <c:v>3658.1728798990598</c:v>
                </c:pt>
                <c:pt idx="1122">
                  <c:v>3664.3194340048267</c:v>
                </c:pt>
                <c:pt idx="1123">
                  <c:v>3670.4694371858113</c:v>
                </c:pt>
                <c:pt idx="1124">
                  <c:v>3676.6228875045172</c:v>
                </c:pt>
                <c:pt idx="1125">
                  <c:v>3682.7797830267114</c:v>
                </c:pt>
                <c:pt idx="1126">
                  <c:v>3688.9401218214211</c:v>
                </c:pt>
                <c:pt idx="1127">
                  <c:v>3695.1039019609202</c:v>
                </c:pt>
                <c:pt idx="1128">
                  <c:v>3701.2711215207205</c:v>
                </c:pt>
                <c:pt idx="1129">
                  <c:v>3707.4417785795677</c:v>
                </c:pt>
                <c:pt idx="1130">
                  <c:v>3713.6158712194265</c:v>
                </c:pt>
                <c:pt idx="1131">
                  <c:v>3719.7933975254723</c:v>
                </c:pt>
                <c:pt idx="1132">
                  <c:v>3725.9743555860864</c:v>
                </c:pt>
                <c:pt idx="1133">
                  <c:v>3732.1587434928415</c:v>
                </c:pt>
                <c:pt idx="1134">
                  <c:v>3738.346559340499</c:v>
                </c:pt>
                <c:pt idx="1135">
                  <c:v>3744.5378012269921</c:v>
                </c:pt>
                <c:pt idx="1136">
                  <c:v>3750.7324672534251</c:v>
                </c:pt>
                <c:pt idx="1137">
                  <c:v>3756.9305555240599</c:v>
                </c:pt>
                <c:pt idx="1138">
                  <c:v>3763.1320641463108</c:v>
                </c:pt>
                <c:pt idx="1139">
                  <c:v>3769.3369912307276</c:v>
                </c:pt>
                <c:pt idx="1140">
                  <c:v>3775.5453348909978</c:v>
                </c:pt>
                <c:pt idx="1141">
                  <c:v>3781.757093243933</c:v>
                </c:pt>
                <c:pt idx="1142">
                  <c:v>3787.9722644094595</c:v>
                </c:pt>
                <c:pt idx="1143">
                  <c:v>3794.1908465106048</c:v>
                </c:pt>
                <c:pt idx="1144">
                  <c:v>3800.4128376735034</c:v>
                </c:pt>
                <c:pt idx="1145">
                  <c:v>3806.6382360273724</c:v>
                </c:pt>
                <c:pt idx="1146">
                  <c:v>3812.8670397045153</c:v>
                </c:pt>
                <c:pt idx="1147">
                  <c:v>3819.099246840306</c:v>
                </c:pt>
                <c:pt idx="1148">
                  <c:v>3825.3348555731832</c:v>
                </c:pt>
                <c:pt idx="1149">
                  <c:v>3831.5738640446375</c:v>
                </c:pt>
                <c:pt idx="1150">
                  <c:v>3837.8162703992157</c:v>
                </c:pt>
                <c:pt idx="1151">
                  <c:v>3844.0620727844971</c:v>
                </c:pt>
                <c:pt idx="1152">
                  <c:v>3850.3112693510902</c:v>
                </c:pt>
                <c:pt idx="1153">
                  <c:v>3856.563858252634</c:v>
                </c:pt>
                <c:pt idx="1154">
                  <c:v>3862.8198376457754</c:v>
                </c:pt>
                <c:pt idx="1155">
                  <c:v>3869.079205690171</c:v>
                </c:pt>
                <c:pt idx="1156">
                  <c:v>3875.3419605484719</c:v>
                </c:pt>
                <c:pt idx="1157">
                  <c:v>3881.6081003863246</c:v>
                </c:pt>
                <c:pt idx="1158">
                  <c:v>3887.8776233723502</c:v>
                </c:pt>
                <c:pt idx="1159">
                  <c:v>3894.1505276781518</c:v>
                </c:pt>
                <c:pt idx="1160">
                  <c:v>3900.4268114782894</c:v>
                </c:pt>
                <c:pt idx="1161">
                  <c:v>3906.7064729502872</c:v>
                </c:pt>
                <c:pt idx="1162">
                  <c:v>3912.9895102746173</c:v>
                </c:pt>
                <c:pt idx="1163">
                  <c:v>3919.2759216346931</c:v>
                </c:pt>
                <c:pt idx="1164">
                  <c:v>3925.5657052168622</c:v>
                </c:pt>
                <c:pt idx="1165">
                  <c:v>3931.858859210397</c:v>
                </c:pt>
                <c:pt idx="1166">
                  <c:v>3938.1553818074872</c:v>
                </c:pt>
                <c:pt idx="1167">
                  <c:v>3944.4552712032387</c:v>
                </c:pt>
                <c:pt idx="1168">
                  <c:v>3950.7585255956515</c:v>
                </c:pt>
                <c:pt idx="1169">
                  <c:v>3957.0651431856249</c:v>
                </c:pt>
                <c:pt idx="1170">
                  <c:v>3963.3751221769435</c:v>
                </c:pt>
                <c:pt idx="1171">
                  <c:v>3969.6884607762745</c:v>
                </c:pt>
                <c:pt idx="1172">
                  <c:v>3976.0051571931504</c:v>
                </c:pt>
                <c:pt idx="1173">
                  <c:v>3982.325209639971</c:v>
                </c:pt>
                <c:pt idx="1174">
                  <c:v>3988.648616331996</c:v>
                </c:pt>
                <c:pt idx="1175">
                  <c:v>3994.975375487325</c:v>
                </c:pt>
                <c:pt idx="1176">
                  <c:v>4001.3054853269068</c:v>
                </c:pt>
                <c:pt idx="1177">
                  <c:v>4007.6389440745183</c:v>
                </c:pt>
                <c:pt idx="1178">
                  <c:v>4013.975749956765</c:v>
                </c:pt>
                <c:pt idx="1179">
                  <c:v>4020.3159012030678</c:v>
                </c:pt>
                <c:pt idx="1180">
                  <c:v>4026.659396045663</c:v>
                </c:pt>
                <c:pt idx="1181">
                  <c:v>4033.0062327195869</c:v>
                </c:pt>
                <c:pt idx="1182">
                  <c:v>4039.3564094626727</c:v>
                </c:pt>
                <c:pt idx="1183">
                  <c:v>4045.7099245155446</c:v>
                </c:pt>
                <c:pt idx="1184">
                  <c:v>4052.0667761216055</c:v>
                </c:pt>
                <c:pt idx="1185">
                  <c:v>4058.4269625270299</c:v>
                </c:pt>
                <c:pt idx="1186">
                  <c:v>4064.7904819807668</c:v>
                </c:pt>
                <c:pt idx="1187">
                  <c:v>4071.1573327345172</c:v>
                </c:pt>
                <c:pt idx="1188">
                  <c:v>4077.5275130427372</c:v>
                </c:pt>
                <c:pt idx="1189">
                  <c:v>4083.9010211626282</c:v>
                </c:pt>
                <c:pt idx="1190">
                  <c:v>4090.2778553541298</c:v>
                </c:pt>
                <c:pt idx="1191">
                  <c:v>4096.658013879909</c:v>
                </c:pt>
                <c:pt idx="1192">
                  <c:v>4103.0414950053628</c:v>
                </c:pt>
                <c:pt idx="1193">
                  <c:v>4109.428296998597</c:v>
                </c:pt>
                <c:pt idx="1194">
                  <c:v>4115.8184181304296</c:v>
                </c:pt>
                <c:pt idx="1195">
                  <c:v>4122.2118566743848</c:v>
                </c:pt>
                <c:pt idx="1196">
                  <c:v>4128.6086109066737</c:v>
                </c:pt>
                <c:pt idx="1197">
                  <c:v>4135.008679106204</c:v>
                </c:pt>
                <c:pt idx="1198">
                  <c:v>4141.4120595545619</c:v>
                </c:pt>
                <c:pt idx="1199">
                  <c:v>4147.818750536002</c:v>
                </c:pt>
                <c:pt idx="1200">
                  <c:v>4154.2287503374555</c:v>
                </c:pt>
                <c:pt idx="1201">
                  <c:v>4160.6420572485058</c:v>
                </c:pt>
                <c:pt idx="1202">
                  <c:v>4167.0586695613974</c:v>
                </c:pt>
                <c:pt idx="1203">
                  <c:v>4173.4785855710134</c:v>
                </c:pt>
                <c:pt idx="1204">
                  <c:v>4179.9018035748841</c:v>
                </c:pt>
                <c:pt idx="1205">
                  <c:v>4186.3283218731658</c:v>
                </c:pt>
                <c:pt idx="1206">
                  <c:v>4192.7581387686469</c:v>
                </c:pt>
                <c:pt idx="1207">
                  <c:v>4199.1912525667358</c:v>
                </c:pt>
                <c:pt idx="1208">
                  <c:v>4205.6276615754441</c:v>
                </c:pt>
                <c:pt idx="1209">
                  <c:v>4212.0673641054018</c:v>
                </c:pt>
                <c:pt idx="1210">
                  <c:v>4218.5103584698272</c:v>
                </c:pt>
                <c:pt idx="1211">
                  <c:v>4224.9566429845408</c:v>
                </c:pt>
                <c:pt idx="1212">
                  <c:v>4231.4062159679434</c:v>
                </c:pt>
                <c:pt idx="1213">
                  <c:v>4237.8590757410138</c:v>
                </c:pt>
                <c:pt idx="1214">
                  <c:v>4244.315220627308</c:v>
                </c:pt>
                <c:pt idx="1215">
                  <c:v>4250.7746489529463</c:v>
                </c:pt>
                <c:pt idx="1216">
                  <c:v>4257.2373590466095</c:v>
                </c:pt>
                <c:pt idx="1217">
                  <c:v>4263.7033492395321</c:v>
                </c:pt>
                <c:pt idx="1218">
                  <c:v>4270.172617865489</c:v>
                </c:pt>
                <c:pt idx="1219">
                  <c:v>4276.6451632608032</c:v>
                </c:pt>
                <c:pt idx="1220">
                  <c:v>4283.1209837643273</c:v>
                </c:pt>
                <c:pt idx="1221">
                  <c:v>4289.6000777174431</c:v>
                </c:pt>
                <c:pt idx="1222">
                  <c:v>4296.0824434640508</c:v>
                </c:pt>
                <c:pt idx="1223">
                  <c:v>4302.568079350569</c:v>
                </c:pt>
                <c:pt idx="1224">
                  <c:v>4309.0569837259181</c:v>
                </c:pt>
                <c:pt idx="1225">
                  <c:v>4315.5491549415283</c:v>
                </c:pt>
                <c:pt idx="1226">
                  <c:v>4322.0445913513186</c:v>
                </c:pt>
                <c:pt idx="1227">
                  <c:v>4328.5432913116983</c:v>
                </c:pt>
                <c:pt idx="1228">
                  <c:v>4335.0452531815636</c:v>
                </c:pt>
                <c:pt idx="1229">
                  <c:v>4341.5504753222831</c:v>
                </c:pt>
                <c:pt idx="1230">
                  <c:v>4348.0589560976978</c:v>
                </c:pt>
                <c:pt idx="1231">
                  <c:v>4354.5706938741123</c:v>
                </c:pt>
                <c:pt idx="1232">
                  <c:v>4361.0856870202879</c:v>
                </c:pt>
                <c:pt idx="1233">
                  <c:v>4367.6039339074414</c:v>
                </c:pt>
                <c:pt idx="1234">
                  <c:v>4374.1254329092326</c:v>
                </c:pt>
                <c:pt idx="1235">
                  <c:v>4380.6501824017596</c:v>
                </c:pt>
                <c:pt idx="1236">
                  <c:v>4387.1781807635562</c:v>
                </c:pt>
                <c:pt idx="1237">
                  <c:v>4393.7094263755835</c:v>
                </c:pt>
                <c:pt idx="1238">
                  <c:v>4400.2439176212247</c:v>
                </c:pt>
                <c:pt idx="1239">
                  <c:v>4406.7816528862741</c:v>
                </c:pt>
                <c:pt idx="1240">
                  <c:v>4413.3226305589396</c:v>
                </c:pt>
                <c:pt idx="1241">
                  <c:v>4419.8668490298332</c:v>
                </c:pt>
                <c:pt idx="1242">
                  <c:v>4426.4143066919614</c:v>
                </c:pt>
                <c:pt idx="1243">
                  <c:v>4432.96500194072</c:v>
                </c:pt>
                <c:pt idx="1244">
                  <c:v>4439.5189331738939</c:v>
                </c:pt>
                <c:pt idx="1245">
                  <c:v>4446.0760987916492</c:v>
                </c:pt>
                <c:pt idx="1246">
                  <c:v>4452.6364971965222</c:v>
                </c:pt>
                <c:pt idx="1247">
                  <c:v>4459.2001267934156</c:v>
                </c:pt>
                <c:pt idx="1248">
                  <c:v>4465.7669859895977</c:v>
                </c:pt>
                <c:pt idx="1249">
                  <c:v>4472.3370731946925</c:v>
                </c:pt>
                <c:pt idx="1250">
                  <c:v>4478.9103868206739</c:v>
                </c:pt>
                <c:pt idx="1251">
                  <c:v>4485.4869252818562</c:v>
                </c:pt>
                <c:pt idx="1252">
                  <c:v>4492.0666869949</c:v>
                </c:pt>
                <c:pt idx="1253">
                  <c:v>4498.6496703787934</c:v>
                </c:pt>
                <c:pt idx="1254">
                  <c:v>4505.235873854851</c:v>
                </c:pt>
                <c:pt idx="1255">
                  <c:v>4511.8252958467128</c:v>
                </c:pt>
                <c:pt idx="1256">
                  <c:v>4518.4179347803338</c:v>
                </c:pt>
                <c:pt idx="1257">
                  <c:v>4525.0137890839769</c:v>
                </c:pt>
                <c:pt idx="1258">
                  <c:v>4531.6128571882136</c:v>
                </c:pt>
                <c:pt idx="1259">
                  <c:v>4538.2151375259109</c:v>
                </c:pt>
                <c:pt idx="1260">
                  <c:v>4544.8206285322258</c:v>
                </c:pt>
                <c:pt idx="1261">
                  <c:v>4551.4293286446109</c:v>
                </c:pt>
                <c:pt idx="1262">
                  <c:v>4558.0412363027954</c:v>
                </c:pt>
                <c:pt idx="1263">
                  <c:v>4564.6563499487893</c:v>
                </c:pt>
                <c:pt idx="1264">
                  <c:v>4571.2746680268692</c:v>
                </c:pt>
                <c:pt idx="1265">
                  <c:v>4577.8961889835791</c:v>
                </c:pt>
                <c:pt idx="1266">
                  <c:v>4584.5209112677248</c:v>
                </c:pt>
                <c:pt idx="1267">
                  <c:v>4591.1488333303605</c:v>
                </c:pt>
                <c:pt idx="1268">
                  <c:v>4597.7799536247985</c:v>
                </c:pt>
                <c:pt idx="1269">
                  <c:v>4604.4142706065886</c:v>
                </c:pt>
                <c:pt idx="1270">
                  <c:v>4611.0517827335188</c:v>
                </c:pt>
                <c:pt idx="1271">
                  <c:v>4617.6924884656119</c:v>
                </c:pt>
                <c:pt idx="1272">
                  <c:v>4624.3363862651204</c:v>
                </c:pt>
                <c:pt idx="1273">
                  <c:v>4630.9834745965109</c:v>
                </c:pt>
                <c:pt idx="1274">
                  <c:v>4637.6337519264771</c:v>
                </c:pt>
                <c:pt idx="1275">
                  <c:v>4644.2872167239175</c:v>
                </c:pt>
                <c:pt idx="1276">
                  <c:v>4650.943867459936</c:v>
                </c:pt>
                <c:pt idx="1277">
                  <c:v>4657.6037026078384</c:v>
                </c:pt>
                <c:pt idx="1278">
                  <c:v>4664.2667206431306</c:v>
                </c:pt>
                <c:pt idx="1279">
                  <c:v>4670.9329200435004</c:v>
                </c:pt>
                <c:pt idx="1280">
                  <c:v>4677.6022992888302</c:v>
                </c:pt>
                <c:pt idx="1281">
                  <c:v>4684.2748568611705</c:v>
                </c:pt>
                <c:pt idx="1282">
                  <c:v>4690.9505912447576</c:v>
                </c:pt>
                <c:pt idx="1283">
                  <c:v>4697.6295009259911</c:v>
                </c:pt>
                <c:pt idx="1284">
                  <c:v>4704.3115843934384</c:v>
                </c:pt>
                <c:pt idx="1285">
                  <c:v>4710.9968401378192</c:v>
                </c:pt>
                <c:pt idx="1286">
                  <c:v>4717.6852666520117</c:v>
                </c:pt>
                <c:pt idx="1287">
                  <c:v>4724.3768624310442</c:v>
                </c:pt>
                <c:pt idx="1288">
                  <c:v>4731.0716259720875</c:v>
                </c:pt>
                <c:pt idx="1289">
                  <c:v>4737.7695557744473</c:v>
                </c:pt>
                <c:pt idx="1290">
                  <c:v>4744.4706503395691</c:v>
                </c:pt>
                <c:pt idx="1291">
                  <c:v>4751.1749081710223</c:v>
                </c:pt>
                <c:pt idx="1292">
                  <c:v>4757.8823277745014</c:v>
                </c:pt>
                <c:pt idx="1293">
                  <c:v>4764.5929076578186</c:v>
                </c:pt>
                <c:pt idx="1294">
                  <c:v>4771.3066463308969</c:v>
                </c:pt>
                <c:pt idx="1295">
                  <c:v>4778.0235423057757</c:v>
                </c:pt>
                <c:pt idx="1296">
                  <c:v>4784.7435940965861</c:v>
                </c:pt>
                <c:pt idx="1297">
                  <c:v>4791.4668002195685</c:v>
                </c:pt>
                <c:pt idx="1298">
                  <c:v>4798.1931591930515</c:v>
                </c:pt>
                <c:pt idx="1299">
                  <c:v>4804.9226695374527</c:v>
                </c:pt>
                <c:pt idx="1300">
                  <c:v>4811.6553297752735</c:v>
                </c:pt>
                <c:pt idx="1301">
                  <c:v>4818.391138431095</c:v>
                </c:pt>
                <c:pt idx="1302">
                  <c:v>4825.1300940315714</c:v>
                </c:pt>
                <c:pt idx="1303">
                  <c:v>4831.8721951054258</c:v>
                </c:pt>
                <c:pt idx="1304">
                  <c:v>4838.617440183446</c:v>
                </c:pt>
                <c:pt idx="1305">
                  <c:v>4845.3658277984769</c:v>
                </c:pt>
                <c:pt idx="1306">
                  <c:v>4852.1173564854225</c:v>
                </c:pt>
                <c:pt idx="1307">
                  <c:v>4858.8720247812344</c:v>
                </c:pt>
                <c:pt idx="1308">
                  <c:v>4865.6298312249055</c:v>
                </c:pt>
                <c:pt idx="1309">
                  <c:v>4872.3907743574773</c:v>
                </c:pt>
                <c:pt idx="1310">
                  <c:v>4879.1548527220184</c:v>
                </c:pt>
                <c:pt idx="1311">
                  <c:v>4885.9220648636319</c:v>
                </c:pt>
                <c:pt idx="1312">
                  <c:v>4892.6924093294456</c:v>
                </c:pt>
                <c:pt idx="1313">
                  <c:v>4899.4658846686125</c:v>
                </c:pt>
                <c:pt idx="1314">
                  <c:v>4906.2424894322949</c:v>
                </c:pt>
                <c:pt idx="1315">
                  <c:v>4913.0222221736758</c:v>
                </c:pt>
                <c:pt idx="1316">
                  <c:v>4919.8050814479393</c:v>
                </c:pt>
                <c:pt idx="1317">
                  <c:v>4926.5910658122757</c:v>
                </c:pt>
                <c:pt idx="1318">
                  <c:v>4933.3801738258699</c:v>
                </c:pt>
                <c:pt idx="1319">
                  <c:v>4940.1724040498993</c:v>
                </c:pt>
                <c:pt idx="1320">
                  <c:v>4946.967755047539</c:v>
                </c:pt>
                <c:pt idx="1321">
                  <c:v>4953.766225383938</c:v>
                </c:pt>
                <c:pt idx="1322">
                  <c:v>4960.5678136262286</c:v>
                </c:pt>
                <c:pt idx="1323">
                  <c:v>4967.3725183435226</c:v>
                </c:pt>
                <c:pt idx="1324">
                  <c:v>4974.1803381068958</c:v>
                </c:pt>
                <c:pt idx="1325">
                  <c:v>4980.9912714893917</c:v>
                </c:pt>
                <c:pt idx="1326">
                  <c:v>4987.8053170660205</c:v>
                </c:pt>
                <c:pt idx="1327">
                  <c:v>4994.6224734137422</c:v>
                </c:pt>
                <c:pt idx="1328">
                  <c:v>5001.4427391114741</c:v>
                </c:pt>
                <c:pt idx="1329">
                  <c:v>5008.2661127400797</c:v>
                </c:pt>
                <c:pt idx="1330">
                  <c:v>5015.0925928823663</c:v>
                </c:pt>
                <c:pt idx="1331">
                  <c:v>5021.9221781230826</c:v>
                </c:pt>
                <c:pt idx="1332">
                  <c:v>5028.7548670489068</c:v>
                </c:pt>
                <c:pt idx="1333">
                  <c:v>5035.5906582484549</c:v>
                </c:pt>
                <c:pt idx="1334">
                  <c:v>5042.4295503122648</c:v>
                </c:pt>
                <c:pt idx="1335">
                  <c:v>5049.2715418327953</c:v>
                </c:pt>
                <c:pt idx="1336">
                  <c:v>5056.1166314044203</c:v>
                </c:pt>
                <c:pt idx="1337">
                  <c:v>5062.964817623435</c:v>
                </c:pt>
                <c:pt idx="1338">
                  <c:v>5069.8160990880351</c:v>
                </c:pt>
                <c:pt idx="1339">
                  <c:v>5076.6704743983228</c:v>
                </c:pt>
                <c:pt idx="1340">
                  <c:v>5083.5279421563</c:v>
                </c:pt>
                <c:pt idx="1341">
                  <c:v>5090.3885009658688</c:v>
                </c:pt>
                <c:pt idx="1342">
                  <c:v>5097.2521494328194</c:v>
                </c:pt>
                <c:pt idx="1343">
                  <c:v>5104.1188861648225</c:v>
                </c:pt>
                <c:pt idx="1344">
                  <c:v>5110.9887097714436</c:v>
                </c:pt>
                <c:pt idx="1345">
                  <c:v>5117.8616188641172</c:v>
                </c:pt>
                <c:pt idx="1346">
                  <c:v>5124.7376120561566</c:v>
                </c:pt>
                <c:pt idx="1347">
                  <c:v>5131.6166879627463</c:v>
                </c:pt>
                <c:pt idx="1348">
                  <c:v>5138.4988452009329</c:v>
                </c:pt>
                <c:pt idx="1349">
                  <c:v>5145.3840823896298</c:v>
                </c:pt>
                <c:pt idx="1350">
                  <c:v>5152.2723981496019</c:v>
                </c:pt>
                <c:pt idx="1351">
                  <c:v>5159.1637911034713</c:v>
                </c:pt>
                <c:pt idx="1352">
                  <c:v>5166.0582598757073</c:v>
                </c:pt>
                <c:pt idx="1353">
                  <c:v>5172.9558030926291</c:v>
                </c:pt>
                <c:pt idx="1354">
                  <c:v>5179.8564193823886</c:v>
                </c:pt>
                <c:pt idx="1355">
                  <c:v>5186.7601073749847</c:v>
                </c:pt>
                <c:pt idx="1356">
                  <c:v>5193.6668657022392</c:v>
                </c:pt>
                <c:pt idx="1357">
                  <c:v>5200.5766929978117</c:v>
                </c:pt>
                <c:pt idx="1358">
                  <c:v>5207.4895878971774</c:v>
                </c:pt>
                <c:pt idx="1359">
                  <c:v>5214.4055490376377</c:v>
                </c:pt>
                <c:pt idx="1360">
                  <c:v>5221.324575058311</c:v>
                </c:pt>
                <c:pt idx="1361">
                  <c:v>5228.2466646001249</c:v>
                </c:pt>
                <c:pt idx="1362">
                  <c:v>5235.1718163058176</c:v>
                </c:pt>
                <c:pt idx="1363">
                  <c:v>5242.100028819932</c:v>
                </c:pt>
                <c:pt idx="1364">
                  <c:v>5249.0313007888089</c:v>
                </c:pt>
                <c:pt idx="1365">
                  <c:v>5255.9656308605863</c:v>
                </c:pt>
                <c:pt idx="1366">
                  <c:v>5262.9030176851984</c:v>
                </c:pt>
                <c:pt idx="1367">
                  <c:v>5269.8434599143675</c:v>
                </c:pt>
                <c:pt idx="1368">
                  <c:v>5276.7869562015912</c:v>
                </c:pt>
                <c:pt idx="1369">
                  <c:v>5283.7335052021581</c:v>
                </c:pt>
                <c:pt idx="1370">
                  <c:v>5290.6831055731309</c:v>
                </c:pt>
                <c:pt idx="1371">
                  <c:v>5297.635755973346</c:v>
                </c:pt>
                <c:pt idx="1372">
                  <c:v>5304.5914550634025</c:v>
                </c:pt>
                <c:pt idx="1373">
                  <c:v>5311.5502015056691</c:v>
                </c:pt>
                <c:pt idx="1374">
                  <c:v>5318.5119939642791</c:v>
                </c:pt>
                <c:pt idx="1375">
                  <c:v>5325.4768311051175</c:v>
                </c:pt>
                <c:pt idx="1376">
                  <c:v>5332.4447115958301</c:v>
                </c:pt>
                <c:pt idx="1377">
                  <c:v>5339.4156341057969</c:v>
                </c:pt>
                <c:pt idx="1378">
                  <c:v>5346.3895973061608</c:v>
                </c:pt>
                <c:pt idx="1379">
                  <c:v>5353.3665998697952</c:v>
                </c:pt>
                <c:pt idx="1380">
                  <c:v>5360.346640471319</c:v>
                </c:pt>
                <c:pt idx="1381">
                  <c:v>5367.3297177870827</c:v>
                </c:pt>
                <c:pt idx="1382">
                  <c:v>5374.315830495163</c:v>
                </c:pt>
                <c:pt idx="1383">
                  <c:v>5381.304977275372</c:v>
                </c:pt>
                <c:pt idx="1384">
                  <c:v>5388.2971568092371</c:v>
                </c:pt>
                <c:pt idx="1385">
                  <c:v>5395.2923677800072</c:v>
                </c:pt>
                <c:pt idx="1386">
                  <c:v>5402.2906088726513</c:v>
                </c:pt>
                <c:pt idx="1387">
                  <c:v>5409.2918787738436</c:v>
                </c:pt>
                <c:pt idx="1388">
                  <c:v>5416.2961761719716</c:v>
                </c:pt>
                <c:pt idx="1389">
                  <c:v>5423.3034997571185</c:v>
                </c:pt>
                <c:pt idx="1390">
                  <c:v>5430.3138482210852</c:v>
                </c:pt>
                <c:pt idx="1391">
                  <c:v>5437.3272202573489</c:v>
                </c:pt>
                <c:pt idx="1392">
                  <c:v>5444.3436145610985</c:v>
                </c:pt>
                <c:pt idx="1393">
                  <c:v>5451.3630298291991</c:v>
                </c:pt>
                <c:pt idx="1394">
                  <c:v>5458.3854647602066</c:v>
                </c:pt>
                <c:pt idx="1395">
                  <c:v>5465.4109180543592</c:v>
                </c:pt>
                <c:pt idx="1396">
                  <c:v>5472.4393884135798</c:v>
                </c:pt>
                <c:pt idx="1397">
                  <c:v>5479.4708745414555</c:v>
                </c:pt>
                <c:pt idx="1398">
                  <c:v>5486.505375143257</c:v>
                </c:pt>
                <c:pt idx="1399">
                  <c:v>5493.5428889259074</c:v>
                </c:pt>
                <c:pt idx="1400">
                  <c:v>5500.5834145980125</c:v>
                </c:pt>
                <c:pt idx="1401">
                  <c:v>5507.6269508698242</c:v>
                </c:pt>
                <c:pt idx="1402">
                  <c:v>5514.6734964532579</c:v>
                </c:pt>
                <c:pt idx="1403">
                  <c:v>5521.7230500618834</c:v>
                </c:pt>
                <c:pt idx="1404">
                  <c:v>5528.7756104109203</c:v>
                </c:pt>
                <c:pt idx="1405">
                  <c:v>5535.8311762172307</c:v>
                </c:pt>
                <c:pt idx="1406">
                  <c:v>5542.8897461993274</c:v>
                </c:pt>
                <c:pt idx="1407">
                  <c:v>5549.9513190773523</c:v>
                </c:pt>
                <c:pt idx="1408">
                  <c:v>5557.0158935730942</c:v>
                </c:pt>
                <c:pt idx="1409">
                  <c:v>5564.0834684099709</c:v>
                </c:pt>
                <c:pt idx="1410">
                  <c:v>5571.1540423130255</c:v>
                </c:pt>
                <c:pt idx="1411">
                  <c:v>5578.227614008928</c:v>
                </c:pt>
                <c:pt idx="1412">
                  <c:v>5585.3041822259765</c:v>
                </c:pt>
                <c:pt idx="1413">
                  <c:v>5592.383745694081</c:v>
                </c:pt>
                <c:pt idx="1414">
                  <c:v>5599.4663031447717</c:v>
                </c:pt>
                <c:pt idx="1415">
                  <c:v>5606.5518533111872</c:v>
                </c:pt>
                <c:pt idx="1416">
                  <c:v>5613.6403949280784</c:v>
                </c:pt>
                <c:pt idx="1417">
                  <c:v>5620.7319267317944</c:v>
                </c:pt>
                <c:pt idx="1418">
                  <c:v>5627.8264474602975</c:v>
                </c:pt>
                <c:pt idx="1419">
                  <c:v>5634.9239558531335</c:v>
                </c:pt>
                <c:pt idx="1420">
                  <c:v>5642.0244506514546</c:v>
                </c:pt>
                <c:pt idx="1421">
                  <c:v>5649.1279305980061</c:v>
                </c:pt>
                <c:pt idx="1422">
                  <c:v>5656.2343944371087</c:v>
                </c:pt>
                <c:pt idx="1423">
                  <c:v>5663.3438409146802</c:v>
                </c:pt>
                <c:pt idx="1424">
                  <c:v>5670.4562687782136</c:v>
                </c:pt>
                <c:pt idx="1425">
                  <c:v>5677.5716767767826</c:v>
                </c:pt>
                <c:pt idx="1426">
                  <c:v>5684.6900636610426</c:v>
                </c:pt>
                <c:pt idx="1427">
                  <c:v>5691.8114281832031</c:v>
                </c:pt>
                <c:pt idx="1428">
                  <c:v>5698.9357690970564</c:v>
                </c:pt>
                <c:pt idx="1429">
                  <c:v>5706.0630851579581</c:v>
                </c:pt>
                <c:pt idx="1430">
                  <c:v>5713.1933751228198</c:v>
                </c:pt>
                <c:pt idx="1431">
                  <c:v>5720.3266377501186</c:v>
                </c:pt>
                <c:pt idx="1432">
                  <c:v>5727.4628717998821</c:v>
                </c:pt>
                <c:pt idx="1433">
                  <c:v>5734.6020760336905</c:v>
                </c:pt>
                <c:pt idx="1434">
                  <c:v>5741.7442492146747</c:v>
                </c:pt>
                <c:pt idx="1435">
                  <c:v>5748.8893901075062</c:v>
                </c:pt>
                <c:pt idx="1436">
                  <c:v>5756.037497478409</c:v>
                </c:pt>
                <c:pt idx="1437">
                  <c:v>5763.1885700951352</c:v>
                </c:pt>
                <c:pt idx="1438">
                  <c:v>5770.3426067269775</c:v>
                </c:pt>
                <c:pt idx="1439">
                  <c:v>5777.4996061447637</c:v>
                </c:pt>
                <c:pt idx="1440">
                  <c:v>5784.6595671208461</c:v>
                </c:pt>
                <c:pt idx="1441">
                  <c:v>5791.8224884291085</c:v>
                </c:pt>
                <c:pt idx="1442">
                  <c:v>5798.9883688449545</c:v>
                </c:pt>
                <c:pt idx="1443">
                  <c:v>5806.1572071453065</c:v>
                </c:pt>
                <c:pt idx="1444">
                  <c:v>5813.3290021086095</c:v>
                </c:pt>
                <c:pt idx="1445">
                  <c:v>5820.5037525148136</c:v>
                </c:pt>
                <c:pt idx="1446">
                  <c:v>5827.6814571453924</c:v>
                </c:pt>
                <c:pt idx="1447">
                  <c:v>5834.862114783311</c:v>
                </c:pt>
                <c:pt idx="1448">
                  <c:v>5842.0457242130515</c:v>
                </c:pt>
                <c:pt idx="1449">
                  <c:v>5849.232284220594</c:v>
                </c:pt>
                <c:pt idx="1450">
                  <c:v>5856.4217935934139</c:v>
                </c:pt>
                <c:pt idx="1451">
                  <c:v>5863.6142511204844</c:v>
                </c:pt>
                <c:pt idx="1452">
                  <c:v>5870.8096555922712</c:v>
                </c:pt>
                <c:pt idx="1453">
                  <c:v>5878.0080058007243</c:v>
                </c:pt>
                <c:pt idx="1454">
                  <c:v>5885.2093005392899</c:v>
                </c:pt>
                <c:pt idx="1455">
                  <c:v>5892.413538602882</c:v>
                </c:pt>
                <c:pt idx="1456">
                  <c:v>5899.6207187879099</c:v>
                </c:pt>
                <c:pt idx="1457">
                  <c:v>5906.8308398922463</c:v>
                </c:pt>
                <c:pt idx="1458">
                  <c:v>5914.0439007152536</c:v>
                </c:pt>
                <c:pt idx="1459">
                  <c:v>5921.2599000577484</c:v>
                </c:pt>
                <c:pt idx="1460">
                  <c:v>5928.4788367220226</c:v>
                </c:pt>
                <c:pt idx="1461">
                  <c:v>5935.700709511837</c:v>
                </c:pt>
                <c:pt idx="1462">
                  <c:v>5942.9255172324056</c:v>
                </c:pt>
                <c:pt idx="1463">
                  <c:v>5950.1532586904059</c:v>
                </c:pt>
                <c:pt idx="1464">
                  <c:v>5957.3839326939751</c:v>
                </c:pt>
                <c:pt idx="1465">
                  <c:v>5964.6175380526965</c:v>
                </c:pt>
                <c:pt idx="1466">
                  <c:v>5971.854073577605</c:v>
                </c:pt>
                <c:pt idx="1467">
                  <c:v>5979.0935380811879</c:v>
                </c:pt>
                <c:pt idx="1468">
                  <c:v>5986.3359303773659</c:v>
                </c:pt>
                <c:pt idx="1469">
                  <c:v>5993.5812492815112</c:v>
                </c:pt>
                <c:pt idx="1470">
                  <c:v>6000.8294936104312</c:v>
                </c:pt>
                <c:pt idx="1471">
                  <c:v>6008.0806621823667</c:v>
                </c:pt>
                <c:pt idx="1472">
                  <c:v>6015.334753816991</c:v>
                </c:pt>
                <c:pt idx="1473">
                  <c:v>6022.5917673354079</c:v>
                </c:pt>
                <c:pt idx="1474">
                  <c:v>6029.8517015601501</c:v>
                </c:pt>
                <c:pt idx="1475">
                  <c:v>6037.1145553151673</c:v>
                </c:pt>
                <c:pt idx="1476">
                  <c:v>6044.3803274258444</c:v>
                </c:pt>
                <c:pt idx="1477">
                  <c:v>6051.6490167189631</c:v>
                </c:pt>
                <c:pt idx="1478">
                  <c:v>6058.9206220227379</c:v>
                </c:pt>
                <c:pt idx="1479">
                  <c:v>6066.1951421667918</c:v>
                </c:pt>
                <c:pt idx="1480">
                  <c:v>6073.4725759821486</c:v>
                </c:pt>
                <c:pt idx="1481">
                  <c:v>6080.7529223012498</c:v>
                </c:pt>
                <c:pt idx="1482">
                  <c:v>6088.0361799579359</c:v>
                </c:pt>
                <c:pt idx="1483">
                  <c:v>6095.3223477874499</c:v>
                </c:pt>
                <c:pt idx="1484">
                  <c:v>6102.6114246264306</c:v>
                </c:pt>
                <c:pt idx="1485">
                  <c:v>6109.9034093129112</c:v>
                </c:pt>
                <c:pt idx="1486">
                  <c:v>6117.1983006863247</c:v>
                </c:pt>
                <c:pt idx="1487">
                  <c:v>6124.4960975874874</c:v>
                </c:pt>
                <c:pt idx="1488">
                  <c:v>6131.7967988586006</c:v>
                </c:pt>
                <c:pt idx="1489">
                  <c:v>6139.10040334326</c:v>
                </c:pt>
                <c:pt idx="1490">
                  <c:v>6146.4069098864366</c:v>
                </c:pt>
                <c:pt idx="1491">
                  <c:v>6153.7163173344761</c:v>
                </c:pt>
                <c:pt idx="1492">
                  <c:v>6161.0286245351062</c:v>
                </c:pt>
                <c:pt idx="1493">
                  <c:v>6168.3438303374296</c:v>
                </c:pt>
                <c:pt idx="1494">
                  <c:v>6175.6619335919113</c:v>
                </c:pt>
                <c:pt idx="1495">
                  <c:v>6182.9829331503943</c:v>
                </c:pt>
                <c:pt idx="1496">
                  <c:v>6190.3068278660794</c:v>
                </c:pt>
                <c:pt idx="1497">
                  <c:v>6197.6336165935327</c:v>
                </c:pt>
                <c:pt idx="1498">
                  <c:v>6204.9632981886762</c:v>
                </c:pt>
                <c:pt idx="1499">
                  <c:v>6212.2958715087971</c:v>
                </c:pt>
                <c:pt idx="1500">
                  <c:v>6219.6313354125341</c:v>
                </c:pt>
                <c:pt idx="1501">
                  <c:v>6226.9696887598693</c:v>
                </c:pt>
                <c:pt idx="1502">
                  <c:v>6234.3109304121454</c:v>
                </c:pt>
                <c:pt idx="1503">
                  <c:v>6241.6550592320455</c:v>
                </c:pt>
                <c:pt idx="1504">
                  <c:v>6249.0020740835935</c:v>
                </c:pt>
                <c:pt idx="1505">
                  <c:v>6256.3519738321656</c:v>
                </c:pt>
                <c:pt idx="1506">
                  <c:v>6263.7047573444661</c:v>
                </c:pt>
                <c:pt idx="1507">
                  <c:v>6271.0604234885395</c:v>
                </c:pt>
                <c:pt idx="1508">
                  <c:v>6278.4189711337594</c:v>
                </c:pt>
                <c:pt idx="1509">
                  <c:v>6285.7803991508354</c:v>
                </c:pt>
                <c:pt idx="1510">
                  <c:v>6293.144706411802</c:v>
                </c:pt>
                <c:pt idx="1511">
                  <c:v>6300.5118917900199</c:v>
                </c:pt>
                <c:pt idx="1512">
                  <c:v>6307.8819541601715</c:v>
                </c:pt>
                <c:pt idx="1513">
                  <c:v>6315.2548923982622</c:v>
                </c:pt>
                <c:pt idx="1514">
                  <c:v>6322.6307053816108</c:v>
                </c:pt>
                <c:pt idx="1515">
                  <c:v>6330.0093919888568</c:v>
                </c:pt>
                <c:pt idx="1516">
                  <c:v>6337.3909510999465</c:v>
                </c:pt>
                <c:pt idx="1517">
                  <c:v>6344.7753815961396</c:v>
                </c:pt>
                <c:pt idx="1518">
                  <c:v>6352.16268236</c:v>
                </c:pt>
                <c:pt idx="1519">
                  <c:v>6359.5528522754039</c:v>
                </c:pt>
                <c:pt idx="1520">
                  <c:v>6366.9458902275164</c:v>
                </c:pt>
                <c:pt idx="1521">
                  <c:v>6374.3417951028187</c:v>
                </c:pt>
                <c:pt idx="1522">
                  <c:v>6381.7405657890722</c:v>
                </c:pt>
                <c:pt idx="1523">
                  <c:v>6389.1422011753502</c:v>
                </c:pt>
                <c:pt idx="1524">
                  <c:v>6396.5467001520046</c:v>
                </c:pt>
                <c:pt idx="1525">
                  <c:v>6403.9540616106806</c:v>
                </c:pt>
                <c:pt idx="1526">
                  <c:v>6411.3642844443175</c:v>
                </c:pt>
                <c:pt idx="1527">
                  <c:v>6418.7773675471299</c:v>
                </c:pt>
                <c:pt idx="1528">
                  <c:v>6426.1933098146183</c:v>
                </c:pt>
                <c:pt idx="1529">
                  <c:v>6433.6121101435656</c:v>
                </c:pt>
                <c:pt idx="1530">
                  <c:v>6441.0337674320299</c:v>
                </c:pt>
                <c:pt idx="1531">
                  <c:v>6448.4582805793398</c:v>
                </c:pt>
                <c:pt idx="1532">
                  <c:v>6455.8856484861008</c:v>
                </c:pt>
                <c:pt idx="1533">
                  <c:v>6463.3158700541935</c:v>
                </c:pt>
                <c:pt idx="1534">
                  <c:v>6470.7489441867565</c:v>
                </c:pt>
                <c:pt idx="1535">
                  <c:v>6478.1848697881924</c:v>
                </c:pt>
                <c:pt idx="1536">
                  <c:v>6485.6236457641762</c:v>
                </c:pt>
                <c:pt idx="1537">
                  <c:v>6493.0652710216382</c:v>
                </c:pt>
                <c:pt idx="1538">
                  <c:v>6500.5097444687644</c:v>
                </c:pt>
                <c:pt idx="1539">
                  <c:v>6507.9570650149972</c:v>
                </c:pt>
                <c:pt idx="1540">
                  <c:v>6515.4072315710355</c:v>
                </c:pt>
                <c:pt idx="1541">
                  <c:v>6522.8602430488208</c:v>
                </c:pt>
                <c:pt idx="1542">
                  <c:v>6530.3160983615553</c:v>
                </c:pt>
                <c:pt idx="1543">
                  <c:v>6537.7747964236705</c:v>
                </c:pt>
                <c:pt idx="1544">
                  <c:v>6545.2363361508533</c:v>
                </c:pt>
                <c:pt idx="1545">
                  <c:v>6552.7007164600309</c:v>
                </c:pt>
                <c:pt idx="1546">
                  <c:v>6560.1679362693631</c:v>
                </c:pt>
                <c:pt idx="1547">
                  <c:v>6567.6379944982536</c:v>
                </c:pt>
                <c:pt idx="1548">
                  <c:v>6575.1108900673307</c:v>
                </c:pt>
                <c:pt idx="1549">
                  <c:v>6582.5866218984611</c:v>
                </c:pt>
                <c:pt idx="1550">
                  <c:v>6590.0651889147439</c:v>
                </c:pt>
                <c:pt idx="1551">
                  <c:v>6597.5465900404943</c:v>
                </c:pt>
                <c:pt idx="1552">
                  <c:v>6605.0308242012579</c:v>
                </c:pt>
                <c:pt idx="1553">
                  <c:v>6612.5178903238075</c:v>
                </c:pt>
                <c:pt idx="1554">
                  <c:v>6620.0077873361242</c:v>
                </c:pt>
                <c:pt idx="1555">
                  <c:v>6627.5005141674164</c:v>
                </c:pt>
                <c:pt idx="1556">
                  <c:v>6634.9960697481065</c:v>
                </c:pt>
                <c:pt idx="1557">
                  <c:v>6642.4944530098255</c:v>
                </c:pt>
                <c:pt idx="1558">
                  <c:v>6649.9956628854197</c:v>
                </c:pt>
                <c:pt idx="1559">
                  <c:v>6657.4996983089432</c:v>
                </c:pt>
                <c:pt idx="1560">
                  <c:v>6665.0065582156503</c:v>
                </c:pt>
                <c:pt idx="1561">
                  <c:v>6672.5162415420036</c:v>
                </c:pt>
                <c:pt idx="1562">
                  <c:v>6680.0287472256714</c:v>
                </c:pt>
                <c:pt idx="1563">
                  <c:v>6687.5440742055171</c:v>
                </c:pt>
                <c:pt idx="1564">
                  <c:v>6695.0622214215964</c:v>
                </c:pt>
                <c:pt idx="1565">
                  <c:v>6702.5831878151739</c:v>
                </c:pt>
                <c:pt idx="1566">
                  <c:v>6710.1069723286892</c:v>
                </c:pt>
                <c:pt idx="1567">
                  <c:v>6717.6335739057831</c:v>
                </c:pt>
                <c:pt idx="1568">
                  <c:v>6725.1629914912837</c:v>
                </c:pt>
                <c:pt idx="1569">
                  <c:v>6732.6952240312012</c:v>
                </c:pt>
                <c:pt idx="1570">
                  <c:v>6740.2302704727326</c:v>
                </c:pt>
                <c:pt idx="1571">
                  <c:v>6747.7681297642557</c:v>
                </c:pt>
                <c:pt idx="1572">
                  <c:v>6755.3088008553259</c:v>
                </c:pt>
                <c:pt idx="1573">
                  <c:v>6762.852282696681</c:v>
                </c:pt>
                <c:pt idx="1574">
                  <c:v>6770.3985742402238</c:v>
                </c:pt>
                <c:pt idx="1575">
                  <c:v>6777.9476744390404</c:v>
                </c:pt>
                <c:pt idx="1576">
                  <c:v>6785.4995822473793</c:v>
                </c:pt>
                <c:pt idx="1577">
                  <c:v>6793.0542966206631</c:v>
                </c:pt>
                <c:pt idx="1578">
                  <c:v>6800.6118165154749</c:v>
                </c:pt>
                <c:pt idx="1579">
                  <c:v>6808.1721408895646</c:v>
                </c:pt>
                <c:pt idx="1580">
                  <c:v>6815.7352687018474</c:v>
                </c:pt>
                <c:pt idx="1581">
                  <c:v>6823.3011989123925</c:v>
                </c:pt>
                <c:pt idx="1582">
                  <c:v>6830.8699304824277</c:v>
                </c:pt>
                <c:pt idx="1583">
                  <c:v>6838.4414623743396</c:v>
                </c:pt>
                <c:pt idx="1584">
                  <c:v>6846.0157935516618</c:v>
                </c:pt>
                <c:pt idx="1585">
                  <c:v>6853.5929229790863</c:v>
                </c:pt>
                <c:pt idx="1586">
                  <c:v>6861.1728496224478</c:v>
                </c:pt>
                <c:pt idx="1587">
                  <c:v>6868.7555724487302</c:v>
                </c:pt>
                <c:pt idx="1588">
                  <c:v>6876.3410904260627</c:v>
                </c:pt>
                <c:pt idx="1589">
                  <c:v>6883.9294025237159</c:v>
                </c:pt>
                <c:pt idx="1590">
                  <c:v>6891.5205077121018</c:v>
                </c:pt>
                <c:pt idx="1591">
                  <c:v>6899.1144049627719</c:v>
                </c:pt>
                <c:pt idx="1592">
                  <c:v>6906.711093248412</c:v>
                </c:pt>
                <c:pt idx="1593">
                  <c:v>6914.3105715428364</c:v>
                </c:pt>
                <c:pt idx="1594">
                  <c:v>6921.9128388210056</c:v>
                </c:pt>
                <c:pt idx="1595">
                  <c:v>6929.5178940589958</c:v>
                </c:pt>
                <c:pt idx="1596">
                  <c:v>6937.1257362340184</c:v>
                </c:pt>
                <c:pt idx="1597">
                  <c:v>6944.7363643244144</c:v>
                </c:pt>
                <c:pt idx="1598">
                  <c:v>6952.349777309636</c:v>
                </c:pt>
                <c:pt idx="1599">
                  <c:v>6959.9659741702699</c:v>
                </c:pt>
                <c:pt idx="1600">
                  <c:v>6967.5849538880138</c:v>
                </c:pt>
                <c:pt idx="1601">
                  <c:v>6975.2067154456863</c:v>
                </c:pt>
                <c:pt idx="1602">
                  <c:v>6982.8312578272262</c:v>
                </c:pt>
                <c:pt idx="1603">
                  <c:v>6990.4585800176737</c:v>
                </c:pt>
                <c:pt idx="1604">
                  <c:v>6998.0886810031952</c:v>
                </c:pt>
                <c:pt idx="1605">
                  <c:v>7005.7215597710547</c:v>
                </c:pt>
                <c:pt idx="1606">
                  <c:v>7013.3572153096329</c:v>
                </c:pt>
                <c:pt idx="1607">
                  <c:v>7020.9956466084041</c:v>
                </c:pt>
                <c:pt idx="1608">
                  <c:v>7028.6368526579608</c:v>
                </c:pt>
                <c:pt idx="1609">
                  <c:v>7036.280832449982</c:v>
                </c:pt>
                <c:pt idx="1610">
                  <c:v>7043.9275849772603</c:v>
                </c:pt>
                <c:pt idx="1611">
                  <c:v>7051.5771092336718</c:v>
                </c:pt>
                <c:pt idx="1612">
                  <c:v>7059.2294042141984</c:v>
                </c:pt>
                <c:pt idx="1613">
                  <c:v>7066.8844689149155</c:v>
                </c:pt>
                <c:pt idx="1614">
                  <c:v>7074.5423023329777</c:v>
                </c:pt>
                <c:pt idx="1615">
                  <c:v>7082.2029034666421</c:v>
                </c:pt>
                <c:pt idx="1616">
                  <c:v>7089.8662713152507</c:v>
                </c:pt>
                <c:pt idx="1617">
                  <c:v>7097.5324048792263</c:v>
                </c:pt>
                <c:pt idx="1618">
                  <c:v>7105.2013031600773</c:v>
                </c:pt>
                <c:pt idx="1619">
                  <c:v>7112.8729651604017</c:v>
                </c:pt>
                <c:pt idx="1620">
                  <c:v>7120.5473898838554</c:v>
                </c:pt>
                <c:pt idx="1621">
                  <c:v>7128.2245763352039</c:v>
                </c:pt>
                <c:pt idx="1622">
                  <c:v>7135.9045235202602</c:v>
                </c:pt>
                <c:pt idx="1623">
                  <c:v>7143.587230445919</c:v>
                </c:pt>
                <c:pt idx="1624">
                  <c:v>7151.2726961201615</c:v>
                </c:pt>
                <c:pt idx="1625">
                  <c:v>7158.9609195520143</c:v>
                </c:pt>
                <c:pt idx="1626">
                  <c:v>7166.6518997515923</c:v>
                </c:pt>
                <c:pt idx="1627">
                  <c:v>7174.3456357300674</c:v>
                </c:pt>
                <c:pt idx="1628">
                  <c:v>7182.0421264996803</c:v>
                </c:pt>
                <c:pt idx="1629">
                  <c:v>7189.7413710737228</c:v>
                </c:pt>
                <c:pt idx="1630">
                  <c:v>7197.4433684665637</c:v>
                </c:pt>
                <c:pt idx="1631">
                  <c:v>7205.1481176936195</c:v>
                </c:pt>
                <c:pt idx="1632">
                  <c:v>7212.8556177713581</c:v>
                </c:pt>
                <c:pt idx="1633">
                  <c:v>7220.5658677173224</c:v>
                </c:pt>
                <c:pt idx="1634">
                  <c:v>7228.2788665500839</c:v>
                </c:pt>
                <c:pt idx="1635">
                  <c:v>7235.9946132892874</c:v>
                </c:pt>
                <c:pt idx="1636">
                  <c:v>7243.7131069555999</c:v>
                </c:pt>
                <c:pt idx="1637">
                  <c:v>7251.4343465707689</c:v>
                </c:pt>
                <c:pt idx="1638">
                  <c:v>7259.1583311575623</c:v>
                </c:pt>
                <c:pt idx="1639">
                  <c:v>7266.8850597397941</c:v>
                </c:pt>
                <c:pt idx="1640">
                  <c:v>7274.6145313423322</c:v>
                </c:pt>
                <c:pt idx="1641">
                  <c:v>7282.3467449910695</c:v>
                </c:pt>
                <c:pt idx="1642">
                  <c:v>7290.081699712955</c:v>
                </c:pt>
                <c:pt idx="1643">
                  <c:v>7297.8193945359499</c:v>
                </c:pt>
                <c:pt idx="1644">
                  <c:v>7305.5598284890702</c:v>
                </c:pt>
                <c:pt idx="1645">
                  <c:v>7313.3030006023537</c:v>
                </c:pt>
                <c:pt idx="1646">
                  <c:v>7321.0489099068764</c:v>
                </c:pt>
                <c:pt idx="1647">
                  <c:v>7328.7975554347313</c:v>
                </c:pt>
                <c:pt idx="1648">
                  <c:v>7336.5489362190483</c:v>
                </c:pt>
                <c:pt idx="1649">
                  <c:v>7344.3030512939813</c:v>
                </c:pt>
                <c:pt idx="1650">
                  <c:v>7352.0598996946992</c:v>
                </c:pt>
                <c:pt idx="1651">
                  <c:v>7359.8194804574096</c:v>
                </c:pt>
                <c:pt idx="1652">
                  <c:v>7367.581792619314</c:v>
                </c:pt>
                <c:pt idx="1653">
                  <c:v>7375.3468352186628</c:v>
                </c:pt>
                <c:pt idx="1654">
                  <c:v>7383.1146072946949</c:v>
                </c:pt>
                <c:pt idx="1655">
                  <c:v>7390.8851078876796</c:v>
                </c:pt>
                <c:pt idx="1656">
                  <c:v>7398.658336038895</c:v>
                </c:pt>
                <c:pt idx="1657">
                  <c:v>7406.4342907906221</c:v>
                </c:pt>
                <c:pt idx="1658">
                  <c:v>7414.2129711861644</c:v>
                </c:pt>
                <c:pt idx="1659">
                  <c:v>7421.9943762698203</c:v>
                </c:pt>
                <c:pt idx="1660">
                  <c:v>7429.778505086907</c:v>
                </c:pt>
                <c:pt idx="1661">
                  <c:v>7437.5653566837309</c:v>
                </c:pt>
                <c:pt idx="1662">
                  <c:v>7445.3549301076073</c:v>
                </c:pt>
                <c:pt idx="1663">
                  <c:v>7453.1472244068564</c:v>
                </c:pt>
                <c:pt idx="1664">
                  <c:v>7460.9422386307833</c:v>
                </c:pt>
                <c:pt idx="1665">
                  <c:v>7468.7399718297074</c:v>
                </c:pt>
                <c:pt idx="1666">
                  <c:v>7476.5404230549266</c:v>
                </c:pt>
                <c:pt idx="1667">
                  <c:v>7484.3435913587418</c:v>
                </c:pt>
                <c:pt idx="1668">
                  <c:v>7492.1494757944401</c:v>
                </c:pt>
                <c:pt idx="1669">
                  <c:v>7499.9580754163053</c:v>
                </c:pt>
                <c:pt idx="1670">
                  <c:v>7507.7693892795987</c:v>
                </c:pt>
                <c:pt idx="1671">
                  <c:v>7515.5834164405815</c:v>
                </c:pt>
                <c:pt idx="1672">
                  <c:v>7523.400155956484</c:v>
                </c:pt>
                <c:pt idx="1673">
                  <c:v>7531.2196068855264</c:v>
                </c:pt>
                <c:pt idx="1674">
                  <c:v>7539.0417682869202</c:v>
                </c:pt>
                <c:pt idx="1675">
                  <c:v>7546.8666392208361</c:v>
                </c:pt>
                <c:pt idx="1676">
                  <c:v>7554.6942187484419</c:v>
                </c:pt>
                <c:pt idx="1677">
                  <c:v>7562.5245059318622</c:v>
                </c:pt>
                <c:pt idx="1678">
                  <c:v>7570.3574998342201</c:v>
                </c:pt>
                <c:pt idx="1679">
                  <c:v>7578.1931995195864</c:v>
                </c:pt>
                <c:pt idx="1680">
                  <c:v>7586.0316040530188</c:v>
                </c:pt>
                <c:pt idx="1681">
                  <c:v>7593.8727125005398</c:v>
                </c:pt>
                <c:pt idx="1682">
                  <c:v>7601.7165239291353</c:v>
                </c:pt>
                <c:pt idx="1683">
                  <c:v>7609.5630374067641</c:v>
                </c:pt>
                <c:pt idx="1684">
                  <c:v>7617.4122520023484</c:v>
                </c:pt>
                <c:pt idx="1685">
                  <c:v>7625.2641667857652</c:v>
                </c:pt>
                <c:pt idx="1686">
                  <c:v>7633.1187808278637</c:v>
                </c:pt>
                <c:pt idx="1687">
                  <c:v>7640.9760932004465</c:v>
                </c:pt>
                <c:pt idx="1688">
                  <c:v>7648.8361029762727</c:v>
                </c:pt>
                <c:pt idx="1689">
                  <c:v>7656.6988092290521</c:v>
                </c:pt>
                <c:pt idx="1690">
                  <c:v>7664.5642110334684</c:v>
                </c:pt>
                <c:pt idx="1691">
                  <c:v>7672.4323074651356</c:v>
                </c:pt>
                <c:pt idx="1692">
                  <c:v>7680.3030976006348</c:v>
                </c:pt>
                <c:pt idx="1693">
                  <c:v>7688.1765805174837</c:v>
                </c:pt>
                <c:pt idx="1694">
                  <c:v>7696.0527552941612</c:v>
                </c:pt>
                <c:pt idx="1695">
                  <c:v>7703.9316210100787</c:v>
                </c:pt>
                <c:pt idx="1696">
                  <c:v>7711.8131767456043</c:v>
                </c:pt>
                <c:pt idx="1697">
                  <c:v>7719.697421582041</c:v>
                </c:pt>
                <c:pt idx="1698">
                  <c:v>7727.5843546016376</c:v>
                </c:pt>
                <c:pt idx="1699">
                  <c:v>7735.47397488758</c:v>
                </c:pt>
                <c:pt idx="1700">
                  <c:v>7743.3662815239868</c:v>
                </c:pt>
                <c:pt idx="1701">
                  <c:v>7751.2612735959365</c:v>
                </c:pt>
                <c:pt idx="1702">
                  <c:v>7759.1589501894059</c:v>
                </c:pt>
                <c:pt idx="1703">
                  <c:v>7767.0593103913388</c:v>
                </c:pt>
                <c:pt idx="1704">
                  <c:v>7774.9623532895903</c:v>
                </c:pt>
                <c:pt idx="1705">
                  <c:v>7782.8680779729502</c:v>
                </c:pt>
                <c:pt idx="1706">
                  <c:v>7790.7764835311482</c:v>
                </c:pt>
                <c:pt idx="1707">
                  <c:v>7798.687569054825</c:v>
                </c:pt>
                <c:pt idx="1708">
                  <c:v>7806.6013336355527</c:v>
                </c:pt>
                <c:pt idx="1709">
                  <c:v>7814.5177763658266</c:v>
                </c:pt>
                <c:pt idx="1710">
                  <c:v>7822.4368963390698</c:v>
                </c:pt>
                <c:pt idx="1711">
                  <c:v>7830.3586926496228</c:v>
                </c:pt>
                <c:pt idx="1712">
                  <c:v>7838.2831643927429</c:v>
                </c:pt>
                <c:pt idx="1713">
                  <c:v>7846.2103106646091</c:v>
                </c:pt>
                <c:pt idx="1714">
                  <c:v>7854.1401305623067</c:v>
                </c:pt>
                <c:pt idx="1715">
                  <c:v>7862.072623183848</c:v>
                </c:pt>
                <c:pt idx="1716">
                  <c:v>7870.007787628153</c:v>
                </c:pt>
                <c:pt idx="1717">
                  <c:v>7877.9456229950583</c:v>
                </c:pt>
                <c:pt idx="1718">
                  <c:v>7885.886128385293</c:v>
                </c:pt>
                <c:pt idx="1719">
                  <c:v>7893.8293029005217</c:v>
                </c:pt>
                <c:pt idx="1720">
                  <c:v>7901.7751456432889</c:v>
                </c:pt>
                <c:pt idx="1721">
                  <c:v>7909.7236557170663</c:v>
                </c:pt>
                <c:pt idx="1722">
                  <c:v>7917.6748322262165</c:v>
                </c:pt>
                <c:pt idx="1723">
                  <c:v>7925.628674276003</c:v>
                </c:pt>
                <c:pt idx="1724">
                  <c:v>7933.5851809726009</c:v>
                </c:pt>
                <c:pt idx="1725">
                  <c:v>7941.5443514230765</c:v>
                </c:pt>
                <c:pt idx="1726">
                  <c:v>7949.5061847353963</c:v>
                </c:pt>
                <c:pt idx="1727">
                  <c:v>7957.4706800184194</c:v>
                </c:pt>
                <c:pt idx="1728">
                  <c:v>7965.4378363819087</c:v>
                </c:pt>
                <c:pt idx="1729">
                  <c:v>7973.4076529365102</c:v>
                </c:pt>
                <c:pt idx="1730">
                  <c:v>7981.3801287937704</c:v>
                </c:pt>
                <c:pt idx="1731">
                  <c:v>7989.3552630661197</c:v>
                </c:pt>
                <c:pt idx="1732">
                  <c:v>7997.33305486687</c:v>
                </c:pt>
                <c:pt idx="1733">
                  <c:v>8005.3135033102462</c:v>
                </c:pt>
                <c:pt idx="1734">
                  <c:v>8013.2966075113281</c:v>
                </c:pt>
                <c:pt idx="1735">
                  <c:v>8021.282366586106</c:v>
                </c:pt>
                <c:pt idx="1736">
                  <c:v>8029.2707796514333</c:v>
                </c:pt>
                <c:pt idx="1737">
                  <c:v>8037.2618458250581</c:v>
                </c:pt>
                <c:pt idx="1738">
                  <c:v>8045.2555642255984</c:v>
                </c:pt>
                <c:pt idx="1739">
                  <c:v>8053.2519339725577</c:v>
                </c:pt>
                <c:pt idx="1740">
                  <c:v>8061.2509541863183</c:v>
                </c:pt>
                <c:pt idx="1741">
                  <c:v>8069.2526239881217</c:v>
                </c:pt>
                <c:pt idx="1742">
                  <c:v>8077.2569425001138</c:v>
                </c:pt>
                <c:pt idx="1743">
                  <c:v>8085.2639088452825</c:v>
                </c:pt>
                <c:pt idx="1744">
                  <c:v>8093.2735221475032</c:v>
                </c:pt>
                <c:pt idx="1745">
                  <c:v>8101.2857815315183</c:v>
                </c:pt>
                <c:pt idx="1746">
                  <c:v>8109.3006861229351</c:v>
                </c:pt>
                <c:pt idx="1747">
                  <c:v>8117.3182350482339</c:v>
                </c:pt>
                <c:pt idx="1748">
                  <c:v>8125.3384274347518</c:v>
                </c:pt>
                <c:pt idx="1749">
                  <c:v>8133.3612624107018</c:v>
                </c:pt>
                <c:pt idx="1750">
                  <c:v>8141.3867391051481</c:v>
                </c:pt>
                <c:pt idx="1751">
                  <c:v>8149.414856648028</c:v>
                </c:pt>
                <c:pt idx="1752">
                  <c:v>8157.4456141701221</c:v>
                </c:pt>
                <c:pt idx="1753">
                  <c:v>8165.4790108030847</c:v>
                </c:pt>
                <c:pt idx="1754">
                  <c:v>8173.5150456794136</c:v>
                </c:pt>
                <c:pt idx="1755">
                  <c:v>8181.5537179324792</c:v>
                </c:pt>
                <c:pt idx="1756">
                  <c:v>8189.5950266964901</c:v>
                </c:pt>
                <c:pt idx="1757">
                  <c:v>8197.6389711065167</c:v>
                </c:pt>
                <c:pt idx="1758">
                  <c:v>8205.6855502984781</c:v>
                </c:pt>
                <c:pt idx="1759">
                  <c:v>8213.7347634091366</c:v>
                </c:pt>
                <c:pt idx="1760">
                  <c:v>8221.7866095761201</c:v>
                </c:pt>
                <c:pt idx="1761">
                  <c:v>8229.8410879378825</c:v>
                </c:pt>
                <c:pt idx="1762">
                  <c:v>8237.8981976337418</c:v>
                </c:pt>
                <c:pt idx="1763">
                  <c:v>8245.9579378038525</c:v>
                </c:pt>
                <c:pt idx="1764">
                  <c:v>8254.0203075892059</c:v>
                </c:pt>
                <c:pt idx="1765">
                  <c:v>8262.0853061316502</c:v>
                </c:pt>
                <c:pt idx="1766">
                  <c:v>8270.1529325738502</c:v>
                </c:pt>
                <c:pt idx="1767">
                  <c:v>8278.2231860593438</c:v>
                </c:pt>
                <c:pt idx="1768">
                  <c:v>8286.2960657324711</c:v>
                </c:pt>
                <c:pt idx="1769">
                  <c:v>8294.3715707384326</c:v>
                </c:pt>
                <c:pt idx="1770">
                  <c:v>8302.4497002232492</c:v>
                </c:pt>
                <c:pt idx="1771">
                  <c:v>8310.530453333784</c:v>
                </c:pt>
                <c:pt idx="1772">
                  <c:v>8318.6138292177347</c:v>
                </c:pt>
                <c:pt idx="1773">
                  <c:v>8326.6998270236109</c:v>
                </c:pt>
                <c:pt idx="1774">
                  <c:v>8334.7884459007782</c:v>
                </c:pt>
                <c:pt idx="1775">
                  <c:v>8342.8796849994033</c:v>
                </c:pt>
                <c:pt idx="1776">
                  <c:v>8350.9735434705071</c:v>
                </c:pt>
                <c:pt idx="1777">
                  <c:v>8359.0700204659133</c:v>
                </c:pt>
                <c:pt idx="1778">
                  <c:v>8367.169115138282</c:v>
                </c:pt>
                <c:pt idx="1779">
                  <c:v>8375.2708266410864</c:v>
                </c:pt>
                <c:pt idx="1780">
                  <c:v>8383.3751541286365</c:v>
                </c:pt>
                <c:pt idx="1781">
                  <c:v>8391.4820967560445</c:v>
                </c:pt>
                <c:pt idx="1782">
                  <c:v>8399.5916536792447</c:v>
                </c:pt>
                <c:pt idx="1783">
                  <c:v>8407.7038240550082</c:v>
                </c:pt>
                <c:pt idx="1784">
                  <c:v>8415.8186070408956</c:v>
                </c:pt>
                <c:pt idx="1785">
                  <c:v>8423.9360017952968</c:v>
                </c:pt>
                <c:pt idx="1786">
                  <c:v>8432.0560074774166</c:v>
                </c:pt>
                <c:pt idx="1787">
                  <c:v>8440.1786232472587</c:v>
                </c:pt>
                <c:pt idx="1788">
                  <c:v>8448.3038482656575</c:v>
                </c:pt>
                <c:pt idx="1789">
                  <c:v>8456.4316816942282</c:v>
                </c:pt>
                <c:pt idx="1790">
                  <c:v>8464.5621226954318</c:v>
                </c:pt>
                <c:pt idx="1791">
                  <c:v>8472.6951704325038</c:v>
                </c:pt>
                <c:pt idx="1792">
                  <c:v>8480.8308240695023</c:v>
                </c:pt>
                <c:pt idx="1793">
                  <c:v>8488.9690827712839</c:v>
                </c:pt>
                <c:pt idx="1794">
                  <c:v>8497.109945703507</c:v>
                </c:pt>
                <c:pt idx="1795">
                  <c:v>8505.2534120326363</c:v>
                </c:pt>
                <c:pt idx="1796">
                  <c:v>8513.3994809259311</c:v>
                </c:pt>
                <c:pt idx="1797">
                  <c:v>8521.5481515514621</c:v>
                </c:pt>
                <c:pt idx="1798">
                  <c:v>8529.6994230780765</c:v>
                </c:pt>
                <c:pt idx="1799">
                  <c:v>8537.8532946754458</c:v>
                </c:pt>
                <c:pt idx="1800">
                  <c:v>8546.0097655140016</c:v>
                </c:pt>
                <c:pt idx="1801">
                  <c:v>8554.1688347650106</c:v>
                </c:pt>
                <c:pt idx="1802">
                  <c:v>8562.3305016004942</c:v>
                </c:pt>
                <c:pt idx="1803">
                  <c:v>8570.494765193298</c:v>
                </c:pt>
                <c:pt idx="1804">
                  <c:v>8578.6616247170277</c:v>
                </c:pt>
                <c:pt idx="1805">
                  <c:v>8586.8310793461078</c:v>
                </c:pt>
                <c:pt idx="1806">
                  <c:v>8595.0031282557211</c:v>
                </c:pt>
                <c:pt idx="1807">
                  <c:v>8603.17777062186</c:v>
                </c:pt>
                <c:pt idx="1808">
                  <c:v>8611.3550056212862</c:v>
                </c:pt>
                <c:pt idx="1809">
                  <c:v>8619.5348324315601</c:v>
                </c:pt>
                <c:pt idx="1810">
                  <c:v>8627.717250231015</c:v>
                </c:pt>
                <c:pt idx="1811">
                  <c:v>8635.9022581987647</c:v>
                </c:pt>
                <c:pt idx="1812">
                  <c:v>8644.0898555147105</c:v>
                </c:pt>
                <c:pt idx="1813">
                  <c:v>8652.2800413595305</c:v>
                </c:pt>
                <c:pt idx="1814">
                  <c:v>8660.4728149146686</c:v>
                </c:pt>
                <c:pt idx="1815">
                  <c:v>8668.6681753623707</c:v>
                </c:pt>
                <c:pt idx="1816">
                  <c:v>8676.8661218856287</c:v>
                </c:pt>
                <c:pt idx="1817">
                  <c:v>8685.0666536682329</c:v>
                </c:pt>
                <c:pt idx="1818">
                  <c:v>8693.2697698947268</c:v>
                </c:pt>
                <c:pt idx="1819">
                  <c:v>8701.4754697504504</c:v>
                </c:pt>
                <c:pt idx="1820">
                  <c:v>8709.6837524214825</c:v>
                </c:pt>
                <c:pt idx="1821">
                  <c:v>8717.8946170946947</c:v>
                </c:pt>
                <c:pt idx="1822">
                  <c:v>8726.1080629577245</c:v>
                </c:pt>
                <c:pt idx="1823">
                  <c:v>8734.3240891989626</c:v>
                </c:pt>
                <c:pt idx="1824">
                  <c:v>8742.5426950075816</c:v>
                </c:pt>
                <c:pt idx="1825">
                  <c:v>8750.763879573502</c:v>
                </c:pt>
                <c:pt idx="1826">
                  <c:v>8758.9876420874225</c:v>
                </c:pt>
                <c:pt idx="1827">
                  <c:v>8767.2139817408006</c:v>
                </c:pt>
                <c:pt idx="1828">
                  <c:v>8775.4428977258503</c:v>
                </c:pt>
                <c:pt idx="1829">
                  <c:v>8783.6743892355407</c:v>
                </c:pt>
                <c:pt idx="1830">
                  <c:v>8791.9084554636083</c:v>
                </c:pt>
                <c:pt idx="1831">
                  <c:v>8800.1450956045464</c:v>
                </c:pt>
                <c:pt idx="1832">
                  <c:v>8808.3843088536032</c:v>
                </c:pt>
                <c:pt idx="1833">
                  <c:v>8816.6260944067744</c:v>
                </c:pt>
                <c:pt idx="1834">
                  <c:v>8824.870451460818</c:v>
                </c:pt>
                <c:pt idx="1835">
                  <c:v>8833.1173792132467</c:v>
                </c:pt>
                <c:pt idx="1836">
                  <c:v>8841.3668768623083</c:v>
                </c:pt>
                <c:pt idx="1837">
                  <c:v>8849.6189436070308</c:v>
                </c:pt>
                <c:pt idx="1838">
                  <c:v>8857.8735786471552</c:v>
                </c:pt>
                <c:pt idx="1839">
                  <c:v>8866.1307811831975</c:v>
                </c:pt>
                <c:pt idx="1840">
                  <c:v>8874.3905504164068</c:v>
                </c:pt>
                <c:pt idx="1841">
                  <c:v>8882.6528855487795</c:v>
                </c:pt>
                <c:pt idx="1842">
                  <c:v>8890.9177857830655</c:v>
                </c:pt>
                <c:pt idx="1843">
                  <c:v>8899.1852503227456</c:v>
                </c:pt>
                <c:pt idx="1844">
                  <c:v>8907.4552783720519</c:v>
                </c:pt>
                <c:pt idx="1845">
                  <c:v>8915.7278691359443</c:v>
                </c:pt>
                <c:pt idx="1846">
                  <c:v>8924.0030218201427</c:v>
                </c:pt>
                <c:pt idx="1847">
                  <c:v>8932.2807356310932</c:v>
                </c:pt>
                <c:pt idx="1848">
                  <c:v>8940.5610097759727</c:v>
                </c:pt>
                <c:pt idx="1849">
                  <c:v>8948.8438434627078</c:v>
                </c:pt>
                <c:pt idx="1850">
                  <c:v>8957.1292358999563</c:v>
                </c:pt>
                <c:pt idx="1851">
                  <c:v>8965.417186297107</c:v>
                </c:pt>
                <c:pt idx="1852">
                  <c:v>8973.7076938642786</c:v>
                </c:pt>
                <c:pt idx="1853">
                  <c:v>8982.000757812335</c:v>
                </c:pt>
                <c:pt idx="1854">
                  <c:v>8990.29637735285</c:v>
                </c:pt>
                <c:pt idx="1855">
                  <c:v>8998.5945516981574</c:v>
                </c:pt>
                <c:pt idx="1856">
                  <c:v>9006.8952800612806</c:v>
                </c:pt>
                <c:pt idx="1857">
                  <c:v>9015.1985616559978</c:v>
                </c:pt>
                <c:pt idx="1858">
                  <c:v>9023.5043956968111</c:v>
                </c:pt>
                <c:pt idx="1859">
                  <c:v>9031.8127813989286</c:v>
                </c:pt>
                <c:pt idx="1860">
                  <c:v>9040.1237179783129</c:v>
                </c:pt>
                <c:pt idx="1861">
                  <c:v>9048.4372046516255</c:v>
                </c:pt>
                <c:pt idx="1862">
                  <c:v>9056.7532406362607</c:v>
                </c:pt>
                <c:pt idx="1863">
                  <c:v>9065.0718251503167</c:v>
                </c:pt>
                <c:pt idx="1864">
                  <c:v>9073.392957412636</c:v>
                </c:pt>
                <c:pt idx="1865">
                  <c:v>9081.7166366427646</c:v>
                </c:pt>
                <c:pt idx="1866">
                  <c:v>9090.0428620609709</c:v>
                </c:pt>
                <c:pt idx="1867">
                  <c:v>9098.3716328882292</c:v>
                </c:pt>
                <c:pt idx="1868">
                  <c:v>9106.7029483462375</c:v>
                </c:pt>
                <c:pt idx="1869">
                  <c:v>9115.0368076574159</c:v>
                </c:pt>
                <c:pt idx="1870">
                  <c:v>9123.3732100448815</c:v>
                </c:pt>
                <c:pt idx="1871">
                  <c:v>9131.7121547324787</c:v>
                </c:pt>
                <c:pt idx="1872">
                  <c:v>9140.0536409447395</c:v>
                </c:pt>
                <c:pt idx="1873">
                  <c:v>9148.3976679069274</c:v>
                </c:pt>
                <c:pt idx="1874">
                  <c:v>9156.7442348450168</c:v>
                </c:pt>
                <c:pt idx="1875">
                  <c:v>9165.0933409856552</c:v>
                </c:pt>
                <c:pt idx="1876">
                  <c:v>9173.4449855562525</c:v>
                </c:pt>
                <c:pt idx="1877">
                  <c:v>9181.7991677848713</c:v>
                </c:pt>
                <c:pt idx="1878">
                  <c:v>9190.1558869003056</c:v>
                </c:pt>
                <c:pt idx="1879">
                  <c:v>9198.5151421320388</c:v>
                </c:pt>
                <c:pt idx="1880">
                  <c:v>9206.87693271028</c:v>
                </c:pt>
                <c:pt idx="1881">
                  <c:v>9215.2412578659169</c:v>
                </c:pt>
                <c:pt idx="1882">
                  <c:v>9223.6081168305391</c:v>
                </c:pt>
                <c:pt idx="1883">
                  <c:v>9231.9775088364458</c:v>
                </c:pt>
                <c:pt idx="1884">
                  <c:v>9240.3494331166239</c:v>
                </c:pt>
                <c:pt idx="1885">
                  <c:v>9248.7238889047621</c:v>
                </c:pt>
                <c:pt idx="1886">
                  <c:v>9257.1008754352424</c:v>
                </c:pt>
                <c:pt idx="1887">
                  <c:v>9265.4803919431524</c:v>
                </c:pt>
                <c:pt idx="1888">
                  <c:v>9273.8624376642583</c:v>
                </c:pt>
                <c:pt idx="1889">
                  <c:v>9282.2470118350193</c:v>
                </c:pt>
                <c:pt idx="1890">
                  <c:v>9290.6341136926003</c:v>
                </c:pt>
                <c:pt idx="1891">
                  <c:v>9299.023742474832</c:v>
                </c:pt>
                <c:pt idx="1892">
                  <c:v>9307.415897420271</c:v>
                </c:pt>
                <c:pt idx="1893">
                  <c:v>9315.8105777681321</c:v>
                </c:pt>
                <c:pt idx="1894">
                  <c:v>9324.2077827583271</c:v>
                </c:pt>
                <c:pt idx="1895">
                  <c:v>9332.6075116314605</c:v>
                </c:pt>
                <c:pt idx="1896">
                  <c:v>9341.0097636288028</c:v>
                </c:pt>
                <c:pt idx="1897">
                  <c:v>9349.4145379923284</c:v>
                </c:pt>
                <c:pt idx="1898">
                  <c:v>9357.8218339646919</c:v>
                </c:pt>
                <c:pt idx="1899">
                  <c:v>9366.2316507892228</c:v>
                </c:pt>
                <c:pt idx="1900">
                  <c:v>9374.6439877099365</c:v>
                </c:pt>
                <c:pt idx="1901">
                  <c:v>9383.0588439715229</c:v>
                </c:pt>
                <c:pt idx="1902">
                  <c:v>9391.476218819369</c:v>
                </c:pt>
                <c:pt idx="1903">
                  <c:v>9399.8961114995091</c:v>
                </c:pt>
                <c:pt idx="1904">
                  <c:v>9408.3185212586832</c:v>
                </c:pt>
                <c:pt idx="1905">
                  <c:v>9416.7434473442991</c:v>
                </c:pt>
                <c:pt idx="1906">
                  <c:v>9425.1708890044283</c:v>
                </c:pt>
                <c:pt idx="1907">
                  <c:v>9433.6008454878283</c:v>
                </c:pt>
                <c:pt idx="1908">
                  <c:v>9442.0333160439222</c:v>
                </c:pt>
                <c:pt idx="1909">
                  <c:v>9450.4682999228207</c:v>
                </c:pt>
                <c:pt idx="1910">
                  <c:v>9458.9057963752821</c:v>
                </c:pt>
                <c:pt idx="1911">
                  <c:v>9467.3458046527539</c:v>
                </c:pt>
                <c:pt idx="1912">
                  <c:v>9475.7883240073461</c:v>
                </c:pt>
                <c:pt idx="1913">
                  <c:v>9484.2333536918359</c:v>
                </c:pt>
                <c:pt idx="1914">
                  <c:v>9492.6808929596609</c:v>
                </c:pt>
                <c:pt idx="1915">
                  <c:v>9501.1309410649428</c:v>
                </c:pt>
                <c:pt idx="1916">
                  <c:v>9509.5834972624471</c:v>
                </c:pt>
                <c:pt idx="1917">
                  <c:v>9518.0385608076285</c:v>
                </c:pt>
                <c:pt idx="1918">
                  <c:v>9526.4961309565697</c:v>
                </c:pt>
                <c:pt idx="1919">
                  <c:v>9534.9562069660515</c:v>
                </c:pt>
                <c:pt idx="1920">
                  <c:v>9543.4187880934969</c:v>
                </c:pt>
                <c:pt idx="1921">
                  <c:v>9551.8838735969948</c:v>
                </c:pt>
                <c:pt idx="1922">
                  <c:v>9560.3514627352852</c:v>
                </c:pt>
                <c:pt idx="1923">
                  <c:v>9568.8215547677737</c:v>
                </c:pt>
                <c:pt idx="1924">
                  <c:v>9577.2941489545301</c:v>
                </c:pt>
                <c:pt idx="1925">
                  <c:v>9585.7692445562607</c:v>
                </c:pt>
                <c:pt idx="1926">
                  <c:v>9594.2468408343429</c:v>
                </c:pt>
                <c:pt idx="1927">
                  <c:v>9602.726937050802</c:v>
                </c:pt>
                <c:pt idx="1928">
                  <c:v>9611.2095324683196</c:v>
                </c:pt>
                <c:pt idx="1929">
                  <c:v>9619.6946263502305</c:v>
                </c:pt>
                <c:pt idx="1930">
                  <c:v>9628.1822179605224</c:v>
                </c:pt>
                <c:pt idx="1931">
                  <c:v>9636.6723065638216</c:v>
                </c:pt>
                <c:pt idx="1932">
                  <c:v>9645.1648914254165</c:v>
                </c:pt>
                <c:pt idx="1933">
                  <c:v>9653.6599718112429</c:v>
                </c:pt>
                <c:pt idx="1934">
                  <c:v>9662.1575469878844</c:v>
                </c:pt>
                <c:pt idx="1935">
                  <c:v>9670.6576162225556</c:v>
                </c:pt>
                <c:pt idx="1936">
                  <c:v>9679.1601787831405</c:v>
                </c:pt>
                <c:pt idx="1937">
                  <c:v>9687.6652339381526</c:v>
                </c:pt>
                <c:pt idx="1938">
                  <c:v>9696.1727809567583</c:v>
                </c:pt>
                <c:pt idx="1939">
                  <c:v>9704.682819108757</c:v>
                </c:pt>
                <c:pt idx="1940">
                  <c:v>9713.1953476645995</c:v>
                </c:pt>
                <c:pt idx="1941">
                  <c:v>9721.7103658953656</c:v>
                </c:pt>
                <c:pt idx="1942">
                  <c:v>9730.2278730727849</c:v>
                </c:pt>
                <c:pt idx="1943">
                  <c:v>9738.747868469236</c:v>
                </c:pt>
                <c:pt idx="1944">
                  <c:v>9747.2703513577089</c:v>
                </c:pt>
                <c:pt idx="1945">
                  <c:v>9755.7953210118521</c:v>
                </c:pt>
                <c:pt idx="1946">
                  <c:v>9764.3227767059434</c:v>
                </c:pt>
                <c:pt idx="1947">
                  <c:v>9772.8527177148972</c:v>
                </c:pt>
                <c:pt idx="1948">
                  <c:v>9781.3851433142572</c:v>
                </c:pt>
                <c:pt idx="1949">
                  <c:v>9789.9200527802168</c:v>
                </c:pt>
                <c:pt idx="1950">
                  <c:v>9798.457445389573</c:v>
                </c:pt>
                <c:pt idx="1951">
                  <c:v>9806.9973204197959</c:v>
                </c:pt>
                <c:pt idx="1952">
                  <c:v>9815.5396771489286</c:v>
                </c:pt>
                <c:pt idx="1953">
                  <c:v>9824.0845148557146</c:v>
                </c:pt>
                <c:pt idx="1954">
                  <c:v>9832.6318328194593</c:v>
                </c:pt>
                <c:pt idx="1955">
                  <c:v>9841.1816303201467</c:v>
                </c:pt>
                <c:pt idx="1956">
                  <c:v>9849.7339066383611</c:v>
                </c:pt>
                <c:pt idx="1957">
                  <c:v>9858.2886610553123</c:v>
                </c:pt>
                <c:pt idx="1958">
                  <c:v>9866.8458928528526</c:v>
                </c:pt>
                <c:pt idx="1959">
                  <c:v>9875.405601313445</c:v>
                </c:pt>
                <c:pt idx="1960">
                  <c:v>9883.9677857201787</c:v>
                </c:pt>
                <c:pt idx="1961">
                  <c:v>9892.5324453567664</c:v>
                </c:pt>
                <c:pt idx="1962">
                  <c:v>9901.0995795075487</c:v>
                </c:pt>
                <c:pt idx="1963">
                  <c:v>9909.6691874574735</c:v>
                </c:pt>
                <c:pt idx="1964">
                  <c:v>9918.241268492111</c:v>
                </c:pt>
                <c:pt idx="1965">
                  <c:v>9926.8158218976696</c:v>
                </c:pt>
                <c:pt idx="1966">
                  <c:v>9935.3928469609509</c:v>
                </c:pt>
                <c:pt idx="1967">
                  <c:v>9943.9723429693913</c:v>
                </c:pt>
                <c:pt idx="1968">
                  <c:v>9952.5543092110256</c:v>
                </c:pt>
                <c:pt idx="1969">
                  <c:v>9961.1387449745289</c:v>
                </c:pt>
                <c:pt idx="1970">
                  <c:v>9969.7256495491674</c:v>
                </c:pt>
                <c:pt idx="1971">
                  <c:v>9978.315022224835</c:v>
                </c:pt>
                <c:pt idx="1972">
                  <c:v>9986.9068622920295</c:v>
                </c:pt>
                <c:pt idx="1973">
                  <c:v>9995.5011690418651</c:v>
                </c:pt>
                <c:pt idx="1974">
                  <c:v>10004.097941766069</c:v>
                </c:pt>
                <c:pt idx="1975">
                  <c:v>10012.697179756986</c:v>
                </c:pt>
                <c:pt idx="1976">
                  <c:v>10021.298882307539</c:v>
                </c:pt>
                <c:pt idx="1977">
                  <c:v>10029.903048711296</c:v>
                </c:pt>
                <c:pt idx="1978">
                  <c:v>10038.509678262419</c:v>
                </c:pt>
                <c:pt idx="1979">
                  <c:v>10047.118770255662</c:v>
                </c:pt>
                <c:pt idx="1980">
                  <c:v>10055.730323986409</c:v>
                </c:pt>
                <c:pt idx="1981">
                  <c:v>10064.344338750634</c:v>
                </c:pt>
                <c:pt idx="1982">
                  <c:v>10072.960813844918</c:v>
                </c:pt>
                <c:pt idx="1983">
                  <c:v>10081.579748566444</c:v>
                </c:pt>
                <c:pt idx="1984">
                  <c:v>10090.201142213</c:v>
                </c:pt>
                <c:pt idx="1985">
                  <c:v>10098.824994082981</c:v>
                </c:pt>
                <c:pt idx="1986">
                  <c:v>10107.451303475369</c:v>
                </c:pt>
                <c:pt idx="1987">
                  <c:v>10116.080069689751</c:v>
                </c:pt>
                <c:pt idx="1988">
                  <c:v>10124.711292026324</c:v>
                </c:pt>
                <c:pt idx="1989">
                  <c:v>10133.344969785865</c:v>
                </c:pt>
                <c:pt idx="1990">
                  <c:v>10141.981102269765</c:v>
                </c:pt>
                <c:pt idx="1991">
                  <c:v>10150.619688779992</c:v>
                </c:pt>
                <c:pt idx="1992">
                  <c:v>10159.260728619136</c:v>
                </c:pt>
                <c:pt idx="1993">
                  <c:v>10167.904221090348</c:v>
                </c:pt>
                <c:pt idx="1994">
                  <c:v>10176.550165497407</c:v>
                </c:pt>
                <c:pt idx="1995">
                  <c:v>10185.198561144658</c:v>
                </c:pt>
                <c:pt idx="1996">
                  <c:v>10193.947826404126</c:v>
                </c:pt>
                <c:pt idx="1997">
                  <c:v>10202.601147329542</c:v>
                </c:pt>
                <c:pt idx="1998">
                  <c:v>10211.256917405479</c:v>
                </c:pt>
                <c:pt idx="1999">
                  <c:v>10219.915135938671</c:v>
                </c:pt>
                <c:pt idx="2000">
                  <c:v>10228.575802236423</c:v>
                </c:pt>
                <c:pt idx="2001">
                  <c:v>10237.238915606647</c:v>
                </c:pt>
                <c:pt idx="2002">
                  <c:v>10245.904475357818</c:v>
                </c:pt>
                <c:pt idx="2003">
                  <c:v>10254.572480799017</c:v>
                </c:pt>
                <c:pt idx="2004">
                  <c:v>10263.242931239904</c:v>
                </c:pt>
                <c:pt idx="2005">
                  <c:v>10271.915825990724</c:v>
                </c:pt>
                <c:pt idx="2006">
                  <c:v>10280.591164362302</c:v>
                </c:pt>
                <c:pt idx="2007">
                  <c:v>10289.268945666052</c:v>
                </c:pt>
                <c:pt idx="2008">
                  <c:v>10297.949169213964</c:v>
                </c:pt>
                <c:pt idx="2009">
                  <c:v>10306.631834318609</c:v>
                </c:pt>
                <c:pt idx="2010">
                  <c:v>10315.316940293151</c:v>
                </c:pt>
                <c:pt idx="2011">
                  <c:v>10324.004486451318</c:v>
                </c:pt>
                <c:pt idx="2012">
                  <c:v>10332.694472107427</c:v>
                </c:pt>
                <c:pt idx="2013">
                  <c:v>10341.386896576372</c:v>
                </c:pt>
                <c:pt idx="2014">
                  <c:v>10350.081759173609</c:v>
                </c:pt>
                <c:pt idx="2015">
                  <c:v>10358.7790592152</c:v>
                </c:pt>
                <c:pt idx="2016">
                  <c:v>10367.478796017745</c:v>
                </c:pt>
                <c:pt idx="2017">
                  <c:v>10376.180968898469</c:v>
                </c:pt>
                <c:pt idx="2018">
                  <c:v>10384.885577175111</c:v>
                </c:pt>
                <c:pt idx="2019">
                  <c:v>10393.592620166033</c:v>
                </c:pt>
                <c:pt idx="2020">
                  <c:v>10402.302097190142</c:v>
                </c:pt>
                <c:pt idx="2021">
                  <c:v>10411.014007566928</c:v>
                </c:pt>
                <c:pt idx="2022">
                  <c:v>10419.728350616455</c:v>
                </c:pt>
                <c:pt idx="2023">
                  <c:v>10428.445125659331</c:v>
                </c:pt>
                <c:pt idx="2024">
                  <c:v>10437.164332016768</c:v>
                </c:pt>
                <c:pt idx="2025">
                  <c:v>10445.885969010527</c:v>
                </c:pt>
                <c:pt idx="2026">
                  <c:v>10454.610035962944</c:v>
                </c:pt>
                <c:pt idx="2027">
                  <c:v>10463.336532196912</c:v>
                </c:pt>
                <c:pt idx="2028">
                  <c:v>10472.0654570359</c:v>
                </c:pt>
                <c:pt idx="2029">
                  <c:v>10480.796809803938</c:v>
                </c:pt>
                <c:pt idx="2030">
                  <c:v>10489.530589825627</c:v>
                </c:pt>
                <c:pt idx="2031">
                  <c:v>10498.26679642612</c:v>
                </c:pt>
                <c:pt idx="2032">
                  <c:v>10507.005428931139</c:v>
                </c:pt>
                <c:pt idx="2033">
                  <c:v>10515.746486666971</c:v>
                </c:pt>
                <c:pt idx="2034">
                  <c:v>10524.489968960452</c:v>
                </c:pt>
                <c:pt idx="2035">
                  <c:v>10533.235875138997</c:v>
                </c:pt>
                <c:pt idx="2036">
                  <c:v>10541.984204530567</c:v>
                </c:pt>
                <c:pt idx="2037">
                  <c:v>10550.73495646369</c:v>
                </c:pt>
                <c:pt idx="2038">
                  <c:v>10559.488130267448</c:v>
                </c:pt>
                <c:pt idx="2039">
                  <c:v>10568.243725271479</c:v>
                </c:pt>
                <c:pt idx="2040">
                  <c:v>10577.001740805981</c:v>
                </c:pt>
                <c:pt idx="2041">
                  <c:v>10585.762176201702</c:v>
                </c:pt>
                <c:pt idx="2042">
                  <c:v>10594.525030789959</c:v>
                </c:pt>
                <c:pt idx="2043">
                  <c:v>10603.290303902606</c:v>
                </c:pt>
                <c:pt idx="2044">
                  <c:v>10612.057994872068</c:v>
                </c:pt>
                <c:pt idx="2045">
                  <c:v>10620.828103031297</c:v>
                </c:pt>
                <c:pt idx="2046">
                  <c:v>10629.600627713835</c:v>
                </c:pt>
                <c:pt idx="2047">
                  <c:v>10638.375568253736</c:v>
                </c:pt>
                <c:pt idx="2048">
                  <c:v>10647.152923985628</c:v>
                </c:pt>
                <c:pt idx="2049">
                  <c:v>10655.932694244682</c:v>
                </c:pt>
                <c:pt idx="2050">
                  <c:v>10664.714878366623</c:v>
                </c:pt>
                <c:pt idx="2051">
                  <c:v>10673.499475687724</c:v>
                </c:pt>
                <c:pt idx="2052">
                  <c:v>10682.286485544793</c:v>
                </c:pt>
                <c:pt idx="2053">
                  <c:v>10691.075907275199</c:v>
                </c:pt>
                <c:pt idx="2054">
                  <c:v>10699.867740216852</c:v>
                </c:pt>
                <c:pt idx="2055">
                  <c:v>10708.661983708202</c:v>
                </c:pt>
                <c:pt idx="2056">
                  <c:v>10717.458637088255</c:v>
                </c:pt>
                <c:pt idx="2057">
                  <c:v>10726.257699696554</c:v>
                </c:pt>
                <c:pt idx="2058">
                  <c:v>10735.059170873179</c:v>
                </c:pt>
                <c:pt idx="2059">
                  <c:v>10743.863049958762</c:v>
                </c:pt>
                <c:pt idx="2060">
                  <c:v>10752.669336294482</c:v>
                </c:pt>
                <c:pt idx="2061">
                  <c:v>10761.478029222031</c:v>
                </c:pt>
                <c:pt idx="2062">
                  <c:v>10770.289128083679</c:v>
                </c:pt>
                <c:pt idx="2063">
                  <c:v>10779.102632222201</c:v>
                </c:pt>
                <c:pt idx="2064">
                  <c:v>10787.918540980936</c:v>
                </c:pt>
                <c:pt idx="2065">
                  <c:v>10796.736853703751</c:v>
                </c:pt>
                <c:pt idx="2066">
                  <c:v>10805.557569735041</c:v>
                </c:pt>
                <c:pt idx="2067">
                  <c:v>10814.380688419755</c:v>
                </c:pt>
                <c:pt idx="2068">
                  <c:v>10823.206209103362</c:v>
                </c:pt>
                <c:pt idx="2069">
                  <c:v>10832.034131131881</c:v>
                </c:pt>
                <c:pt idx="2070">
                  <c:v>10840.864453851849</c:v>
                </c:pt>
                <c:pt idx="2071">
                  <c:v>10849.697176610358</c:v>
                </c:pt>
                <c:pt idx="2072">
                  <c:v>10858.532298754997</c:v>
                </c:pt>
                <c:pt idx="2073">
                  <c:v>10867.369819633928</c:v>
                </c:pt>
                <c:pt idx="2074">
                  <c:v>10876.20973859582</c:v>
                </c:pt>
                <c:pt idx="2075">
                  <c:v>10885.052054989874</c:v>
                </c:pt>
                <c:pt idx="2076">
                  <c:v>10893.896768165829</c:v>
                </c:pt>
                <c:pt idx="2077">
                  <c:v>10902.743877473946</c:v>
                </c:pt>
                <c:pt idx="2078">
                  <c:v>10911.59338226502</c:v>
                </c:pt>
                <c:pt idx="2079">
                  <c:v>10920.445281890372</c:v>
                </c:pt>
                <c:pt idx="2080">
                  <c:v>10929.299575701843</c:v>
                </c:pt>
                <c:pt idx="2081">
                  <c:v>10938.156263051816</c:v>
                </c:pt>
                <c:pt idx="2082">
                  <c:v>10947.015343293182</c:v>
                </c:pt>
                <c:pt idx="2083">
                  <c:v>10955.876815779371</c:v>
                </c:pt>
                <c:pt idx="2084">
                  <c:v>10964.740679864326</c:v>
                </c:pt>
                <c:pt idx="2085">
                  <c:v>10973.606934902522</c:v>
                </c:pt>
                <c:pt idx="2086">
                  <c:v>10982.475580248949</c:v>
                </c:pt>
                <c:pt idx="2087">
                  <c:v>10991.346615259125</c:v>
                </c:pt>
                <c:pt idx="2088">
                  <c:v>11000.220039289085</c:v>
                </c:pt>
                <c:pt idx="2089">
                  <c:v>11009.095851695391</c:v>
                </c:pt>
                <c:pt idx="2090">
                  <c:v>11017.974051835119</c:v>
                </c:pt>
                <c:pt idx="2091">
                  <c:v>11026.854639065861</c:v>
                </c:pt>
                <c:pt idx="2092">
                  <c:v>11035.737612745739</c:v>
                </c:pt>
                <c:pt idx="2093">
                  <c:v>11044.622972233396</c:v>
                </c:pt>
                <c:pt idx="2094">
                  <c:v>11053.510716887962</c:v>
                </c:pt>
                <c:pt idx="2095">
                  <c:v>11062.400846069111</c:v>
                </c:pt>
                <c:pt idx="2096">
                  <c:v>11071.293359137035</c:v>
                </c:pt>
                <c:pt idx="2097">
                  <c:v>11080.188255452422</c:v>
                </c:pt>
                <c:pt idx="2098">
                  <c:v>11089.085534376489</c:v>
                </c:pt>
                <c:pt idx="2099">
                  <c:v>11097.985195270954</c:v>
                </c:pt>
                <c:pt idx="2100">
                  <c:v>11106.887237498066</c:v>
                </c:pt>
                <c:pt idx="2101">
                  <c:v>11115.791660420567</c:v>
                </c:pt>
                <c:pt idx="2102">
                  <c:v>11124.698463401726</c:v>
                </c:pt>
                <c:pt idx="2103">
                  <c:v>11133.607645805308</c:v>
                </c:pt>
                <c:pt idx="2104">
                  <c:v>11142.519206995605</c:v>
                </c:pt>
                <c:pt idx="2105">
                  <c:v>11151.433146337409</c:v>
                </c:pt>
                <c:pt idx="2106">
                  <c:v>11160.349463196026</c:v>
                </c:pt>
                <c:pt idx="2107">
                  <c:v>11169.268156937249</c:v>
                </c:pt>
                <c:pt idx="2108">
                  <c:v>11178.189226927412</c:v>
                </c:pt>
                <c:pt idx="2109">
                  <c:v>11187.112672533329</c:v>
                </c:pt>
                <c:pt idx="2110">
                  <c:v>11196.038493122347</c:v>
                </c:pt>
                <c:pt idx="2111">
                  <c:v>11204.966688062281</c:v>
                </c:pt>
                <c:pt idx="2112">
                  <c:v>11213.897256721488</c:v>
                </c:pt>
                <c:pt idx="2113">
                  <c:v>11222.830198468811</c:v>
                </c:pt>
                <c:pt idx="2114">
                  <c:v>11231.765512673586</c:v>
                </c:pt>
                <c:pt idx="2115">
                  <c:v>11240.703198705678</c:v>
                </c:pt>
                <c:pt idx="2116">
                  <c:v>11249.643255935433</c:v>
                </c:pt>
                <c:pt idx="2117">
                  <c:v>11258.585683733712</c:v>
                </c:pt>
                <c:pt idx="2118">
                  <c:v>11267.53048147186</c:v>
                </c:pt>
                <c:pt idx="2119">
                  <c:v>11276.477648521743</c:v>
                </c:pt>
                <c:pt idx="2120">
                  <c:v>11285.42718425571</c:v>
                </c:pt>
                <c:pt idx="2121">
                  <c:v>11294.379088046624</c:v>
                </c:pt>
                <c:pt idx="2122">
                  <c:v>11303.333359267826</c:v>
                </c:pt>
                <c:pt idx="2123">
                  <c:v>11312.289997293177</c:v>
                </c:pt>
                <c:pt idx="2124">
                  <c:v>11321.249001497014</c:v>
                </c:pt>
                <c:pt idx="2125">
                  <c:v>11330.210371254183</c:v>
                </c:pt>
                <c:pt idx="2126">
                  <c:v>11339.174105940019</c:v>
                </c:pt>
                <c:pt idx="2127">
                  <c:v>11348.140204930362</c:v>
                </c:pt>
                <c:pt idx="2128">
                  <c:v>11357.108667601533</c:v>
                </c:pt>
                <c:pt idx="2129">
                  <c:v>11366.079493330353</c:v>
                </c:pt>
                <c:pt idx="2130">
                  <c:v>11375.052681494142</c:v>
                </c:pt>
                <c:pt idx="2131">
                  <c:v>11384.028231470702</c:v>
                </c:pt>
                <c:pt idx="2132">
                  <c:v>11393.006142638325</c:v>
                </c:pt>
                <c:pt idx="2133">
                  <c:v>11401.986414375813</c:v>
                </c:pt>
                <c:pt idx="2134">
                  <c:v>11410.969046062426</c:v>
                </c:pt>
                <c:pt idx="2135">
                  <c:v>11419.95403707795</c:v>
                </c:pt>
                <c:pt idx="2136">
                  <c:v>11428.941386802633</c:v>
                </c:pt>
                <c:pt idx="2137">
                  <c:v>11437.931094617221</c:v>
                </c:pt>
                <c:pt idx="2138">
                  <c:v>11446.923159902948</c:v>
                </c:pt>
                <c:pt idx="2139">
                  <c:v>11455.917582041544</c:v>
                </c:pt>
                <c:pt idx="2140">
                  <c:v>11464.914360415203</c:v>
                </c:pt>
                <c:pt idx="2141">
                  <c:v>11473.913494406619</c:v>
                </c:pt>
                <c:pt idx="2142">
                  <c:v>11482.91498339898</c:v>
                </c:pt>
                <c:pt idx="2143">
                  <c:v>11491.918826775942</c:v>
                </c:pt>
                <c:pt idx="2144">
                  <c:v>11500.925023921654</c:v>
                </c:pt>
                <c:pt idx="2145">
                  <c:v>11509.933574220739</c:v>
                </c:pt>
                <c:pt idx="2146">
                  <c:v>11518.944477058318</c:v>
                </c:pt>
                <c:pt idx="2147">
                  <c:v>11527.957731819984</c:v>
                </c:pt>
                <c:pt idx="2148">
                  <c:v>11536.973337891806</c:v>
                </c:pt>
                <c:pt idx="2149">
                  <c:v>11545.991294660353</c:v>
                </c:pt>
                <c:pt idx="2150">
                  <c:v>11555.011601512651</c:v>
                </c:pt>
                <c:pt idx="2151">
                  <c:v>11564.034257836218</c:v>
                </c:pt>
                <c:pt idx="2152">
                  <c:v>11573.059263019049</c:v>
                </c:pt>
                <c:pt idx="2153">
                  <c:v>11582.086616449626</c:v>
                </c:pt>
                <c:pt idx="2154">
                  <c:v>11591.116317516889</c:v>
                </c:pt>
                <c:pt idx="2155">
                  <c:v>11600.148365610274</c:v>
                </c:pt>
                <c:pt idx="2156">
                  <c:v>11609.182760119678</c:v>
                </c:pt>
                <c:pt idx="2157">
                  <c:v>11618.219500435485</c:v>
                </c:pt>
                <c:pt idx="2158">
                  <c:v>11627.258585948553</c:v>
                </c:pt>
                <c:pt idx="2159">
                  <c:v>11636.300016050209</c:v>
                </c:pt>
                <c:pt idx="2160">
                  <c:v>11645.343790132256</c:v>
                </c:pt>
                <c:pt idx="2161">
                  <c:v>11654.389907586969</c:v>
                </c:pt>
                <c:pt idx="2162">
                  <c:v>11663.438367807101</c:v>
                </c:pt>
                <c:pt idx="2163">
                  <c:v>11672.489170185883</c:v>
                </c:pt>
                <c:pt idx="2164">
                  <c:v>11681.542314116989</c:v>
                </c:pt>
                <c:pt idx="2165">
                  <c:v>11690.597798994595</c:v>
                </c:pt>
                <c:pt idx="2166">
                  <c:v>11699.655624213336</c:v>
                </c:pt>
                <c:pt idx="2167">
                  <c:v>11708.715789168313</c:v>
                </c:pt>
                <c:pt idx="2168">
                  <c:v>11717.7782932551</c:v>
                </c:pt>
                <c:pt idx="2169">
                  <c:v>11726.84313586974</c:v>
                </c:pt>
                <c:pt idx="2170">
                  <c:v>11735.910316408734</c:v>
                </c:pt>
                <c:pt idx="2171">
                  <c:v>11744.97983426907</c:v>
                </c:pt>
                <c:pt idx="2172">
                  <c:v>11754.051688848194</c:v>
                </c:pt>
                <c:pt idx="2173">
                  <c:v>11763.125879543997</c:v>
                </c:pt>
                <c:pt idx="2174">
                  <c:v>11772.202405754868</c:v>
                </c:pt>
                <c:pt idx="2175">
                  <c:v>11781.281266879632</c:v>
                </c:pt>
                <c:pt idx="2176">
                  <c:v>11790.362462317615</c:v>
                </c:pt>
                <c:pt idx="2177">
                  <c:v>11799.44599146857</c:v>
                </c:pt>
                <c:pt idx="2178">
                  <c:v>11808.531853732729</c:v>
                </c:pt>
                <c:pt idx="2179">
                  <c:v>11817.620048510778</c:v>
                </c:pt>
                <c:pt idx="2180">
                  <c:v>11826.71057520389</c:v>
                </c:pt>
                <c:pt idx="2181">
                  <c:v>11835.803433213669</c:v>
                </c:pt>
                <c:pt idx="2182">
                  <c:v>11844.898621942179</c:v>
                </c:pt>
                <c:pt idx="2183">
                  <c:v>11853.996140791978</c:v>
                </c:pt>
                <c:pt idx="2184">
                  <c:v>11863.095989166053</c:v>
                </c:pt>
                <c:pt idx="2185">
                  <c:v>11872.198166467857</c:v>
                </c:pt>
                <c:pt idx="2186">
                  <c:v>11881.302672101301</c:v>
                </c:pt>
                <c:pt idx="2187">
                  <c:v>11890.409505470765</c:v>
                </c:pt>
                <c:pt idx="2188">
                  <c:v>11899.518665981073</c:v>
                </c:pt>
                <c:pt idx="2189">
                  <c:v>11908.630153037499</c:v>
                </c:pt>
                <c:pt idx="2190">
                  <c:v>11917.743966045802</c:v>
                </c:pt>
                <c:pt idx="2191">
                  <c:v>11926.860104412162</c:v>
                </c:pt>
                <c:pt idx="2192">
                  <c:v>11935.978567543232</c:v>
                </c:pt>
                <c:pt idx="2193">
                  <c:v>11945.099354846117</c:v>
                </c:pt>
                <c:pt idx="2194">
                  <c:v>11954.222465728386</c:v>
                </c:pt>
                <c:pt idx="2195">
                  <c:v>11963.347899598037</c:v>
                </c:pt>
                <c:pt idx="2196">
                  <c:v>11972.475655863544</c:v>
                </c:pt>
                <c:pt idx="2197">
                  <c:v>11981.605733933811</c:v>
                </c:pt>
                <c:pt idx="2198">
                  <c:v>11990.738133218219</c:v>
                </c:pt>
                <c:pt idx="2199">
                  <c:v>11999.872853126579</c:v>
                </c:pt>
                <c:pt idx="2200">
                  <c:v>12009.009893069146</c:v>
                </c:pt>
                <c:pt idx="2201">
                  <c:v>12018.149252456657</c:v>
                </c:pt>
                <c:pt idx="2202">
                  <c:v>12027.290930700268</c:v>
                </c:pt>
                <c:pt idx="2203">
                  <c:v>12036.434927211601</c:v>
                </c:pt>
                <c:pt idx="2204">
                  <c:v>12045.581241402713</c:v>
                </c:pt>
                <c:pt idx="2205">
                  <c:v>12054.729872686117</c:v>
                </c:pt>
                <c:pt idx="2206">
                  <c:v>12063.880820474773</c:v>
                </c:pt>
                <c:pt idx="2207">
                  <c:v>12073.034084182074</c:v>
                </c:pt>
                <c:pt idx="2208">
                  <c:v>12082.18966322188</c:v>
                </c:pt>
                <c:pt idx="2209">
                  <c:v>12091.34755700847</c:v>
                </c:pt>
                <c:pt idx="2210">
                  <c:v>12100.507764956596</c:v>
                </c:pt>
                <c:pt idx="2211">
                  <c:v>12109.670286481436</c:v>
                </c:pt>
                <c:pt idx="2212">
                  <c:v>12118.835120998621</c:v>
                </c:pt>
                <c:pt idx="2213">
                  <c:v>12128.002267924203</c:v>
                </c:pt>
                <c:pt idx="2214">
                  <c:v>12137.171726674713</c:v>
                </c:pt>
                <c:pt idx="2215">
                  <c:v>12146.343496667088</c:v>
                </c:pt>
                <c:pt idx="2216">
                  <c:v>12155.517577318727</c:v>
                </c:pt>
                <c:pt idx="2217">
                  <c:v>12164.693968047468</c:v>
                </c:pt>
                <c:pt idx="2218">
                  <c:v>12173.872668271573</c:v>
                </c:pt>
                <c:pt idx="2219">
                  <c:v>12183.053677409771</c:v>
                </c:pt>
                <c:pt idx="2220">
                  <c:v>12192.236994881197</c:v>
                </c:pt>
                <c:pt idx="2221">
                  <c:v>12201.422620105464</c:v>
                </c:pt>
                <c:pt idx="2222">
                  <c:v>12210.610552502578</c:v>
                </c:pt>
                <c:pt idx="2223">
                  <c:v>12219.800791493024</c:v>
                </c:pt>
                <c:pt idx="2224">
                  <c:v>12228.993336497682</c:v>
                </c:pt>
                <c:pt idx="2225">
                  <c:v>12238.18818693791</c:v>
                </c:pt>
                <c:pt idx="2226">
                  <c:v>12247.385342235479</c:v>
                </c:pt>
                <c:pt idx="2227">
                  <c:v>12256.584801812596</c:v>
                </c:pt>
                <c:pt idx="2228">
                  <c:v>12265.786565091898</c:v>
                </c:pt>
                <c:pt idx="2229">
                  <c:v>12274.990631496476</c:v>
                </c:pt>
                <c:pt idx="2230">
                  <c:v>12284.197000449827</c:v>
                </c:pt>
                <c:pt idx="2231">
                  <c:v>12293.405671375916</c:v>
                </c:pt>
                <c:pt idx="2232">
                  <c:v>12302.616643699088</c:v>
                </c:pt>
                <c:pt idx="2233">
                  <c:v>12311.829916844179</c:v>
                </c:pt>
                <c:pt idx="2234">
                  <c:v>12321.045490236422</c:v>
                </c:pt>
                <c:pt idx="2235">
                  <c:v>12330.263363301479</c:v>
                </c:pt>
                <c:pt idx="2236">
                  <c:v>12339.48353546545</c:v>
                </c:pt>
                <c:pt idx="2237">
                  <c:v>12348.70600615488</c:v>
                </c:pt>
                <c:pt idx="2238">
                  <c:v>12357.930774796723</c:v>
                </c:pt>
                <c:pt idx="2239">
                  <c:v>12367.157840818349</c:v>
                </c:pt>
                <c:pt idx="2240">
                  <c:v>12376.387203647602</c:v>
                </c:pt>
                <c:pt idx="2241">
                  <c:v>12385.618862712701</c:v>
                </c:pt>
                <c:pt idx="2242">
                  <c:v>12394.852817442334</c:v>
                </c:pt>
                <c:pt idx="2243">
                  <c:v>12404.089067265586</c:v>
                </c:pt>
                <c:pt idx="2244">
                  <c:v>12413.327611611985</c:v>
                </c:pt>
                <c:pt idx="2245">
                  <c:v>12422.56844991148</c:v>
                </c:pt>
                <c:pt idx="2246">
                  <c:v>12431.811581594438</c:v>
                </c:pt>
                <c:pt idx="2247">
                  <c:v>12441.057006091665</c:v>
                </c:pt>
                <c:pt idx="2248">
                  <c:v>12450.304722834375</c:v>
                </c:pt>
                <c:pt idx="2249">
                  <c:v>12459.554731254226</c:v>
                </c:pt>
                <c:pt idx="2250">
                  <c:v>12468.807030783264</c:v>
                </c:pt>
                <c:pt idx="2251">
                  <c:v>12478.061620853992</c:v>
                </c:pt>
                <c:pt idx="2252">
                  <c:v>12487.318500899317</c:v>
                </c:pt>
                <c:pt idx="2253">
                  <c:v>12496.577670352573</c:v>
                </c:pt>
                <c:pt idx="2254">
                  <c:v>12505.839128647511</c:v>
                </c:pt>
                <c:pt idx="2255">
                  <c:v>12515.10287521831</c:v>
                </c:pt>
                <c:pt idx="2256">
                  <c:v>12524.368909499559</c:v>
                </c:pt>
                <c:pt idx="2257">
                  <c:v>12533.63723092627</c:v>
                </c:pt>
                <c:pt idx="2258">
                  <c:v>12542.907838933863</c:v>
                </c:pt>
                <c:pt idx="2259">
                  <c:v>12552.180732958204</c:v>
                </c:pt>
                <c:pt idx="2260">
                  <c:v>12561.455912435558</c:v>
                </c:pt>
                <c:pt idx="2261">
                  <c:v>12570.733376802587</c:v>
                </c:pt>
                <c:pt idx="2262">
                  <c:v>12580.013125496413</c:v>
                </c:pt>
                <c:pt idx="2263">
                  <c:v>12589.295157954546</c:v>
                </c:pt>
                <c:pt idx="2264">
                  <c:v>12598.579473614918</c:v>
                </c:pt>
                <c:pt idx="2265">
                  <c:v>12607.866071915863</c:v>
                </c:pt>
                <c:pt idx="2266">
                  <c:v>12617.154952296158</c:v>
                </c:pt>
                <c:pt idx="2267">
                  <c:v>12626.446114194972</c:v>
                </c:pt>
                <c:pt idx="2268">
                  <c:v>12635.739557051889</c:v>
                </c:pt>
                <c:pt idx="2269">
                  <c:v>12645.035280306913</c:v>
                </c:pt>
                <c:pt idx="2270">
                  <c:v>12654.333283400447</c:v>
                </c:pt>
                <c:pt idx="2271">
                  <c:v>12663.633565773342</c:v>
                </c:pt>
                <c:pt idx="2272">
                  <c:v>12672.936126866818</c:v>
                </c:pt>
                <c:pt idx="2273">
                  <c:v>12682.240966122521</c:v>
                </c:pt>
                <c:pt idx="2274">
                  <c:v>12691.54808298251</c:v>
                </c:pt>
                <c:pt idx="2275">
                  <c:v>12700.857476889263</c:v>
                </c:pt>
                <c:pt idx="2276">
                  <c:v>12710.169147285646</c:v>
                </c:pt>
                <c:pt idx="2277">
                  <c:v>12719.483093614945</c:v>
                </c:pt>
                <c:pt idx="2278">
                  <c:v>12728.799315320872</c:v>
                </c:pt>
                <c:pt idx="2279">
                  <c:v>12738.117811847511</c:v>
                </c:pt>
                <c:pt idx="2280">
                  <c:v>12747.438582639379</c:v>
                </c:pt>
                <c:pt idx="2281">
                  <c:v>12756.761627141397</c:v>
                </c:pt>
                <c:pt idx="2282">
                  <c:v>12766.086944798877</c:v>
                </c:pt>
                <c:pt idx="2283">
                  <c:v>12775.414535057564</c:v>
                </c:pt>
                <c:pt idx="2284">
                  <c:v>12784.744397363578</c:v>
                </c:pt>
                <c:pt idx="2285">
                  <c:v>12794.07653116348</c:v>
                </c:pt>
                <c:pt idx="2286">
                  <c:v>12803.410935904189</c:v>
                </c:pt>
                <c:pt idx="2287">
                  <c:v>12812.74761103307</c:v>
                </c:pt>
                <c:pt idx="2288">
                  <c:v>12822.086555997865</c:v>
                </c:pt>
                <c:pt idx="2289">
                  <c:v>12831.427770246741</c:v>
                </c:pt>
                <c:pt idx="2290">
                  <c:v>12840.771253228244</c:v>
                </c:pt>
                <c:pt idx="2291">
                  <c:v>12850.117004391332</c:v>
                </c:pt>
                <c:pt idx="2292">
                  <c:v>12859.465023185379</c:v>
                </c:pt>
                <c:pt idx="2293">
                  <c:v>12868.815309060134</c:v>
                </c:pt>
                <c:pt idx="2294">
                  <c:v>12878.167861465763</c:v>
                </c:pt>
                <c:pt idx="2295">
                  <c:v>12887.522679852835</c:v>
                </c:pt>
                <c:pt idx="2296">
                  <c:v>12896.879763672307</c:v>
                </c:pt>
                <c:pt idx="2297">
                  <c:v>12906.239112375535</c:v>
                </c:pt>
                <c:pt idx="2298">
                  <c:v>12915.600725414284</c:v>
                </c:pt>
                <c:pt idx="2299">
                  <c:v>12924.964602240714</c:v>
                </c:pt>
                <c:pt idx="2300">
                  <c:v>12934.330742307369</c:v>
                </c:pt>
                <c:pt idx="2301">
                  <c:v>12943.699145067225</c:v>
                </c:pt>
                <c:pt idx="2302">
                  <c:v>12953.069809973596</c:v>
                </c:pt>
                <c:pt idx="2303">
                  <c:v>12962.442736480267</c:v>
                </c:pt>
                <c:pt idx="2304">
                  <c:v>12971.817924041343</c:v>
                </c:pt>
                <c:pt idx="2305">
                  <c:v>12981.195372111386</c:v>
                </c:pt>
                <c:pt idx="2306">
                  <c:v>12990.575080145321</c:v>
                </c:pt>
                <c:pt idx="2307">
                  <c:v>12999.957047598464</c:v>
                </c:pt>
                <c:pt idx="2308">
                  <c:v>13009.34127392654</c:v>
                </c:pt>
                <c:pt idx="2309">
                  <c:v>13018.727758585659</c:v>
                </c:pt>
                <c:pt idx="2310">
                  <c:v>13028.116501032338</c:v>
                </c:pt>
                <c:pt idx="2311">
                  <c:v>13037.507500723455</c:v>
                </c:pt>
                <c:pt idx="2312">
                  <c:v>13046.900757116317</c:v>
                </c:pt>
                <c:pt idx="2313">
                  <c:v>13056.296269668603</c:v>
                </c:pt>
                <c:pt idx="2314">
                  <c:v>13065.69403783837</c:v>
                </c:pt>
                <c:pt idx="2315">
                  <c:v>13075.094061084099</c:v>
                </c:pt>
                <c:pt idx="2316">
                  <c:v>13084.496338864621</c:v>
                </c:pt>
                <c:pt idx="2317">
                  <c:v>13093.900870639212</c:v>
                </c:pt>
                <c:pt idx="2318">
                  <c:v>13103.307655867471</c:v>
                </c:pt>
                <c:pt idx="2319">
                  <c:v>13112.716694009432</c:v>
                </c:pt>
                <c:pt idx="2320">
                  <c:v>13122.127984525494</c:v>
                </c:pt>
                <c:pt idx="2321">
                  <c:v>13131.541526876472</c:v>
                </c:pt>
                <c:pt idx="2322">
                  <c:v>13140.95732052353</c:v>
                </c:pt>
                <c:pt idx="2323">
                  <c:v>13150.375364928244</c:v>
                </c:pt>
                <c:pt idx="2324">
                  <c:v>13159.795659552576</c:v>
                </c:pt>
                <c:pt idx="2325">
                  <c:v>13169.218203858851</c:v>
                </c:pt>
                <c:pt idx="2326">
                  <c:v>13178.642997309818</c:v>
                </c:pt>
                <c:pt idx="2327">
                  <c:v>13188.070039368571</c:v>
                </c:pt>
                <c:pt idx="2328">
                  <c:v>13197.499329498622</c:v>
                </c:pt>
                <c:pt idx="2329">
                  <c:v>13206.930867163837</c:v>
                </c:pt>
                <c:pt idx="2330">
                  <c:v>13216.36465182849</c:v>
                </c:pt>
                <c:pt idx="2331">
                  <c:v>13225.800682957231</c:v>
                </c:pt>
                <c:pt idx="2332">
                  <c:v>13235.238960015078</c:v>
                </c:pt>
                <c:pt idx="2333">
                  <c:v>13244.679482467451</c:v>
                </c:pt>
                <c:pt idx="2334">
                  <c:v>13254.122249780143</c:v>
                </c:pt>
                <c:pt idx="2335">
                  <c:v>13263.56726141933</c:v>
                </c:pt>
                <c:pt idx="2336">
                  <c:v>13273.014516851566</c:v>
                </c:pt>
                <c:pt idx="2337">
                  <c:v>13282.464015543788</c:v>
                </c:pt>
                <c:pt idx="2338">
                  <c:v>13291.915756963308</c:v>
                </c:pt>
                <c:pt idx="2339">
                  <c:v>13301.369740577831</c:v>
                </c:pt>
                <c:pt idx="2340">
                  <c:v>13310.825965855427</c:v>
                </c:pt>
                <c:pt idx="2341">
                  <c:v>13320.284432264543</c:v>
                </c:pt>
                <c:pt idx="2342">
                  <c:v>13329.74513927402</c:v>
                </c:pt>
                <c:pt idx="2343">
                  <c:v>13339.208086353063</c:v>
                </c:pt>
                <c:pt idx="2344">
                  <c:v>13348.67327297126</c:v>
                </c:pt>
                <c:pt idx="2345">
                  <c:v>13358.140698598569</c:v>
                </c:pt>
                <c:pt idx="2346">
                  <c:v>13367.610362705329</c:v>
                </c:pt>
                <c:pt idx="2347">
                  <c:v>13377.082264762268</c:v>
                </c:pt>
                <c:pt idx="2348">
                  <c:v>13386.55640424046</c:v>
                </c:pt>
                <c:pt idx="2349">
                  <c:v>13396.032780611384</c:v>
                </c:pt>
                <c:pt idx="2350">
                  <c:v>13405.511393346864</c:v>
                </c:pt>
                <c:pt idx="2351">
                  <c:v>13414.992241919141</c:v>
                </c:pt>
                <c:pt idx="2352">
                  <c:v>13424.475325800773</c:v>
                </c:pt>
                <c:pt idx="2353">
                  <c:v>13433.960644464736</c:v>
                </c:pt>
                <c:pt idx="2354">
                  <c:v>13443.448197384361</c:v>
                </c:pt>
                <c:pt idx="2355">
                  <c:v>13452.937984033366</c:v>
                </c:pt>
                <c:pt idx="2356">
                  <c:v>13462.430003885809</c:v>
                </c:pt>
                <c:pt idx="2357">
                  <c:v>13471.924256416158</c:v>
                </c:pt>
                <c:pt idx="2358">
                  <c:v>13481.42074109922</c:v>
                </c:pt>
                <c:pt idx="2359">
                  <c:v>13490.919457410191</c:v>
                </c:pt>
                <c:pt idx="2360">
                  <c:v>13500.420404824636</c:v>
                </c:pt>
                <c:pt idx="2361">
                  <c:v>13509.923582818481</c:v>
                </c:pt>
                <c:pt idx="2362">
                  <c:v>13519.428990868024</c:v>
                </c:pt>
                <c:pt idx="2363">
                  <c:v>13528.93662844995</c:v>
                </c:pt>
                <c:pt idx="2364">
                  <c:v>13538.44649504128</c:v>
                </c:pt>
                <c:pt idx="2365">
                  <c:v>13547.958590119419</c:v>
                </c:pt>
                <c:pt idx="2366">
                  <c:v>13557.472913162152</c:v>
                </c:pt>
                <c:pt idx="2367">
                  <c:v>13566.989463647613</c:v>
                </c:pt>
                <c:pt idx="2368">
                  <c:v>13576.508241054309</c:v>
                </c:pt>
                <c:pt idx="2369">
                  <c:v>13586.029244861118</c:v>
                </c:pt>
                <c:pt idx="2370">
                  <c:v>13595.552474547278</c:v>
                </c:pt>
                <c:pt idx="2371">
                  <c:v>13605.077929592382</c:v>
                </c:pt>
                <c:pt idx="2372">
                  <c:v>13614.605609476412</c:v>
                </c:pt>
                <c:pt idx="2373">
                  <c:v>13624.135513679701</c:v>
                </c:pt>
                <c:pt idx="2374">
                  <c:v>13633.66764168294</c:v>
                </c:pt>
                <c:pt idx="2375">
                  <c:v>13643.201992967201</c:v>
                </c:pt>
                <c:pt idx="2376">
                  <c:v>13652.738567013905</c:v>
                </c:pt>
                <c:pt idx="2377">
                  <c:v>13662.277363304831</c:v>
                </c:pt>
                <c:pt idx="2378">
                  <c:v>13671.818381322142</c:v>
                </c:pt>
                <c:pt idx="2379">
                  <c:v>13681.361620548343</c:v>
                </c:pt>
                <c:pt idx="2380">
                  <c:v>13690.907080466319</c:v>
                </c:pt>
                <c:pt idx="2381">
                  <c:v>13700.454760559292</c:v>
                </c:pt>
                <c:pt idx="2382">
                  <c:v>13710.004660310866</c:v>
                </c:pt>
                <c:pt idx="2383">
                  <c:v>13719.556779204991</c:v>
                </c:pt>
                <c:pt idx="2384">
                  <c:v>13729.11111672599</c:v>
                </c:pt>
                <c:pt idx="2385">
                  <c:v>13738.667672358539</c:v>
                </c:pt>
                <c:pt idx="2386">
                  <c:v>13748.226445587658</c:v>
                </c:pt>
                <c:pt idx="2387">
                  <c:v>13757.787435898765</c:v>
                </c:pt>
                <c:pt idx="2388">
                  <c:v>13767.35064277759</c:v>
                </c:pt>
                <c:pt idx="2389">
                  <c:v>13776.91606571026</c:v>
                </c:pt>
                <c:pt idx="2390">
                  <c:v>13786.483704183227</c:v>
                </c:pt>
                <c:pt idx="2391">
                  <c:v>13796.053557683321</c:v>
                </c:pt>
                <c:pt idx="2392">
                  <c:v>13805.625625697729</c:v>
                </c:pt>
                <c:pt idx="2393">
                  <c:v>13815.19990771397</c:v>
                </c:pt>
                <c:pt idx="2394">
                  <c:v>13824.776403219954</c:v>
                </c:pt>
                <c:pt idx="2395">
                  <c:v>13834.355111703922</c:v>
                </c:pt>
                <c:pt idx="2396">
                  <c:v>13843.936032654485</c:v>
                </c:pt>
                <c:pt idx="2397">
                  <c:v>13853.519165560585</c:v>
                </c:pt>
                <c:pt idx="2398">
                  <c:v>13863.104509911536</c:v>
                </c:pt>
                <c:pt idx="2399">
                  <c:v>13872.692065197021</c:v>
                </c:pt>
                <c:pt idx="2400">
                  <c:v>13882.281830907034</c:v>
                </c:pt>
                <c:pt idx="2401">
                  <c:v>13891.873806531959</c:v>
                </c:pt>
                <c:pt idx="2402">
                  <c:v>13901.467991562522</c:v>
                </c:pt>
                <c:pt idx="2403">
                  <c:v>13911.064385489795</c:v>
                </c:pt>
                <c:pt idx="2404">
                  <c:v>13920.662987805206</c:v>
                </c:pt>
                <c:pt idx="2405">
                  <c:v>13930.263798000531</c:v>
                </c:pt>
                <c:pt idx="2406">
                  <c:v>13939.86681556791</c:v>
                </c:pt>
                <c:pt idx="2407">
                  <c:v>13949.472039999795</c:v>
                </c:pt>
                <c:pt idx="2408">
                  <c:v>13959.079470789055</c:v>
                </c:pt>
                <c:pt idx="2409">
                  <c:v>13968.689107428841</c:v>
                </c:pt>
                <c:pt idx="2410">
                  <c:v>13978.300949412698</c:v>
                </c:pt>
                <c:pt idx="2411">
                  <c:v>13987.914996234496</c:v>
                </c:pt>
                <c:pt idx="2412">
                  <c:v>13997.531247388455</c:v>
                </c:pt>
                <c:pt idx="2413">
                  <c:v>14007.149702369168</c:v>
                </c:pt>
                <c:pt idx="2414">
                  <c:v>14016.770360671537</c:v>
                </c:pt>
                <c:pt idx="2415">
                  <c:v>14026.393221790851</c:v>
                </c:pt>
                <c:pt idx="2416">
                  <c:v>14036.018285222704</c:v>
                </c:pt>
                <c:pt idx="2417">
                  <c:v>14045.645550463074</c:v>
                </c:pt>
                <c:pt idx="2418">
                  <c:v>14055.275017008265</c:v>
                </c:pt>
                <c:pt idx="2419">
                  <c:v>14064.906684354935</c:v>
                </c:pt>
                <c:pt idx="2420">
                  <c:v>14074.54055200008</c:v>
                </c:pt>
                <c:pt idx="2421">
                  <c:v>14084.176619441043</c:v>
                </c:pt>
                <c:pt idx="2422">
                  <c:v>14093.81488617552</c:v>
                </c:pt>
                <c:pt idx="2423">
                  <c:v>14103.455351701536</c:v>
                </c:pt>
                <c:pt idx="2424">
                  <c:v>14113.098015517469</c:v>
                </c:pt>
                <c:pt idx="2425">
                  <c:v>14122.742877122037</c:v>
                </c:pt>
                <c:pt idx="2426">
                  <c:v>14132.389936014319</c:v>
                </c:pt>
                <c:pt idx="2427">
                  <c:v>14142.039191693688</c:v>
                </c:pt>
                <c:pt idx="2428">
                  <c:v>14151.690643659927</c:v>
                </c:pt>
                <c:pt idx="2429">
                  <c:v>14161.344291413097</c:v>
                </c:pt>
                <c:pt idx="2430">
                  <c:v>14171.000134453652</c:v>
                </c:pt>
                <c:pt idx="2431">
                  <c:v>14180.658172282347</c:v>
                </c:pt>
                <c:pt idx="2432">
                  <c:v>14190.318404400303</c:v>
                </c:pt>
                <c:pt idx="2433">
                  <c:v>14199.980830308969</c:v>
                </c:pt>
                <c:pt idx="2434">
                  <c:v>14209.64544951013</c:v>
                </c:pt>
                <c:pt idx="2435">
                  <c:v>14219.312261505935</c:v>
                </c:pt>
                <c:pt idx="2436">
                  <c:v>14228.981265798839</c:v>
                </c:pt>
                <c:pt idx="2437">
                  <c:v>14238.652461891656</c:v>
                </c:pt>
                <c:pt idx="2438">
                  <c:v>14248.325849287539</c:v>
                </c:pt>
                <c:pt idx="2439">
                  <c:v>14258.00142748996</c:v>
                </c:pt>
                <c:pt idx="2440">
                  <c:v>14267.679196002759</c:v>
                </c:pt>
                <c:pt idx="2441">
                  <c:v>14277.359154330079</c:v>
                </c:pt>
                <c:pt idx="2442">
                  <c:v>14287.041301976427</c:v>
                </c:pt>
                <c:pt idx="2443">
                  <c:v>14296.725638446636</c:v>
                </c:pt>
                <c:pt idx="2444">
                  <c:v>14306.412163245872</c:v>
                </c:pt>
                <c:pt idx="2445">
                  <c:v>14316.100875879636</c:v>
                </c:pt>
                <c:pt idx="2446">
                  <c:v>14325.791775853781</c:v>
                </c:pt>
                <c:pt idx="2447">
                  <c:v>14335.484862674466</c:v>
                </c:pt>
                <c:pt idx="2448">
                  <c:v>14345.180135848206</c:v>
                </c:pt>
                <c:pt idx="2449">
                  <c:v>14354.877594881849</c:v>
                </c:pt>
                <c:pt idx="2450">
                  <c:v>14364.577239282564</c:v>
                </c:pt>
                <c:pt idx="2451">
                  <c:v>14374.279068557864</c:v>
                </c:pt>
                <c:pt idx="2452">
                  <c:v>14383.9830822156</c:v>
                </c:pt>
                <c:pt idx="2453">
                  <c:v>14393.689279763934</c:v>
                </c:pt>
                <c:pt idx="2454">
                  <c:v>14403.397660711387</c:v>
                </c:pt>
                <c:pt idx="2455">
                  <c:v>14413.108224566789</c:v>
                </c:pt>
                <c:pt idx="2456">
                  <c:v>14422.82097083931</c:v>
                </c:pt>
                <c:pt idx="2457">
                  <c:v>14432.535899038459</c:v>
                </c:pt>
                <c:pt idx="2458">
                  <c:v>14442.25300867407</c:v>
                </c:pt>
                <c:pt idx="2459">
                  <c:v>14451.972299256298</c:v>
                </c:pt>
                <c:pt idx="2460">
                  <c:v>14461.693770295642</c:v>
                </c:pt>
                <c:pt idx="2461">
                  <c:v>14471.417421302924</c:v>
                </c:pt>
                <c:pt idx="2462">
                  <c:v>14481.143251789301</c:v>
                </c:pt>
                <c:pt idx="2463">
                  <c:v>14490.871261266242</c:v>
                </c:pt>
                <c:pt idx="2464">
                  <c:v>14500.601449245562</c:v>
                </c:pt>
                <c:pt idx="2465">
                  <c:v>14510.333815239399</c:v>
                </c:pt>
                <c:pt idx="2466">
                  <c:v>14520.06835876022</c:v>
                </c:pt>
                <c:pt idx="2467">
                  <c:v>14529.805079320817</c:v>
                </c:pt>
                <c:pt idx="2468">
                  <c:v>14539.543976434306</c:v>
                </c:pt>
                <c:pt idx="2469">
                  <c:v>14549.285049614138</c:v>
                </c:pt>
                <c:pt idx="2470">
                  <c:v>14559.028298374084</c:v>
                </c:pt>
                <c:pt idx="2471">
                  <c:v>14568.773722228247</c:v>
                </c:pt>
                <c:pt idx="2472">
                  <c:v>14578.521320691038</c:v>
                </c:pt>
                <c:pt idx="2473">
                  <c:v>14588.271093277213</c:v>
                </c:pt>
                <c:pt idx="2474">
                  <c:v>14598.023039501853</c:v>
                </c:pt>
                <c:pt idx="2475">
                  <c:v>14607.777158880341</c:v>
                </c:pt>
                <c:pt idx="2476">
                  <c:v>14617.533450928424</c:v>
                </c:pt>
                <c:pt idx="2477">
                  <c:v>14627.291915162121</c:v>
                </c:pt>
                <c:pt idx="2478">
                  <c:v>14637.052551097811</c:v>
                </c:pt>
                <c:pt idx="2479">
                  <c:v>14646.815358252203</c:v>
                </c:pt>
                <c:pt idx="2480">
                  <c:v>14656.580336142295</c:v>
                </c:pt>
                <c:pt idx="2481">
                  <c:v>14666.34748428543</c:v>
                </c:pt>
                <c:pt idx="2482">
                  <c:v>14676.116802199256</c:v>
                </c:pt>
                <c:pt idx="2483">
                  <c:v>14685.88828940177</c:v>
                </c:pt>
                <c:pt idx="2484">
                  <c:v>14695.661945411266</c:v>
                </c:pt>
                <c:pt idx="2485">
                  <c:v>14705.437769746382</c:v>
                </c:pt>
                <c:pt idx="2486">
                  <c:v>14715.215761926042</c:v>
                </c:pt>
                <c:pt idx="2487">
                  <c:v>14724.995921469512</c:v>
                </c:pt>
                <c:pt idx="2488">
                  <c:v>14734.778247896402</c:v>
                </c:pt>
                <c:pt idx="2489">
                  <c:v>14744.562740726573</c:v>
                </c:pt>
                <c:pt idx="2490">
                  <c:v>14754.349399480287</c:v>
                </c:pt>
                <c:pt idx="2491">
                  <c:v>14764.138223678052</c:v>
                </c:pt>
                <c:pt idx="2492">
                  <c:v>14773.929212840756</c:v>
                </c:pt>
                <c:pt idx="2493">
                  <c:v>14783.722366489554</c:v>
                </c:pt>
                <c:pt idx="2494">
                  <c:v>14793.517684145954</c:v>
                </c:pt>
                <c:pt idx="2495">
                  <c:v>14803.315165331769</c:v>
                </c:pt>
                <c:pt idx="2496">
                  <c:v>14813.114809569122</c:v>
                </c:pt>
                <c:pt idx="2497">
                  <c:v>14822.916616380457</c:v>
                </c:pt>
                <c:pt idx="2498">
                  <c:v>14832.720585288551</c:v>
                </c:pt>
                <c:pt idx="2499">
                  <c:v>14842.526715816466</c:v>
                </c:pt>
                <c:pt idx="2500">
                  <c:v>14852.335007487603</c:v>
                </c:pt>
                <c:pt idx="2501">
                  <c:v>14862.145459825675</c:v>
                </c:pt>
                <c:pt idx="2502">
                  <c:v>14871.958072354697</c:v>
                </c:pt>
                <c:pt idx="2503">
                  <c:v>14881.772844599018</c:v>
                </c:pt>
                <c:pt idx="2504">
                  <c:v>14891.589776083283</c:v>
                </c:pt>
                <c:pt idx="2505">
                  <c:v>14901.408866332464</c:v>
                </c:pt>
                <c:pt idx="2506">
                  <c:v>14911.230114871836</c:v>
                </c:pt>
                <c:pt idx="2507">
                  <c:v>14921.05352122699</c:v>
                </c:pt>
                <c:pt idx="2508">
                  <c:v>14930.879084923841</c:v>
                </c:pt>
                <c:pt idx="2509">
                  <c:v>14940.706805488602</c:v>
                </c:pt>
                <c:pt idx="2510">
                  <c:v>14950.536682447815</c:v>
                </c:pt>
                <c:pt idx="2511">
                  <c:v>14960.368715328294</c:v>
                </c:pt>
                <c:pt idx="2512">
                  <c:v>14970.202903657226</c:v>
                </c:pt>
                <c:pt idx="2513">
                  <c:v>14980.03924696206</c:v>
                </c:pt>
                <c:pt idx="2514">
                  <c:v>14989.877744770571</c:v>
                </c:pt>
                <c:pt idx="2515">
                  <c:v>14999.718396610848</c:v>
                </c:pt>
                <c:pt idx="2516">
                  <c:v>15009.561202011289</c:v>
                </c:pt>
                <c:pt idx="2517">
                  <c:v>15019.406160500597</c:v>
                </c:pt>
                <c:pt idx="2518">
                  <c:v>15029.253271607784</c:v>
                </c:pt>
                <c:pt idx="2519">
                  <c:v>15039.102534862193</c:v>
                </c:pt>
                <c:pt idx="2520">
                  <c:v>15048.953949793435</c:v>
                </c:pt>
                <c:pt idx="2521">
                  <c:v>15058.807515931463</c:v>
                </c:pt>
                <c:pt idx="2522">
                  <c:v>15068.663232806519</c:v>
                </c:pt>
                <c:pt idx="2523">
                  <c:v>15078.521099949172</c:v>
                </c:pt>
                <c:pt idx="2524">
                  <c:v>15088.381116890276</c:v>
                </c:pt>
                <c:pt idx="2525">
                  <c:v>15098.243283161006</c:v>
                </c:pt>
                <c:pt idx="2526">
                  <c:v>15108.107598292854</c:v>
                </c:pt>
                <c:pt idx="2527">
                  <c:v>15117.97406181758</c:v>
                </c:pt>
                <c:pt idx="2528">
                  <c:v>15127.8426732673</c:v>
                </c:pt>
                <c:pt idx="2529">
                  <c:v>15137.713432174389</c:v>
                </c:pt>
                <c:pt idx="2530">
                  <c:v>15147.586338071564</c:v>
                </c:pt>
                <c:pt idx="2531">
                  <c:v>15157.461390491828</c:v>
                </c:pt>
                <c:pt idx="2532">
                  <c:v>15167.338588968485</c:v>
                </c:pt>
                <c:pt idx="2533">
                  <c:v>15177.217933035165</c:v>
                </c:pt>
                <c:pt idx="2534">
                  <c:v>15187.09942222578</c:v>
                </c:pt>
                <c:pt idx="2535">
                  <c:v>15196.983056074552</c:v>
                </c:pt>
                <c:pt idx="2536">
                  <c:v>15206.86883411602</c:v>
                </c:pt>
                <c:pt idx="2537">
                  <c:v>15216.756755884997</c:v>
                </c:pt>
                <c:pt idx="2538">
                  <c:v>15226.646820916629</c:v>
                </c:pt>
                <c:pt idx="2539">
                  <c:v>15236.539028746345</c:v>
                </c:pt>
                <c:pt idx="2540">
                  <c:v>15246.433378909896</c:v>
                </c:pt>
                <c:pt idx="2541">
                  <c:v>15256.329870943306</c:v>
                </c:pt>
                <c:pt idx="2542">
                  <c:v>15266.228504382916</c:v>
                </c:pt>
                <c:pt idx="2543">
                  <c:v>15276.12927876538</c:v>
                </c:pt>
                <c:pt idx="2544">
                  <c:v>15286.032193627632</c:v>
                </c:pt>
                <c:pt idx="2545">
                  <c:v>15295.937248506913</c:v>
                </c:pt>
                <c:pt idx="2546">
                  <c:v>15305.844442940768</c:v>
                </c:pt>
                <c:pt idx="2547">
                  <c:v>15315.753776467051</c:v>
                </c:pt>
                <c:pt idx="2548">
                  <c:v>15325.665248623893</c:v>
                </c:pt>
                <c:pt idx="2549">
                  <c:v>15335.578858949735</c:v>
                </c:pt>
                <c:pt idx="2550">
                  <c:v>15345.49460698332</c:v>
                </c:pt>
                <c:pt idx="2551">
                  <c:v>15355.412492263693</c:v>
                </c:pt>
                <c:pt idx="2552">
                  <c:v>15365.332514330179</c:v>
                </c:pt>
                <c:pt idx="2553">
                  <c:v>15375.254672722429</c:v>
                </c:pt>
                <c:pt idx="2554">
                  <c:v>15385.178966980357</c:v>
                </c:pt>
                <c:pt idx="2555">
                  <c:v>15395.10539664421</c:v>
                </c:pt>
                <c:pt idx="2556">
                  <c:v>15405.033961254507</c:v>
                </c:pt>
                <c:pt idx="2557">
                  <c:v>15414.964660352061</c:v>
                </c:pt>
                <c:pt idx="2558">
                  <c:v>15424.897493478016</c:v>
                </c:pt>
                <c:pt idx="2559">
                  <c:v>15434.832460173759</c:v>
                </c:pt>
                <c:pt idx="2560">
                  <c:v>15444.769559981027</c:v>
                </c:pt>
                <c:pt idx="2561">
                  <c:v>15454.708792441808</c:v>
                </c:pt>
                <c:pt idx="2562">
                  <c:v>15464.650157098415</c:v>
                </c:pt>
                <c:pt idx="2563">
                  <c:v>15474.593653493435</c:v>
                </c:pt>
                <c:pt idx="2564">
                  <c:v>15484.539281169762</c:v>
                </c:pt>
                <c:pt idx="2565">
                  <c:v>15494.487039670585</c:v>
                </c:pt>
                <c:pt idx="2566">
                  <c:v>15504.436928539375</c:v>
                </c:pt>
                <c:pt idx="2567">
                  <c:v>15514.388947319909</c:v>
                </c:pt>
                <c:pt idx="2568">
                  <c:v>15524.34309555624</c:v>
                </c:pt>
                <c:pt idx="2569">
                  <c:v>15534.299372792744</c:v>
                </c:pt>
                <c:pt idx="2570">
                  <c:v>15544.257778574058</c:v>
                </c:pt>
                <c:pt idx="2571">
                  <c:v>15554.218312445129</c:v>
                </c:pt>
                <c:pt idx="2572">
                  <c:v>15564.180973951197</c:v>
                </c:pt>
                <c:pt idx="2573">
                  <c:v>15574.145762637772</c:v>
                </c:pt>
                <c:pt idx="2574">
                  <c:v>15584.112678050678</c:v>
                </c:pt>
                <c:pt idx="2575">
                  <c:v>15594.081719736012</c:v>
                </c:pt>
                <c:pt idx="2576">
                  <c:v>15604.052887240205</c:v>
                </c:pt>
                <c:pt idx="2577">
                  <c:v>15614.026180109913</c:v>
                </c:pt>
                <c:pt idx="2578">
                  <c:v>15624.001597892122</c:v>
                </c:pt>
                <c:pt idx="2579">
                  <c:v>15633.979140134114</c:v>
                </c:pt>
                <c:pt idx="2580">
                  <c:v>15643.958806383422</c:v>
                </c:pt>
                <c:pt idx="2581">
                  <c:v>15653.940596187918</c:v>
                </c:pt>
                <c:pt idx="2582">
                  <c:v>15663.924509095717</c:v>
                </c:pt>
                <c:pt idx="2583">
                  <c:v>15673.910544655255</c:v>
                </c:pt>
                <c:pt idx="2584">
                  <c:v>15683.898702415243</c:v>
                </c:pt>
                <c:pt idx="2585">
                  <c:v>15693.888981924667</c:v>
                </c:pt>
                <c:pt idx="2586">
                  <c:v>15703.881382732829</c:v>
                </c:pt>
                <c:pt idx="2587">
                  <c:v>15713.875904389306</c:v>
                </c:pt>
                <c:pt idx="2588">
                  <c:v>15723.872546443943</c:v>
                </c:pt>
                <c:pt idx="2589">
                  <c:v>15733.871308446898</c:v>
                </c:pt>
                <c:pt idx="2590">
                  <c:v>15743.872189948612</c:v>
                </c:pt>
                <c:pt idx="2591">
                  <c:v>15753.87519049979</c:v>
                </c:pt>
                <c:pt idx="2592">
                  <c:v>15763.880309651446</c:v>
                </c:pt>
                <c:pt idx="2593">
                  <c:v>15773.887546954873</c:v>
                </c:pt>
                <c:pt idx="2594">
                  <c:v>15783.896901961651</c:v>
                </c:pt>
                <c:pt idx="2595">
                  <c:v>15793.908374223618</c:v>
                </c:pt>
                <c:pt idx="2596">
                  <c:v>15803.921963292947</c:v>
                </c:pt>
                <c:pt idx="2597">
                  <c:v>15813.937668722052</c:v>
                </c:pt>
                <c:pt idx="2598">
                  <c:v>15823.955490063656</c:v>
                </c:pt>
                <c:pt idx="2599">
                  <c:v>15833.975426870757</c:v>
                </c:pt>
                <c:pt idx="2600">
                  <c:v>15843.997478696625</c:v>
                </c:pt>
                <c:pt idx="2601">
                  <c:v>15854.021645094826</c:v>
                </c:pt>
                <c:pt idx="2602">
                  <c:v>15864.047925619208</c:v>
                </c:pt>
                <c:pt idx="2603">
                  <c:v>15874.076319823906</c:v>
                </c:pt>
                <c:pt idx="2604">
                  <c:v>15884.106827263326</c:v>
                </c:pt>
                <c:pt idx="2605">
                  <c:v>15894.13944749216</c:v>
                </c:pt>
                <c:pt idx="2606">
                  <c:v>15904.174180065384</c:v>
                </c:pt>
                <c:pt idx="2607">
                  <c:v>15914.211024538241</c:v>
                </c:pt>
                <c:pt idx="2608">
                  <c:v>15924.249980466286</c:v>
                </c:pt>
                <c:pt idx="2609">
                  <c:v>15934.291047405321</c:v>
                </c:pt>
                <c:pt idx="2610">
                  <c:v>15944.334224911445</c:v>
                </c:pt>
                <c:pt idx="2611">
                  <c:v>15954.379512541043</c:v>
                </c:pt>
                <c:pt idx="2612">
                  <c:v>15964.426909850776</c:v>
                </c:pt>
                <c:pt idx="2613">
                  <c:v>15974.476416397567</c:v>
                </c:pt>
                <c:pt idx="2614">
                  <c:v>15984.52803173862</c:v>
                </c:pt>
                <c:pt idx="2615">
                  <c:v>15994.581755431458</c:v>
                </c:pt>
                <c:pt idx="2616">
                  <c:v>16004.637587033836</c:v>
                </c:pt>
                <c:pt idx="2617">
                  <c:v>16014.695526103815</c:v>
                </c:pt>
                <c:pt idx="2618">
                  <c:v>16024.755572199718</c:v>
                </c:pt>
                <c:pt idx="2619">
                  <c:v>16034.817724880148</c:v>
                </c:pt>
                <c:pt idx="2620">
                  <c:v>16044.88198370399</c:v>
                </c:pt>
                <c:pt idx="2621">
                  <c:v>16054.948348230408</c:v>
                </c:pt>
                <c:pt idx="2622">
                  <c:v>16065.016818018841</c:v>
                </c:pt>
                <c:pt idx="2623">
                  <c:v>16075.087392628995</c:v>
                </c:pt>
                <c:pt idx="2624">
                  <c:v>16085.160071620874</c:v>
                </c:pt>
                <c:pt idx="2625">
                  <c:v>16095.234854554739</c:v>
                </c:pt>
                <c:pt idx="2626">
                  <c:v>16105.31174099113</c:v>
                </c:pt>
                <c:pt idx="2627">
                  <c:v>16115.390730490859</c:v>
                </c:pt>
                <c:pt idx="2628">
                  <c:v>16125.471822615025</c:v>
                </c:pt>
                <c:pt idx="2629">
                  <c:v>16135.555016924995</c:v>
                </c:pt>
                <c:pt idx="2630">
                  <c:v>16145.640312982414</c:v>
                </c:pt>
                <c:pt idx="2631">
                  <c:v>16155.727710349192</c:v>
                </c:pt>
                <c:pt idx="2632">
                  <c:v>16165.817208587525</c:v>
                </c:pt>
                <c:pt idx="2633">
                  <c:v>16175.908807259868</c:v>
                </c:pt>
                <c:pt idx="2634">
                  <c:v>16186.002505928966</c:v>
                </c:pt>
                <c:pt idx="2635">
                  <c:v>16196.098304157833</c:v>
                </c:pt>
                <c:pt idx="2636">
                  <c:v>16206.196201509732</c:v>
                </c:pt>
                <c:pt idx="2637">
                  <c:v>16216.296197548234</c:v>
                </c:pt>
                <c:pt idx="2638">
                  <c:v>16226.398291837166</c:v>
                </c:pt>
                <c:pt idx="2639">
                  <c:v>16236.502483940625</c:v>
                </c:pt>
                <c:pt idx="2640">
                  <c:v>16246.60877342298</c:v>
                </c:pt>
                <c:pt idx="2641">
                  <c:v>16256.717159848879</c:v>
                </c:pt>
                <c:pt idx="2642">
                  <c:v>16266.827642783233</c:v>
                </c:pt>
                <c:pt idx="2643">
                  <c:v>16276.940221791212</c:v>
                </c:pt>
                <c:pt idx="2644">
                  <c:v>16287.054896438294</c:v>
                </c:pt>
                <c:pt idx="2645">
                  <c:v>16297.171666290196</c:v>
                </c:pt>
                <c:pt idx="2646">
                  <c:v>16307.290530912911</c:v>
                </c:pt>
                <c:pt idx="2647">
                  <c:v>16317.411489872708</c:v>
                </c:pt>
                <c:pt idx="2648">
                  <c:v>16327.534542736108</c:v>
                </c:pt>
                <c:pt idx="2649">
                  <c:v>16337.659689069927</c:v>
                </c:pt>
                <c:pt idx="2650">
                  <c:v>16347.786928441239</c:v>
                </c:pt>
                <c:pt idx="2651">
                  <c:v>16357.916260417376</c:v>
                </c:pt>
                <c:pt idx="2652">
                  <c:v>16368.047684565945</c:v>
                </c:pt>
                <c:pt idx="2653">
                  <c:v>16378.181200454834</c:v>
                </c:pt>
                <c:pt idx="2654">
                  <c:v>16388.31680765218</c:v>
                </c:pt>
                <c:pt idx="2655">
                  <c:v>16398.454505726397</c:v>
                </c:pt>
                <c:pt idx="2656">
                  <c:v>16408.594294246173</c:v>
                </c:pt>
                <c:pt idx="2657">
                  <c:v>16418.736172780431</c:v>
                </c:pt>
                <c:pt idx="2658">
                  <c:v>16428.880140898418</c:v>
                </c:pt>
                <c:pt idx="2659">
                  <c:v>16439.026198169577</c:v>
                </c:pt>
                <c:pt idx="2660">
                  <c:v>16449.174344163672</c:v>
                </c:pt>
                <c:pt idx="2661">
                  <c:v>16459.324578450723</c:v>
                </c:pt>
                <c:pt idx="2662">
                  <c:v>16469.476900600992</c:v>
                </c:pt>
                <c:pt idx="2663">
                  <c:v>16479.631310185032</c:v>
                </c:pt>
                <c:pt idx="2664">
                  <c:v>16489.787806773631</c:v>
                </c:pt>
                <c:pt idx="2665">
                  <c:v>16499.946389937879</c:v>
                </c:pt>
                <c:pt idx="2666">
                  <c:v>16510.107059249109</c:v>
                </c:pt>
                <c:pt idx="2667">
                  <c:v>16520.269814278923</c:v>
                </c:pt>
                <c:pt idx="2668">
                  <c:v>16530.434654599176</c:v>
                </c:pt>
                <c:pt idx="2669">
                  <c:v>16540.601579782004</c:v>
                </c:pt>
                <c:pt idx="2670">
                  <c:v>16550.770589399788</c:v>
                </c:pt>
                <c:pt idx="2671">
                  <c:v>16560.941683025198</c:v>
                </c:pt>
                <c:pt idx="2672">
                  <c:v>16571.114860231144</c:v>
                </c:pt>
                <c:pt idx="2673">
                  <c:v>16581.290120590795</c:v>
                </c:pt>
                <c:pt idx="2674">
                  <c:v>16591.467463677607</c:v>
                </c:pt>
                <c:pt idx="2675">
                  <c:v>16601.64688906528</c:v>
                </c:pt>
                <c:pt idx="2676">
                  <c:v>16611.82839632779</c:v>
                </c:pt>
                <c:pt idx="2677">
                  <c:v>16622.011985039346</c:v>
                </c:pt>
                <c:pt idx="2678">
                  <c:v>16632.197654774434</c:v>
                </c:pt>
                <c:pt idx="2679">
                  <c:v>16642.385405107823</c:v>
                </c:pt>
                <c:pt idx="2680">
                  <c:v>16652.575235614517</c:v>
                </c:pt>
                <c:pt idx="2681">
                  <c:v>16662.767145869777</c:v>
                </c:pt>
                <c:pt idx="2682">
                  <c:v>16672.961135449135</c:v>
                </c:pt>
                <c:pt idx="2683">
                  <c:v>16683.1572039284</c:v>
                </c:pt>
                <c:pt idx="2684">
                  <c:v>16693.355350883605</c:v>
                </c:pt>
                <c:pt idx="2685">
                  <c:v>16703.555575891056</c:v>
                </c:pt>
                <c:pt idx="2686">
                  <c:v>16713.757878527336</c:v>
                </c:pt>
                <c:pt idx="2687">
                  <c:v>16723.962258369262</c:v>
                </c:pt>
                <c:pt idx="2688">
                  <c:v>16734.168714993924</c:v>
                </c:pt>
                <c:pt idx="2689">
                  <c:v>16744.37724797866</c:v>
                </c:pt>
                <c:pt idx="2690">
                  <c:v>16754.587856901082</c:v>
                </c:pt>
                <c:pt idx="2691">
                  <c:v>16764.800541339038</c:v>
                </c:pt>
                <c:pt idx="2692">
                  <c:v>16775.015300870662</c:v>
                </c:pt>
                <c:pt idx="2693">
                  <c:v>16785.232135074319</c:v>
                </c:pt>
                <c:pt idx="2694">
                  <c:v>16795.451043528647</c:v>
                </c:pt>
                <c:pt idx="2695">
                  <c:v>16805.672025812517</c:v>
                </c:pt>
                <c:pt idx="2696">
                  <c:v>16815.895081505096</c:v>
                </c:pt>
                <c:pt idx="2697">
                  <c:v>16826.120210185771</c:v>
                </c:pt>
                <c:pt idx="2698">
                  <c:v>16836.347411434203</c:v>
                </c:pt>
                <c:pt idx="2699">
                  <c:v>16846.576684830306</c:v>
                </c:pt>
                <c:pt idx="2700">
                  <c:v>16856.808029954245</c:v>
                </c:pt>
                <c:pt idx="2701">
                  <c:v>16867.041446386451</c:v>
                </c:pt>
                <c:pt idx="2702">
                  <c:v>16877.276933707588</c:v>
                </c:pt>
                <c:pt idx="2703">
                  <c:v>16887.514491498609</c:v>
                </c:pt>
                <c:pt idx="2704">
                  <c:v>16897.754119340687</c:v>
                </c:pt>
                <c:pt idx="2705">
                  <c:v>16907.995816815266</c:v>
                </c:pt>
                <c:pt idx="2706">
                  <c:v>16918.239583504052</c:v>
                </c:pt>
                <c:pt idx="2707">
                  <c:v>16928.485418988967</c:v>
                </c:pt>
                <c:pt idx="2708">
                  <c:v>16938.733322852251</c:v>
                </c:pt>
                <c:pt idx="2709">
                  <c:v>16948.983294676331</c:v>
                </c:pt>
                <c:pt idx="2710">
                  <c:v>16959.235334043915</c:v>
                </c:pt>
                <c:pt idx="2711">
                  <c:v>16969.489440537978</c:v>
                </c:pt>
                <c:pt idx="2712">
                  <c:v>16979.745613741732</c:v>
                </c:pt>
                <c:pt idx="2713">
                  <c:v>16990.003853238639</c:v>
                </c:pt>
                <c:pt idx="2714">
                  <c:v>17000.264158612401</c:v>
                </c:pt>
                <c:pt idx="2715">
                  <c:v>17010.526529447019</c:v>
                </c:pt>
                <c:pt idx="2716">
                  <c:v>17020.790965326691</c:v>
                </c:pt>
                <c:pt idx="2717">
                  <c:v>17031.057465835878</c:v>
                </c:pt>
                <c:pt idx="2718">
                  <c:v>17041.326030559336</c:v>
                </c:pt>
                <c:pt idx="2719">
                  <c:v>17051.596659082014</c:v>
                </c:pt>
                <c:pt idx="2720">
                  <c:v>17061.869350989135</c:v>
                </c:pt>
                <c:pt idx="2721">
                  <c:v>17072.144105866177</c:v>
                </c:pt>
                <c:pt idx="2722">
                  <c:v>17082.420923298858</c:v>
                </c:pt>
                <c:pt idx="2723">
                  <c:v>17092.699802873158</c:v>
                </c:pt>
                <c:pt idx="2724">
                  <c:v>17102.980744175286</c:v>
                </c:pt>
                <c:pt idx="2725">
                  <c:v>17113.263746791727</c:v>
                </c:pt>
                <c:pt idx="2726">
                  <c:v>17123.548810309196</c:v>
                </c:pt>
                <c:pt idx="2727">
                  <c:v>17133.835934314662</c:v>
                </c:pt>
                <c:pt idx="2728">
                  <c:v>17144.125118395335</c:v>
                </c:pt>
                <c:pt idx="2729">
                  <c:v>17154.41636213868</c:v>
                </c:pt>
                <c:pt idx="2730">
                  <c:v>17164.709665132421</c:v>
                </c:pt>
                <c:pt idx="2731">
                  <c:v>17175.005026964507</c:v>
                </c:pt>
                <c:pt idx="2732">
                  <c:v>17185.302447223137</c:v>
                </c:pt>
                <c:pt idx="2733">
                  <c:v>17195.601925496787</c:v>
                </c:pt>
                <c:pt idx="2734">
                  <c:v>17205.903461374139</c:v>
                </c:pt>
                <c:pt idx="2735">
                  <c:v>17216.207054444159</c:v>
                </c:pt>
                <c:pt idx="2736">
                  <c:v>17226.512704296027</c:v>
                </c:pt>
                <c:pt idx="2737">
                  <c:v>17236.820410519187</c:v>
                </c:pt>
                <c:pt idx="2738">
                  <c:v>17247.130172703324</c:v>
                </c:pt>
                <c:pt idx="2739">
                  <c:v>17257.441990438361</c:v>
                </c:pt>
                <c:pt idx="2740">
                  <c:v>17267.755863314494</c:v>
                </c:pt>
                <c:pt idx="2741">
                  <c:v>17278.071790922128</c:v>
                </c:pt>
                <c:pt idx="2742">
                  <c:v>17288.389772851951</c:v>
                </c:pt>
                <c:pt idx="2743">
                  <c:v>17298.709808694846</c:v>
                </c:pt>
                <c:pt idx="2744">
                  <c:v>17309.031898041991</c:v>
                </c:pt>
                <c:pt idx="2745">
                  <c:v>17319.356040484767</c:v>
                </c:pt>
                <c:pt idx="2746">
                  <c:v>17329.682235614844</c:v>
                </c:pt>
                <c:pt idx="2747">
                  <c:v>17340.010483024093</c:v>
                </c:pt>
                <c:pt idx="2748">
                  <c:v>17350.340782304625</c:v>
                </c:pt>
                <c:pt idx="2749">
                  <c:v>17360.673133048855</c:v>
                </c:pt>
                <c:pt idx="2750">
                  <c:v>17371.00753484937</c:v>
                </c:pt>
                <c:pt idx="2751">
                  <c:v>17381.343987299046</c:v>
                </c:pt>
                <c:pt idx="2752">
                  <c:v>17391.682489990973</c:v>
                </c:pt>
                <c:pt idx="2753">
                  <c:v>17402.023042518504</c:v>
                </c:pt>
                <c:pt idx="2754">
                  <c:v>17412.365644475216</c:v>
                </c:pt>
                <c:pt idx="2755">
                  <c:v>17422.710295454959</c:v>
                </c:pt>
                <c:pt idx="2756">
                  <c:v>17433.056995051782</c:v>
                </c:pt>
                <c:pt idx="2757">
                  <c:v>17443.405742859988</c:v>
                </c:pt>
                <c:pt idx="2758">
                  <c:v>17453.756538474154</c:v>
                </c:pt>
                <c:pt idx="2759">
                  <c:v>17464.109381489045</c:v>
                </c:pt>
                <c:pt idx="2760">
                  <c:v>17474.464271499721</c:v>
                </c:pt>
                <c:pt idx="2761">
                  <c:v>17484.821208101439</c:v>
                </c:pt>
                <c:pt idx="2762">
                  <c:v>17495.180190889714</c:v>
                </c:pt>
                <c:pt idx="2763">
                  <c:v>17505.541219460298</c:v>
                </c:pt>
                <c:pt idx="2764">
                  <c:v>17515.904293409196</c:v>
                </c:pt>
                <c:pt idx="2765">
                  <c:v>17526.269412332633</c:v>
                </c:pt>
                <c:pt idx="2766">
                  <c:v>17536.636575827059</c:v>
                </c:pt>
                <c:pt idx="2767">
                  <c:v>17547.005783489214</c:v>
                </c:pt>
                <c:pt idx="2768">
                  <c:v>17557.377034916037</c:v>
                </c:pt>
                <c:pt idx="2769">
                  <c:v>17567.750329704715</c:v>
                </c:pt>
                <c:pt idx="2770">
                  <c:v>17578.125667452663</c:v>
                </c:pt>
                <c:pt idx="2771">
                  <c:v>17588.50304775756</c:v>
                </c:pt>
                <c:pt idx="2772">
                  <c:v>17598.882470217297</c:v>
                </c:pt>
                <c:pt idx="2773">
                  <c:v>17609.263934430011</c:v>
                </c:pt>
                <c:pt idx="2774">
                  <c:v>17619.647439994085</c:v>
                </c:pt>
                <c:pt idx="2775">
                  <c:v>17630.032986508129</c:v>
                </c:pt>
                <c:pt idx="2776">
                  <c:v>17640.420573570984</c:v>
                </c:pt>
                <c:pt idx="2777">
                  <c:v>17650.810200781754</c:v>
                </c:pt>
                <c:pt idx="2778">
                  <c:v>17661.201867739743</c:v>
                </c:pt>
                <c:pt idx="2779">
                  <c:v>17671.59557404451</c:v>
                </c:pt>
                <c:pt idx="2780">
                  <c:v>17681.991319295856</c:v>
                </c:pt>
                <c:pt idx="2781">
                  <c:v>17692.389103093818</c:v>
                </c:pt>
                <c:pt idx="2782">
                  <c:v>17702.788925038647</c:v>
                </c:pt>
                <c:pt idx="2783">
                  <c:v>17713.190784730847</c:v>
                </c:pt>
                <c:pt idx="2784">
                  <c:v>17723.594681771145</c:v>
                </c:pt>
                <c:pt idx="2785">
                  <c:v>17734.000615760531</c:v>
                </c:pt>
                <c:pt idx="2786">
                  <c:v>17744.408586300186</c:v>
                </c:pt>
                <c:pt idx="2787">
                  <c:v>17754.818592991574</c:v>
                </c:pt>
                <c:pt idx="2788">
                  <c:v>17765.230635436343</c:v>
                </c:pt>
                <c:pt idx="2789">
                  <c:v>17775.644713236408</c:v>
                </c:pt>
                <c:pt idx="2790">
                  <c:v>17786.060825993907</c:v>
                </c:pt>
                <c:pt idx="2791">
                  <c:v>17796.478973311212</c:v>
                </c:pt>
                <c:pt idx="2792">
                  <c:v>17806.899154790943</c:v>
                </c:pt>
                <c:pt idx="2793">
                  <c:v>17817.321370035923</c:v>
                </c:pt>
                <c:pt idx="2794">
                  <c:v>17827.745618649231</c:v>
                </c:pt>
                <c:pt idx="2795">
                  <c:v>17838.171900234167</c:v>
                </c:pt>
                <c:pt idx="2796">
                  <c:v>17848.600214394257</c:v>
                </c:pt>
                <c:pt idx="2797">
                  <c:v>17859.030560733285</c:v>
                </c:pt>
                <c:pt idx="2798">
                  <c:v>17869.462938855246</c:v>
                </c:pt>
                <c:pt idx="2799">
                  <c:v>17879.897348364368</c:v>
                </c:pt>
                <c:pt idx="2800">
                  <c:v>17890.333788865111</c:v>
                </c:pt>
                <c:pt idx="2801">
                  <c:v>17900.772259962174</c:v>
                </c:pt>
                <c:pt idx="2802">
                  <c:v>17911.212761260485</c:v>
                </c:pt>
                <c:pt idx="2803">
                  <c:v>17921.655292365183</c:v>
                </c:pt>
                <c:pt idx="2804">
                  <c:v>17932.099852881671</c:v>
                </c:pt>
                <c:pt idx="2805">
                  <c:v>17942.546442415554</c:v>
                </c:pt>
                <c:pt idx="2806">
                  <c:v>17952.995060572674</c:v>
                </c:pt>
                <c:pt idx="2807">
                  <c:v>17963.445706959119</c:v>
                </c:pt>
                <c:pt idx="2808">
                  <c:v>17973.898381181178</c:v>
                </c:pt>
                <c:pt idx="2809">
                  <c:v>17984.353082845388</c:v>
                </c:pt>
                <c:pt idx="2810">
                  <c:v>17994.80981155852</c:v>
                </c:pt>
                <c:pt idx="2811">
                  <c:v>18005.268566927552</c:v>
                </c:pt>
                <c:pt idx="2812">
                  <c:v>18015.729348559726</c:v>
                </c:pt>
                <c:pt idx="2813">
                  <c:v>18026.192156062469</c:v>
                </c:pt>
                <c:pt idx="2814">
                  <c:v>18036.656989043462</c:v>
                </c:pt>
                <c:pt idx="2815">
                  <c:v>18047.123847110615</c:v>
                </c:pt>
                <c:pt idx="2816">
                  <c:v>18057.592729872056</c:v>
                </c:pt>
                <c:pt idx="2817">
                  <c:v>18068.063636936149</c:v>
                </c:pt>
                <c:pt idx="2818">
                  <c:v>18078.536567911458</c:v>
                </c:pt>
                <c:pt idx="2819">
                  <c:v>18089.011522406836</c:v>
                </c:pt>
                <c:pt idx="2820">
                  <c:v>18099.488500031293</c:v>
                </c:pt>
                <c:pt idx="2821">
                  <c:v>18109.967500394119</c:v>
                </c:pt>
                <c:pt idx="2822">
                  <c:v>18120.44852310478</c:v>
                </c:pt>
                <c:pt idx="2823">
                  <c:v>18130.931567773019</c:v>
                </c:pt>
                <c:pt idx="2824">
                  <c:v>18141.416634008772</c:v>
                </c:pt>
                <c:pt idx="2825">
                  <c:v>18151.903721422197</c:v>
                </c:pt>
                <c:pt idx="2826">
                  <c:v>18162.392829623725</c:v>
                </c:pt>
                <c:pt idx="2827">
                  <c:v>18172.883958223942</c:v>
                </c:pt>
                <c:pt idx="2828">
                  <c:v>18183.377106833719</c:v>
                </c:pt>
                <c:pt idx="2829">
                  <c:v>18193.872275064121</c:v>
                </c:pt>
                <c:pt idx="2830">
                  <c:v>18204.369462526436</c:v>
                </c:pt>
                <c:pt idx="2831">
                  <c:v>18214.868668832205</c:v>
                </c:pt>
                <c:pt idx="2832">
                  <c:v>18225.369893593146</c:v>
                </c:pt>
                <c:pt idx="2833">
                  <c:v>18235.873136421251</c:v>
                </c:pt>
                <c:pt idx="2834">
                  <c:v>18246.3783969287</c:v>
                </c:pt>
                <c:pt idx="2835">
                  <c:v>18256.885674727928</c:v>
                </c:pt>
                <c:pt idx="2836">
                  <c:v>18267.394969431549</c:v>
                </c:pt>
                <c:pt idx="2837">
                  <c:v>18277.906280652434</c:v>
                </c:pt>
                <c:pt idx="2838">
                  <c:v>18288.419608003693</c:v>
                </c:pt>
                <c:pt idx="2839">
                  <c:v>18298.934951098596</c:v>
                </c:pt>
                <c:pt idx="2840">
                  <c:v>18309.452309550703</c:v>
                </c:pt>
                <c:pt idx="2841">
                  <c:v>18319.971682973752</c:v>
                </c:pt>
                <c:pt idx="2842">
                  <c:v>18330.493070981727</c:v>
                </c:pt>
                <c:pt idx="2843">
                  <c:v>18341.016473188822</c:v>
                </c:pt>
                <c:pt idx="2844">
                  <c:v>18351.541889209453</c:v>
                </c:pt>
                <c:pt idx="2845">
                  <c:v>18362.069318658261</c:v>
                </c:pt>
                <c:pt idx="2846">
                  <c:v>18372.598761150122</c:v>
                </c:pt>
                <c:pt idx="2847">
                  <c:v>18383.130216300106</c:v>
                </c:pt>
                <c:pt idx="2848">
                  <c:v>18393.663683723502</c:v>
                </c:pt>
                <c:pt idx="2849">
                  <c:v>18404.199163035857</c:v>
                </c:pt>
                <c:pt idx="2850">
                  <c:v>18414.736653852895</c:v>
                </c:pt>
                <c:pt idx="2851">
                  <c:v>18425.276155790612</c:v>
                </c:pt>
                <c:pt idx="2852">
                  <c:v>18435.817668465163</c:v>
                </c:pt>
                <c:pt idx="2853">
                  <c:v>18446.361191492964</c:v>
                </c:pt>
                <c:pt idx="2854">
                  <c:v>18456.906724490636</c:v>
                </c:pt>
                <c:pt idx="2855">
                  <c:v>18467.454267075023</c:v>
                </c:pt>
                <c:pt idx="2856">
                  <c:v>18478.003818863184</c:v>
                </c:pt>
                <c:pt idx="2857">
                  <c:v>18488.5553794724</c:v>
                </c:pt>
                <c:pt idx="2858">
                  <c:v>18499.10894852017</c:v>
                </c:pt>
                <c:pt idx="2859">
                  <c:v>18509.664525624226</c:v>
                </c:pt>
                <c:pt idx="2860">
                  <c:v>18520.22211040249</c:v>
                </c:pt>
                <c:pt idx="2861">
                  <c:v>18530.781702473116</c:v>
                </c:pt>
                <c:pt idx="2862">
                  <c:v>18541.343301454486</c:v>
                </c:pt>
                <c:pt idx="2863">
                  <c:v>18551.906906965189</c:v>
                </c:pt>
                <c:pt idx="2864">
                  <c:v>18562.472518624003</c:v>
                </c:pt>
                <c:pt idx="2865">
                  <c:v>18573.04013605</c:v>
                </c:pt>
                <c:pt idx="2866">
                  <c:v>18583.609758862389</c:v>
                </c:pt>
                <c:pt idx="2867">
                  <c:v>18594.181386680648</c:v>
                </c:pt>
                <c:pt idx="2868">
                  <c:v>18604.755019124423</c:v>
                </c:pt>
                <c:pt idx="2869">
                  <c:v>18615.330655813639</c:v>
                </c:pt>
                <c:pt idx="2870">
                  <c:v>18625.908296368387</c:v>
                </c:pt>
                <c:pt idx="2871">
                  <c:v>18636.487940408988</c:v>
                </c:pt>
                <c:pt idx="2872">
                  <c:v>18647.069587555998</c:v>
                </c:pt>
                <c:pt idx="2873">
                  <c:v>18657.65323743015</c:v>
                </c:pt>
                <c:pt idx="2874">
                  <c:v>18668.238889652428</c:v>
                </c:pt>
                <c:pt idx="2875">
                  <c:v>18678.826543844025</c:v>
                </c:pt>
                <c:pt idx="2876">
                  <c:v>18689.416199626314</c:v>
                </c:pt>
                <c:pt idx="2877">
                  <c:v>18700.007856620941</c:v>
                </c:pt>
                <c:pt idx="2878">
                  <c:v>18710.601514449714</c:v>
                </c:pt>
                <c:pt idx="2879">
                  <c:v>18721.197172734694</c:v>
                </c:pt>
                <c:pt idx="2880">
                  <c:v>18731.79483109813</c:v>
                </c:pt>
                <c:pt idx="2881">
                  <c:v>18742.394489162492</c:v>
                </c:pt>
                <c:pt idx="2882">
                  <c:v>18752.996146550475</c:v>
                </c:pt>
                <c:pt idx="2883">
                  <c:v>18763.599802884968</c:v>
                </c:pt>
                <c:pt idx="2884">
                  <c:v>18774.205457789099</c:v>
                </c:pt>
                <c:pt idx="2885">
                  <c:v>18784.813110886178</c:v>
                </c:pt>
                <c:pt idx="2886">
                  <c:v>18795.42276179976</c:v>
                </c:pt>
                <c:pt idx="2887">
                  <c:v>18806.034410153581</c:v>
                </c:pt>
                <c:pt idx="2888">
                  <c:v>18816.648055571626</c:v>
                </c:pt>
                <c:pt idx="2889">
                  <c:v>18827.263697678045</c:v>
                </c:pt>
                <c:pt idx="2890">
                  <c:v>18837.881336097253</c:v>
                </c:pt>
                <c:pt idx="2891">
                  <c:v>18848.500970453835</c:v>
                </c:pt>
                <c:pt idx="2892">
                  <c:v>18859.122600372622</c:v>
                </c:pt>
                <c:pt idx="2893">
                  <c:v>18869.746225478619</c:v>
                </c:pt>
                <c:pt idx="2894">
                  <c:v>18880.371845397058</c:v>
                </c:pt>
                <c:pt idx="2895">
                  <c:v>18890.999459753402</c:v>
                </c:pt>
                <c:pt idx="2896">
                  <c:v>18901.629068173304</c:v>
                </c:pt>
                <c:pt idx="2897">
                  <c:v>18912.260670282634</c:v>
                </c:pt>
                <c:pt idx="2898">
                  <c:v>18922.894265707477</c:v>
                </c:pt>
                <c:pt idx="2899">
                  <c:v>18933.529854074106</c:v>
                </c:pt>
                <c:pt idx="2900">
                  <c:v>18944.167435009029</c:v>
                </c:pt>
                <c:pt idx="2901">
                  <c:v>18954.80700813896</c:v>
                </c:pt>
                <c:pt idx="2902">
                  <c:v>18965.448573090809</c:v>
                </c:pt>
                <c:pt idx="2903">
                  <c:v>18976.092129491724</c:v>
                </c:pt>
                <c:pt idx="2904">
                  <c:v>18986.737676969016</c:v>
                </c:pt>
                <c:pt idx="2905">
                  <c:v>18997.385215150254</c:v>
                </c:pt>
                <c:pt idx="2906">
                  <c:v>19008.0347436632</c:v>
                </c:pt>
                <c:pt idx="2907">
                  <c:v>19018.686262135798</c:v>
                </c:pt>
                <c:pt idx="2908">
                  <c:v>19029.339770196228</c:v>
                </c:pt>
                <c:pt idx="2909">
                  <c:v>19039.995267472874</c:v>
                </c:pt>
                <c:pt idx="2910">
                  <c:v>19050.652753594346</c:v>
                </c:pt>
                <c:pt idx="2911">
                  <c:v>19061.312228189407</c:v>
                </c:pt>
                <c:pt idx="2912">
                  <c:v>19071.973690887098</c:v>
                </c:pt>
                <c:pt idx="2913">
                  <c:v>19082.637141316623</c:v>
                </c:pt>
                <c:pt idx="2914">
                  <c:v>19093.302579107378</c:v>
                </c:pt>
                <c:pt idx="2915">
                  <c:v>19103.970003889026</c:v>
                </c:pt>
                <c:pt idx="2916">
                  <c:v>19114.639415291389</c:v>
                </c:pt>
                <c:pt idx="2917">
                  <c:v>19125.31081294451</c:v>
                </c:pt>
                <c:pt idx="2918">
                  <c:v>19135.984196478636</c:v>
                </c:pt>
                <c:pt idx="2919">
                  <c:v>19146.659565524234</c:v>
                </c:pt>
                <c:pt idx="2920">
                  <c:v>19157.336919711957</c:v>
                </c:pt>
                <c:pt idx="2921">
                  <c:v>19168.016258672673</c:v>
                </c:pt>
                <c:pt idx="2922">
                  <c:v>19178.697582037454</c:v>
                </c:pt>
                <c:pt idx="2923">
                  <c:v>19189.380889437594</c:v>
                </c:pt>
                <c:pt idx="2924">
                  <c:v>19200.066180504557</c:v>
                </c:pt>
                <c:pt idx="2925">
                  <c:v>19210.753454870053</c:v>
                </c:pt>
                <c:pt idx="2926">
                  <c:v>19221.442712165968</c:v>
                </c:pt>
                <c:pt idx="2927">
                  <c:v>19232.133952024407</c:v>
                </c:pt>
                <c:pt idx="2928">
                  <c:v>19242.827174077669</c:v>
                </c:pt>
                <c:pt idx="2929">
                  <c:v>19253.522377958285</c:v>
                </c:pt>
                <c:pt idx="2930">
                  <c:v>19264.219563298939</c:v>
                </c:pt>
                <c:pt idx="2931">
                  <c:v>19274.918729732581</c:v>
                </c:pt>
                <c:pt idx="2932">
                  <c:v>19285.619876892306</c:v>
                </c:pt>
                <c:pt idx="2933">
                  <c:v>19296.323004411446</c:v>
                </c:pt>
                <c:pt idx="2934">
                  <c:v>19307.028111923541</c:v>
                </c:pt>
                <c:pt idx="2935">
                  <c:v>19317.735199062339</c:v>
                </c:pt>
                <c:pt idx="2936">
                  <c:v>19328.444265461745</c:v>
                </c:pt>
                <c:pt idx="2937">
                  <c:v>19339.155310755901</c:v>
                </c:pt>
                <c:pt idx="2938">
                  <c:v>19349.868334579194</c:v>
                </c:pt>
                <c:pt idx="2939">
                  <c:v>19360.583336566116</c:v>
                </c:pt>
                <c:pt idx="2940">
                  <c:v>19371.300316351433</c:v>
                </c:pt>
                <c:pt idx="2941">
                  <c:v>19382.019273570106</c:v>
                </c:pt>
                <c:pt idx="2942">
                  <c:v>19392.740207857285</c:v>
                </c:pt>
                <c:pt idx="2943">
                  <c:v>19403.463118848311</c:v>
                </c:pt>
                <c:pt idx="2944">
                  <c:v>19414.188006178749</c:v>
                </c:pt>
                <c:pt idx="2945">
                  <c:v>19424.914869484372</c:v>
                </c:pt>
                <c:pt idx="2946">
                  <c:v>19435.643708401112</c:v>
                </c:pt>
                <c:pt idx="2947">
                  <c:v>19446.374522565144</c:v>
                </c:pt>
                <c:pt idx="2948">
                  <c:v>19457.107311612817</c:v>
                </c:pt>
                <c:pt idx="2949">
                  <c:v>19467.842075180717</c:v>
                </c:pt>
                <c:pt idx="2950">
                  <c:v>19478.57881290558</c:v>
                </c:pt>
                <c:pt idx="2951">
                  <c:v>19489.31752442439</c:v>
                </c:pt>
                <c:pt idx="2952">
                  <c:v>19500.058209374289</c:v>
                </c:pt>
                <c:pt idx="2953">
                  <c:v>19510.800867392667</c:v>
                </c:pt>
                <c:pt idx="2954">
                  <c:v>19521.545498117066</c:v>
                </c:pt>
                <c:pt idx="2955">
                  <c:v>19532.29210118526</c:v>
                </c:pt>
                <c:pt idx="2956">
                  <c:v>19543.040676235207</c:v>
                </c:pt>
                <c:pt idx="2957">
                  <c:v>19553.791222905063</c:v>
                </c:pt>
                <c:pt idx="2958">
                  <c:v>19564.543740833207</c:v>
                </c:pt>
                <c:pt idx="2959">
                  <c:v>19575.298229658183</c:v>
                </c:pt>
                <c:pt idx="2960">
                  <c:v>19586.054689018765</c:v>
                </c:pt>
                <c:pt idx="2961">
                  <c:v>19596.813118553888</c:v>
                </c:pt>
                <c:pt idx="2962">
                  <c:v>19607.573517902729</c:v>
                </c:pt>
                <c:pt idx="2963">
                  <c:v>19618.33588670463</c:v>
                </c:pt>
                <c:pt idx="2964">
                  <c:v>19629.100224599151</c:v>
                </c:pt>
                <c:pt idx="2965">
                  <c:v>19639.866531226038</c:v>
                </c:pt>
                <c:pt idx="2966">
                  <c:v>19650.63480622524</c:v>
                </c:pt>
                <c:pt idx="2967">
                  <c:v>19661.405049236888</c:v>
                </c:pt>
                <c:pt idx="2968">
                  <c:v>19672.177259901353</c:v>
                </c:pt>
                <c:pt idx="2969">
                  <c:v>19682.951437859156</c:v>
                </c:pt>
                <c:pt idx="2970">
                  <c:v>19693.727582751042</c:v>
                </c:pt>
                <c:pt idx="2971">
                  <c:v>19704.505694217944</c:v>
                </c:pt>
                <c:pt idx="2972">
                  <c:v>19715.285771900992</c:v>
                </c:pt>
                <c:pt idx="2973">
                  <c:v>19726.0678154415</c:v>
                </c:pt>
                <c:pt idx="2974">
                  <c:v>19736.851824481015</c:v>
                </c:pt>
                <c:pt idx="2975">
                  <c:v>19747.637798661224</c:v>
                </c:pt>
                <c:pt idx="2976">
                  <c:v>19758.425737624082</c:v>
                </c:pt>
                <c:pt idx="2977">
                  <c:v>19769.215641011662</c:v>
                </c:pt>
                <c:pt idx="2978">
                  <c:v>19780.007508466293</c:v>
                </c:pt>
                <c:pt idx="2979">
                  <c:v>19790.801339630478</c:v>
                </c:pt>
                <c:pt idx="2980">
                  <c:v>19801.597134146905</c:v>
                </c:pt>
                <c:pt idx="2981">
                  <c:v>19812.39489165846</c:v>
                </c:pt>
                <c:pt idx="2982">
                  <c:v>19823.194611808245</c:v>
                </c:pt>
                <c:pt idx="2983">
                  <c:v>19833.996294239532</c:v>
                </c:pt>
                <c:pt idx="2984">
                  <c:v>19844.799938595792</c:v>
                </c:pt>
                <c:pt idx="2985">
                  <c:v>19855.605544520717</c:v>
                </c:pt>
                <c:pt idx="2986">
                  <c:v>19866.413111658148</c:v>
                </c:pt>
                <c:pt idx="2987">
                  <c:v>19877.222639652155</c:v>
                </c:pt>
                <c:pt idx="2988">
                  <c:v>19888.034128146985</c:v>
                </c:pt>
                <c:pt idx="2989">
                  <c:v>19898.847576787095</c:v>
                </c:pt>
                <c:pt idx="2990">
                  <c:v>19909.662985217114</c:v>
                </c:pt>
                <c:pt idx="2991">
                  <c:v>19920.480353081864</c:v>
                </c:pt>
                <c:pt idx="2992">
                  <c:v>19931.299680026397</c:v>
                </c:pt>
                <c:pt idx="2993">
                  <c:v>19942.120965695907</c:v>
                </c:pt>
                <c:pt idx="2994">
                  <c:v>19952.944209735808</c:v>
                </c:pt>
                <c:pt idx="2995">
                  <c:v>19963.76941179172</c:v>
                </c:pt>
                <c:pt idx="2996">
                  <c:v>19974.596571509435</c:v>
                </c:pt>
                <c:pt idx="2997">
                  <c:v>19985.425688534935</c:v>
                </c:pt>
                <c:pt idx="2998">
                  <c:v>19996.2567625144</c:v>
                </c:pt>
                <c:pt idx="2999">
                  <c:v>20007.089793094208</c:v>
                </c:pt>
                <c:pt idx="3000">
                  <c:v>20017.924779920912</c:v>
                </c:pt>
                <c:pt idx="3001">
                  <c:v>20028.76172264128</c:v>
                </c:pt>
                <c:pt idx="3002">
                  <c:v>20039.600620902249</c:v>
                </c:pt>
                <c:pt idx="3003">
                  <c:v>20050.441474350966</c:v>
                </c:pt>
                <c:pt idx="3004">
                  <c:v>20061.284282634748</c:v>
                </c:pt>
                <c:pt idx="3005">
                  <c:v>20072.129045401121</c:v>
                </c:pt>
                <c:pt idx="3006">
                  <c:v>20082.97576229781</c:v>
                </c:pt>
                <c:pt idx="3007">
                  <c:v>20093.824432972695</c:v>
                </c:pt>
                <c:pt idx="3008">
                  <c:v>20104.675057073866</c:v>
                </c:pt>
                <c:pt idx="3009">
                  <c:v>20115.527634249629</c:v>
                </c:pt>
                <c:pt idx="3010">
                  <c:v>20126.382164148428</c:v>
                </c:pt>
                <c:pt idx="3011">
                  <c:v>20137.23864641894</c:v>
                </c:pt>
                <c:pt idx="3012">
                  <c:v>20148.097080710013</c:v>
                </c:pt>
                <c:pt idx="3013">
                  <c:v>20158.957466670683</c:v>
                </c:pt>
                <c:pt idx="3014">
                  <c:v>20169.81980395018</c:v>
                </c:pt>
                <c:pt idx="3015">
                  <c:v>20180.684092197931</c:v>
                </c:pt>
                <c:pt idx="3016">
                  <c:v>20191.550331063529</c:v>
                </c:pt>
                <c:pt idx="3017">
                  <c:v>20202.418520196785</c:v>
                </c:pt>
                <c:pt idx="3018">
                  <c:v>20213.288659247672</c:v>
                </c:pt>
                <c:pt idx="3019">
                  <c:v>20224.160747866375</c:v>
                </c:pt>
                <c:pt idx="3020">
                  <c:v>20235.034785703243</c:v>
                </c:pt>
                <c:pt idx="3021">
                  <c:v>20245.910772408835</c:v>
                </c:pt>
                <c:pt idx="3022">
                  <c:v>20256.788707633888</c:v>
                </c:pt>
                <c:pt idx="3023">
                  <c:v>20267.668591029316</c:v>
                </c:pt>
                <c:pt idx="3024">
                  <c:v>20278.550422246251</c:v>
                </c:pt>
                <c:pt idx="3025">
                  <c:v>20289.434200935983</c:v>
                </c:pt>
                <c:pt idx="3026">
                  <c:v>20300.319926749995</c:v>
                </c:pt>
                <c:pt idx="3027">
                  <c:v>20311.20759933997</c:v>
                </c:pt>
                <c:pt idx="3028">
                  <c:v>20322.097218357772</c:v>
                </c:pt>
                <c:pt idx="3029">
                  <c:v>20332.988783455443</c:v>
                </c:pt>
                <c:pt idx="3030">
                  <c:v>20343.882294285217</c:v>
                </c:pt>
                <c:pt idx="3031">
                  <c:v>20354.777750499514</c:v>
                </c:pt>
                <c:pt idx="3032">
                  <c:v>20365.675151750947</c:v>
                </c:pt>
                <c:pt idx="3033">
                  <c:v>20376.574497692316</c:v>
                </c:pt>
                <c:pt idx="3034">
                  <c:v>20387.475787976578</c:v>
                </c:pt>
                <c:pt idx="3035">
                  <c:v>20398.379022256933</c:v>
                </c:pt>
                <c:pt idx="3036">
                  <c:v>20409.284200186692</c:v>
                </c:pt>
                <c:pt idx="3037">
                  <c:v>20420.191321419436</c:v>
                </c:pt>
                <c:pt idx="3038">
                  <c:v>20431.100385608854</c:v>
                </c:pt>
                <c:pt idx="3039">
                  <c:v>20442.011392408855</c:v>
                </c:pt>
                <c:pt idx="3040">
                  <c:v>20452.924341473543</c:v>
                </c:pt>
                <c:pt idx="3041">
                  <c:v>20463.839232457187</c:v>
                </c:pt>
                <c:pt idx="3042">
                  <c:v>20474.756065014248</c:v>
                </c:pt>
                <c:pt idx="3043">
                  <c:v>20485.674838799379</c:v>
                </c:pt>
                <c:pt idx="3044">
                  <c:v>20496.59555346741</c:v>
                </c:pt>
                <c:pt idx="3045">
                  <c:v>20507.518208673337</c:v>
                </c:pt>
                <c:pt idx="3046">
                  <c:v>20518.442804072391</c:v>
                </c:pt>
                <c:pt idx="3047">
                  <c:v>20529.36933931991</c:v>
                </c:pt>
                <c:pt idx="3048">
                  <c:v>20540.297814071502</c:v>
                </c:pt>
                <c:pt idx="3049">
                  <c:v>20551.228227982894</c:v>
                </c:pt>
                <c:pt idx="3050">
                  <c:v>20562.160580710017</c:v>
                </c:pt>
                <c:pt idx="3051">
                  <c:v>20573.094871908979</c:v>
                </c:pt>
                <c:pt idx="3052">
                  <c:v>20584.031101236102</c:v>
                </c:pt>
                <c:pt idx="3053">
                  <c:v>20594.969268347853</c:v>
                </c:pt>
                <c:pt idx="3054">
                  <c:v>20605.909372900896</c:v>
                </c:pt>
                <c:pt idx="3055">
                  <c:v>20616.851414552078</c:v>
                </c:pt>
                <c:pt idx="3056">
                  <c:v>20627.795392958433</c:v>
                </c:pt>
                <c:pt idx="3057">
                  <c:v>20638.741307777156</c:v>
                </c:pt>
                <c:pt idx="3058">
                  <c:v>20649.68915866566</c:v>
                </c:pt>
                <c:pt idx="3059">
                  <c:v>20660.638945281495</c:v>
                </c:pt>
                <c:pt idx="3060">
                  <c:v>20671.590667282439</c:v>
                </c:pt>
                <c:pt idx="3061">
                  <c:v>20682.54432432642</c:v>
                </c:pt>
                <c:pt idx="3062">
                  <c:v>20693.499916071563</c:v>
                </c:pt>
                <c:pt idx="3063">
                  <c:v>20704.457442176168</c:v>
                </c:pt>
                <c:pt idx="3064">
                  <c:v>20715.416902298697</c:v>
                </c:pt>
                <c:pt idx="3065">
                  <c:v>20726.378296097839</c:v>
                </c:pt>
                <c:pt idx="3066">
                  <c:v>20737.34162323242</c:v>
                </c:pt>
                <c:pt idx="3067">
                  <c:v>20748.306883361474</c:v>
                </c:pt>
                <c:pt idx="3068">
                  <c:v>20759.274076144186</c:v>
                </c:pt>
                <c:pt idx="3069">
                  <c:v>20770.243201239969</c:v>
                </c:pt>
                <c:pt idx="3070">
                  <c:v>20781.214258308359</c:v>
                </c:pt>
                <c:pt idx="3071">
                  <c:v>20792.187247009118</c:v>
                </c:pt>
                <c:pt idx="3072">
                  <c:v>20803.162167002163</c:v>
                </c:pt>
                <c:pt idx="3073">
                  <c:v>20814.139017947593</c:v>
                </c:pt>
                <c:pt idx="3074">
                  <c:v>20825.117799505701</c:v>
                </c:pt>
                <c:pt idx="3075">
                  <c:v>20836.098511336946</c:v>
                </c:pt>
                <c:pt idx="3076">
                  <c:v>20847.081153101964</c:v>
                </c:pt>
                <c:pt idx="3077">
                  <c:v>20858.065724461576</c:v>
                </c:pt>
                <c:pt idx="3078">
                  <c:v>20869.052225076783</c:v>
                </c:pt>
                <c:pt idx="3079">
                  <c:v>20880.040654608765</c:v>
                </c:pt>
                <c:pt idx="3080">
                  <c:v>20891.031012718871</c:v>
                </c:pt>
                <c:pt idx="3081">
                  <c:v>20902.023299068649</c:v>
                </c:pt>
                <c:pt idx="3082">
                  <c:v>20913.017513319799</c:v>
                </c:pt>
                <c:pt idx="3083">
                  <c:v>20924.013655134222</c:v>
                </c:pt>
                <c:pt idx="3084">
                  <c:v>20935.011724173972</c:v>
                </c:pt>
                <c:pt idx="3085">
                  <c:v>20946.011720101294</c:v>
                </c:pt>
                <c:pt idx="3086">
                  <c:v>20957.013642578637</c:v>
                </c:pt>
                <c:pt idx="3087">
                  <c:v>20968.017491268583</c:v>
                </c:pt>
                <c:pt idx="3088">
                  <c:v>20979.023265833908</c:v>
                </c:pt>
                <c:pt idx="3089">
                  <c:v>20990.030965937578</c:v>
                </c:pt>
                <c:pt idx="3090">
                  <c:v>21001.040591242727</c:v>
                </c:pt>
                <c:pt idx="3091">
                  <c:v>21012.052141412652</c:v>
                </c:pt>
                <c:pt idx="3092">
                  <c:v>21023.065616110842</c:v>
                </c:pt>
                <c:pt idx="3093">
                  <c:v>21034.081015000964</c:v>
                </c:pt>
                <c:pt idx="3094">
                  <c:v>21045.098337746869</c:v>
                </c:pt>
                <c:pt idx="3095">
                  <c:v>21056.117584012547</c:v>
                </c:pt>
                <c:pt idx="3096">
                  <c:v>21067.138753462197</c:v>
                </c:pt>
                <c:pt idx="3097">
                  <c:v>21078.161845760198</c:v>
                </c:pt>
                <c:pt idx="3098">
                  <c:v>21089.186860571081</c:v>
                </c:pt>
                <c:pt idx="3099">
                  <c:v>21100.213797559576</c:v>
                </c:pt>
                <c:pt idx="3100">
                  <c:v>21111.242656390557</c:v>
                </c:pt>
                <c:pt idx="3101">
                  <c:v>21122.273436729098</c:v>
                </c:pt>
                <c:pt idx="3102">
                  <c:v>21133.306138240459</c:v>
                </c:pt>
                <c:pt idx="3103">
                  <c:v>21144.340760590032</c:v>
                </c:pt>
                <c:pt idx="3104">
                  <c:v>21155.377303443438</c:v>
                </c:pt>
                <c:pt idx="3105">
                  <c:v>21166.415766466434</c:v>
                </c:pt>
                <c:pt idx="3106">
                  <c:v>21177.456149324968</c:v>
                </c:pt>
                <c:pt idx="3107">
                  <c:v>21188.498451685144</c:v>
                </c:pt>
                <c:pt idx="3108">
                  <c:v>21199.542673213251</c:v>
                </c:pt>
                <c:pt idx="3109">
                  <c:v>21210.588813575774</c:v>
                </c:pt>
                <c:pt idx="3110">
                  <c:v>21221.636872439343</c:v>
                </c:pt>
                <c:pt idx="3111">
                  <c:v>21232.686849470763</c:v>
                </c:pt>
                <c:pt idx="3112">
                  <c:v>21243.738744337039</c:v>
                </c:pt>
                <c:pt idx="3113">
                  <c:v>21254.792556705306</c:v>
                </c:pt>
                <c:pt idx="3114">
                  <c:v>21265.848286242912</c:v>
                </c:pt>
                <c:pt idx="3115">
                  <c:v>21276.905932617359</c:v>
                </c:pt>
                <c:pt idx="3116">
                  <c:v>21287.965495496337</c:v>
                </c:pt>
                <c:pt idx="3117">
                  <c:v>21299.026974547683</c:v>
                </c:pt>
                <c:pt idx="3118">
                  <c:v>21310.090369439426</c:v>
                </c:pt>
                <c:pt idx="3119">
                  <c:v>21321.155679839776</c:v>
                </c:pt>
                <c:pt idx="3120">
                  <c:v>21332.222905417089</c:v>
                </c:pt>
                <c:pt idx="3121">
                  <c:v>21343.292045839906</c:v>
                </c:pt>
                <c:pt idx="3122">
                  <c:v>21354.363100776955</c:v>
                </c:pt>
                <c:pt idx="3123">
                  <c:v>21365.436069897096</c:v>
                </c:pt>
                <c:pt idx="3124">
                  <c:v>21376.510952869408</c:v>
                </c:pt>
                <c:pt idx="3125">
                  <c:v>21387.587749363112</c:v>
                </c:pt>
                <c:pt idx="3126">
                  <c:v>21398.666459047618</c:v>
                </c:pt>
                <c:pt idx="3127">
                  <c:v>21409.747081592486</c:v>
                </c:pt>
                <c:pt idx="3128">
                  <c:v>21420.829616667474</c:v>
                </c:pt>
                <c:pt idx="3129">
                  <c:v>21431.91406394248</c:v>
                </c:pt>
                <c:pt idx="3130">
                  <c:v>21443.000423087589</c:v>
                </c:pt>
                <c:pt idx="3131">
                  <c:v>21454.08869377309</c:v>
                </c:pt>
                <c:pt idx="3132">
                  <c:v>21465.178875669364</c:v>
                </c:pt>
                <c:pt idx="3133">
                  <c:v>21476.270968447032</c:v>
                </c:pt>
                <c:pt idx="3134">
                  <c:v>21487.364971776849</c:v>
                </c:pt>
                <c:pt idx="3135">
                  <c:v>21498.460885329783</c:v>
                </c:pt>
                <c:pt idx="3136">
                  <c:v>21509.558708776891</c:v>
                </c:pt>
                <c:pt idx="3137">
                  <c:v>21520.658441789496</c:v>
                </c:pt>
                <c:pt idx="3138">
                  <c:v>21531.760084039037</c:v>
                </c:pt>
                <c:pt idx="3139">
                  <c:v>21542.863635197107</c:v>
                </c:pt>
                <c:pt idx="3140">
                  <c:v>21553.969094935506</c:v>
                </c:pt>
                <c:pt idx="3141">
                  <c:v>21565.076462926205</c:v>
                </c:pt>
                <c:pt idx="3142">
                  <c:v>21576.185738841308</c:v>
                </c:pt>
                <c:pt idx="3143">
                  <c:v>21587.2969223531</c:v>
                </c:pt>
                <c:pt idx="3144">
                  <c:v>21598.410013134078</c:v>
                </c:pt>
                <c:pt idx="3145">
                  <c:v>21609.525010856847</c:v>
                </c:pt>
                <c:pt idx="3146">
                  <c:v>21620.641915194206</c:v>
                </c:pt>
                <c:pt idx="3147">
                  <c:v>21631.760725819138</c:v>
                </c:pt>
                <c:pt idx="3148">
                  <c:v>21642.881442404763</c:v>
                </c:pt>
                <c:pt idx="3149">
                  <c:v>21654.004064624394</c:v>
                </c:pt>
                <c:pt idx="3150">
                  <c:v>21665.128592151505</c:v>
                </c:pt>
                <c:pt idx="3151">
                  <c:v>21676.255024659724</c:v>
                </c:pt>
                <c:pt idx="3152">
                  <c:v>21687.383361822893</c:v>
                </c:pt>
                <c:pt idx="3153">
                  <c:v>21698.513603314943</c:v>
                </c:pt>
                <c:pt idx="3154">
                  <c:v>21709.645748810039</c:v>
                </c:pt>
                <c:pt idx="3155">
                  <c:v>21720.779797982497</c:v>
                </c:pt>
                <c:pt idx="3156">
                  <c:v>21731.915750506781</c:v>
                </c:pt>
                <c:pt idx="3157">
                  <c:v>21743.053606057543</c:v>
                </c:pt>
                <c:pt idx="3158">
                  <c:v>21754.193364309594</c:v>
                </c:pt>
                <c:pt idx="3159">
                  <c:v>21765.335024937911</c:v>
                </c:pt>
                <c:pt idx="3160">
                  <c:v>21776.478587617636</c:v>
                </c:pt>
                <c:pt idx="3161">
                  <c:v>21787.624052024079</c:v>
                </c:pt>
                <c:pt idx="3162">
                  <c:v>21798.771417832722</c:v>
                </c:pt>
                <c:pt idx="3163">
                  <c:v>21809.920684719204</c:v>
                </c:pt>
                <c:pt idx="3164">
                  <c:v>21821.071852359317</c:v>
                </c:pt>
                <c:pt idx="3165">
                  <c:v>21832.224920429086</c:v>
                </c:pt>
                <c:pt idx="3166">
                  <c:v>21843.379888604599</c:v>
                </c:pt>
                <c:pt idx="3167">
                  <c:v>21854.536756562185</c:v>
                </c:pt>
                <c:pt idx="3168">
                  <c:v>21865.695523978309</c:v>
                </c:pt>
                <c:pt idx="3169">
                  <c:v>21876.85619052963</c:v>
                </c:pt>
                <c:pt idx="3170">
                  <c:v>21888.018755892921</c:v>
                </c:pt>
                <c:pt idx="3171">
                  <c:v>21899.183219745155</c:v>
                </c:pt>
                <c:pt idx="3172">
                  <c:v>21910.349581763476</c:v>
                </c:pt>
                <c:pt idx="3173">
                  <c:v>21921.517841625166</c:v>
                </c:pt>
                <c:pt idx="3174">
                  <c:v>21932.687999007707</c:v>
                </c:pt>
                <c:pt idx="3175">
                  <c:v>21943.860053588702</c:v>
                </c:pt>
                <c:pt idx="3176">
                  <c:v>21955.034005045945</c:v>
                </c:pt>
                <c:pt idx="3177">
                  <c:v>21966.209853057411</c:v>
                </c:pt>
                <c:pt idx="3178">
                  <c:v>21977.387597301189</c:v>
                </c:pt>
                <c:pt idx="3179">
                  <c:v>21988.567237455572</c:v>
                </c:pt>
                <c:pt idx="3180">
                  <c:v>21999.748773199019</c:v>
                </c:pt>
                <c:pt idx="3181">
                  <c:v>22010.932204210119</c:v>
                </c:pt>
                <c:pt idx="3182">
                  <c:v>22022.117530167659</c:v>
                </c:pt>
                <c:pt idx="3183">
                  <c:v>22033.304750750565</c:v>
                </c:pt>
                <c:pt idx="3184">
                  <c:v>22044.493865637938</c:v>
                </c:pt>
                <c:pt idx="3185">
                  <c:v>22055.68487450905</c:v>
                </c:pt>
                <c:pt idx="3186">
                  <c:v>22066.877777043319</c:v>
                </c:pt>
                <c:pt idx="3187">
                  <c:v>22078.072572920333</c:v>
                </c:pt>
                <c:pt idx="3188">
                  <c:v>22089.269261819842</c:v>
                </c:pt>
                <c:pt idx="3189">
                  <c:v>22100.467843421753</c:v>
                </c:pt>
                <c:pt idx="3190">
                  <c:v>22111.668317406147</c:v>
                </c:pt>
                <c:pt idx="3191">
                  <c:v>22122.870683453271</c:v>
                </c:pt>
                <c:pt idx="3192">
                  <c:v>22134.074941243518</c:v>
                </c:pt>
                <c:pt idx="3193">
                  <c:v>22145.281090457443</c:v>
                </c:pt>
                <c:pt idx="3194">
                  <c:v>22156.489130775761</c:v>
                </c:pt>
                <c:pt idx="3195">
                  <c:v>22167.699061879379</c:v>
                </c:pt>
                <c:pt idx="3196">
                  <c:v>22178.910883449349</c:v>
                </c:pt>
                <c:pt idx="3197">
                  <c:v>22190.12459516685</c:v>
                </c:pt>
                <c:pt idx="3198">
                  <c:v>22201.340196713278</c:v>
                </c:pt>
                <c:pt idx="3199">
                  <c:v>22212.557687770142</c:v>
                </c:pt>
                <c:pt idx="3200">
                  <c:v>22223.777068019139</c:v>
                </c:pt>
                <c:pt idx="3201">
                  <c:v>22234.998337142122</c:v>
                </c:pt>
                <c:pt idx="3202">
                  <c:v>22246.221494821122</c:v>
                </c:pt>
                <c:pt idx="3203">
                  <c:v>22257.446540738292</c:v>
                </c:pt>
                <c:pt idx="3204">
                  <c:v>22268.673474575957</c:v>
                </c:pt>
                <c:pt idx="3205">
                  <c:v>22279.902296016662</c:v>
                </c:pt>
                <c:pt idx="3206">
                  <c:v>22291.133004742991</c:v>
                </c:pt>
                <c:pt idx="3207">
                  <c:v>22302.365600437803</c:v>
                </c:pt>
                <c:pt idx="3208">
                  <c:v>22313.600082784058</c:v>
                </c:pt>
                <c:pt idx="3209">
                  <c:v>22324.8364514649</c:v>
                </c:pt>
                <c:pt idx="3210">
                  <c:v>22336.074706163614</c:v>
                </c:pt>
                <c:pt idx="3211">
                  <c:v>22347.314846563651</c:v>
                </c:pt>
                <c:pt idx="3212">
                  <c:v>22358.556872348629</c:v>
                </c:pt>
                <c:pt idx="3213">
                  <c:v>22369.80078320235</c:v>
                </c:pt>
                <c:pt idx="3214">
                  <c:v>22381.046578808699</c:v>
                </c:pt>
                <c:pt idx="3215">
                  <c:v>22392.294258851765</c:v>
                </c:pt>
                <c:pt idx="3216">
                  <c:v>22403.543823015836</c:v>
                </c:pt>
                <c:pt idx="3217">
                  <c:v>22414.795270985283</c:v>
                </c:pt>
                <c:pt idx="3218">
                  <c:v>22426.048602444684</c:v>
                </c:pt>
                <c:pt idx="3219">
                  <c:v>22437.303817078762</c:v>
                </c:pt>
                <c:pt idx="3220">
                  <c:v>22448.560914572427</c:v>
                </c:pt>
                <c:pt idx="3221">
                  <c:v>22459.819894610693</c:v>
                </c:pt>
                <c:pt idx="3222">
                  <c:v>22471.080756878742</c:v>
                </c:pt>
                <c:pt idx="3223">
                  <c:v>22482.343501061976</c:v>
                </c:pt>
                <c:pt idx="3224">
                  <c:v>22493.608126845877</c:v>
                </c:pt>
                <c:pt idx="3225">
                  <c:v>22504.87463391613</c:v>
                </c:pt>
                <c:pt idx="3226">
                  <c:v>22516.143021958556</c:v>
                </c:pt>
                <c:pt idx="3227">
                  <c:v>22527.413290659144</c:v>
                </c:pt>
                <c:pt idx="3228">
                  <c:v>22538.685439704048</c:v>
                </c:pt>
                <c:pt idx="3229">
                  <c:v>22549.959468779558</c:v>
                </c:pt>
                <c:pt idx="3230">
                  <c:v>22561.235377572171</c:v>
                </c:pt>
                <c:pt idx="3231">
                  <c:v>22572.513165768443</c:v>
                </c:pt>
                <c:pt idx="3232">
                  <c:v>22583.792833055169</c:v>
                </c:pt>
                <c:pt idx="3233">
                  <c:v>22595.074379119291</c:v>
                </c:pt>
                <c:pt idx="3234">
                  <c:v>22606.357803647872</c:v>
                </c:pt>
                <c:pt idx="3235">
                  <c:v>22617.643106328189</c:v>
                </c:pt>
                <c:pt idx="3236">
                  <c:v>22628.930286847601</c:v>
                </c:pt>
                <c:pt idx="3237">
                  <c:v>22640.219344893703</c:v>
                </c:pt>
                <c:pt idx="3238">
                  <c:v>22651.510280154165</c:v>
                </c:pt>
                <c:pt idx="3239">
                  <c:v>22662.803092316859</c:v>
                </c:pt>
                <c:pt idx="3240">
                  <c:v>22674.097781069835</c:v>
                </c:pt>
                <c:pt idx="3241">
                  <c:v>22685.394346101235</c:v>
                </c:pt>
                <c:pt idx="3242">
                  <c:v>22696.692787099433</c:v>
                </c:pt>
                <c:pt idx="3243">
                  <c:v>22707.993103752859</c:v>
                </c:pt>
                <c:pt idx="3244">
                  <c:v>22719.295295750206</c:v>
                </c:pt>
                <c:pt idx="3245">
                  <c:v>22730.599362780264</c:v>
                </c:pt>
                <c:pt idx="3246">
                  <c:v>22741.905304531971</c:v>
                </c:pt>
                <c:pt idx="3247">
                  <c:v>22753.213120694432</c:v>
                </c:pt>
                <c:pt idx="3248">
                  <c:v>22764.522810956929</c:v>
                </c:pt>
                <c:pt idx="3249">
                  <c:v>22775.834375008842</c:v>
                </c:pt>
                <c:pt idx="3250">
                  <c:v>22787.147812539784</c:v>
                </c:pt>
                <c:pt idx="3251">
                  <c:v>22798.463123239453</c:v>
                </c:pt>
                <c:pt idx="3252">
                  <c:v>22809.780306797766</c:v>
                </c:pt>
                <c:pt idx="3253">
                  <c:v>22821.099362904697</c:v>
                </c:pt>
                <c:pt idx="3254">
                  <c:v>22832.420291250473</c:v>
                </c:pt>
                <c:pt idx="3255">
                  <c:v>22843.743091525448</c:v>
                </c:pt>
                <c:pt idx="3256">
                  <c:v>22855.06776342008</c:v>
                </c:pt>
                <c:pt idx="3257">
                  <c:v>22866.394306625036</c:v>
                </c:pt>
                <c:pt idx="3258">
                  <c:v>22877.722720831116</c:v>
                </c:pt>
                <c:pt idx="3259">
                  <c:v>22889.053005729274</c:v>
                </c:pt>
                <c:pt idx="3260">
                  <c:v>22900.385161010621</c:v>
                </c:pt>
                <c:pt idx="3261">
                  <c:v>22911.719186366416</c:v>
                </c:pt>
                <c:pt idx="3262">
                  <c:v>22923.05508148807</c:v>
                </c:pt>
                <c:pt idx="3263">
                  <c:v>22934.392846067174</c:v>
                </c:pt>
                <c:pt idx="3264">
                  <c:v>22945.73247979541</c:v>
                </c:pt>
                <c:pt idx="3265">
                  <c:v>22957.073982364669</c:v>
                </c:pt>
                <c:pt idx="3266">
                  <c:v>22968.417353466975</c:v>
                </c:pt>
                <c:pt idx="3267">
                  <c:v>22979.762592794501</c:v>
                </c:pt>
                <c:pt idx="3268">
                  <c:v>22991.109700039568</c:v>
                </c:pt>
                <c:pt idx="3269">
                  <c:v>23002.458674894668</c:v>
                </c:pt>
                <c:pt idx="3270">
                  <c:v>23013.809517052439</c:v>
                </c:pt>
                <c:pt idx="3271">
                  <c:v>23025.162226205663</c:v>
                </c:pt>
                <c:pt idx="3272">
                  <c:v>23036.516802047256</c:v>
                </c:pt>
                <c:pt idx="3273">
                  <c:v>23047.873244270333</c:v>
                </c:pt>
                <c:pt idx="3274">
                  <c:v>23059.231552568112</c:v>
                </c:pt>
                <c:pt idx="3275">
                  <c:v>23070.591726633993</c:v>
                </c:pt>
                <c:pt idx="3276">
                  <c:v>23081.953766161496</c:v>
                </c:pt>
                <c:pt idx="3277">
                  <c:v>23093.317670844368</c:v>
                </c:pt>
                <c:pt idx="3278">
                  <c:v>23104.683440376382</c:v>
                </c:pt>
                <c:pt idx="3279">
                  <c:v>23116.051074451567</c:v>
                </c:pt>
                <c:pt idx="3280">
                  <c:v>23127.420572764095</c:v>
                </c:pt>
                <c:pt idx="3281">
                  <c:v>23138.791935008197</c:v>
                </c:pt>
                <c:pt idx="3282">
                  <c:v>23150.165160878369</c:v>
                </c:pt>
                <c:pt idx="3283">
                  <c:v>23161.540250069182</c:v>
                </c:pt>
                <c:pt idx="3284">
                  <c:v>23172.917202275406</c:v>
                </c:pt>
                <c:pt idx="3285">
                  <c:v>23184.296017191911</c:v>
                </c:pt>
                <c:pt idx="3286">
                  <c:v>23195.676694513739</c:v>
                </c:pt>
                <c:pt idx="3287">
                  <c:v>23207.059233936125</c:v>
                </c:pt>
                <c:pt idx="3288">
                  <c:v>23218.443635154363</c:v>
                </c:pt>
                <c:pt idx="3289">
                  <c:v>23229.829897863969</c:v>
                </c:pt>
                <c:pt idx="3290">
                  <c:v>23241.218021760596</c:v>
                </c:pt>
                <c:pt idx="3291">
                  <c:v>23252.608006540038</c:v>
                </c:pt>
                <c:pt idx="3292">
                  <c:v>23263.999851898232</c:v>
                </c:pt>
                <c:pt idx="3293">
                  <c:v>23275.393557531246</c:v>
                </c:pt>
                <c:pt idx="3294">
                  <c:v>23286.789123135353</c:v>
                </c:pt>
                <c:pt idx="3295">
                  <c:v>23298.186548406939</c:v>
                </c:pt>
                <c:pt idx="3296">
                  <c:v>23309.585833042507</c:v>
                </c:pt>
                <c:pt idx="3297">
                  <c:v>23320.98697673879</c:v>
                </c:pt>
                <c:pt idx="3298">
                  <c:v>23332.389979192594</c:v>
                </c:pt>
                <c:pt idx="3299">
                  <c:v>23343.794840100902</c:v>
                </c:pt>
                <c:pt idx="3300">
                  <c:v>23355.201559160872</c:v>
                </c:pt>
                <c:pt idx="3301">
                  <c:v>23366.61013606975</c:v>
                </c:pt>
                <c:pt idx="3302">
                  <c:v>23378.020570524968</c:v>
                </c:pt>
                <c:pt idx="3303">
                  <c:v>23389.432862224116</c:v>
                </c:pt>
                <c:pt idx="3304">
                  <c:v>23400.847010864902</c:v>
                </c:pt>
                <c:pt idx="3305">
                  <c:v>23412.263016145225</c:v>
                </c:pt>
                <c:pt idx="3306">
                  <c:v>23423.680877763069</c:v>
                </c:pt>
                <c:pt idx="3307">
                  <c:v>23435.100595416607</c:v>
                </c:pt>
                <c:pt idx="3308">
                  <c:v>23446.522168804164</c:v>
                </c:pt>
                <c:pt idx="3309">
                  <c:v>23457.945597624188</c:v>
                </c:pt>
                <c:pt idx="3310">
                  <c:v>23469.370881575276</c:v>
                </c:pt>
                <c:pt idx="3311">
                  <c:v>23480.798020356204</c:v>
                </c:pt>
                <c:pt idx="3312">
                  <c:v>23492.227013665859</c:v>
                </c:pt>
                <c:pt idx="3313">
                  <c:v>23503.657861203301</c:v>
                </c:pt>
                <c:pt idx="3314">
                  <c:v>23515.090562667687</c:v>
                </c:pt>
                <c:pt idx="3315">
                  <c:v>23526.525117758389</c:v>
                </c:pt>
                <c:pt idx="3316">
                  <c:v>23537.961526174902</c:v>
                </c:pt>
                <c:pt idx="3317">
                  <c:v>23549.399787616825</c:v>
                </c:pt>
                <c:pt idx="3318">
                  <c:v>23560.839901783955</c:v>
                </c:pt>
                <c:pt idx="3319">
                  <c:v>23572.281868376213</c:v>
                </c:pt>
                <c:pt idx="3320">
                  <c:v>23583.725687093665</c:v>
                </c:pt>
                <c:pt idx="3321">
                  <c:v>23595.171357636536</c:v>
                </c:pt>
                <c:pt idx="3322">
                  <c:v>23606.618879705147</c:v>
                </c:pt>
                <c:pt idx="3323">
                  <c:v>23618.068253000067</c:v>
                </c:pt>
                <c:pt idx="3324">
                  <c:v>23629.519477221929</c:v>
                </c:pt>
                <c:pt idx="3325">
                  <c:v>23640.972552071496</c:v>
                </c:pt>
                <c:pt idx="3326">
                  <c:v>23652.427477249723</c:v>
                </c:pt>
                <c:pt idx="3327">
                  <c:v>23663.884252457719</c:v>
                </c:pt>
                <c:pt idx="3328">
                  <c:v>23675.342877396699</c:v>
                </c:pt>
                <c:pt idx="3329">
                  <c:v>23686.803351768041</c:v>
                </c:pt>
                <c:pt idx="3330">
                  <c:v>23698.265675273273</c:v>
                </c:pt>
                <c:pt idx="3331">
                  <c:v>23709.729847614053</c:v>
                </c:pt>
                <c:pt idx="3332">
                  <c:v>23721.195868492199</c:v>
                </c:pt>
                <c:pt idx="3333">
                  <c:v>23732.663737609637</c:v>
                </c:pt>
                <c:pt idx="3334">
                  <c:v>23744.13345466851</c:v>
                </c:pt>
                <c:pt idx="3335">
                  <c:v>23755.605019371022</c:v>
                </c:pt>
                <c:pt idx="3336">
                  <c:v>23767.078431419563</c:v>
                </c:pt>
                <c:pt idx="3337">
                  <c:v>23778.553690516699</c:v>
                </c:pt>
                <c:pt idx="3338">
                  <c:v>23790.030796365074</c:v>
                </c:pt>
                <c:pt idx="3339">
                  <c:v>23801.509748667489</c:v>
                </c:pt>
                <c:pt idx="3340">
                  <c:v>23812.990547126938</c:v>
                </c:pt>
                <c:pt idx="3341">
                  <c:v>23824.473191446519</c:v>
                </c:pt>
                <c:pt idx="3342">
                  <c:v>23835.957681329484</c:v>
                </c:pt>
                <c:pt idx="3343">
                  <c:v>23847.444016479196</c:v>
                </c:pt>
                <c:pt idx="3344">
                  <c:v>23858.932196599195</c:v>
                </c:pt>
                <c:pt idx="3345">
                  <c:v>23870.422221393193</c:v>
                </c:pt>
                <c:pt idx="3346">
                  <c:v>23881.914090564966</c:v>
                </c:pt>
                <c:pt idx="3347">
                  <c:v>23893.4078038185</c:v>
                </c:pt>
                <c:pt idx="3348">
                  <c:v>23904.903360857894</c:v>
                </c:pt>
                <c:pt idx="3349">
                  <c:v>23916.400761387395</c:v>
                </c:pt>
                <c:pt idx="3350">
                  <c:v>23927.90000511138</c:v>
                </c:pt>
                <c:pt idx="3351">
                  <c:v>23939.401091734384</c:v>
                </c:pt>
                <c:pt idx="3352">
                  <c:v>23950.904020961098</c:v>
                </c:pt>
                <c:pt idx="3353">
                  <c:v>23962.408792496339</c:v>
                </c:pt>
                <c:pt idx="3354">
                  <c:v>23973.915406045035</c:v>
                </c:pt>
                <c:pt idx="3355">
                  <c:v>23985.423861312313</c:v>
                </c:pt>
                <c:pt idx="3356">
                  <c:v>23996.934158003383</c:v>
                </c:pt>
                <c:pt idx="3357">
                  <c:v>24008.446295823644</c:v>
                </c:pt>
                <c:pt idx="3358">
                  <c:v>24019.960274478635</c:v>
                </c:pt>
                <c:pt idx="3359">
                  <c:v>24031.476093673995</c:v>
                </c:pt>
                <c:pt idx="3360">
                  <c:v>24042.993753115537</c:v>
                </c:pt>
                <c:pt idx="3361">
                  <c:v>24054.513252509219</c:v>
                </c:pt>
                <c:pt idx="3362">
                  <c:v>24066.034591561118</c:v>
                </c:pt>
                <c:pt idx="3363">
                  <c:v>24077.557769977484</c:v>
                </c:pt>
                <c:pt idx="3364">
                  <c:v>24089.082787464646</c:v>
                </c:pt>
                <c:pt idx="3365">
                  <c:v>24100.609643729131</c:v>
                </c:pt>
                <c:pt idx="3366">
                  <c:v>24112.138338477624</c:v>
                </c:pt>
                <c:pt idx="3367">
                  <c:v>24123.668871416867</c:v>
                </c:pt>
                <c:pt idx="3368">
                  <c:v>24135.20124225381</c:v>
                </c:pt>
                <c:pt idx="3369">
                  <c:v>24146.735450695516</c:v>
                </c:pt>
                <c:pt idx="3370">
                  <c:v>24158.271496449212</c:v>
                </c:pt>
                <c:pt idx="3371">
                  <c:v>24169.809379222268</c:v>
                </c:pt>
                <c:pt idx="3372">
                  <c:v>24181.349098722105</c:v>
                </c:pt>
                <c:pt idx="3373">
                  <c:v>24192.89065465645</c:v>
                </c:pt>
                <c:pt idx="3374">
                  <c:v>24204.434046732978</c:v>
                </c:pt>
                <c:pt idx="3375">
                  <c:v>24215.979274659654</c:v>
                </c:pt>
                <c:pt idx="3376">
                  <c:v>24227.526338144511</c:v>
                </c:pt>
                <c:pt idx="3377">
                  <c:v>24239.075236895776</c:v>
                </c:pt>
                <c:pt idx="3378">
                  <c:v>24250.625970621706</c:v>
                </c:pt>
                <c:pt idx="3379">
                  <c:v>24262.178539030807</c:v>
                </c:pt>
                <c:pt idx="3380">
                  <c:v>24273.732941831699</c:v>
                </c:pt>
                <c:pt idx="3381">
                  <c:v>24285.289178733106</c:v>
                </c:pt>
                <c:pt idx="3382">
                  <c:v>24296.847249443923</c:v>
                </c:pt>
                <c:pt idx="3383">
                  <c:v>24308.407153673157</c:v>
                </c:pt>
                <c:pt idx="3384">
                  <c:v>24319.968891129967</c:v>
                </c:pt>
                <c:pt idx="3385">
                  <c:v>24331.532461523675</c:v>
                </c:pt>
                <c:pt idx="3386">
                  <c:v>24343.097864563686</c:v>
                </c:pt>
                <c:pt idx="3387">
                  <c:v>24354.665099959602</c:v>
                </c:pt>
                <c:pt idx="3388">
                  <c:v>24366.234167421135</c:v>
                </c:pt>
                <c:pt idx="3389">
                  <c:v>24377.805066658118</c:v>
                </c:pt>
                <c:pt idx="3390">
                  <c:v>24389.377797380563</c:v>
                </c:pt>
                <c:pt idx="3391">
                  <c:v>24400.952359298564</c:v>
                </c:pt>
                <c:pt idx="3392">
                  <c:v>24412.528752122416</c:v>
                </c:pt>
                <c:pt idx="3393">
                  <c:v>24424.10697556251</c:v>
                </c:pt>
                <c:pt idx="3394">
                  <c:v>24435.687029329387</c:v>
                </c:pt>
                <c:pt idx="3395">
                  <c:v>24447.268913133732</c:v>
                </c:pt>
                <c:pt idx="3396">
                  <c:v>24458.852626686341</c:v>
                </c:pt>
                <c:pt idx="3397">
                  <c:v>24470.438169698169</c:v>
                </c:pt>
                <c:pt idx="3398">
                  <c:v>24482.02554188031</c:v>
                </c:pt>
                <c:pt idx="3399">
                  <c:v>24493.614742943977</c:v>
                </c:pt>
                <c:pt idx="3400">
                  <c:v>24505.205772600551</c:v>
                </c:pt>
                <c:pt idx="3401">
                  <c:v>24516.79863056152</c:v>
                </c:pt>
                <c:pt idx="3402">
                  <c:v>24528.393316538524</c:v>
                </c:pt>
                <c:pt idx="3403">
                  <c:v>24539.989830243325</c:v>
                </c:pt>
                <c:pt idx="3404">
                  <c:v>24551.58817138783</c:v>
                </c:pt>
                <c:pt idx="3405">
                  <c:v>24563.188339684093</c:v>
                </c:pt>
                <c:pt idx="3406">
                  <c:v>24574.790334844289</c:v>
                </c:pt>
                <c:pt idx="3407">
                  <c:v>24586.394156580718</c:v>
                </c:pt>
                <c:pt idx="3408">
                  <c:v>24597.999804605868</c:v>
                </c:pt>
                <c:pt idx="3409">
                  <c:v>24609.607278632287</c:v>
                </c:pt>
                <c:pt idx="3410">
                  <c:v>24621.216578372732</c:v>
                </c:pt>
                <c:pt idx="3411">
                  <c:v>24632.827703540039</c:v>
                </c:pt>
                <c:pt idx="3412">
                  <c:v>24644.440653847207</c:v>
                </c:pt>
                <c:pt idx="3413">
                  <c:v>24656.055429007378</c:v>
                </c:pt>
                <c:pt idx="3414">
                  <c:v>24667.672028733778</c:v>
                </c:pt>
                <c:pt idx="3415">
                  <c:v>24679.290452739871</c:v>
                </c:pt>
                <c:pt idx="3416">
                  <c:v>24690.910700739125</c:v>
                </c:pt>
                <c:pt idx="3417">
                  <c:v>24702.532772445255</c:v>
                </c:pt>
                <c:pt idx="3418">
                  <c:v>24714.156667572061</c:v>
                </c:pt>
                <c:pt idx="3419">
                  <c:v>24725.782385833449</c:v>
                </c:pt>
                <c:pt idx="3420">
                  <c:v>24737.409926943546</c:v>
                </c:pt>
                <c:pt idx="3421">
                  <c:v>24749.039290616518</c:v>
                </c:pt>
                <c:pt idx="3422">
                  <c:v>24760.670476566705</c:v>
                </c:pt>
                <c:pt idx="3423">
                  <c:v>24772.303484508629</c:v>
                </c:pt>
                <c:pt idx="3424">
                  <c:v>24783.938314156876</c:v>
                </c:pt>
                <c:pt idx="3425">
                  <c:v>24795.574965226158</c:v>
                </c:pt>
                <c:pt idx="3426">
                  <c:v>24807.213437431412</c:v>
                </c:pt>
                <c:pt idx="3427">
                  <c:v>24818.853730487634</c:v>
                </c:pt>
                <c:pt idx="3428">
                  <c:v>24830.495844109926</c:v>
                </c:pt>
                <c:pt idx="3429">
                  <c:v>24842.139778013621</c:v>
                </c:pt>
                <c:pt idx="3430">
                  <c:v>24853.785531914145</c:v>
                </c:pt>
                <c:pt idx="3431">
                  <c:v>24865.433105526998</c:v>
                </c:pt>
                <c:pt idx="3432">
                  <c:v>24877.082498567877</c:v>
                </c:pt>
                <c:pt idx="3433">
                  <c:v>24888.733710752604</c:v>
                </c:pt>
                <c:pt idx="3434">
                  <c:v>24900.386741797138</c:v>
                </c:pt>
                <c:pt idx="3435">
                  <c:v>24912.041591417525</c:v>
                </c:pt>
                <c:pt idx="3436">
                  <c:v>24923.698259330005</c:v>
                </c:pt>
                <c:pt idx="3437">
                  <c:v>24935.356745250934</c:v>
                </c:pt>
                <c:pt idx="3438">
                  <c:v>24947.017048896781</c:v>
                </c:pt>
                <c:pt idx="3439">
                  <c:v>24958.679169984145</c:v>
                </c:pt>
                <c:pt idx="3440">
                  <c:v>24970.343108229776</c:v>
                </c:pt>
                <c:pt idx="3441">
                  <c:v>24982.008863350569</c:v>
                </c:pt>
                <c:pt idx="3442">
                  <c:v>24993.676435063495</c:v>
                </c:pt>
                <c:pt idx="3443">
                  <c:v>25005.345823085732</c:v>
                </c:pt>
                <c:pt idx="3444">
                  <c:v>25017.017027134541</c:v>
                </c:pt>
                <c:pt idx="3445">
                  <c:v>25028.690046927328</c:v>
                </c:pt>
                <c:pt idx="3446">
                  <c:v>25040.364882181628</c:v>
                </c:pt>
                <c:pt idx="3447">
                  <c:v>25052.041532615123</c:v>
                </c:pt>
                <c:pt idx="3448">
                  <c:v>25063.719997945591</c:v>
                </c:pt>
                <c:pt idx="3449">
                  <c:v>25075.400277890974</c:v>
                </c:pt>
                <c:pt idx="3450">
                  <c:v>25087.082372169352</c:v>
                </c:pt>
                <c:pt idx="3451">
                  <c:v>25098.766280498894</c:v>
                </c:pt>
                <c:pt idx="3452">
                  <c:v>25110.452002597958</c:v>
                </c:pt>
                <c:pt idx="3453">
                  <c:v>25122.139538184962</c:v>
                </c:pt>
                <c:pt idx="3454">
                  <c:v>25133.828886978517</c:v>
                </c:pt>
                <c:pt idx="3455">
                  <c:v>25145.520048697363</c:v>
                </c:pt>
                <c:pt idx="3456">
                  <c:v>25157.213023060332</c:v>
                </c:pt>
                <c:pt idx="3457">
                  <c:v>25168.9078097864</c:v>
                </c:pt>
                <c:pt idx="3458">
                  <c:v>25180.604408594671</c:v>
                </c:pt>
                <c:pt idx="3459">
                  <c:v>25192.302819204415</c:v>
                </c:pt>
                <c:pt idx="3460">
                  <c:v>25204.003041334985</c:v>
                </c:pt>
                <c:pt idx="3461">
                  <c:v>25215.705074705882</c:v>
                </c:pt>
                <c:pt idx="3462">
                  <c:v>25227.408919036767</c:v>
                </c:pt>
                <c:pt idx="3463">
                  <c:v>25239.114574047388</c:v>
                </c:pt>
                <c:pt idx="3464">
                  <c:v>25250.822039457631</c:v>
                </c:pt>
                <c:pt idx="3465">
                  <c:v>25262.53131498754</c:v>
                </c:pt>
                <c:pt idx="3466">
                  <c:v>25274.242400357256</c:v>
                </c:pt>
                <c:pt idx="3467">
                  <c:v>25285.955295287062</c:v>
                </c:pt>
                <c:pt idx="3468">
                  <c:v>25297.669999497371</c:v>
                </c:pt>
                <c:pt idx="3469">
                  <c:v>25309.386512708734</c:v>
                </c:pt>
                <c:pt idx="3470">
                  <c:v>25321.104834641821</c:v>
                </c:pt>
                <c:pt idx="3471">
                  <c:v>25332.824965017418</c:v>
                </c:pt>
                <c:pt idx="3472">
                  <c:v>25344.546903556493</c:v>
                </c:pt>
              </c:numCache>
            </c:numRef>
          </c:xVal>
          <c:yVal>
            <c:numRef>
              <c:f>[0]!Fator_armazenamento</c:f>
              <c:numCache>
                <c:formatCode>0.0</c:formatCode>
                <c:ptCount val="3473"/>
                <c:pt idx="0">
                  <c:v>11.386189716072353</c:v>
                </c:pt>
                <c:pt idx="1">
                  <c:v>14.633928835327918</c:v>
                </c:pt>
                <c:pt idx="2">
                  <c:v>17.964128115259307</c:v>
                </c:pt>
                <c:pt idx="3">
                  <c:v>21.36450287138128</c:v>
                </c:pt>
                <c:pt idx="4">
                  <c:v>24.826131568663548</c:v>
                </c:pt>
                <c:pt idx="5">
                  <c:v>28.342220443237856</c:v>
                </c:pt>
                <c:pt idx="6">
                  <c:v>31.907411670778949</c:v>
                </c:pt>
                <c:pt idx="7">
                  <c:v>35.517364405192943</c:v>
                </c:pt>
                <c:pt idx="8">
                  <c:v>39.168485615185759</c:v>
                </c:pt>
                <c:pt idx="9">
                  <c:v>42.857748952934777</c:v>
                </c:pt>
                <c:pt idx="10">
                  <c:v>46.582568217294885</c:v>
                </c:pt>
                <c:pt idx="11">
                  <c:v>50.340706186469035</c:v>
                </c:pt>
                <c:pt idx="12">
                  <c:v>54.130207210107621</c:v>
                </c:pt>
                <c:pt idx="13">
                  <c:v>57.949346256772081</c:v>
                </c:pt>
                <c:pt idx="14">
                  <c:v>61.796589659723693</c:v>
                </c:pt>
                <c:pt idx="15">
                  <c:v>65.670564369360946</c:v>
                </c:pt>
                <c:pt idx="16">
                  <c:v>69.570033514909269</c:v>
                </c:pt>
                <c:pt idx="17">
                  <c:v>73.493876727881386</c:v>
                </c:pt>
                <c:pt idx="18">
                  <c:v>77.441074115498651</c:v>
                </c:pt>
                <c:pt idx="19">
                  <c:v>82.301826254132237</c:v>
                </c:pt>
                <c:pt idx="20">
                  <c:v>87.013997901548265</c:v>
                </c:pt>
                <c:pt idx="21">
                  <c:v>91.512348434132761</c:v>
                </c:pt>
                <c:pt idx="22">
                  <c:v>95.93754309815624</c:v>
                </c:pt>
                <c:pt idx="23">
                  <c:v>100.32801159666337</c:v>
                </c:pt>
                <c:pt idx="24">
                  <c:v>104.70073613568336</c:v>
                </c:pt>
                <c:pt idx="25">
                  <c:v>109.06485811486176</c:v>
                </c:pt>
                <c:pt idx="26">
                  <c:v>113.42587541942558</c:v>
                </c:pt>
                <c:pt idx="27">
                  <c:v>117.78733641187999</c:v>
                </c:pt>
                <c:pt idx="28">
                  <c:v>122.15164360222414</c:v>
                </c:pt>
                <c:pt idx="29">
                  <c:v>126.52047921449346</c:v>
                </c:pt>
                <c:pt idx="30">
                  <c:v>130.89504932022098</c:v>
                </c:pt>
                <c:pt idx="31">
                  <c:v>135.27623270970048</c:v>
                </c:pt>
                <c:pt idx="32">
                  <c:v>139.66467615036544</c:v>
                </c:pt>
                <c:pt idx="33">
                  <c:v>144.06085775784558</c:v>
                </c:pt>
                <c:pt idx="34">
                  <c:v>148.46513052686342</c:v>
                </c:pt>
                <c:pt idx="35">
                  <c:v>152.87775304619126</c:v>
                </c:pt>
                <c:pt idx="36">
                  <c:v>157.2989116688475</c:v>
                </c:pt>
                <c:pt idx="37">
                  <c:v>161.72873682897716</c:v>
                </c:pt>
                <c:pt idx="38">
                  <c:v>166.16731525422392</c:v>
                </c:pt>
                <c:pt idx="39">
                  <c:v>170.61469924059878</c:v>
                </c:pt>
                <c:pt idx="40">
                  <c:v>175.07091378701952</c:v>
                </c:pt>
                <c:pt idx="41">
                  <c:v>179.53596214542475</c:v>
                </c:pt>
                <c:pt idx="42">
                  <c:v>184.00983018131166</c:v>
                </c:pt>
                <c:pt idx="43">
                  <c:v>188.4924898297925</c:v>
                </c:pt>
                <c:pt idx="44">
                  <c:v>192.98390185609514</c:v>
                </c:pt>
                <c:pt idx="45">
                  <c:v>197.4840180756683</c:v>
                </c:pt>
                <c:pt idx="46">
                  <c:v>201.9927831505322</c:v>
                </c:pt>
                <c:pt idx="47">
                  <c:v>206.51013605053427</c:v>
                </c:pt>
                <c:pt idx="48">
                  <c:v>211.03601124758202</c:v>
                </c:pt>
                <c:pt idx="49">
                  <c:v>215.57033969561095</c:v>
                </c:pt>
                <c:pt idx="50">
                  <c:v>220.11304963751866</c:v>
                </c:pt>
                <c:pt idx="51">
                  <c:v>224.66406727155018</c:v>
                </c:pt>
                <c:pt idx="52">
                  <c:v>229.22331730290742</c:v>
                </c:pt>
                <c:pt idx="53">
                  <c:v>233.79072340117585</c:v>
                </c:pt>
                <c:pt idx="54">
                  <c:v>238.36620858011852</c:v>
                </c:pt>
                <c:pt idx="55">
                  <c:v>242.94969551321955</c:v>
                </c:pt>
                <c:pt idx="56">
                  <c:v>247.5411067958585</c:v>
                </c:pt>
                <c:pt idx="57">
                  <c:v>252.14036516299723</c:v>
                </c:pt>
                <c:pt idx="58">
                  <c:v>256.74739366967941</c:v>
                </c:pt>
                <c:pt idx="59">
                  <c:v>261.36211584035146</c:v>
                </c:pt>
                <c:pt idx="60">
                  <c:v>265.98445579198466</c:v>
                </c:pt>
                <c:pt idx="61">
                  <c:v>270.61433833513206</c:v>
                </c:pt>
                <c:pt idx="62">
                  <c:v>275.25168905636968</c:v>
                </c:pt>
                <c:pt idx="63">
                  <c:v>279.89643438500491</c:v>
                </c:pt>
                <c:pt idx="64">
                  <c:v>284.54850164647377</c:v>
                </c:pt>
                <c:pt idx="65">
                  <c:v>289.20781910446323</c:v>
                </c:pt>
                <c:pt idx="66">
                  <c:v>293.87431599347633</c:v>
                </c:pt>
                <c:pt idx="67">
                  <c:v>298.54792254329459</c:v>
                </c:pt>
                <c:pt idx="68">
                  <c:v>303.22856999657012</c:v>
                </c:pt>
                <c:pt idx="69">
                  <c:v>307.91619062059323</c:v>
                </c:pt>
                <c:pt idx="70">
                  <c:v>312.61071771412719</c:v>
                </c:pt>
                <c:pt idx="71">
                  <c:v>317.3120856100694</c:v>
                </c:pt>
                <c:pt idx="72">
                  <c:v>322.02022967458845</c:v>
                </c:pt>
                <c:pt idx="73">
                  <c:v>326.7350863032907</c:v>
                </c:pt>
                <c:pt idx="74">
                  <c:v>331.45659291489187</c:v>
                </c:pt>
                <c:pt idx="75">
                  <c:v>336.18468794280193</c:v>
                </c:pt>
                <c:pt idx="76">
                  <c:v>340.9193108249699</c:v>
                </c:pt>
                <c:pt idx="77">
                  <c:v>345.66040199229076</c:v>
                </c:pt>
                <c:pt idx="78">
                  <c:v>350.40790285583114</c:v>
                </c:pt>
                <c:pt idx="79">
                  <c:v>355.16175579309555</c:v>
                </c:pt>
                <c:pt idx="80">
                  <c:v>359.9219041335212</c:v>
                </c:pt>
                <c:pt idx="81">
                  <c:v>364.68829214336841</c:v>
                </c:pt>
                <c:pt idx="82">
                  <c:v>369.46086501014304</c:v>
                </c:pt>
                <c:pt idx="83">
                  <c:v>374.23956882667528</c:v>
                </c:pt>
                <c:pt idx="84">
                  <c:v>379.02435057495308</c:v>
                </c:pt>
                <c:pt idx="85">
                  <c:v>383.81515810980522</c:v>
                </c:pt>
                <c:pt idx="86">
                  <c:v>388.61194014250259</c:v>
                </c:pt>
                <c:pt idx="87">
                  <c:v>393.41464622434796</c:v>
                </c:pt>
                <c:pt idx="88">
                  <c:v>398.22322673030584</c:v>
                </c:pt>
                <c:pt idx="89">
                  <c:v>403.03763284272009</c:v>
                </c:pt>
                <c:pt idx="90">
                  <c:v>407.85781653515926</c:v>
                </c:pt>
                <c:pt idx="91">
                  <c:v>412.68373055642144</c:v>
                </c:pt>
                <c:pt idx="92">
                  <c:v>417.51532841472704</c:v>
                </c:pt>
                <c:pt idx="93">
                  <c:v>422.35256436212325</c:v>
                </c:pt>
                <c:pt idx="94">
                  <c:v>427.19539337911721</c:v>
                </c:pt>
                <c:pt idx="95">
                  <c:v>432.04377115955498</c:v>
                </c:pt>
                <c:pt idx="96">
                  <c:v>436.89765409575784</c:v>
                </c:pt>
                <c:pt idx="97">
                  <c:v>441.7569992639248</c:v>
                </c:pt>
                <c:pt idx="98">
                  <c:v>446.62176440981142</c:v>
                </c:pt>
                <c:pt idx="99">
                  <c:v>451.49190793468608</c:v>
                </c:pt>
                <c:pt idx="100">
                  <c:v>456.36738888157066</c:v>
                </c:pt>
                <c:pt idx="101">
                  <c:v>461.24816692176631</c:v>
                </c:pt>
                <c:pt idx="102">
                  <c:v>466.13420234166659</c:v>
                </c:pt>
                <c:pt idx="103">
                  <c:v>471.02545602985441</c:v>
                </c:pt>
                <c:pt idx="104">
                  <c:v>475.92188946448624</c:v>
                </c:pt>
                <c:pt idx="105">
                  <c:v>480.82346470095803</c:v>
                </c:pt>
                <c:pt idx="106">
                  <c:v>485.73014435985181</c:v>
                </c:pt>
                <c:pt idx="107">
                  <c:v>490.64189161515895</c:v>
                </c:pt>
                <c:pt idx="108">
                  <c:v>495.5586701827782</c:v>
                </c:pt>
                <c:pt idx="109">
                  <c:v>500.48044430928201</c:v>
                </c:pt>
                <c:pt idx="110">
                  <c:v>505.40717876094834</c:v>
                </c:pt>
                <c:pt idx="111">
                  <c:v>510.33883881305303</c:v>
                </c:pt>
                <c:pt idx="112">
                  <c:v>515.27539023941767</c:v>
                </c:pt>
                <c:pt idx="113">
                  <c:v>520.21679930220785</c:v>
                </c:pt>
                <c:pt idx="114">
                  <c:v>525.16303274197844</c:v>
                </c:pt>
                <c:pt idx="115">
                  <c:v>530.11405776795652</c:v>
                </c:pt>
                <c:pt idx="116">
                  <c:v>535.06984204856121</c:v>
                </c:pt>
                <c:pt idx="117">
                  <c:v>540.03035370215332</c:v>
                </c:pt>
                <c:pt idx="118">
                  <c:v>544.99556128800816</c:v>
                </c:pt>
                <c:pt idx="119">
                  <c:v>549.96543379750835</c:v>
                </c:pt>
                <c:pt idx="120">
                  <c:v>554.93994064555091</c:v>
                </c:pt>
                <c:pt idx="121">
                  <c:v>559.91905166216168</c:v>
                </c:pt>
                <c:pt idx="122">
                  <c:v>564.90273708431437</c:v>
                </c:pt>
                <c:pt idx="123">
                  <c:v>569.89096754794718</c:v>
                </c:pt>
                <c:pt idx="124">
                  <c:v>574.88371408017429</c:v>
                </c:pt>
                <c:pt idx="125">
                  <c:v>579.88094809168308</c:v>
                </c:pt>
                <c:pt idx="126">
                  <c:v>584.88264136931775</c:v>
                </c:pt>
                <c:pt idx="127">
                  <c:v>589.88876606883969</c:v>
                </c:pt>
                <c:pt idx="128">
                  <c:v>594.89929470786285</c:v>
                </c:pt>
                <c:pt idx="129">
                  <c:v>599.91420015895926</c:v>
                </c:pt>
                <c:pt idx="130">
                  <c:v>604.93345564292758</c:v>
                </c:pt>
                <c:pt idx="131">
                  <c:v>609.95703472222408</c:v>
                </c:pt>
                <c:pt idx="132">
                  <c:v>614.98491129455067</c:v>
                </c:pt>
                <c:pt idx="133">
                  <c:v>620.01705958659136</c:v>
                </c:pt>
                <c:pt idx="134">
                  <c:v>625.05345414790236</c:v>
                </c:pt>
                <c:pt idx="135">
                  <c:v>630.09406984494217</c:v>
                </c:pt>
                <c:pt idx="136">
                  <c:v>635.13888185524331</c:v>
                </c:pt>
                <c:pt idx="137">
                  <c:v>640.18786566172139</c:v>
                </c:pt>
                <c:pt idx="138">
                  <c:v>645.24099704711546</c:v>
                </c:pt>
                <c:pt idx="139">
                  <c:v>650.29825208855937</c:v>
                </c:pt>
                <c:pt idx="140">
                  <c:v>655.35960715227839</c:v>
                </c:pt>
                <c:pt idx="141">
                  <c:v>660.42503888840713</c:v>
                </c:pt>
                <c:pt idx="142">
                  <c:v>665.49452422592833</c:v>
                </c:pt>
                <c:pt idx="143">
                  <c:v>670.56804036772792</c:v>
                </c:pt>
                <c:pt idx="144">
                  <c:v>675.64556478576003</c:v>
                </c:pt>
                <c:pt idx="145">
                  <c:v>680.72707521632606</c:v>
                </c:pt>
                <c:pt idx="146">
                  <c:v>685.81254965545725</c:v>
                </c:pt>
                <c:pt idx="147">
                  <c:v>690.90196635440282</c:v>
                </c:pt>
                <c:pt idx="148">
                  <c:v>695.99530381522004</c:v>
                </c:pt>
                <c:pt idx="149">
                  <c:v>701.09254078646154</c:v>
                </c:pt>
                <c:pt idx="150">
                  <c:v>706.19365625895932</c:v>
                </c:pt>
                <c:pt idx="151">
                  <c:v>711.29862946170306</c:v>
                </c:pt>
                <c:pt idx="152">
                  <c:v>716.40743985780796</c:v>
                </c:pt>
                <c:pt idx="153">
                  <c:v>721.52006714057177</c:v>
                </c:pt>
                <c:pt idx="154">
                  <c:v>726.6364912296192</c:v>
                </c:pt>
                <c:pt idx="155">
                  <c:v>731.75669226712921</c:v>
                </c:pt>
                <c:pt idx="156">
                  <c:v>736.90659743538311</c:v>
                </c:pt>
                <c:pt idx="157">
                  <c:v>742.03438789038773</c:v>
                </c:pt>
                <c:pt idx="158">
                  <c:v>747.16589667951791</c:v>
                </c:pt>
                <c:pt idx="159">
                  <c:v>752.30110480269866</c:v>
                </c:pt>
                <c:pt idx="160">
                  <c:v>757.43999346466956</c:v>
                </c:pt>
                <c:pt idx="161">
                  <c:v>762.5825440716734</c:v>
                </c:pt>
                <c:pt idx="162">
                  <c:v>767.72873822821634</c:v>
                </c:pt>
                <c:pt idx="163">
                  <c:v>772.87855773389663</c:v>
                </c:pt>
                <c:pt idx="164">
                  <c:v>778.03198458029749</c:v>
                </c:pt>
                <c:pt idx="165">
                  <c:v>783.18900094794787</c:v>
                </c:pt>
                <c:pt idx="166">
                  <c:v>788.34958920334304</c:v>
                </c:pt>
                <c:pt idx="167">
                  <c:v>793.51373189602941</c:v>
                </c:pt>
                <c:pt idx="168">
                  <c:v>798.68141175574829</c:v>
                </c:pt>
                <c:pt idx="169">
                  <c:v>803.85261168963746</c:v>
                </c:pt>
                <c:pt idx="170">
                  <c:v>809.02731477949169</c:v>
                </c:pt>
                <c:pt idx="171">
                  <c:v>814.20550427907585</c:v>
                </c:pt>
                <c:pt idx="172">
                  <c:v>819.38716361149625</c:v>
                </c:pt>
                <c:pt idx="173">
                  <c:v>824.57227636662117</c:v>
                </c:pt>
                <c:pt idx="174">
                  <c:v>829.76082629855512</c:v>
                </c:pt>
                <c:pt idx="175">
                  <c:v>834.9527973231634</c:v>
                </c:pt>
                <c:pt idx="176">
                  <c:v>840.14817351564511</c:v>
                </c:pt>
                <c:pt idx="177">
                  <c:v>845.34693910815406</c:v>
                </c:pt>
                <c:pt idx="178">
                  <c:v>850.54907848746723</c:v>
                </c:pt>
                <c:pt idx="179">
                  <c:v>855.75457619269844</c:v>
                </c:pt>
                <c:pt idx="180">
                  <c:v>860.96341691305668</c:v>
                </c:pt>
                <c:pt idx="181">
                  <c:v>866.17558548564762</c:v>
                </c:pt>
                <c:pt idx="182">
                  <c:v>871.39106689331857</c:v>
                </c:pt>
                <c:pt idx="183">
                  <c:v>876.60984626254344</c:v>
                </c:pt>
                <c:pt idx="184">
                  <c:v>881.8319088613498</c:v>
                </c:pt>
                <c:pt idx="185">
                  <c:v>887.05724009728397</c:v>
                </c:pt>
                <c:pt idx="186">
                  <c:v>892.28582551541717</c:v>
                </c:pt>
                <c:pt idx="187">
                  <c:v>897.51765079638506</c:v>
                </c:pt>
                <c:pt idx="188">
                  <c:v>902.75270175446894</c:v>
                </c:pt>
                <c:pt idx="189">
                  <c:v>907.99096433571003</c:v>
                </c:pt>
                <c:pt idx="190">
                  <c:v>913.23242461605992</c:v>
                </c:pt>
                <c:pt idx="191">
                  <c:v>918.47706879956559</c:v>
                </c:pt>
                <c:pt idx="192">
                  <c:v>923.72488321658557</c:v>
                </c:pt>
                <c:pt idx="193">
                  <c:v>928.97585432204426</c:v>
                </c:pt>
                <c:pt idx="194">
                  <c:v>934.22996869371184</c:v>
                </c:pt>
                <c:pt idx="195">
                  <c:v>939.48721303052105</c:v>
                </c:pt>
                <c:pt idx="196">
                  <c:v>944.74757415091074</c:v>
                </c:pt>
                <c:pt idx="197">
                  <c:v>950.01103899120153</c:v>
                </c:pt>
                <c:pt idx="198">
                  <c:v>955.27759460400068</c:v>
                </c:pt>
                <c:pt idx="199">
                  <c:v>960.54722815663331</c:v>
                </c:pt>
                <c:pt idx="200">
                  <c:v>965.81992692960603</c:v>
                </c:pt>
                <c:pt idx="201">
                  <c:v>971.09567831509219</c:v>
                </c:pt>
                <c:pt idx="202">
                  <c:v>976.37446981545031</c:v>
                </c:pt>
                <c:pt idx="203">
                  <c:v>981.65628904176253</c:v>
                </c:pt>
                <c:pt idx="204">
                  <c:v>986.9411237124034</c:v>
                </c:pt>
                <c:pt idx="205">
                  <c:v>992.22896165163149</c:v>
                </c:pt>
                <c:pt idx="206">
                  <c:v>997.5197907882058</c:v>
                </c:pt>
                <c:pt idx="207">
                  <c:v>1002.8135991540264</c:v>
                </c:pt>
                <c:pt idx="208">
                  <c:v>1008.110374882799</c:v>
                </c:pt>
                <c:pt idx="209">
                  <c:v>1013.4101062087215</c:v>
                </c:pt>
                <c:pt idx="210">
                  <c:v>1018.7127814651938</c:v>
                </c:pt>
                <c:pt idx="211">
                  <c:v>1024.0183890835492</c:v>
                </c:pt>
                <c:pt idx="212">
                  <c:v>1029.3269175918083</c:v>
                </c:pt>
                <c:pt idx="213">
                  <c:v>1034.6383556134519</c:v>
                </c:pt>
                <c:pt idx="214">
                  <c:v>1039.9526918662182</c:v>
                </c:pt>
                <c:pt idx="215">
                  <c:v>1045.2699151609152</c:v>
                </c:pt>
                <c:pt idx="216">
                  <c:v>1050.5900144002578</c:v>
                </c:pt>
                <c:pt idx="217">
                  <c:v>1055.9129785777216</c:v>
                </c:pt>
                <c:pt idx="218">
                  <c:v>1061.2387967764157</c:v>
                </c:pt>
                <c:pt idx="219">
                  <c:v>1066.5674581679757</c:v>
                </c:pt>
                <c:pt idx="220">
                  <c:v>1071.8989520114735</c:v>
                </c:pt>
                <c:pt idx="221">
                  <c:v>1077.2332676523447</c:v>
                </c:pt>
                <c:pt idx="222">
                  <c:v>1082.5703945213349</c:v>
                </c:pt>
                <c:pt idx="223">
                  <c:v>1087.910322133464</c:v>
                </c:pt>
                <c:pt idx="224">
                  <c:v>1093.2530400870021</c:v>
                </c:pt>
                <c:pt idx="225">
                  <c:v>1098.5985380624688</c:v>
                </c:pt>
                <c:pt idx="226">
                  <c:v>1103.9468058216428</c:v>
                </c:pt>
                <c:pt idx="227">
                  <c:v>1109.2978332065927</c:v>
                </c:pt>
                <c:pt idx="228">
                  <c:v>1114.6516101387174</c:v>
                </c:pt>
                <c:pt idx="229">
                  <c:v>1120.0081266178076</c:v>
                </c:pt>
                <c:pt idx="230">
                  <c:v>1125.3673727211155</c:v>
                </c:pt>
                <c:pt idx="231">
                  <c:v>1130.7293386024487</c:v>
                </c:pt>
                <c:pt idx="232">
                  <c:v>1136.0940144912654</c:v>
                </c:pt>
                <c:pt idx="233">
                  <c:v>1141.4613906917971</c:v>
                </c:pt>
                <c:pt idx="234">
                  <c:v>1146.8314575821755</c:v>
                </c:pt>
                <c:pt idx="235">
                  <c:v>1152.2042056135772</c:v>
                </c:pt>
                <c:pt idx="236">
                  <c:v>1157.5796253093802</c:v>
                </c:pt>
                <c:pt idx="237">
                  <c:v>1163.0949572643342</c:v>
                </c:pt>
                <c:pt idx="238">
                  <c:v>1168.7266437666142</c:v>
                </c:pt>
                <c:pt idx="239">
                  <c:v>1174.4349926026762</c:v>
                </c:pt>
                <c:pt idx="240">
                  <c:v>1180.2058336850939</c:v>
                </c:pt>
                <c:pt idx="241">
                  <c:v>1186.0309736727916</c:v>
                </c:pt>
                <c:pt idx="242">
                  <c:v>1191.9048814398495</c:v>
                </c:pt>
                <c:pt idx="243">
                  <c:v>1197.8234941037492</c:v>
                </c:pt>
                <c:pt idx="244">
                  <c:v>1203.783661763279</c:v>
                </c:pt>
                <c:pt idx="245">
                  <c:v>1209.7828485199768</c:v>
                </c:pt>
                <c:pt idx="246">
                  <c:v>1215.8189550409945</c:v>
                </c:pt>
                <c:pt idx="247">
                  <c:v>1221.8902056203524</c:v>
                </c:pt>
                <c:pt idx="248">
                  <c:v>1227.9950723807335</c:v>
                </c:pt>
                <c:pt idx="249">
                  <c:v>1234.1322222389874</c:v>
                </c:pt>
                <c:pt idx="250">
                  <c:v>1240.3004785297369</c:v>
                </c:pt>
                <c:pt idx="251">
                  <c:v>1246.498792454038</c:v>
                </c:pt>
                <c:pt idx="252">
                  <c:v>1252.7262213365143</c:v>
                </c:pt>
                <c:pt idx="253">
                  <c:v>1258.9819117349575</c:v>
                </c:pt>
                <c:pt idx="254">
                  <c:v>1265.2650860924932</c:v>
                </c:pt>
                <c:pt idx="255">
                  <c:v>1271.5750320303819</c:v>
                </c:pt>
                <c:pt idx="256">
                  <c:v>1277.911093645333</c:v>
                </c:pt>
                <c:pt idx="257">
                  <c:v>1284.2726643530641</c:v>
                </c:pt>
                <c:pt idx="258">
                  <c:v>1290.6591809417778</c:v>
                </c:pt>
                <c:pt idx="259">
                  <c:v>1297.0701185845326</c:v>
                </c:pt>
                <c:pt idx="260">
                  <c:v>1303.5049866203774</c:v>
                </c:pt>
                <c:pt idx="261">
                  <c:v>1309.9633249582548</c:v>
                </c:pt>
                <c:pt idx="262">
                  <c:v>1316.4447009902146</c:v>
                </c:pt>
                <c:pt idx="263">
                  <c:v>1322.9487069247564</c:v>
                </c:pt>
                <c:pt idx="264">
                  <c:v>1329.4749574695095</c:v>
                </c:pt>
                <c:pt idx="265">
                  <c:v>1336.023087806504</c:v>
                </c:pt>
                <c:pt idx="266">
                  <c:v>1342.5927518141718</c:v>
                </c:pt>
                <c:pt idx="267">
                  <c:v>1349.1836204987012</c:v>
                </c:pt>
                <c:pt idx="268">
                  <c:v>1355.7953806040748</c:v>
                </c:pt>
                <c:pt idx="269">
                  <c:v>1362.4277333754301</c:v>
                </c:pt>
                <c:pt idx="270">
                  <c:v>1369.0803934546525</c:v>
                </c:pt>
                <c:pt idx="271">
                  <c:v>1375.7530878905563</c:v>
                </c:pt>
                <c:pt idx="272">
                  <c:v>1382.4455552487934</c:v>
                </c:pt>
                <c:pt idx="273">
                  <c:v>1389.1575448089347</c:v>
                </c:pt>
                <c:pt idx="274">
                  <c:v>1395.8888158380266</c:v>
                </c:pt>
                <c:pt idx="275">
                  <c:v>1402.6391369315168</c:v>
                </c:pt>
                <c:pt idx="276">
                  <c:v>1409.4082854137066</c:v>
                </c:pt>
                <c:pt idx="277">
                  <c:v>1416.196046790993</c:v>
                </c:pt>
                <c:pt idx="278">
                  <c:v>1423.0022142520634</c:v>
                </c:pt>
                <c:pt idx="279">
                  <c:v>1429.8265882099836</c:v>
                </c:pt>
                <c:pt idx="280">
                  <c:v>1436.6689758817631</c:v>
                </c:pt>
                <c:pt idx="281">
                  <c:v>1443.529190901543</c:v>
                </c:pt>
                <c:pt idx="282">
                  <c:v>1450.4070529640219</c:v>
                </c:pt>
                <c:pt idx="283">
                  <c:v>1457.3023874951491</c:v>
                </c:pt>
                <c:pt idx="284">
                  <c:v>1464.2150253474508</c:v>
                </c:pt>
                <c:pt idx="285">
                  <c:v>1471.1448025176792</c:v>
                </c:pt>
                <c:pt idx="286">
                  <c:v>1478.0915598847093</c:v>
                </c:pt>
                <c:pt idx="287">
                  <c:v>1485.0551429658633</c:v>
                </c:pt>
                <c:pt idx="288">
                  <c:v>1492.035401690023</c:v>
                </c:pt>
                <c:pt idx="289">
                  <c:v>1499.0321901860696</c:v>
                </c:pt>
                <c:pt idx="290">
                  <c:v>1506.0453665853429</c:v>
                </c:pt>
                <c:pt idx="291">
                  <c:v>1513.0747928369524</c:v>
                </c:pt>
                <c:pt idx="292">
                  <c:v>1520.1203345348717</c:v>
                </c:pt>
                <c:pt idx="293">
                  <c:v>1527.1818607558798</c:v>
                </c:pt>
                <c:pt idx="294">
                  <c:v>1534.2592439074742</c:v>
                </c:pt>
                <c:pt idx="295">
                  <c:v>1541.3523595849927</c:v>
                </c:pt>
                <c:pt idx="296">
                  <c:v>1548.461086437226</c:v>
                </c:pt>
                <c:pt idx="297">
                  <c:v>1555.5853060398945</c:v>
                </c:pt>
                <c:pt idx="298">
                  <c:v>1562.7249027763935</c:v>
                </c:pt>
                <c:pt idx="299">
                  <c:v>1569.8797637252874</c:v>
                </c:pt>
                <c:pt idx="300">
                  <c:v>1577.0497785540654</c:v>
                </c:pt>
                <c:pt idx="301">
                  <c:v>1584.2348394187159</c:v>
                </c:pt>
                <c:pt idx="302">
                  <c:v>1591.4348408687163</c:v>
                </c:pt>
                <c:pt idx="303">
                  <c:v>1598.649679757068</c:v>
                </c:pt>
                <c:pt idx="304">
                  <c:v>1605.8792551550364</c:v>
                </c:pt>
                <c:pt idx="305">
                  <c:v>1613.1234682712816</c:v>
                </c:pt>
                <c:pt idx="306">
                  <c:v>1620.3822223750992</c:v>
                </c:pt>
                <c:pt idx="307">
                  <c:v>1627.6554227234935</c:v>
                </c:pt>
                <c:pt idx="308">
                  <c:v>1634.9429764918557</c:v>
                </c:pt>
                <c:pt idx="309">
                  <c:v>1642.2447927080052</c:v>
                </c:pt>
                <c:pt idx="310">
                  <c:v>1649.5607821894</c:v>
                </c:pt>
                <c:pt idx="311">
                  <c:v>1656.8908574833108</c:v>
                </c:pt>
                <c:pt idx="312">
                  <c:v>1664.2349328097907</c:v>
                </c:pt>
                <c:pt idx="313">
                  <c:v>1671.5929240072683</c:v>
                </c:pt>
                <c:pt idx="314">
                  <c:v>1678.9647484806114</c:v>
                </c:pt>
                <c:pt idx="315">
                  <c:v>1686.3503251515217</c:v>
                </c:pt>
                <c:pt idx="316">
                  <c:v>1693.7495744111218</c:v>
                </c:pt>
                <c:pt idx="317">
                  <c:v>1701.1624180746187</c:v>
                </c:pt>
                <c:pt idx="318">
                  <c:v>1708.5887793379197</c:v>
                </c:pt>
                <c:pt idx="319">
                  <c:v>1716.0285827360974</c:v>
                </c:pt>
                <c:pt idx="320">
                  <c:v>1723.4817541036064</c:v>
                </c:pt>
                <c:pt idx="321">
                  <c:v>1730.9482205361523</c:v>
                </c:pt>
                <c:pt idx="322">
                  <c:v>1738.4279103541294</c:v>
                </c:pt>
                <c:pt idx="323">
                  <c:v>1745.9207530675394</c:v>
                </c:pt>
                <c:pt idx="324">
                  <c:v>1753.4266793423201</c:v>
                </c:pt>
                <c:pt idx="325">
                  <c:v>1760.9456209680152</c:v>
                </c:pt>
                <c:pt idx="326">
                  <c:v>1768.4775108267008</c:v>
                </c:pt>
                <c:pt idx="327">
                  <c:v>1776.0222828631286</c:v>
                </c:pt>
                <c:pt idx="328">
                  <c:v>1783.5798720560038</c:v>
                </c:pt>
                <c:pt idx="329">
                  <c:v>1791.1502143903622</c:v>
                </c:pt>
                <c:pt idx="330">
                  <c:v>1798.7332468309721</c:v>
                </c:pt>
                <c:pt idx="331">
                  <c:v>1806.3289072967343</c:v>
                </c:pt>
                <c:pt idx="332">
                  <c:v>1813.9371346360103</c:v>
                </c:pt>
                <c:pt idx="333">
                  <c:v>1821.5578686028596</c:v>
                </c:pt>
                <c:pt idx="334">
                  <c:v>1829.1910498341156</c:v>
                </c:pt>
                <c:pt idx="335">
                  <c:v>1836.836619827292</c:v>
                </c:pt>
                <c:pt idx="336">
                  <c:v>1844.4945209192533</c:v>
                </c:pt>
                <c:pt idx="337">
                  <c:v>1852.16469626564</c:v>
                </c:pt>
                <c:pt idx="338">
                  <c:v>1859.8470898209928</c:v>
                </c:pt>
                <c:pt idx="339">
                  <c:v>1867.5416463195634</c:v>
                </c:pt>
                <c:pt idx="340">
                  <c:v>1875.2483112567695</c:v>
                </c:pt>
                <c:pt idx="341">
                  <c:v>1882.9670308712734</c:v>
                </c:pt>
                <c:pt idx="342">
                  <c:v>1890.697752127651</c:v>
                </c:pt>
                <c:pt idx="343">
                  <c:v>1898.4404226996342</c:v>
                </c:pt>
                <c:pt idx="344">
                  <c:v>1906.194990953893</c:v>
                </c:pt>
                <c:pt idx="345">
                  <c:v>1913.9614059343467</c:v>
                </c:pt>
                <c:pt idx="346">
                  <c:v>1921.739617346967</c:v>
                </c:pt>
                <c:pt idx="347">
                  <c:v>1929.5295755450707</c:v>
                </c:pt>
                <c:pt idx="348">
                  <c:v>1937.331231515067</c:v>
                </c:pt>
                <c:pt idx="349">
                  <c:v>1945.1445368626464</c:v>
                </c:pt>
                <c:pt idx="350">
                  <c:v>1952.9694437994008</c:v>
                </c:pt>
                <c:pt idx="351">
                  <c:v>1960.8059051298439</c:v>
                </c:pt>
                <c:pt idx="352">
                  <c:v>1968.6538742388302</c:v>
                </c:pt>
                <c:pt idx="353">
                  <c:v>1976.5133050793436</c:v>
                </c:pt>
                <c:pt idx="354">
                  <c:v>1984.3841521606569</c:v>
                </c:pt>
                <c:pt idx="355">
                  <c:v>1992.2663705368309</c:v>
                </c:pt>
                <c:pt idx="356">
                  <c:v>2000.1599157955579</c:v>
                </c:pt>
                <c:pt idx="357">
                  <c:v>2008.0647440473192</c:v>
                </c:pt>
                <c:pt idx="358">
                  <c:v>2015.9808119148606</c:v>
                </c:pt>
                <c:pt idx="359">
                  <c:v>2023.9080765229617</c:v>
                </c:pt>
                <c:pt idx="360">
                  <c:v>2031.8464954885003</c:v>
                </c:pt>
                <c:pt idx="361">
                  <c:v>2039.796026910785</c:v>
                </c:pt>
                <c:pt idx="362">
                  <c:v>2047.756629362168</c:v>
                </c:pt>
                <c:pt idx="363">
                  <c:v>2055.728261878904</c:v>
                </c:pt>
                <c:pt idx="364">
                  <c:v>2063.7108839522693</c:v>
                </c:pt>
                <c:pt idx="365">
                  <c:v>2071.7044555199132</c:v>
                </c:pt>
                <c:pt idx="366">
                  <c:v>2079.7089369574473</c:v>
                </c:pt>
                <c:pt idx="367">
                  <c:v>2087.7242890702546</c:v>
                </c:pt>
                <c:pt idx="368">
                  <c:v>2095.750473085518</c:v>
                </c:pt>
                <c:pt idx="369">
                  <c:v>2103.7874506444591</c:v>
                </c:pt>
                <c:pt idx="370">
                  <c:v>2111.8351837947744</c:v>
                </c:pt>
                <c:pt idx="371">
                  <c:v>2119.8936349832702</c:v>
                </c:pt>
                <c:pt idx="372">
                  <c:v>2127.962767048688</c:v>
                </c:pt>
                <c:pt idx="373">
                  <c:v>2136.0425432147067</c:v>
                </c:pt>
                <c:pt idx="374">
                  <c:v>2144.1329270831266</c:v>
                </c:pt>
                <c:pt idx="375">
                  <c:v>2152.2338826272257</c:v>
                </c:pt>
                <c:pt idx="376">
                  <c:v>2160.3453741852727</c:v>
                </c:pt>
                <c:pt idx="377">
                  <c:v>2168.4673664542111</c:v>
                </c:pt>
                <c:pt idx="378">
                  <c:v>2176.5998244834873</c:v>
                </c:pt>
                <c:pt idx="379">
                  <c:v>2184.7427136690408</c:v>
                </c:pt>
                <c:pt idx="380">
                  <c:v>2192.8959997474294</c:v>
                </c:pt>
                <c:pt idx="381">
                  <c:v>2201.0596487901007</c:v>
                </c:pt>
                <c:pt idx="382">
                  <c:v>2209.2336271977974</c:v>
                </c:pt>
                <c:pt idx="383">
                  <c:v>2217.4179016950998</c:v>
                </c:pt>
                <c:pt idx="384">
                  <c:v>2225.6124393250871</c:v>
                </c:pt>
                <c:pt idx="385">
                  <c:v>2233.8172074441363</c:v>
                </c:pt>
                <c:pt idx="386">
                  <c:v>2242.0321737168301</c:v>
                </c:pt>
                <c:pt idx="387">
                  <c:v>2250.2573061109865</c:v>
                </c:pt>
                <c:pt idx="388">
                  <c:v>2258.4925728928033</c:v>
                </c:pt>
                <c:pt idx="389">
                  <c:v>2266.7379426221119</c:v>
                </c:pt>
                <c:pt idx="390">
                  <c:v>2274.993384147735</c:v>
                </c:pt>
                <c:pt idx="391">
                  <c:v>2283.2588666029542</c:v>
                </c:pt>
                <c:pt idx="392">
                  <c:v>2291.5343594010728</c:v>
                </c:pt>
                <c:pt idx="393">
                  <c:v>2299.8198322310818</c:v>
                </c:pt>
                <c:pt idx="394">
                  <c:v>2308.1152550534134</c:v>
                </c:pt>
                <c:pt idx="395">
                  <c:v>2316.4205980957977</c:v>
                </c:pt>
                <c:pt idx="396">
                  <c:v>2324.7358318492002</c:v>
                </c:pt>
                <c:pt idx="397">
                  <c:v>2333.0609270638506</c:v>
                </c:pt>
                <c:pt idx="398">
                  <c:v>2341.3958547453581</c:v>
                </c:pt>
                <c:pt idx="399">
                  <c:v>2349.7405861509055</c:v>
                </c:pt>
                <c:pt idx="400">
                  <c:v>2358.0950927855233</c:v>
                </c:pt>
                <c:pt idx="401">
                  <c:v>2366.4593463984506</c:v>
                </c:pt>
                <c:pt idx="402">
                  <c:v>2374.8333189795603</c:v>
                </c:pt>
                <c:pt idx="403">
                  <c:v>2383.216982755866</c:v>
                </c:pt>
                <c:pt idx="404">
                  <c:v>2391.6103101880967</c:v>
                </c:pt>
                <c:pt idx="405">
                  <c:v>2400.0132739673463</c:v>
                </c:pt>
                <c:pt idx="406">
                  <c:v>2408.4258470117879</c:v>
                </c:pt>
                <c:pt idx="407">
                  <c:v>2416.8480024634532</c:v>
                </c:pt>
                <c:pt idx="408">
                  <c:v>2425.27971368508</c:v>
                </c:pt>
                <c:pt idx="409">
                  <c:v>2433.7209542570235</c:v>
                </c:pt>
                <c:pt idx="410">
                  <c:v>2442.1716979742241</c:v>
                </c:pt>
                <c:pt idx="411">
                  <c:v>2450.6319188432412</c:v>
                </c:pt>
                <c:pt idx="412">
                  <c:v>2459.1015910793349</c:v>
                </c:pt>
                <c:pt idx="413">
                  <c:v>2467.5806891036218</c:v>
                </c:pt>
                <c:pt idx="414">
                  <c:v>2476.0691875402699</c:v>
                </c:pt>
                <c:pt idx="415">
                  <c:v>2484.5670612137546</c:v>
                </c:pt>
                <c:pt idx="416">
                  <c:v>2493.0742851461655</c:v>
                </c:pt>
                <c:pt idx="417">
                  <c:v>2501.5908345545695</c:v>
                </c:pt>
                <c:pt idx="418">
                  <c:v>2510.1166848484172</c:v>
                </c:pt>
                <c:pt idx="419">
                  <c:v>2518.6518116269999</c:v>
                </c:pt>
                <c:pt idx="420">
                  <c:v>2527.1961906769575</c:v>
                </c:pt>
                <c:pt idx="421">
                  <c:v>2535.7497979698314</c:v>
                </c:pt>
                <c:pt idx="422">
                  <c:v>2544.3126096596607</c:v>
                </c:pt>
                <c:pt idx="423">
                  <c:v>2552.8846020806236</c:v>
                </c:pt>
                <c:pt idx="424">
                  <c:v>2561.4657517447267</c:v>
                </c:pt>
                <c:pt idx="425">
                  <c:v>2570.0560353395249</c:v>
                </c:pt>
                <c:pt idx="426">
                  <c:v>2578.6554297258995</c:v>
                </c:pt>
                <c:pt idx="427">
                  <c:v>2587.263911935861</c:v>
                </c:pt>
                <c:pt idx="428">
                  <c:v>2595.8814591704004</c:v>
                </c:pt>
                <c:pt idx="429">
                  <c:v>2604.5080487973705</c:v>
                </c:pt>
                <c:pt idx="430">
                  <c:v>2613.143658349421</c:v>
                </c:pt>
                <c:pt idx="431">
                  <c:v>2621.7882655219473</c:v>
                </c:pt>
                <c:pt idx="432">
                  <c:v>2630.4418481710982</c:v>
                </c:pt>
                <c:pt idx="433">
                  <c:v>2639.1043843117959</c:v>
                </c:pt>
                <c:pt idx="434">
                  <c:v>2647.7758521158144</c:v>
                </c:pt>
                <c:pt idx="435">
                  <c:v>2656.4562299098711</c:v>
                </c:pt>
                <c:pt idx="436">
                  <c:v>2665.1454961737622</c:v>
                </c:pt>
                <c:pt idx="437">
                  <c:v>2673.8436295385231</c:v>
                </c:pt>
                <c:pt idx="438">
                  <c:v>2682.5506087846279</c:v>
                </c:pt>
                <c:pt idx="439">
                  <c:v>2691.2664128402157</c:v>
                </c:pt>
                <c:pt idx="440">
                  <c:v>2699.9910207793432</c:v>
                </c:pt>
                <c:pt idx="441">
                  <c:v>2708.7244118202707</c:v>
                </c:pt>
                <c:pt idx="442">
                  <c:v>2717.466565323778</c:v>
                </c:pt>
                <c:pt idx="443">
                  <c:v>2726.2174607915049</c:v>
                </c:pt>
                <c:pt idx="444">
                  <c:v>2734.9770778643197</c:v>
                </c:pt>
                <c:pt idx="445">
                  <c:v>2743.7453963207158</c:v>
                </c:pt>
                <c:pt idx="446">
                  <c:v>2752.5223960752346</c:v>
                </c:pt>
                <c:pt idx="447">
                  <c:v>2761.3080571769119</c:v>
                </c:pt>
                <c:pt idx="448">
                  <c:v>2770.1023598077527</c:v>
                </c:pt>
                <c:pt idx="449">
                  <c:v>2778.9052842812275</c:v>
                </c:pt>
                <c:pt idx="450">
                  <c:v>2787.7168110407956</c:v>
                </c:pt>
                <c:pt idx="451">
                  <c:v>2796.5369206584469</c:v>
                </c:pt>
                <c:pt idx="452">
                  <c:v>2805.3655938332768</c:v>
                </c:pt>
                <c:pt idx="453">
                  <c:v>2814.2028113900719</c:v>
                </c:pt>
                <c:pt idx="454">
                  <c:v>2823.0485542779229</c:v>
                </c:pt>
                <c:pt idx="455">
                  <c:v>2831.9028035688652</c:v>
                </c:pt>
                <c:pt idx="456">
                  <c:v>2840.7655404565303</c:v>
                </c:pt>
                <c:pt idx="457">
                  <c:v>2849.6367462548242</c:v>
                </c:pt>
                <c:pt idx="458">
                  <c:v>2858.5164023966254</c:v>
                </c:pt>
                <c:pt idx="459">
                  <c:v>2867.4044904325019</c:v>
                </c:pt>
                <c:pt idx="460">
                  <c:v>2876.3009920294512</c:v>
                </c:pt>
                <c:pt idx="461">
                  <c:v>2885.2058889696527</c:v>
                </c:pt>
                <c:pt idx="462">
                  <c:v>2894.1191631492438</c:v>
                </c:pt>
                <c:pt idx="463">
                  <c:v>2903.0407965771183</c:v>
                </c:pt>
                <c:pt idx="464">
                  <c:v>2911.9707713737325</c:v>
                </c:pt>
                <c:pt idx="465">
                  <c:v>2920.9090697699385</c:v>
                </c:pt>
                <c:pt idx="466">
                  <c:v>2929.8556741058292</c:v>
                </c:pt>
                <c:pt idx="467">
                  <c:v>2938.8105668296043</c:v>
                </c:pt>
                <c:pt idx="468">
                  <c:v>2947.7737304964521</c:v>
                </c:pt>
                <c:pt idx="469">
                  <c:v>2956.7451477674426</c:v>
                </c:pt>
                <c:pt idx="470">
                  <c:v>2965.7248014084466</c:v>
                </c:pt>
                <c:pt idx="471">
                  <c:v>2974.7126742890609</c:v>
                </c:pt>
                <c:pt idx="472">
                  <c:v>2983.708749381557</c:v>
                </c:pt>
                <c:pt idx="473">
                  <c:v>2992.7130097598379</c:v>
                </c:pt>
                <c:pt idx="474">
                  <c:v>3001.7254385984143</c:v>
                </c:pt>
                <c:pt idx="475">
                  <c:v>3010.7460191713944</c:v>
                </c:pt>
                <c:pt idx="476">
                  <c:v>3019.774734851489</c:v>
                </c:pt>
                <c:pt idx="477">
                  <c:v>3028.8115691090306</c:v>
                </c:pt>
                <c:pt idx="478">
                  <c:v>3037.856505511003</c:v>
                </c:pt>
                <c:pt idx="479">
                  <c:v>3046.9095277200863</c:v>
                </c:pt>
                <c:pt idx="480">
                  <c:v>3055.9706194937207</c:v>
                </c:pt>
                <c:pt idx="481">
                  <c:v>3065.0397646831761</c:v>
                </c:pt>
                <c:pt idx="482">
                  <c:v>3074.1169472326374</c:v>
                </c:pt>
                <c:pt idx="483">
                  <c:v>3083.2021511783014</c:v>
                </c:pt>
                <c:pt idx="484">
                  <c:v>3092.2953606474866</c:v>
                </c:pt>
                <c:pt idx="485">
                  <c:v>3101.3965598577624</c:v>
                </c:pt>
                <c:pt idx="486">
                  <c:v>3110.5057331160751</c:v>
                </c:pt>
                <c:pt idx="487">
                  <c:v>3119.6228648178953</c:v>
                </c:pt>
                <c:pt idx="488">
                  <c:v>3128.7479394463817</c:v>
                </c:pt>
                <c:pt idx="489">
                  <c:v>3137.8809415715441</c:v>
                </c:pt>
                <c:pt idx="490">
                  <c:v>3147.0218558494298</c:v>
                </c:pt>
                <c:pt idx="491">
                  <c:v>3156.1706670213048</c:v>
                </c:pt>
                <c:pt idx="492">
                  <c:v>3165.3273599128702</c:v>
                </c:pt>
                <c:pt idx="493">
                  <c:v>3174.4919194334616</c:v>
                </c:pt>
                <c:pt idx="494">
                  <c:v>3183.6643305752814</c:v>
                </c:pt>
                <c:pt idx="495">
                  <c:v>3192.8445784126243</c:v>
                </c:pt>
                <c:pt idx="496">
                  <c:v>3202.0326481011293</c:v>
                </c:pt>
                <c:pt idx="497">
                  <c:v>3211.2285248770286</c:v>
                </c:pt>
                <c:pt idx="498">
                  <c:v>3220.4321940564073</c:v>
                </c:pt>
                <c:pt idx="499">
                  <c:v>3229.6436410344854</c:v>
                </c:pt>
                <c:pt idx="500">
                  <c:v>3238.8628512848886</c:v>
                </c:pt>
                <c:pt idx="501">
                  <c:v>3248.0898103589457</c:v>
                </c:pt>
                <c:pt idx="502">
                  <c:v>3257.3245038849918</c:v>
                </c:pt>
                <c:pt idx="503">
                  <c:v>3266.5669175676721</c:v>
                </c:pt>
                <c:pt idx="504">
                  <c:v>3275.8170371872593</c:v>
                </c:pt>
                <c:pt idx="505">
                  <c:v>3285.074848598987</c:v>
                </c:pt>
                <c:pt idx="506">
                  <c:v>3294.3403377323775</c:v>
                </c:pt>
                <c:pt idx="507">
                  <c:v>3303.613490590591</c:v>
                </c:pt>
                <c:pt idx="508">
                  <c:v>3312.8942932497725</c:v>
                </c:pt>
                <c:pt idx="509">
                  <c:v>3322.1827318584169</c:v>
                </c:pt>
                <c:pt idx="510">
                  <c:v>3331.4787926367321</c:v>
                </c:pt>
                <c:pt idx="511">
                  <c:v>3340.7824618760178</c:v>
                </c:pt>
                <c:pt idx="512">
                  <c:v>3350.0937259380476</c:v>
                </c:pt>
                <c:pt idx="513">
                  <c:v>3359.4125712544578</c:v>
                </c:pt>
                <c:pt idx="514">
                  <c:v>3368.7389843261517</c:v>
                </c:pt>
                <c:pt idx="515">
                  <c:v>3378.0729517227014</c:v>
                </c:pt>
                <c:pt idx="516">
                  <c:v>3387.4144600817567</c:v>
                </c:pt>
                <c:pt idx="517">
                  <c:v>3396.7634961084755</c:v>
                </c:pt>
                <c:pt idx="518">
                  <c:v>3406.1200465749412</c:v>
                </c:pt>
                <c:pt idx="519">
                  <c:v>3415.4840983196027</c:v>
                </c:pt>
                <c:pt idx="520">
                  <c:v>3424.8556382467095</c:v>
                </c:pt>
                <c:pt idx="521">
                  <c:v>3434.2346533257673</c:v>
                </c:pt>
                <c:pt idx="522">
                  <c:v>3443.6211305909865</c:v>
                </c:pt>
                <c:pt idx="523">
                  <c:v>3453.0150571407385</c:v>
                </c:pt>
                <c:pt idx="524">
                  <c:v>3462.4164201370359</c:v>
                </c:pt>
                <c:pt idx="525">
                  <c:v>3471.8252068049887</c:v>
                </c:pt>
                <c:pt idx="526">
                  <c:v>3481.2414044322995</c:v>
                </c:pt>
                <c:pt idx="527">
                  <c:v>3490.6650003687373</c:v>
                </c:pt>
                <c:pt idx="528">
                  <c:v>3500.0959820256367</c:v>
                </c:pt>
                <c:pt idx="529">
                  <c:v>3509.5343368753884</c:v>
                </c:pt>
                <c:pt idx="530">
                  <c:v>3518.9800524509469</c:v>
                </c:pt>
                <c:pt idx="531">
                  <c:v>3528.4331163453412</c:v>
                </c:pt>
                <c:pt idx="532">
                  <c:v>3537.8935162111829</c:v>
                </c:pt>
                <c:pt idx="533">
                  <c:v>3547.3612397601892</c:v>
                </c:pt>
                <c:pt idx="534">
                  <c:v>3556.8362747627116</c:v>
                </c:pt>
                <c:pt idx="535">
                  <c:v>3566.3186090472636</c:v>
                </c:pt>
                <c:pt idx="536">
                  <c:v>3575.8082305000567</c:v>
                </c:pt>
                <c:pt idx="537">
                  <c:v>3585.3051270645424</c:v>
                </c:pt>
                <c:pt idx="538">
                  <c:v>3594.8092867409587</c:v>
                </c:pt>
                <c:pt idx="539">
                  <c:v>3604.3206975858839</c:v>
                </c:pt>
                <c:pt idx="540">
                  <c:v>3613.839347711792</c:v>
                </c:pt>
                <c:pt idx="541">
                  <c:v>3623.3652252866118</c:v>
                </c:pt>
                <c:pt idx="542">
                  <c:v>3632.8983185332954</c:v>
                </c:pt>
                <c:pt idx="543">
                  <c:v>3642.4386157293916</c:v>
                </c:pt>
                <c:pt idx="544">
                  <c:v>3651.9861052066212</c:v>
                </c:pt>
                <c:pt idx="545">
                  <c:v>3661.5407753504542</c:v>
                </c:pt>
                <c:pt idx="546">
                  <c:v>3671.1026145996962</c:v>
                </c:pt>
                <c:pt idx="547">
                  <c:v>3680.6716114460842</c:v>
                </c:pt>
                <c:pt idx="548">
                  <c:v>3690.2477544338731</c:v>
                </c:pt>
                <c:pt idx="549">
                  <c:v>3699.8310321594381</c:v>
                </c:pt>
                <c:pt idx="550">
                  <c:v>3709.4214332708789</c:v>
                </c:pt>
                <c:pt idx="551">
                  <c:v>3719.0189464676214</c:v>
                </c:pt>
                <c:pt idx="552">
                  <c:v>3728.6235605000375</c:v>
                </c:pt>
                <c:pt idx="553">
                  <c:v>3738.2352641690559</c:v>
                </c:pt>
                <c:pt idx="554">
                  <c:v>3747.8540463257787</c:v>
                </c:pt>
                <c:pt idx="555">
                  <c:v>3757.4798958711135</c:v>
                </c:pt>
                <c:pt idx="556">
                  <c:v>3767.1128017553956</c:v>
                </c:pt>
                <c:pt idx="557">
                  <c:v>3776.75275297802</c:v>
                </c:pt>
                <c:pt idx="558">
                  <c:v>3786.399738587078</c:v>
                </c:pt>
                <c:pt idx="559">
                  <c:v>3796.0537476789968</c:v>
                </c:pt>
                <c:pt idx="560">
                  <c:v>3805.7147693981851</c:v>
                </c:pt>
                <c:pt idx="561">
                  <c:v>3815.3827929366753</c:v>
                </c:pt>
                <c:pt idx="562">
                  <c:v>3825.0578075337753</c:v>
                </c:pt>
                <c:pt idx="563">
                  <c:v>3834.7398024757272</c:v>
                </c:pt>
                <c:pt idx="564">
                  <c:v>3844.4287670953599</c:v>
                </c:pt>
                <c:pt idx="565">
                  <c:v>3854.1246907717541</c:v>
                </c:pt>
                <c:pt idx="566">
                  <c:v>3863.8275629299033</c:v>
                </c:pt>
                <c:pt idx="567">
                  <c:v>3873.5373730403853</c:v>
                </c:pt>
                <c:pt idx="568">
                  <c:v>3883.2541106190351</c:v>
                </c:pt>
                <c:pt idx="569">
                  <c:v>3892.9777652266152</c:v>
                </c:pt>
                <c:pt idx="570">
                  <c:v>3902.7083264684961</c:v>
                </c:pt>
                <c:pt idx="571">
                  <c:v>3912.4457839943411</c:v>
                </c:pt>
                <c:pt idx="572">
                  <c:v>3922.1901274977872</c:v>
                </c:pt>
                <c:pt idx="573">
                  <c:v>3931.9413467161321</c:v>
                </c:pt>
                <c:pt idx="574">
                  <c:v>3941.6994314300318</c:v>
                </c:pt>
                <c:pt idx="575">
                  <c:v>3951.4643714631857</c:v>
                </c:pt>
                <c:pt idx="576">
                  <c:v>3961.2361566820405</c:v>
                </c:pt>
                <c:pt idx="577">
                  <c:v>3971.0147769954888</c:v>
                </c:pt>
                <c:pt idx="578">
                  <c:v>3980.8002223545727</c:v>
                </c:pt>
                <c:pt idx="579">
                  <c:v>3990.5924827521867</c:v>
                </c:pt>
                <c:pt idx="580">
                  <c:v>4000.3915482227922</c:v>
                </c:pt>
                <c:pt idx="581">
                  <c:v>4010.1974088421221</c:v>
                </c:pt>
                <c:pt idx="582">
                  <c:v>4020.010054726908</c:v>
                </c:pt>
                <c:pt idx="583">
                  <c:v>4029.8294760345798</c:v>
                </c:pt>
                <c:pt idx="584">
                  <c:v>4039.6556629630013</c:v>
                </c:pt>
                <c:pt idx="585">
                  <c:v>4049.488605750189</c:v>
                </c:pt>
                <c:pt idx="586">
                  <c:v>4059.3282946740328</c:v>
                </c:pt>
                <c:pt idx="587">
                  <c:v>4069.1747200520285</c:v>
                </c:pt>
                <c:pt idx="588">
                  <c:v>4079.0278722410098</c:v>
                </c:pt>
                <c:pt idx="589">
                  <c:v>4088.8877416368782</c:v>
                </c:pt>
                <c:pt idx="590">
                  <c:v>4098.7543186743442</c:v>
                </c:pt>
                <c:pt idx="591">
                  <c:v>4108.627593826659</c:v>
                </c:pt>
                <c:pt idx="592">
                  <c:v>4118.5075576053605</c:v>
                </c:pt>
                <c:pt idx="593">
                  <c:v>4128.3942005600165</c:v>
                </c:pt>
                <c:pt idx="594">
                  <c:v>4138.2875132779691</c:v>
                </c:pt>
                <c:pt idx="595">
                  <c:v>4148.1874863840821</c:v>
                </c:pt>
                <c:pt idx="596">
                  <c:v>4158.0941105404963</c:v>
                </c:pt>
                <c:pt idx="597">
                  <c:v>4168.0073764463768</c:v>
                </c:pt>
                <c:pt idx="598">
                  <c:v>4177.9272748376716</c:v>
                </c:pt>
                <c:pt idx="599">
                  <c:v>4187.853796486871</c:v>
                </c:pt>
                <c:pt idx="600">
                  <c:v>4197.7869322027609</c:v>
                </c:pt>
                <c:pt idx="601">
                  <c:v>4207.7266728301929</c:v>
                </c:pt>
                <c:pt idx="602">
                  <c:v>4217.6730092498428</c:v>
                </c:pt>
                <c:pt idx="603">
                  <c:v>4227.6259323779823</c:v>
                </c:pt>
                <c:pt idx="604">
                  <c:v>4237.5854331662385</c:v>
                </c:pt>
                <c:pt idx="605">
                  <c:v>4247.5515026013763</c:v>
                </c:pt>
                <c:pt idx="606">
                  <c:v>4257.5241317050632</c:v>
                </c:pt>
                <c:pt idx="607">
                  <c:v>4267.5033115336491</c:v>
                </c:pt>
                <c:pt idx="608">
                  <c:v>4277.4890331779352</c:v>
                </c:pt>
                <c:pt idx="609">
                  <c:v>4287.4812877629665</c:v>
                </c:pt>
                <c:pt idx="610">
                  <c:v>4297.4800664477989</c:v>
                </c:pt>
                <c:pt idx="611">
                  <c:v>4307.4853604252903</c:v>
                </c:pt>
                <c:pt idx="612">
                  <c:v>4317.4971609218828</c:v>
                </c:pt>
                <c:pt idx="613">
                  <c:v>4327.5154591973933</c:v>
                </c:pt>
                <c:pt idx="614">
                  <c:v>4337.5402465447951</c:v>
                </c:pt>
                <c:pt idx="615">
                  <c:v>4347.5715142900171</c:v>
                </c:pt>
                <c:pt idx="616">
                  <c:v>4357.6092537917266</c:v>
                </c:pt>
                <c:pt idx="617">
                  <c:v>4367.653456441134</c:v>
                </c:pt>
                <c:pt idx="618">
                  <c:v>4377.70411366178</c:v>
                </c:pt>
                <c:pt idx="619">
                  <c:v>4387.7612169093418</c:v>
                </c:pt>
                <c:pt idx="620">
                  <c:v>4397.8247576714248</c:v>
                </c:pt>
                <c:pt idx="621">
                  <c:v>4407.8947274673692</c:v>
                </c:pt>
                <c:pt idx="622">
                  <c:v>4417.9711178480538</c:v>
                </c:pt>
                <c:pt idx="623">
                  <c:v>4428.053920395696</c:v>
                </c:pt>
                <c:pt idx="624">
                  <c:v>4438.1431267236676</c:v>
                </c:pt>
                <c:pt idx="625">
                  <c:v>4448.238728476289</c:v>
                </c:pt>
                <c:pt idx="626">
                  <c:v>4458.3407173286532</c:v>
                </c:pt>
                <c:pt idx="627">
                  <c:v>4468.4490849864324</c:v>
                </c:pt>
                <c:pt idx="628">
                  <c:v>4478.5638231856865</c:v>
                </c:pt>
                <c:pt idx="629">
                  <c:v>4488.6849236926855</c:v>
                </c:pt>
                <c:pt idx="630">
                  <c:v>4498.8123783037217</c:v>
                </c:pt>
                <c:pt idx="631">
                  <c:v>4508.9461788449289</c:v>
                </c:pt>
                <c:pt idx="632">
                  <c:v>4519.086317172103</c:v>
                </c:pt>
                <c:pt idx="633">
                  <c:v>4529.2327851705204</c:v>
                </c:pt>
                <c:pt idx="634">
                  <c:v>4539.3855747547623</c:v>
                </c:pt>
                <c:pt idx="635">
                  <c:v>4549.54467786854</c:v>
                </c:pt>
                <c:pt idx="636">
                  <c:v>4559.7100864845215</c:v>
                </c:pt>
                <c:pt idx="637">
                  <c:v>4569.881792604152</c:v>
                </c:pt>
                <c:pt idx="638">
                  <c:v>4580.0597882574903</c:v>
                </c:pt>
                <c:pt idx="639">
                  <c:v>4590.2440655030341</c:v>
                </c:pt>
                <c:pt idx="640">
                  <c:v>4600.4346164275566</c:v>
                </c:pt>
                <c:pt idx="641">
                  <c:v>4610.6314331459289</c:v>
                </c:pt>
                <c:pt idx="642">
                  <c:v>4620.8345078009688</c:v>
                </c:pt>
                <c:pt idx="643">
                  <c:v>4631.0438325632649</c:v>
                </c:pt>
                <c:pt idx="644">
                  <c:v>4641.2593996310179</c:v>
                </c:pt>
                <c:pt idx="645">
                  <c:v>4651.4812012298771</c:v>
                </c:pt>
                <c:pt idx="646">
                  <c:v>4661.7092296127848</c:v>
                </c:pt>
                <c:pt idx="647">
                  <c:v>4671.9434770598127</c:v>
                </c:pt>
                <c:pt idx="648">
                  <c:v>4682.1839358780035</c:v>
                </c:pt>
                <c:pt idx="649">
                  <c:v>4692.430598401219</c:v>
                </c:pt>
                <c:pt idx="650">
                  <c:v>4702.683456989982</c:v>
                </c:pt>
                <c:pt idx="651">
                  <c:v>4712.9425040313217</c:v>
                </c:pt>
                <c:pt idx="652">
                  <c:v>4723.2077319386226</c:v>
                </c:pt>
                <c:pt idx="653">
                  <c:v>4733.4791331514753</c:v>
                </c:pt>
                <c:pt idx="654">
                  <c:v>4743.7567001355201</c:v>
                </c:pt>
                <c:pt idx="655">
                  <c:v>4754.0404253823026</c:v>
                </c:pt>
                <c:pt idx="656">
                  <c:v>4764.3303014091289</c:v>
                </c:pt>
                <c:pt idx="657">
                  <c:v>4774.6263207589118</c:v>
                </c:pt>
                <c:pt idx="658">
                  <c:v>4784.9284760000282</c:v>
                </c:pt>
                <c:pt idx="659">
                  <c:v>4795.2367597261773</c:v>
                </c:pt>
                <c:pt idx="660">
                  <c:v>4805.5511645562356</c:v>
                </c:pt>
                <c:pt idx="661">
                  <c:v>4815.8716831341162</c:v>
                </c:pt>
                <c:pt idx="662">
                  <c:v>4826.1983081286235</c:v>
                </c:pt>
                <c:pt idx="663">
                  <c:v>4836.5310322333216</c:v>
                </c:pt>
                <c:pt idx="664">
                  <c:v>4846.8698481663887</c:v>
                </c:pt>
                <c:pt idx="665">
                  <c:v>4857.2147486704816</c:v>
                </c:pt>
                <c:pt idx="666">
                  <c:v>4867.565726512601</c:v>
                </c:pt>
                <c:pt idx="667">
                  <c:v>4877.9227744839518</c:v>
                </c:pt>
                <c:pt idx="668">
                  <c:v>4888.285885399815</c:v>
                </c:pt>
                <c:pt idx="669">
                  <c:v>4898.6550520994133</c:v>
                </c:pt>
                <c:pt idx="670">
                  <c:v>4909.0302674457698</c:v>
                </c:pt>
                <c:pt idx="671">
                  <c:v>4919.411524325591</c:v>
                </c:pt>
                <c:pt idx="672">
                  <c:v>4929.7988156491256</c:v>
                </c:pt>
                <c:pt idx="673">
                  <c:v>4940.1921343500399</c:v>
                </c:pt>
                <c:pt idx="674">
                  <c:v>4950.5914733852906</c:v>
                </c:pt>
                <c:pt idx="675">
                  <c:v>4960.9968257349947</c:v>
                </c:pt>
                <c:pt idx="676">
                  <c:v>4971.408184402304</c:v>
                </c:pt>
                <c:pt idx="677">
                  <c:v>4981.8255424132822</c:v>
                </c:pt>
                <c:pt idx="678">
                  <c:v>4992.2488928167804</c:v>
                </c:pt>
                <c:pt idx="679">
                  <c:v>5002.6782286843063</c:v>
                </c:pt>
                <c:pt idx="680">
                  <c:v>5013.1135431099156</c:v>
                </c:pt>
                <c:pt idx="681">
                  <c:v>5023.5548292100775</c:v>
                </c:pt>
                <c:pt idx="682">
                  <c:v>5034.0020801235642</c:v>
                </c:pt>
                <c:pt idx="683">
                  <c:v>5044.4552890113191</c:v>
                </c:pt>
                <c:pt idx="684">
                  <c:v>5054.9144490563531</c:v>
                </c:pt>
                <c:pt idx="685">
                  <c:v>5065.3795534636147</c:v>
                </c:pt>
                <c:pt idx="686">
                  <c:v>5075.8505954598813</c:v>
                </c:pt>
                <c:pt idx="687">
                  <c:v>5086.3275682936364</c:v>
                </c:pt>
                <c:pt idx="688">
                  <c:v>5096.8104652349584</c:v>
                </c:pt>
                <c:pt idx="689">
                  <c:v>5107.2992795754053</c:v>
                </c:pt>
                <c:pt idx="690">
                  <c:v>5117.7940046279036</c:v>
                </c:pt>
                <c:pt idx="691">
                  <c:v>5128.2946337266276</c:v>
                </c:pt>
                <c:pt idx="692">
                  <c:v>5138.801160226898</c:v>
                </c:pt>
                <c:pt idx="693">
                  <c:v>5149.313577505066</c:v>
                </c:pt>
                <c:pt idx="694">
                  <c:v>5159.8318789584046</c:v>
                </c:pt>
                <c:pt idx="695">
                  <c:v>5170.3560580049907</c:v>
                </c:pt>
                <c:pt idx="696">
                  <c:v>5180.8861080836123</c:v>
                </c:pt>
                <c:pt idx="697">
                  <c:v>5191.422022653649</c:v>
                </c:pt>
                <c:pt idx="698">
                  <c:v>5201.9637951949699</c:v>
                </c:pt>
                <c:pt idx="699">
                  <c:v>5212.5114192078217</c:v>
                </c:pt>
                <c:pt idx="700">
                  <c:v>5223.0648882127316</c:v>
                </c:pt>
                <c:pt idx="701">
                  <c:v>5233.6241957503971</c:v>
                </c:pt>
                <c:pt idx="702">
                  <c:v>5244.1893353815813</c:v>
                </c:pt>
                <c:pt idx="703">
                  <c:v>5254.7603006870195</c:v>
                </c:pt>
                <c:pt idx="704">
                  <c:v>5265.3370852673015</c:v>
                </c:pt>
                <c:pt idx="705">
                  <c:v>5275.9196827427786</c:v>
                </c:pt>
                <c:pt idx="706">
                  <c:v>5286.5080867534662</c:v>
                </c:pt>
                <c:pt idx="707">
                  <c:v>5297.1022909589374</c:v>
                </c:pt>
                <c:pt idx="708">
                  <c:v>5307.7022890382214</c:v>
                </c:pt>
                <c:pt idx="709">
                  <c:v>5318.3080746897158</c:v>
                </c:pt>
                <c:pt idx="710">
                  <c:v>5328.919641631077</c:v>
                </c:pt>
                <c:pt idx="711">
                  <c:v>5339.5369835991296</c:v>
                </c:pt>
                <c:pt idx="712">
                  <c:v>5350.1600943497615</c:v>
                </c:pt>
                <c:pt idx="713">
                  <c:v>5360.7889676578425</c:v>
                </c:pt>
                <c:pt idx="714">
                  <c:v>5371.4235973171144</c:v>
                </c:pt>
                <c:pt idx="715">
                  <c:v>5382.0639771401075</c:v>
                </c:pt>
                <c:pt idx="716">
                  <c:v>5392.7101009580347</c:v>
                </c:pt>
                <c:pt idx="717">
                  <c:v>5403.3619626207073</c:v>
                </c:pt>
                <c:pt idx="718">
                  <c:v>5414.019555996445</c:v>
                </c:pt>
                <c:pt idx="719">
                  <c:v>5424.6828749719725</c:v>
                </c:pt>
                <c:pt idx="720">
                  <c:v>5435.3519134523376</c:v>
                </c:pt>
                <c:pt idx="721">
                  <c:v>5446.026665360816</c:v>
                </c:pt>
                <c:pt idx="722">
                  <c:v>5456.7071246388241</c:v>
                </c:pt>
                <c:pt idx="723">
                  <c:v>5467.3932852458274</c:v>
                </c:pt>
                <c:pt idx="724">
                  <c:v>5478.0851411592521</c:v>
                </c:pt>
                <c:pt idx="725">
                  <c:v>5488.7826863743967</c:v>
                </c:pt>
                <c:pt idx="726">
                  <c:v>5499.4859149043441</c:v>
                </c:pt>
                <c:pt idx="727">
                  <c:v>5510.1948207798769</c:v>
                </c:pt>
                <c:pt idx="728">
                  <c:v>5520.909398049389</c:v>
                </c:pt>
                <c:pt idx="729">
                  <c:v>5531.6296407787977</c:v>
                </c:pt>
                <c:pt idx="730">
                  <c:v>5542.3555430514643</c:v>
                </c:pt>
                <c:pt idx="731">
                  <c:v>5553.0870989681034</c:v>
                </c:pt>
                <c:pt idx="732">
                  <c:v>5563.8243026467035</c:v>
                </c:pt>
                <c:pt idx="733">
                  <c:v>5574.567148222437</c:v>
                </c:pt>
                <c:pt idx="734">
                  <c:v>5585.3156298475842</c:v>
                </c:pt>
                <c:pt idx="735">
                  <c:v>5596.06974169145</c:v>
                </c:pt>
                <c:pt idx="736">
                  <c:v>5606.8294779402795</c:v>
                </c:pt>
                <c:pt idx="737">
                  <c:v>5617.5948327971728</c:v>
                </c:pt>
                <c:pt idx="738">
                  <c:v>5628.3658004820163</c:v>
                </c:pt>
                <c:pt idx="739">
                  <c:v>5639.1423752313913</c:v>
                </c:pt>
                <c:pt idx="740">
                  <c:v>5649.924551298499</c:v>
                </c:pt>
                <c:pt idx="741">
                  <c:v>5660.7123229530771</c:v>
                </c:pt>
                <c:pt idx="742">
                  <c:v>5671.5056844813298</c:v>
                </c:pt>
                <c:pt idx="743">
                  <c:v>5682.304630185844</c:v>
                </c:pt>
                <c:pt idx="744">
                  <c:v>5693.1091543855109</c:v>
                </c:pt>
                <c:pt idx="745">
                  <c:v>5703.9192514154502</c:v>
                </c:pt>
                <c:pt idx="746">
                  <c:v>5714.7349156269338</c:v>
                </c:pt>
                <c:pt idx="747">
                  <c:v>5725.5561413873111</c:v>
                </c:pt>
                <c:pt idx="748">
                  <c:v>5736.3829230799338</c:v>
                </c:pt>
                <c:pt idx="749">
                  <c:v>5747.2152551040763</c:v>
                </c:pt>
                <c:pt idx="750">
                  <c:v>5758.0531318748608</c:v>
                </c:pt>
                <c:pt idx="751">
                  <c:v>5768.8965478231958</c:v>
                </c:pt>
                <c:pt idx="752">
                  <c:v>5779.7454973956865</c:v>
                </c:pt>
                <c:pt idx="753">
                  <c:v>5790.5999750545716</c:v>
                </c:pt>
                <c:pt idx="754">
                  <c:v>5801.4599752776467</c:v>
                </c:pt>
                <c:pt idx="755">
                  <c:v>5812.3254925581932</c:v>
                </c:pt>
                <c:pt idx="756">
                  <c:v>5823.196521404906</c:v>
                </c:pt>
                <c:pt idx="757">
                  <c:v>5834.0730563418283</c:v>
                </c:pt>
                <c:pt idx="758">
                  <c:v>5844.9550919082649</c:v>
                </c:pt>
                <c:pt idx="759">
                  <c:v>5855.8426226587308</c:v>
                </c:pt>
                <c:pt idx="760">
                  <c:v>5866.7356431628741</c:v>
                </c:pt>
                <c:pt idx="761">
                  <c:v>5877.6341480054007</c:v>
                </c:pt>
                <c:pt idx="762">
                  <c:v>5888.5381317860119</c:v>
                </c:pt>
                <c:pt idx="763">
                  <c:v>5899.4475891193379</c:v>
                </c:pt>
                <c:pt idx="764">
                  <c:v>5910.3625146348613</c:v>
                </c:pt>
                <c:pt idx="765">
                  <c:v>5921.2829029768582</c:v>
                </c:pt>
                <c:pt idx="766">
                  <c:v>5932.2087488043235</c:v>
                </c:pt>
                <c:pt idx="767">
                  <c:v>5943.1400467909134</c:v>
                </c:pt>
                <c:pt idx="768">
                  <c:v>5954.076791624866</c:v>
                </c:pt>
                <c:pt idx="769">
                  <c:v>5965.0189780089522</c:v>
                </c:pt>
                <c:pt idx="770">
                  <c:v>5975.9666006603957</c:v>
                </c:pt>
                <c:pt idx="771">
                  <c:v>5986.9196543108146</c:v>
                </c:pt>
                <c:pt idx="772">
                  <c:v>5997.8781337061519</c:v>
                </c:pt>
                <c:pt idx="773">
                  <c:v>6008.842033606621</c:v>
                </c:pt>
                <c:pt idx="774">
                  <c:v>6019.8113487866322</c:v>
                </c:pt>
                <c:pt idx="775">
                  <c:v>6030.7860740347314</c:v>
                </c:pt>
                <c:pt idx="776">
                  <c:v>6041.7662041535423</c:v>
                </c:pt>
                <c:pt idx="777">
                  <c:v>6052.7517339596943</c:v>
                </c:pt>
                <c:pt idx="778">
                  <c:v>6063.7426582837725</c:v>
                </c:pt>
                <c:pt idx="779">
                  <c:v>6074.7389719702442</c:v>
                </c:pt>
                <c:pt idx="780">
                  <c:v>6085.740669877403</c:v>
                </c:pt>
                <c:pt idx="781">
                  <c:v>6096.7477468773086</c:v>
                </c:pt>
                <c:pt idx="782">
                  <c:v>6107.7601978557241</c:v>
                </c:pt>
                <c:pt idx="783">
                  <c:v>6118.7780177120512</c:v>
                </c:pt>
                <c:pt idx="784">
                  <c:v>6129.8012013592852</c:v>
                </c:pt>
                <c:pt idx="785">
                  <c:v>6140.8297437239344</c:v>
                </c:pt>
                <c:pt idx="786">
                  <c:v>6151.8636397459777</c:v>
                </c:pt>
                <c:pt idx="787">
                  <c:v>6162.9028843787992</c:v>
                </c:pt>
                <c:pt idx="788">
                  <c:v>6173.9474725891268</c:v>
                </c:pt>
                <c:pt idx="789">
                  <c:v>6184.997399356982</c:v>
                </c:pt>
                <c:pt idx="790">
                  <c:v>6196.0526596756154</c:v>
                </c:pt>
                <c:pt idx="791">
                  <c:v>6207.1132485514499</c:v>
                </c:pt>
                <c:pt idx="792">
                  <c:v>6218.1791610040245</c:v>
                </c:pt>
                <c:pt idx="793">
                  <c:v>6229.2503920659419</c:v>
                </c:pt>
                <c:pt idx="794">
                  <c:v>6240.326936782807</c:v>
                </c:pt>
                <c:pt idx="795">
                  <c:v>6251.4087902131678</c:v>
                </c:pt>
                <c:pt idx="796">
                  <c:v>6262.4959474284697</c:v>
                </c:pt>
                <c:pt idx="797">
                  <c:v>6273.5884035129893</c:v>
                </c:pt>
                <c:pt idx="798">
                  <c:v>6284.6861535637881</c:v>
                </c:pt>
                <c:pt idx="799">
                  <c:v>6295.7891926906532</c:v>
                </c:pt>
                <c:pt idx="800">
                  <c:v>6306.8975160160417</c:v>
                </c:pt>
                <c:pt idx="801">
                  <c:v>6318.011118675031</c:v>
                </c:pt>
                <c:pt idx="802">
                  <c:v>6329.1299958152604</c:v>
                </c:pt>
                <c:pt idx="803">
                  <c:v>6340.2541425968811</c:v>
                </c:pt>
                <c:pt idx="804">
                  <c:v>6351.3835541925018</c:v>
                </c:pt>
                <c:pt idx="805">
                  <c:v>6362.5182257871356</c:v>
                </c:pt>
                <c:pt idx="806">
                  <c:v>6373.6581525781485</c:v>
                </c:pt>
                <c:pt idx="807">
                  <c:v>6384.8033297752063</c:v>
                </c:pt>
                <c:pt idx="808">
                  <c:v>6395.953752600225</c:v>
                </c:pt>
                <c:pt idx="809">
                  <c:v>6407.1094162873105</c:v>
                </c:pt>
                <c:pt idx="810">
                  <c:v>6418.2703160827223</c:v>
                </c:pt>
                <c:pt idx="811">
                  <c:v>6429.4364472448106</c:v>
                </c:pt>
                <c:pt idx="812">
                  <c:v>6440.6078050439683</c:v>
                </c:pt>
                <c:pt idx="813">
                  <c:v>6451.7843847625827</c:v>
                </c:pt>
                <c:pt idx="814">
                  <c:v>6462.9661816949856</c:v>
                </c:pt>
                <c:pt idx="815">
                  <c:v>6474.1531911474003</c:v>
                </c:pt>
                <c:pt idx="816">
                  <c:v>6485.3454084378991</c:v>
                </c:pt>
                <c:pt idx="817">
                  <c:v>6496.5428288963431</c:v>
                </c:pt>
                <c:pt idx="818">
                  <c:v>6507.7454478643367</c:v>
                </c:pt>
                <c:pt idx="819">
                  <c:v>6518.9532606951943</c:v>
                </c:pt>
                <c:pt idx="820">
                  <c:v>6530.1662627538662</c:v>
                </c:pt>
                <c:pt idx="821">
                  <c:v>6541.3844494169107</c:v>
                </c:pt>
                <c:pt idx="822">
                  <c:v>6552.6078160724373</c:v>
                </c:pt>
                <c:pt idx="823">
                  <c:v>6563.836358120061</c:v>
                </c:pt>
                <c:pt idx="824">
                  <c:v>6575.0700709708581</c:v>
                </c:pt>
                <c:pt idx="825">
                  <c:v>6586.3089500473088</c:v>
                </c:pt>
                <c:pt idx="826">
                  <c:v>6597.5529907832679</c:v>
                </c:pt>
                <c:pt idx="827">
                  <c:v>6608.8021886238985</c:v>
                </c:pt>
                <c:pt idx="828">
                  <c:v>6620.0565390256425</c:v>
                </c:pt>
                <c:pt idx="829">
                  <c:v>6631.3160374561676</c:v>
                </c:pt>
                <c:pt idx="830">
                  <c:v>6642.5806793943193</c:v>
                </c:pt>
                <c:pt idx="831">
                  <c:v>6653.8504603300789</c:v>
                </c:pt>
                <c:pt idx="832">
                  <c:v>6665.12537576452</c:v>
                </c:pt>
                <c:pt idx="833">
                  <c:v>6676.4054212097581</c:v>
                </c:pt>
                <c:pt idx="834">
                  <c:v>6687.6905921889147</c:v>
                </c:pt>
                <c:pt idx="835">
                  <c:v>6698.9808842360599</c:v>
                </c:pt>
                <c:pt idx="836">
                  <c:v>6710.2762928961783</c:v>
                </c:pt>
                <c:pt idx="837">
                  <c:v>6721.5768137251289</c:v>
                </c:pt>
                <c:pt idx="838">
                  <c:v>6732.8824422895868</c:v>
                </c:pt>
                <c:pt idx="839">
                  <c:v>6744.1931741670141</c:v>
                </c:pt>
                <c:pt idx="840">
                  <c:v>6755.5090049456103</c:v>
                </c:pt>
                <c:pt idx="841">
                  <c:v>6766.8299302242649</c:v>
                </c:pt>
                <c:pt idx="842">
                  <c:v>6778.1559456125287</c:v>
                </c:pt>
                <c:pt idx="843">
                  <c:v>6789.4870467305536</c:v>
                </c:pt>
                <c:pt idx="844">
                  <c:v>6800.8232292090634</c:v>
                </c:pt>
                <c:pt idx="845">
                  <c:v>6812.1644886893127</c:v>
                </c:pt>
                <c:pt idx="846">
                  <c:v>6823.510820823034</c:v>
                </c:pt>
                <c:pt idx="847">
                  <c:v>6834.8622212724022</c:v>
                </c:pt>
                <c:pt idx="848">
                  <c:v>6846.2186857099987</c:v>
                </c:pt>
                <c:pt idx="849">
                  <c:v>6857.5802098187623</c:v>
                </c:pt>
                <c:pt idx="850">
                  <c:v>6868.9467892919565</c:v>
                </c:pt>
                <c:pt idx="851">
                  <c:v>6880.3184198331128</c:v>
                </c:pt>
                <c:pt idx="852">
                  <c:v>6891.6950971560136</c:v>
                </c:pt>
                <c:pt idx="853">
                  <c:v>6903.0768169846324</c:v>
                </c:pt>
                <c:pt idx="854">
                  <c:v>6914.4635750531061</c:v>
                </c:pt>
                <c:pt idx="855">
                  <c:v>6925.855367105687</c:v>
                </c:pt>
                <c:pt idx="856">
                  <c:v>6937.2521888967131</c:v>
                </c:pt>
                <c:pt idx="857">
                  <c:v>6948.6540361905536</c:v>
                </c:pt>
                <c:pt idx="858">
                  <c:v>6960.0609047615908</c:v>
                </c:pt>
                <c:pt idx="859">
                  <c:v>6971.4727903941603</c:v>
                </c:pt>
                <c:pt idx="860">
                  <c:v>6982.8896888825202</c:v>
                </c:pt>
                <c:pt idx="861">
                  <c:v>6994.3115960308241</c:v>
                </c:pt>
                <c:pt idx="862">
                  <c:v>7005.7385076530654</c:v>
                </c:pt>
                <c:pt idx="863">
                  <c:v>7017.170419573049</c:v>
                </c:pt>
                <c:pt idx="864">
                  <c:v>7028.6073276243515</c:v>
                </c:pt>
                <c:pt idx="865">
                  <c:v>7040.049227650281</c:v>
                </c:pt>
                <c:pt idx="866">
                  <c:v>7051.4961155038472</c:v>
                </c:pt>
                <c:pt idx="867">
                  <c:v>7062.9479870477171</c:v>
                </c:pt>
                <c:pt idx="868">
                  <c:v>7074.4048381541779</c:v>
                </c:pt>
                <c:pt idx="869">
                  <c:v>7085.8666647051014</c:v>
                </c:pt>
                <c:pt idx="870">
                  <c:v>7097.333462591916</c:v>
                </c:pt>
                <c:pt idx="871">
                  <c:v>7108.8052277155557</c:v>
                </c:pt>
                <c:pt idx="872">
                  <c:v>7120.281955986432</c:v>
                </c:pt>
                <c:pt idx="873">
                  <c:v>7131.7636433244015</c:v>
                </c:pt>
                <c:pt idx="874">
                  <c:v>7143.2502856587216</c:v>
                </c:pt>
                <c:pt idx="875">
                  <c:v>7154.7418789280146</c:v>
                </c:pt>
                <c:pt idx="876">
                  <c:v>7166.2384190802477</c:v>
                </c:pt>
                <c:pt idx="877">
                  <c:v>7177.7399020726734</c:v>
                </c:pt>
                <c:pt idx="878">
                  <c:v>7189.2463238718174</c:v>
                </c:pt>
                <c:pt idx="879">
                  <c:v>7200.7576804534283</c:v>
                </c:pt>
                <c:pt idx="880">
                  <c:v>7212.2739678024518</c:v>
                </c:pt>
                <c:pt idx="881">
                  <c:v>7223.7951819129939</c:v>
                </c:pt>
                <c:pt idx="882">
                  <c:v>7235.3213187882775</c:v>
                </c:pt>
                <c:pt idx="883">
                  <c:v>7246.852374440623</c:v>
                </c:pt>
                <c:pt idx="884">
                  <c:v>7258.3883448914112</c:v>
                </c:pt>
                <c:pt idx="885">
                  <c:v>7269.9292261710334</c:v>
                </c:pt>
                <c:pt idx="886">
                  <c:v>7281.4750143188821</c:v>
                </c:pt>
                <c:pt idx="887">
                  <c:v>7293.0257053833011</c:v>
                </c:pt>
                <c:pt idx="888">
                  <c:v>7304.5812954215526</c:v>
                </c:pt>
                <c:pt idx="889">
                  <c:v>7316.1417804998</c:v>
                </c:pt>
                <c:pt idx="890">
                  <c:v>7327.707156693049</c:v>
                </c:pt>
                <c:pt idx="891">
                  <c:v>7339.2774200851391</c:v>
                </c:pt>
                <c:pt idx="892">
                  <c:v>7350.8525667687009</c:v>
                </c:pt>
                <c:pt idx="893">
                  <c:v>7362.4325928451144</c:v>
                </c:pt>
                <c:pt idx="894">
                  <c:v>7374.0174944244964</c:v>
                </c:pt>
                <c:pt idx="895">
                  <c:v>7385.6072676256517</c:v>
                </c:pt>
                <c:pt idx="896">
                  <c:v>7397.2019085760548</c:v>
                </c:pt>
                <c:pt idx="897">
                  <c:v>7408.8014134118039</c:v>
                </c:pt>
                <c:pt idx="898">
                  <c:v>7420.4057782775981</c:v>
                </c:pt>
                <c:pt idx="899">
                  <c:v>7432.0149993267059</c:v>
                </c:pt>
                <c:pt idx="900">
                  <c:v>7443.6290727209343</c:v>
                </c:pt>
                <c:pt idx="901">
                  <c:v>7455.2479946305903</c:v>
                </c:pt>
                <c:pt idx="902">
                  <c:v>7466.8717612344553</c:v>
                </c:pt>
                <c:pt idx="903">
                  <c:v>7478.5003687197623</c:v>
                </c:pt>
                <c:pt idx="904">
                  <c:v>7490.1338132821475</c:v>
                </c:pt>
                <c:pt idx="905">
                  <c:v>7501.7720911256383</c:v>
                </c:pt>
                <c:pt idx="906">
                  <c:v>7513.4151984626051</c:v>
                </c:pt>
                <c:pt idx="907">
                  <c:v>7525.0631315137498</c:v>
                </c:pt>
                <c:pt idx="908">
                  <c:v>7536.7158865080601</c:v>
                </c:pt>
                <c:pt idx="909">
                  <c:v>7548.3734596827881</c:v>
                </c:pt>
                <c:pt idx="910">
                  <c:v>7560.035847283415</c:v>
                </c:pt>
                <c:pt idx="911">
                  <c:v>7571.7030455636286</c:v>
                </c:pt>
                <c:pt idx="912">
                  <c:v>7583.3750507852892</c:v>
                </c:pt>
                <c:pt idx="913">
                  <c:v>7595.0518592184008</c:v>
                </c:pt>
                <c:pt idx="914">
                  <c:v>7606.7334671410808</c:v>
                </c:pt>
                <c:pt idx="915">
                  <c:v>7618.419870839537</c:v>
                </c:pt>
                <c:pt idx="916">
                  <c:v>7630.1110666080294</c:v>
                </c:pt>
                <c:pt idx="917">
                  <c:v>7641.8070507488501</c:v>
                </c:pt>
                <c:pt idx="918">
                  <c:v>7653.5078195722845</c:v>
                </c:pt>
                <c:pt idx="919">
                  <c:v>7665.213369396597</c:v>
                </c:pt>
                <c:pt idx="920">
                  <c:v>7676.9236965479931</c:v>
                </c:pt>
                <c:pt idx="921">
                  <c:v>7688.6387973605906</c:v>
                </c:pt>
                <c:pt idx="922">
                  <c:v>7700.3586681763991</c:v>
                </c:pt>
                <c:pt idx="923">
                  <c:v>7712.0833053452852</c:v>
                </c:pt>
                <c:pt idx="924">
                  <c:v>7723.8127052249429</c:v>
                </c:pt>
                <c:pt idx="925">
                  <c:v>7735.5468641808757</c:v>
                </c:pt>
                <c:pt idx="926">
                  <c:v>7747.2857785863625</c:v>
                </c:pt>
                <c:pt idx="927">
                  <c:v>7759.0294448224267</c:v>
                </c:pt>
                <c:pt idx="928">
                  <c:v>7770.7778592778177</c:v>
                </c:pt>
                <c:pt idx="929">
                  <c:v>7782.5310183489801</c:v>
                </c:pt>
                <c:pt idx="930">
                  <c:v>7794.2889184400283</c:v>
                </c:pt>
                <c:pt idx="931">
                  <c:v>7806.0515559627083</c:v>
                </c:pt>
                <c:pt idx="932">
                  <c:v>7817.818927336396</c:v>
                </c:pt>
                <c:pt idx="933">
                  <c:v>7829.5910289880394</c:v>
                </c:pt>
                <c:pt idx="934">
                  <c:v>7841.367857352162</c:v>
                </c:pt>
                <c:pt idx="935">
                  <c:v>7853.1494088708105</c:v>
                </c:pt>
                <c:pt idx="936">
                  <c:v>7864.9356799935485</c:v>
                </c:pt>
                <c:pt idx="937">
                  <c:v>7876.7266671774214</c:v>
                </c:pt>
                <c:pt idx="938">
                  <c:v>7888.5223668869312</c:v>
                </c:pt>
                <c:pt idx="939">
                  <c:v>7900.3227755940115</c:v>
                </c:pt>
                <c:pt idx="940">
                  <c:v>7912.1278897780012</c:v>
                </c:pt>
                <c:pt idx="941">
                  <c:v>7923.9377059256203</c:v>
                </c:pt>
                <c:pt idx="942">
                  <c:v>7935.7522205309488</c:v>
                </c:pt>
                <c:pt idx="943">
                  <c:v>7947.5714300953823</c:v>
                </c:pt>
                <c:pt idx="944">
                  <c:v>7959.3953311276346</c:v>
                </c:pt>
                <c:pt idx="945">
                  <c:v>7971.2239201436969</c:v>
                </c:pt>
                <c:pt idx="946">
                  <c:v>7983.0571936668121</c:v>
                </c:pt>
                <c:pt idx="947">
                  <c:v>7994.8951482274497</c:v>
                </c:pt>
                <c:pt idx="948">
                  <c:v>8006.7377803632944</c:v>
                </c:pt>
                <c:pt idx="949">
                  <c:v>8018.5850866192004</c:v>
                </c:pt>
                <c:pt idx="950">
                  <c:v>8030.4370635471851</c:v>
                </c:pt>
                <c:pt idx="951">
                  <c:v>8042.2937077064016</c:v>
                </c:pt>
                <c:pt idx="952">
                  <c:v>8054.1550156630947</c:v>
                </c:pt>
                <c:pt idx="953">
                  <c:v>8066.0209839906111</c:v>
                </c:pt>
                <c:pt idx="954">
                  <c:v>8077.8916092693462</c:v>
                </c:pt>
                <c:pt idx="955">
                  <c:v>8089.7668880867341</c:v>
                </c:pt>
                <c:pt idx="956">
                  <c:v>8101.6468170372209</c:v>
                </c:pt>
                <c:pt idx="957">
                  <c:v>8113.5313927222451</c:v>
                </c:pt>
                <c:pt idx="958">
                  <c:v>8125.4206117502035</c:v>
                </c:pt>
                <c:pt idx="959">
                  <c:v>8137.314470736439</c:v>
                </c:pt>
                <c:pt idx="960">
                  <c:v>8149.2129663032056</c:v>
                </c:pt>
                <c:pt idx="961">
                  <c:v>8161.1160950796611</c:v>
                </c:pt>
                <c:pt idx="962">
                  <c:v>8173.0238537018313</c:v>
                </c:pt>
                <c:pt idx="963">
                  <c:v>8184.9362388125919</c:v>
                </c:pt>
                <c:pt idx="964">
                  <c:v>8196.853247061641</c:v>
                </c:pt>
                <c:pt idx="965">
                  <c:v>8208.7748751054824</c:v>
                </c:pt>
                <c:pt idx="966">
                  <c:v>8220.7011196074054</c:v>
                </c:pt>
                <c:pt idx="967">
                  <c:v>8232.6319772374518</c:v>
                </c:pt>
                <c:pt idx="968">
                  <c:v>8244.5674446723915</c:v>
                </c:pt>
                <c:pt idx="969">
                  <c:v>8256.5075185957248</c:v>
                </c:pt>
                <c:pt idx="970">
                  <c:v>8268.4521956976314</c:v>
                </c:pt>
                <c:pt idx="971">
                  <c:v>8280.401472674961</c:v>
                </c:pt>
                <c:pt idx="972">
                  <c:v>8292.355346231212</c:v>
                </c:pt>
                <c:pt idx="973">
                  <c:v>8304.3138130765092</c:v>
                </c:pt>
                <c:pt idx="974">
                  <c:v>8316.2768699275766</c:v>
                </c:pt>
                <c:pt idx="975">
                  <c:v>8328.2445135077196</c:v>
                </c:pt>
                <c:pt idx="976">
                  <c:v>8340.2167405468099</c:v>
                </c:pt>
                <c:pt idx="977">
                  <c:v>8352.1935477812476</c:v>
                </c:pt>
                <c:pt idx="978">
                  <c:v>8364.174931953954</c:v>
                </c:pt>
                <c:pt idx="979">
                  <c:v>8376.1608898143495</c:v>
                </c:pt>
                <c:pt idx="980">
                  <c:v>8388.1514181183211</c:v>
                </c:pt>
                <c:pt idx="981">
                  <c:v>8400.146513628215</c:v>
                </c:pt>
                <c:pt idx="982">
                  <c:v>8412.1461731128056</c:v>
                </c:pt>
                <c:pt idx="983">
                  <c:v>8424.1503933472795</c:v>
                </c:pt>
                <c:pt idx="984">
                  <c:v>8436.1591711132169</c:v>
                </c:pt>
                <c:pt idx="985">
                  <c:v>8448.1725031985625</c:v>
                </c:pt>
                <c:pt idx="986">
                  <c:v>8460.190386397604</c:v>
                </c:pt>
                <c:pt idx="987">
                  <c:v>8472.2128175109683</c:v>
                </c:pt>
                <c:pt idx="988">
                  <c:v>8484.2397933455886</c:v>
                </c:pt>
                <c:pt idx="989">
                  <c:v>8496.2713107146792</c:v>
                </c:pt>
                <c:pt idx="990">
                  <c:v>8508.3073664377243</c:v>
                </c:pt>
                <c:pt idx="991">
                  <c:v>8520.3479573404566</c:v>
                </c:pt>
                <c:pt idx="992">
                  <c:v>8532.3930802548348</c:v>
                </c:pt>
                <c:pt idx="993">
                  <c:v>8544.4427320190171</c:v>
                </c:pt>
                <c:pt idx="994">
                  <c:v>8556.4969094773587</c:v>
                </c:pt>
                <c:pt idx="995">
                  <c:v>8568.5556094803742</c:v>
                </c:pt>
                <c:pt idx="996">
                  <c:v>8580.6188288847316</c:v>
                </c:pt>
                <c:pt idx="997">
                  <c:v>8592.686564553218</c:v>
                </c:pt>
                <c:pt idx="998">
                  <c:v>8604.758813354736</c:v>
                </c:pt>
                <c:pt idx="999">
                  <c:v>8616.8355721642711</c:v>
                </c:pt>
                <c:pt idx="1000">
                  <c:v>8628.9168378628819</c:v>
                </c:pt>
                <c:pt idx="1001">
                  <c:v>8641.0026073376757</c:v>
                </c:pt>
                <c:pt idx="1002">
                  <c:v>8653.0928774817839</c:v>
                </c:pt>
                <c:pt idx="1003">
                  <c:v>8665.1876451943535</c:v>
                </c:pt>
                <c:pt idx="1004">
                  <c:v>8677.2869073805286</c:v>
                </c:pt>
                <c:pt idx="1005">
                  <c:v>8689.3906609514197</c:v>
                </c:pt>
                <c:pt idx="1006">
                  <c:v>8701.4989028240925</c:v>
                </c:pt>
                <c:pt idx="1007">
                  <c:v>8713.6116299215482</c:v>
                </c:pt>
                <c:pt idx="1008">
                  <c:v>8725.7288391727052</c:v>
                </c:pt>
                <c:pt idx="1009">
                  <c:v>8737.8505275123844</c:v>
                </c:pt>
                <c:pt idx="1010">
                  <c:v>8749.9766918812766</c:v>
                </c:pt>
                <c:pt idx="1011">
                  <c:v>8762.1073292259389</c:v>
                </c:pt>
                <c:pt idx="1012">
                  <c:v>8774.2424364987746</c:v>
                </c:pt>
                <c:pt idx="1013">
                  <c:v>8786.3820106580024</c:v>
                </c:pt>
                <c:pt idx="1014">
                  <c:v>8798.5260486676561</c:v>
                </c:pt>
                <c:pt idx="1015">
                  <c:v>8810.6745474975487</c:v>
                </c:pt>
                <c:pt idx="1016">
                  <c:v>8822.82750412327</c:v>
                </c:pt>
                <c:pt idx="1017">
                  <c:v>8834.9849155261581</c:v>
                </c:pt>
                <c:pt idx="1018">
                  <c:v>8847.1467786932826</c:v>
                </c:pt>
                <c:pt idx="1019">
                  <c:v>8859.313090617432</c:v>
                </c:pt>
                <c:pt idx="1020">
                  <c:v>8871.4838482970954</c:v>
                </c:pt>
                <c:pt idx="1021">
                  <c:v>8883.659048736441</c:v>
                </c:pt>
                <c:pt idx="1022">
                  <c:v>8895.8386889452941</c:v>
                </c:pt>
                <c:pt idx="1023">
                  <c:v>8908.0227659391276</c:v>
                </c:pt>
                <c:pt idx="1024">
                  <c:v>8920.2112767390499</c:v>
                </c:pt>
                <c:pt idx="1025">
                  <c:v>8932.404218371772</c:v>
                </c:pt>
                <c:pt idx="1026">
                  <c:v>8944.6015878696016</c:v>
                </c:pt>
                <c:pt idx="1027">
                  <c:v>8956.8033822704165</c:v>
                </c:pt>
                <c:pt idx="1028">
                  <c:v>8969.0095986176548</c:v>
                </c:pt>
                <c:pt idx="1029">
                  <c:v>8981.2202339603064</c:v>
                </c:pt>
                <c:pt idx="1030">
                  <c:v>8993.4352853528726</c:v>
                </c:pt>
                <c:pt idx="1031">
                  <c:v>9005.65474985537</c:v>
                </c:pt>
                <c:pt idx="1032">
                  <c:v>9017.8786245333031</c:v>
                </c:pt>
                <c:pt idx="1033">
                  <c:v>9030.1069064576495</c:v>
                </c:pt>
                <c:pt idx="1034">
                  <c:v>9042.3395927048477</c:v>
                </c:pt>
                <c:pt idx="1035">
                  <c:v>9054.5766803567731</c:v>
                </c:pt>
                <c:pt idx="1036">
                  <c:v>9066.8181665007251</c:v>
                </c:pt>
                <c:pt idx="1037">
                  <c:v>9079.0640482294129</c:v>
                </c:pt>
                <c:pt idx="1038">
                  <c:v>9091.3143226409338</c:v>
                </c:pt>
                <c:pt idx="1039">
                  <c:v>9103.5689868387635</c:v>
                </c:pt>
                <c:pt idx="1040">
                  <c:v>9115.828037931733</c:v>
                </c:pt>
                <c:pt idx="1041">
                  <c:v>9128.0914730340155</c:v>
                </c:pt>
                <c:pt idx="1042">
                  <c:v>9140.3592892651122</c:v>
                </c:pt>
                <c:pt idx="1043">
                  <c:v>9152.6314837498285</c:v>
                </c:pt>
                <c:pt idx="1044">
                  <c:v>9164.9080536182719</c:v>
                </c:pt>
                <c:pt idx="1045">
                  <c:v>9177.1889960058179</c:v>
                </c:pt>
                <c:pt idx="1046">
                  <c:v>9189.4743080531152</c:v>
                </c:pt>
                <c:pt idx="1047">
                  <c:v>9201.7639869060476</c:v>
                </c:pt>
                <c:pt idx="1048">
                  <c:v>9214.0580297157376</c:v>
                </c:pt>
                <c:pt idx="1049">
                  <c:v>9226.3564336385152</c:v>
                </c:pt>
                <c:pt idx="1050">
                  <c:v>9238.6591958359168</c:v>
                </c:pt>
                <c:pt idx="1051">
                  <c:v>9250.9663134746552</c:v>
                </c:pt>
                <c:pt idx="1052">
                  <c:v>9263.2777837266094</c:v>
                </c:pt>
                <c:pt idx="1053">
                  <c:v>9275.5936037688225</c:v>
                </c:pt>
                <c:pt idx="1054">
                  <c:v>9287.9137707834634</c:v>
                </c:pt>
                <c:pt idx="1055">
                  <c:v>9300.238281957827</c:v>
                </c:pt>
                <c:pt idx="1056">
                  <c:v>9312.567134484314</c:v>
                </c:pt>
                <c:pt idx="1057">
                  <c:v>9324.9003255604166</c:v>
                </c:pt>
                <c:pt idx="1058">
                  <c:v>9337.2378523887019</c:v>
                </c:pt>
                <c:pt idx="1059">
                  <c:v>9349.5797121768046</c:v>
                </c:pt>
                <c:pt idx="1060">
                  <c:v>9361.9259021373891</c:v>
                </c:pt>
                <c:pt idx="1061">
                  <c:v>9374.2764194881674</c:v>
                </c:pt>
                <c:pt idx="1062">
                  <c:v>9386.6312614518647</c:v>
                </c:pt>
                <c:pt idx="1063">
                  <c:v>9398.9904252561973</c:v>
                </c:pt>
                <c:pt idx="1064">
                  <c:v>9411.3539081338859</c:v>
                </c:pt>
                <c:pt idx="1065">
                  <c:v>9423.7217073226038</c:v>
                </c:pt>
                <c:pt idx="1066">
                  <c:v>9436.0938200649944</c:v>
                </c:pt>
                <c:pt idx="1067">
                  <c:v>9448.4702436086409</c:v>
                </c:pt>
                <c:pt idx="1068">
                  <c:v>9460.8509752060545</c:v>
                </c:pt>
                <c:pt idx="1069">
                  <c:v>9473.2360121146539</c:v>
                </c:pt>
                <c:pt idx="1070">
                  <c:v>9485.6253515967692</c:v>
                </c:pt>
                <c:pt idx="1071">
                  <c:v>9498.0189909196088</c:v>
                </c:pt>
                <c:pt idx="1072">
                  <c:v>9510.4169273552452</c:v>
                </c:pt>
                <c:pt idx="1073">
                  <c:v>9522.8191581806223</c:v>
                </c:pt>
                <c:pt idx="1074">
                  <c:v>9535.2256806775167</c:v>
                </c:pt>
                <c:pt idx="1075">
                  <c:v>9547.6364921325348</c:v>
                </c:pt>
                <c:pt idx="1076">
                  <c:v>9560.0515898370995</c:v>
                </c:pt>
                <c:pt idx="1077">
                  <c:v>9572.4709710874267</c:v>
                </c:pt>
                <c:pt idx="1078">
                  <c:v>9584.8946331845291</c:v>
                </c:pt>
                <c:pt idx="1079">
                  <c:v>9597.3225734341831</c:v>
                </c:pt>
                <c:pt idx="1080">
                  <c:v>9609.7547891469294</c:v>
                </c:pt>
                <c:pt idx="1081">
                  <c:v>9622.1912776380486</c:v>
                </c:pt>
                <c:pt idx="1082">
                  <c:v>9634.6320362275583</c:v>
                </c:pt>
                <c:pt idx="1083">
                  <c:v>9647.0770622401924</c:v>
                </c:pt>
                <c:pt idx="1084">
                  <c:v>9659.5263530053817</c:v>
                </c:pt>
                <c:pt idx="1085">
                  <c:v>9671.9799058572553</c:v>
                </c:pt>
                <c:pt idx="1086">
                  <c:v>9684.4377181346154</c:v>
                </c:pt>
                <c:pt idx="1087">
                  <c:v>9696.8997871809261</c:v>
                </c:pt>
                <c:pt idx="1088">
                  <c:v>9709.3661103443064</c:v>
                </c:pt>
                <c:pt idx="1089">
                  <c:v>9721.8366849775084</c:v>
                </c:pt>
                <c:pt idx="1090">
                  <c:v>9734.3115084379097</c:v>
                </c:pt>
                <c:pt idx="1091">
                  <c:v>9746.7905780874935</c:v>
                </c:pt>
                <c:pt idx="1092">
                  <c:v>9759.2738912928507</c:v>
                </c:pt>
                <c:pt idx="1093">
                  <c:v>9771.7614454251416</c:v>
                </c:pt>
                <c:pt idx="1094">
                  <c:v>9784.2532378601045</c:v>
                </c:pt>
                <c:pt idx="1095">
                  <c:v>9796.7492659780401</c:v>
                </c:pt>
                <c:pt idx="1096">
                  <c:v>9809.2495271637817</c:v>
                </c:pt>
                <c:pt idx="1097">
                  <c:v>9821.7540188067105</c:v>
                </c:pt>
                <c:pt idx="1098">
                  <c:v>9834.2627383007148</c:v>
                </c:pt>
                <c:pt idx="1099">
                  <c:v>9846.7756830441922</c:v>
                </c:pt>
                <c:pt idx="1100">
                  <c:v>9859.2928504400315</c:v>
                </c:pt>
                <c:pt idx="1101">
                  <c:v>9871.8142378956145</c:v>
                </c:pt>
                <c:pt idx="1102">
                  <c:v>9884.3398428227702</c:v>
                </c:pt>
                <c:pt idx="1103">
                  <c:v>9896.8696626378023</c:v>
                </c:pt>
                <c:pt idx="1104">
                  <c:v>9909.4036947614441</c:v>
                </c:pt>
                <c:pt idx="1105">
                  <c:v>9921.9419366188667</c:v>
                </c:pt>
                <c:pt idx="1106">
                  <c:v>9934.4843856396601</c:v>
                </c:pt>
                <c:pt idx="1107">
                  <c:v>9947.0310392578158</c:v>
                </c:pt>
                <c:pt idx="1108">
                  <c:v>9959.5818949117147</c:v>
                </c:pt>
                <c:pt idx="1109">
                  <c:v>9972.136950044136</c:v>
                </c:pt>
                <c:pt idx="1110">
                  <c:v>9984.6962021022027</c:v>
                </c:pt>
                <c:pt idx="1111">
                  <c:v>9997.2596485374124</c:v>
                </c:pt>
                <c:pt idx="1112">
                  <c:v>10009.827286805597</c:v>
                </c:pt>
                <c:pt idx="1113">
                  <c:v>10022.39911436693</c:v>
                </c:pt>
                <c:pt idx="1114">
                  <c:v>10034.975128685894</c:v>
                </c:pt>
                <c:pt idx="1115">
                  <c:v>10047.555327231292</c:v>
                </c:pt>
                <c:pt idx="1116">
                  <c:v>10060.13970747621</c:v>
                </c:pt>
                <c:pt idx="1117">
                  <c:v>10072.72826689803</c:v>
                </c:pt>
                <c:pt idx="1118">
                  <c:v>10085.321002978395</c:v>
                </c:pt>
                <c:pt idx="1119">
                  <c:v>10097.917913203211</c:v>
                </c:pt>
                <c:pt idx="1120">
                  <c:v>10110.518995062645</c:v>
                </c:pt>
                <c:pt idx="1121">
                  <c:v>10123.124246051082</c:v>
                </c:pt>
                <c:pt idx="1122">
                  <c:v>10135.733663667144</c:v>
                </c:pt>
                <c:pt idx="1123">
                  <c:v>10148.347245413666</c:v>
                </c:pt>
                <c:pt idx="1124">
                  <c:v>10160.964988797681</c:v>
                </c:pt>
                <c:pt idx="1125">
                  <c:v>10173.586891330408</c:v>
                </c:pt>
                <c:pt idx="1126">
                  <c:v>10186.212950527257</c:v>
                </c:pt>
                <c:pt idx="1127">
                  <c:v>10198.843163907793</c:v>
                </c:pt>
                <c:pt idx="1128">
                  <c:v>10211.477528995743</c:v>
                </c:pt>
                <c:pt idx="1129">
                  <c:v>10224.116043318978</c:v>
                </c:pt>
                <c:pt idx="1130">
                  <c:v>10236.758704409502</c:v>
                </c:pt>
                <c:pt idx="1131">
                  <c:v>10249.405509803437</c:v>
                </c:pt>
                <c:pt idx="1132">
                  <c:v>10262.056457041021</c:v>
                </c:pt>
                <c:pt idx="1133">
                  <c:v>10274.711543666584</c:v>
                </c:pt>
                <c:pt idx="1134">
                  <c:v>10287.370767228556</c:v>
                </c:pt>
                <c:pt idx="1135">
                  <c:v>10300.034125279428</c:v>
                </c:pt>
                <c:pt idx="1136">
                  <c:v>10312.701615375769</c:v>
                </c:pt>
                <c:pt idx="1137">
                  <c:v>10325.373235078196</c:v>
                </c:pt>
                <c:pt idx="1138">
                  <c:v>10338.048981951373</c:v>
                </c:pt>
                <c:pt idx="1139">
                  <c:v>10350.728853563996</c:v>
                </c:pt>
                <c:pt idx="1140">
                  <c:v>10363.412847488786</c:v>
                </c:pt>
                <c:pt idx="1141">
                  <c:v>10376.100961302465</c:v>
                </c:pt>
                <c:pt idx="1142">
                  <c:v>10388.79319258577</c:v>
                </c:pt>
                <c:pt idx="1143">
                  <c:v>10401.48953892341</c:v>
                </c:pt>
                <c:pt idx="1144">
                  <c:v>10414.189997904083</c:v>
                </c:pt>
                <c:pt idx="1145">
                  <c:v>10426.894567120455</c:v>
                </c:pt>
                <c:pt idx="1146">
                  <c:v>10439.603244169144</c:v>
                </c:pt>
                <c:pt idx="1147">
                  <c:v>10452.316026650724</c:v>
                </c:pt>
                <c:pt idx="1148">
                  <c:v>10465.03291216969</c:v>
                </c:pt>
                <c:pt idx="1149">
                  <c:v>10477.753898334473</c:v>
                </c:pt>
                <c:pt idx="1150">
                  <c:v>10490.478982757417</c:v>
                </c:pt>
                <c:pt idx="1151">
                  <c:v>10503.208163054773</c:v>
                </c:pt>
                <c:pt idx="1152">
                  <c:v>10515.941436846668</c:v>
                </c:pt>
                <c:pt idx="1153">
                  <c:v>10528.67880175714</c:v>
                </c:pt>
                <c:pt idx="1154">
                  <c:v>10541.420255414079</c:v>
                </c:pt>
                <c:pt idx="1155">
                  <c:v>10554.165795449248</c:v>
                </c:pt>
                <c:pt idx="1156">
                  <c:v>10566.915419498255</c:v>
                </c:pt>
                <c:pt idx="1157">
                  <c:v>10579.669125200558</c:v>
                </c:pt>
                <c:pt idx="1158">
                  <c:v>10592.42691019944</c:v>
                </c:pt>
                <c:pt idx="1159">
                  <c:v>10605.18877214201</c:v>
                </c:pt>
                <c:pt idx="1160">
                  <c:v>10617.954708679186</c:v>
                </c:pt>
                <c:pt idx="1161">
                  <c:v>10630.724717465688</c:v>
                </c:pt>
                <c:pt idx="1162">
                  <c:v>10643.498796160027</c:v>
                </c:pt>
                <c:pt idx="1163">
                  <c:v>10656.2769424245</c:v>
                </c:pt>
                <c:pt idx="1164">
                  <c:v>10669.059153925169</c:v>
                </c:pt>
                <c:pt idx="1165">
                  <c:v>10681.845428331853</c:v>
                </c:pt>
                <c:pt idx="1166">
                  <c:v>10694.63576331814</c:v>
                </c:pt>
                <c:pt idx="1167">
                  <c:v>10707.430156561346</c:v>
                </c:pt>
                <c:pt idx="1168">
                  <c:v>10720.228605742515</c:v>
                </c:pt>
                <c:pt idx="1169">
                  <c:v>10733.031108546424</c:v>
                </c:pt>
                <c:pt idx="1170">
                  <c:v>10745.837662661555</c:v>
                </c:pt>
                <c:pt idx="1171">
                  <c:v>10758.648265780099</c:v>
                </c:pt>
                <c:pt idx="1172">
                  <c:v>10771.462915597931</c:v>
                </c:pt>
                <c:pt idx="1173">
                  <c:v>10784.281609814612</c:v>
                </c:pt>
                <c:pt idx="1174">
                  <c:v>10797.104346133383</c:v>
                </c:pt>
                <c:pt idx="1175">
                  <c:v>10809.93112226114</c:v>
                </c:pt>
                <c:pt idx="1176">
                  <c:v>10822.761935908436</c:v>
                </c:pt>
                <c:pt idx="1177">
                  <c:v>10835.59678478947</c:v>
                </c:pt>
                <c:pt idx="1178">
                  <c:v>10848.435666622079</c:v>
                </c:pt>
                <c:pt idx="1179">
                  <c:v>10861.278579127713</c:v>
                </c:pt>
                <c:pt idx="1180">
                  <c:v>10874.125520031455</c:v>
                </c:pt>
                <c:pt idx="1181">
                  <c:v>10886.976487061984</c:v>
                </c:pt>
                <c:pt idx="1182">
                  <c:v>10899.831477951582</c:v>
                </c:pt>
                <c:pt idx="1183">
                  <c:v>10912.690490436114</c:v>
                </c:pt>
                <c:pt idx="1184">
                  <c:v>10925.553522255028</c:v>
                </c:pt>
                <c:pt idx="1185">
                  <c:v>10938.420571151339</c:v>
                </c:pt>
                <c:pt idx="1186">
                  <c:v>10951.291634871626</c:v>
                </c:pt>
                <c:pt idx="1187">
                  <c:v>10964.166711166017</c:v>
                </c:pt>
                <c:pt idx="1188">
                  <c:v>10977.045797788178</c:v>
                </c:pt>
                <c:pt idx="1189">
                  <c:v>10989.928892495316</c:v>
                </c:pt>
                <c:pt idx="1190">
                  <c:v>11002.815993048156</c:v>
                </c:pt>
                <c:pt idx="1191">
                  <c:v>11015.707097210941</c:v>
                </c:pt>
                <c:pt idx="1192">
                  <c:v>11028.602202751419</c:v>
                </c:pt>
                <c:pt idx="1193">
                  <c:v>11041.501307440833</c:v>
                </c:pt>
                <c:pt idx="1194">
                  <c:v>11054.404409053914</c:v>
                </c:pt>
                <c:pt idx="1195">
                  <c:v>11067.311505368871</c:v>
                </c:pt>
                <c:pt idx="1196">
                  <c:v>11080.222594167388</c:v>
                </c:pt>
                <c:pt idx="1197">
                  <c:v>11093.137673234603</c:v>
                </c:pt>
                <c:pt idx="1198">
                  <c:v>11106.056740359116</c:v>
                </c:pt>
                <c:pt idx="1199">
                  <c:v>11118.979793332961</c:v>
                </c:pt>
                <c:pt idx="1200">
                  <c:v>11131.906829951608</c:v>
                </c:pt>
                <c:pt idx="1201">
                  <c:v>11144.837848013958</c:v>
                </c:pt>
                <c:pt idx="1202">
                  <c:v>11157.772845322328</c:v>
                </c:pt>
                <c:pt idx="1203">
                  <c:v>11170.711819682434</c:v>
                </c:pt>
                <c:pt idx="1204">
                  <c:v>11183.654768903409</c:v>
                </c:pt>
                <c:pt idx="1205">
                  <c:v>11196.601690797761</c:v>
                </c:pt>
                <c:pt idx="1206">
                  <c:v>11209.55258318139</c:v>
                </c:pt>
                <c:pt idx="1207">
                  <c:v>11222.50744387357</c:v>
                </c:pt>
                <c:pt idx="1208">
                  <c:v>11235.466270696934</c:v>
                </c:pt>
                <c:pt idx="1209">
                  <c:v>11248.429061477482</c:v>
                </c:pt>
                <c:pt idx="1210">
                  <c:v>11261.39581404455</c:v>
                </c:pt>
                <c:pt idx="1211">
                  <c:v>11274.366526230826</c:v>
                </c:pt>
                <c:pt idx="1212">
                  <c:v>11287.341195872323</c:v>
                </c:pt>
                <c:pt idx="1213">
                  <c:v>11300.319820808378</c:v>
                </c:pt>
                <c:pt idx="1214">
                  <c:v>11313.302398881648</c:v>
                </c:pt>
                <c:pt idx="1215">
                  <c:v>11326.288927938087</c:v>
                </c:pt>
                <c:pt idx="1216">
                  <c:v>11339.279405826961</c:v>
                </c:pt>
                <c:pt idx="1217">
                  <c:v>11352.273830400816</c:v>
                </c:pt>
                <c:pt idx="1218">
                  <c:v>11365.272199515475</c:v>
                </c:pt>
                <c:pt idx="1219">
                  <c:v>11378.274511030053</c:v>
                </c:pt>
                <c:pt idx="1220">
                  <c:v>11391.280762806913</c:v>
                </c:pt>
                <c:pt idx="1221">
                  <c:v>11404.290952711683</c:v>
                </c:pt>
                <c:pt idx="1222">
                  <c:v>11417.305078613241</c:v>
                </c:pt>
                <c:pt idx="1223">
                  <c:v>11430.323138383705</c:v>
                </c:pt>
                <c:pt idx="1224">
                  <c:v>11443.345129898422</c:v>
                </c:pt>
                <c:pt idx="1225">
                  <c:v>11456.371051035971</c:v>
                </c:pt>
                <c:pt idx="1226">
                  <c:v>11469.400899678141</c:v>
                </c:pt>
                <c:pt idx="1227">
                  <c:v>11482.434673709937</c:v>
                </c:pt>
                <c:pt idx="1228">
                  <c:v>11495.472371019558</c:v>
                </c:pt>
                <c:pt idx="1229">
                  <c:v>11508.513989498406</c:v>
                </c:pt>
                <c:pt idx="1230">
                  <c:v>11521.559527041056</c:v>
                </c:pt>
                <c:pt idx="1231">
                  <c:v>11534.608981545269</c:v>
                </c:pt>
                <c:pt idx="1232">
                  <c:v>11547.662350911974</c:v>
                </c:pt>
                <c:pt idx="1233">
                  <c:v>11560.719633045261</c:v>
                </c:pt>
                <c:pt idx="1234">
                  <c:v>11573.780825852373</c:v>
                </c:pt>
                <c:pt idx="1235">
                  <c:v>11586.845927243699</c:v>
                </c:pt>
                <c:pt idx="1236">
                  <c:v>11599.914935132769</c:v>
                </c:pt>
                <c:pt idx="1237">
                  <c:v>11612.987847436241</c:v>
                </c:pt>
                <c:pt idx="1238">
                  <c:v>11626.064662073897</c:v>
                </c:pt>
                <c:pt idx="1239">
                  <c:v>11639.145376968634</c:v>
                </c:pt>
                <c:pt idx="1240">
                  <c:v>11652.229990046464</c:v>
                </c:pt>
                <c:pt idx="1241">
                  <c:v>11665.318499236484</c:v>
                </c:pt>
                <c:pt idx="1242">
                  <c:v>11678.410902470896</c:v>
                </c:pt>
                <c:pt idx="1243">
                  <c:v>11691.507197684983</c:v>
                </c:pt>
                <c:pt idx="1244">
                  <c:v>11704.607382817103</c:v>
                </c:pt>
                <c:pt idx="1245">
                  <c:v>11717.711455808687</c:v>
                </c:pt>
                <c:pt idx="1246">
                  <c:v>11730.819414604231</c:v>
                </c:pt>
                <c:pt idx="1247">
                  <c:v>11743.931257151282</c:v>
                </c:pt>
                <c:pt idx="1248">
                  <c:v>11757.046981400434</c:v>
                </c:pt>
                <c:pt idx="1249">
                  <c:v>11770.166585305324</c:v>
                </c:pt>
                <c:pt idx="1250">
                  <c:v>11783.290066822621</c:v>
                </c:pt>
                <c:pt idx="1251">
                  <c:v>11796.417423912017</c:v>
                </c:pt>
                <c:pt idx="1252">
                  <c:v>11809.548654536227</c:v>
                </c:pt>
                <c:pt idx="1253">
                  <c:v>11822.683756660972</c:v>
                </c:pt>
                <c:pt idx="1254">
                  <c:v>11835.822728254978</c:v>
                </c:pt>
                <c:pt idx="1255">
                  <c:v>11848.965567289972</c:v>
                </c:pt>
                <c:pt idx="1256">
                  <c:v>11862.112271740662</c:v>
                </c:pt>
                <c:pt idx="1257">
                  <c:v>11875.262839584741</c:v>
                </c:pt>
                <c:pt idx="1258">
                  <c:v>11888.417268802881</c:v>
                </c:pt>
                <c:pt idx="1259">
                  <c:v>11901.575557378721</c:v>
                </c:pt>
                <c:pt idx="1260">
                  <c:v>11914.737703298848</c:v>
                </c:pt>
                <c:pt idx="1261">
                  <c:v>11927.90370455282</c:v>
                </c:pt>
                <c:pt idx="1262">
                  <c:v>11941.073559133125</c:v>
                </c:pt>
                <c:pt idx="1263">
                  <c:v>11954.247265035207</c:v>
                </c:pt>
                <c:pt idx="1264">
                  <c:v>11967.424820257427</c:v>
                </c:pt>
                <c:pt idx="1265">
                  <c:v>11980.606222801078</c:v>
                </c:pt>
                <c:pt idx="1266">
                  <c:v>11993.791470670374</c:v>
                </c:pt>
                <c:pt idx="1267">
                  <c:v>12006.980561872431</c:v>
                </c:pt>
                <c:pt idx="1268">
                  <c:v>12020.173494417279</c:v>
                </c:pt>
                <c:pt idx="1269">
                  <c:v>12033.370266317837</c:v>
                </c:pt>
                <c:pt idx="1270">
                  <c:v>12046.570875589921</c:v>
                </c:pt>
                <c:pt idx="1271">
                  <c:v>12059.775320252227</c:v>
                </c:pt>
                <c:pt idx="1272">
                  <c:v>12072.983598326326</c:v>
                </c:pt>
                <c:pt idx="1273">
                  <c:v>12086.195707836661</c:v>
                </c:pt>
                <c:pt idx="1274">
                  <c:v>12099.411646810542</c:v>
                </c:pt>
                <c:pt idx="1275">
                  <c:v>12112.631413278128</c:v>
                </c:pt>
                <c:pt idx="1276">
                  <c:v>12125.855005272435</c:v>
                </c:pt>
                <c:pt idx="1277">
                  <c:v>12139.082420829305</c:v>
                </c:pt>
                <c:pt idx="1278">
                  <c:v>12152.313657987441</c:v>
                </c:pt>
                <c:pt idx="1279">
                  <c:v>12165.548714788354</c:v>
                </c:pt>
                <c:pt idx="1280">
                  <c:v>12178.787589276391</c:v>
                </c:pt>
                <c:pt idx="1281">
                  <c:v>12192.030279498707</c:v>
                </c:pt>
                <c:pt idx="1282">
                  <c:v>12205.276783505269</c:v>
                </c:pt>
                <c:pt idx="1283">
                  <c:v>12218.527099348848</c:v>
                </c:pt>
                <c:pt idx="1284">
                  <c:v>12231.781225085015</c:v>
                </c:pt>
                <c:pt idx="1285">
                  <c:v>12245.039158772115</c:v>
                </c:pt>
                <c:pt idx="1286">
                  <c:v>12258.300898471291</c:v>
                </c:pt>
                <c:pt idx="1287">
                  <c:v>12271.566442246454</c:v>
                </c:pt>
                <c:pt idx="1288">
                  <c:v>12284.835788164297</c:v>
                </c:pt>
                <c:pt idx="1289">
                  <c:v>12298.108934294261</c:v>
                </c:pt>
                <c:pt idx="1290">
                  <c:v>12311.385878708556</c:v>
                </c:pt>
                <c:pt idx="1291">
                  <c:v>12324.666619482134</c:v>
                </c:pt>
                <c:pt idx="1292">
                  <c:v>12337.951154692697</c:v>
                </c:pt>
                <c:pt idx="1293">
                  <c:v>12351.239482420682</c:v>
                </c:pt>
                <c:pt idx="1294">
                  <c:v>12364.531600749253</c:v>
                </c:pt>
                <c:pt idx="1295">
                  <c:v>12377.827507764312</c:v>
                </c:pt>
                <c:pt idx="1296">
                  <c:v>12391.127201554464</c:v>
                </c:pt>
                <c:pt idx="1297">
                  <c:v>12404.430680211037</c:v>
                </c:pt>
                <c:pt idx="1298">
                  <c:v>12417.737941828069</c:v>
                </c:pt>
                <c:pt idx="1299">
                  <c:v>12431.048984502278</c:v>
                </c:pt>
                <c:pt idx="1300">
                  <c:v>12444.363806333096</c:v>
                </c:pt>
                <c:pt idx="1301">
                  <c:v>12457.682405422636</c:v>
                </c:pt>
                <c:pt idx="1302">
                  <c:v>12471.004779875686</c:v>
                </c:pt>
                <c:pt idx="1303">
                  <c:v>12484.330927799712</c:v>
                </c:pt>
                <c:pt idx="1304">
                  <c:v>12497.660847304856</c:v>
                </c:pt>
                <c:pt idx="1305">
                  <c:v>12510.994536503909</c:v>
                </c:pt>
                <c:pt idx="1306">
                  <c:v>12524.331993512335</c:v>
                </c:pt>
                <c:pt idx="1307">
                  <c:v>12537.673216448231</c:v>
                </c:pt>
                <c:pt idx="1308">
                  <c:v>12551.018203432355</c:v>
                </c:pt>
                <c:pt idx="1309">
                  <c:v>12564.366952588089</c:v>
                </c:pt>
                <c:pt idx="1310">
                  <c:v>12577.719462041452</c:v>
                </c:pt>
                <c:pt idx="1311">
                  <c:v>12591.075729921089</c:v>
                </c:pt>
                <c:pt idx="1312">
                  <c:v>12604.43575435827</c:v>
                </c:pt>
                <c:pt idx="1313">
                  <c:v>12617.799533486876</c:v>
                </c:pt>
                <c:pt idx="1314">
                  <c:v>12631.167065443386</c:v>
                </c:pt>
                <c:pt idx="1315">
                  <c:v>12644.538348366897</c:v>
                </c:pt>
                <c:pt idx="1316">
                  <c:v>12657.913380399095</c:v>
                </c:pt>
                <c:pt idx="1317">
                  <c:v>12671.292159684253</c:v>
                </c:pt>
                <c:pt idx="1318">
                  <c:v>12684.674684369234</c:v>
                </c:pt>
                <c:pt idx="1319">
                  <c:v>12698.060952603471</c:v>
                </c:pt>
                <c:pt idx="1320">
                  <c:v>12711.450962538987</c:v>
                </c:pt>
                <c:pt idx="1321">
                  <c:v>12724.844712330347</c:v>
                </c:pt>
                <c:pt idx="1322">
                  <c:v>12738.242200134693</c:v>
                </c:pt>
                <c:pt idx="1323">
                  <c:v>12751.643424111726</c:v>
                </c:pt>
                <c:pt idx="1324">
                  <c:v>12765.048382423684</c:v>
                </c:pt>
                <c:pt idx="1325">
                  <c:v>12778.45707323535</c:v>
                </c:pt>
                <c:pt idx="1326">
                  <c:v>12791.869494714054</c:v>
                </c:pt>
                <c:pt idx="1327">
                  <c:v>12805.285645029649</c:v>
                </c:pt>
                <c:pt idx="1328">
                  <c:v>12818.705522354521</c:v>
                </c:pt>
                <c:pt idx="1329">
                  <c:v>12832.129124863568</c:v>
                </c:pt>
                <c:pt idx="1330">
                  <c:v>12845.55645073421</c:v>
                </c:pt>
                <c:pt idx="1331">
                  <c:v>12858.987498146376</c:v>
                </c:pt>
                <c:pt idx="1332">
                  <c:v>12872.422265282494</c:v>
                </c:pt>
                <c:pt idx="1333">
                  <c:v>12885.860750327491</c:v>
                </c:pt>
                <c:pt idx="1334">
                  <c:v>12899.302951468795</c:v>
                </c:pt>
                <c:pt idx="1335">
                  <c:v>12912.748866896309</c:v>
                </c:pt>
                <c:pt idx="1336">
                  <c:v>12926.198494802415</c:v>
                </c:pt>
                <c:pt idx="1337">
                  <c:v>12939.651833381988</c:v>
                </c:pt>
                <c:pt idx="1338">
                  <c:v>12953.108880832355</c:v>
                </c:pt>
                <c:pt idx="1339">
                  <c:v>12966.569635353317</c:v>
                </c:pt>
                <c:pt idx="1340">
                  <c:v>12980.03409514713</c:v>
                </c:pt>
                <c:pt idx="1341">
                  <c:v>12993.502258418506</c:v>
                </c:pt>
                <c:pt idx="1342">
                  <c:v>13006.97412337461</c:v>
                </c:pt>
                <c:pt idx="1343">
                  <c:v>13020.449688225035</c:v>
                </c:pt>
                <c:pt idx="1344">
                  <c:v>13033.928951181821</c:v>
                </c:pt>
                <c:pt idx="1345">
                  <c:v>13047.411910459443</c:v>
                </c:pt>
                <c:pt idx="1346">
                  <c:v>13060.89856427479</c:v>
                </c:pt>
                <c:pt idx="1347">
                  <c:v>13074.388910847187</c:v>
                </c:pt>
                <c:pt idx="1348">
                  <c:v>13087.882948398361</c:v>
                </c:pt>
                <c:pt idx="1349">
                  <c:v>13101.380675152461</c:v>
                </c:pt>
                <c:pt idx="1350">
                  <c:v>13114.882089336032</c:v>
                </c:pt>
                <c:pt idx="1351">
                  <c:v>13128.38718917802</c:v>
                </c:pt>
                <c:pt idx="1352">
                  <c:v>13141.895972909766</c:v>
                </c:pt>
                <c:pt idx="1353">
                  <c:v>13155.408438765004</c:v>
                </c:pt>
                <c:pt idx="1354">
                  <c:v>13168.924584979841</c:v>
                </c:pt>
                <c:pt idx="1355">
                  <c:v>13182.444409792777</c:v>
                </c:pt>
                <c:pt idx="1356">
                  <c:v>13195.967911444674</c:v>
                </c:pt>
                <c:pt idx="1357">
                  <c:v>13209.495088178766</c:v>
                </c:pt>
                <c:pt idx="1358">
                  <c:v>13223.025938240648</c:v>
                </c:pt>
                <c:pt idx="1359">
                  <c:v>13236.560459878272</c:v>
                </c:pt>
                <c:pt idx="1360">
                  <c:v>13250.098651341945</c:v>
                </c:pt>
                <c:pt idx="1361">
                  <c:v>13263.640510884319</c:v>
                </c:pt>
                <c:pt idx="1362">
                  <c:v>13277.186036760388</c:v>
                </c:pt>
                <c:pt idx="1363">
                  <c:v>13290.735227227487</c:v>
                </c:pt>
                <c:pt idx="1364">
                  <c:v>13304.288080545275</c:v>
                </c:pt>
                <c:pt idx="1365">
                  <c:v>13317.844594975737</c:v>
                </c:pt>
                <c:pt idx="1366">
                  <c:v>13331.404768783195</c:v>
                </c:pt>
                <c:pt idx="1367">
                  <c:v>13344.968600234275</c:v>
                </c:pt>
                <c:pt idx="1368">
                  <c:v>13358.536087597906</c:v>
                </c:pt>
                <c:pt idx="1369">
                  <c:v>13372.107229145338</c:v>
                </c:pt>
                <c:pt idx="1370">
                  <c:v>13385.682023150122</c:v>
                </c:pt>
                <c:pt idx="1371">
                  <c:v>13399.260467888096</c:v>
                </c:pt>
                <c:pt idx="1372">
                  <c:v>13412.842561637399</c:v>
                </c:pt>
                <c:pt idx="1373">
                  <c:v>13426.428302678443</c:v>
                </c:pt>
                <c:pt idx="1374">
                  <c:v>13440.017689293938</c:v>
                </c:pt>
                <c:pt idx="1375">
                  <c:v>13453.610719768854</c:v>
                </c:pt>
                <c:pt idx="1376">
                  <c:v>13467.207392390455</c:v>
                </c:pt>
                <c:pt idx="1377">
                  <c:v>13480.807705448242</c:v>
                </c:pt>
                <c:pt idx="1378">
                  <c:v>13494.411657234003</c:v>
                </c:pt>
                <c:pt idx="1379">
                  <c:v>13508.019246041766</c:v>
                </c:pt>
                <c:pt idx="1380">
                  <c:v>13521.630470167816</c:v>
                </c:pt>
                <c:pt idx="1381">
                  <c:v>13535.245327910698</c:v>
                </c:pt>
                <c:pt idx="1382">
                  <c:v>13548.863817571175</c:v>
                </c:pt>
                <c:pt idx="1383">
                  <c:v>13562.485937452264</c:v>
                </c:pt>
                <c:pt idx="1384">
                  <c:v>13576.111685859218</c:v>
                </c:pt>
                <c:pt idx="1385">
                  <c:v>13589.741061099496</c:v>
                </c:pt>
                <c:pt idx="1386">
                  <c:v>13603.374061482809</c:v>
                </c:pt>
                <c:pt idx="1387">
                  <c:v>13617.010685321062</c:v>
                </c:pt>
                <c:pt idx="1388">
                  <c:v>13630.650930928387</c:v>
                </c:pt>
                <c:pt idx="1389">
                  <c:v>13644.294796621114</c:v>
                </c:pt>
                <c:pt idx="1390">
                  <c:v>13657.942280717791</c:v>
                </c:pt>
                <c:pt idx="1391">
                  <c:v>13671.593381539151</c:v>
                </c:pt>
                <c:pt idx="1392">
                  <c:v>13685.248097408137</c:v>
                </c:pt>
                <c:pt idx="1393">
                  <c:v>13698.906426649868</c:v>
                </c:pt>
                <c:pt idx="1394">
                  <c:v>13712.568367591648</c:v>
                </c:pt>
                <c:pt idx="1395">
                  <c:v>13726.233918562972</c:v>
                </c:pt>
                <c:pt idx="1396">
                  <c:v>13739.903077895502</c:v>
                </c:pt>
                <c:pt idx="1397">
                  <c:v>13753.575843923074</c:v>
                </c:pt>
                <c:pt idx="1398">
                  <c:v>13767.252214981701</c:v>
                </c:pt>
                <c:pt idx="1399">
                  <c:v>13780.93218940953</c:v>
                </c:pt>
                <c:pt idx="1400">
                  <c:v>13794.6157655469</c:v>
                </c:pt>
                <c:pt idx="1401">
                  <c:v>13808.302941736281</c:v>
                </c:pt>
                <c:pt idx="1402">
                  <c:v>13821.993716322289</c:v>
                </c:pt>
                <c:pt idx="1403">
                  <c:v>13835.688087651699</c:v>
                </c:pt>
                <c:pt idx="1404">
                  <c:v>13849.386054073413</c:v>
                </c:pt>
                <c:pt idx="1405">
                  <c:v>13863.087613938473</c:v>
                </c:pt>
                <c:pt idx="1406">
                  <c:v>13876.792765600052</c:v>
                </c:pt>
                <c:pt idx="1407">
                  <c:v>13890.501507413441</c:v>
                </c:pt>
                <c:pt idx="1408">
                  <c:v>13904.213837736059</c:v>
                </c:pt>
                <c:pt idx="1409">
                  <c:v>13917.929754927445</c:v>
                </c:pt>
                <c:pt idx="1410">
                  <c:v>13931.64925734924</c:v>
                </c:pt>
                <c:pt idx="1411">
                  <c:v>13945.372343365198</c:v>
                </c:pt>
                <c:pt idx="1412">
                  <c:v>13959.099011341174</c:v>
                </c:pt>
                <c:pt idx="1413">
                  <c:v>13972.829259645132</c:v>
                </c:pt>
                <c:pt idx="1414">
                  <c:v>13986.563086647115</c:v>
                </c:pt>
                <c:pt idx="1415">
                  <c:v>14000.30049071927</c:v>
                </c:pt>
                <c:pt idx="1416">
                  <c:v>14014.041470235814</c:v>
                </c:pt>
                <c:pt idx="1417">
                  <c:v>14027.78602357306</c:v>
                </c:pt>
                <c:pt idx="1418">
                  <c:v>14041.5341491094</c:v>
                </c:pt>
                <c:pt idx="1419">
                  <c:v>14055.285845225275</c:v>
                </c:pt>
                <c:pt idx="1420">
                  <c:v>14069.041110303217</c:v>
                </c:pt>
                <c:pt idx="1421">
                  <c:v>14082.799942727823</c:v>
                </c:pt>
                <c:pt idx="1422">
                  <c:v>14096.562340885732</c:v>
                </c:pt>
                <c:pt idx="1423">
                  <c:v>14110.32830316565</c:v>
                </c:pt>
                <c:pt idx="1424">
                  <c:v>14124.097827958332</c:v>
                </c:pt>
                <c:pt idx="1425">
                  <c:v>14137.870913656581</c:v>
                </c:pt>
                <c:pt idx="1426">
                  <c:v>14151.647558655251</c:v>
                </c:pt>
                <c:pt idx="1427">
                  <c:v>14165.427761351209</c:v>
                </c:pt>
                <c:pt idx="1428">
                  <c:v>14179.211520143381</c:v>
                </c:pt>
                <c:pt idx="1429">
                  <c:v>14192.99883343271</c:v>
                </c:pt>
                <c:pt idx="1430">
                  <c:v>14206.789699622168</c:v>
                </c:pt>
                <c:pt idx="1431">
                  <c:v>14220.584117116756</c:v>
                </c:pt>
                <c:pt idx="1432">
                  <c:v>14234.382084323475</c:v>
                </c:pt>
                <c:pt idx="1433">
                  <c:v>14248.183599651355</c:v>
                </c:pt>
                <c:pt idx="1434">
                  <c:v>14261.988661511432</c:v>
                </c:pt>
                <c:pt idx="1435">
                  <c:v>14275.797268316734</c:v>
                </c:pt>
                <c:pt idx="1436">
                  <c:v>14289.609418482309</c:v>
                </c:pt>
                <c:pt idx="1437">
                  <c:v>14303.425110425189</c:v>
                </c:pt>
                <c:pt idx="1438">
                  <c:v>14317.244342564392</c:v>
                </c:pt>
                <c:pt idx="1439">
                  <c:v>14331.067113320951</c:v>
                </c:pt>
                <c:pt idx="1440">
                  <c:v>14344.893421117853</c:v>
                </c:pt>
                <c:pt idx="1441">
                  <c:v>14358.723264380082</c:v>
                </c:pt>
                <c:pt idx="1442">
                  <c:v>14372.556641534593</c:v>
                </c:pt>
                <c:pt idx="1443">
                  <c:v>14386.393551010315</c:v>
                </c:pt>
                <c:pt idx="1444">
                  <c:v>14400.233991238147</c:v>
                </c:pt>
                <c:pt idx="1445">
                  <c:v>14414.077960650939</c:v>
                </c:pt>
                <c:pt idx="1446">
                  <c:v>14427.925457683525</c:v>
                </c:pt>
                <c:pt idx="1447">
                  <c:v>14441.776480772669</c:v>
                </c:pt>
                <c:pt idx="1448">
                  <c:v>14455.6310283571</c:v>
                </c:pt>
                <c:pt idx="1449">
                  <c:v>14469.489098877497</c:v>
                </c:pt>
                <c:pt idx="1450">
                  <c:v>14483.350690776484</c:v>
                </c:pt>
                <c:pt idx="1451">
                  <c:v>14497.215802498609</c:v>
                </c:pt>
                <c:pt idx="1452">
                  <c:v>14511.084432490381</c:v>
                </c:pt>
                <c:pt idx="1453">
                  <c:v>14524.956579200212</c:v>
                </c:pt>
                <c:pt idx="1454">
                  <c:v>14538.832241078475</c:v>
                </c:pt>
                <c:pt idx="1455">
                  <c:v>14552.711416577433</c:v>
                </c:pt>
                <c:pt idx="1456">
                  <c:v>14566.594104151296</c:v>
                </c:pt>
                <c:pt idx="1457">
                  <c:v>14580.480302256179</c:v>
                </c:pt>
                <c:pt idx="1458">
                  <c:v>14594.370009350114</c:v>
                </c:pt>
                <c:pt idx="1459">
                  <c:v>14608.263223893036</c:v>
                </c:pt>
                <c:pt idx="1460">
                  <c:v>14622.159944346786</c:v>
                </c:pt>
                <c:pt idx="1461">
                  <c:v>14636.060169175114</c:v>
                </c:pt>
                <c:pt idx="1462">
                  <c:v>14649.963896843652</c:v>
                </c:pt>
                <c:pt idx="1463">
                  <c:v>14663.871125819936</c:v>
                </c:pt>
                <c:pt idx="1464">
                  <c:v>14677.781854573401</c:v>
                </c:pt>
                <c:pt idx="1465">
                  <c:v>14691.696081575345</c:v>
                </c:pt>
                <c:pt idx="1466">
                  <c:v>14705.613805298963</c:v>
                </c:pt>
                <c:pt idx="1467">
                  <c:v>14719.535024219327</c:v>
                </c:pt>
                <c:pt idx="1468">
                  <c:v>14733.459736813373</c:v>
                </c:pt>
                <c:pt idx="1469">
                  <c:v>14747.387941559913</c:v>
                </c:pt>
                <c:pt idx="1470">
                  <c:v>14761.319636939643</c:v>
                </c:pt>
                <c:pt idx="1471">
                  <c:v>14775.254821435095</c:v>
                </c:pt>
                <c:pt idx="1472">
                  <c:v>14789.193493530674</c:v>
                </c:pt>
                <c:pt idx="1473">
                  <c:v>14803.135651712641</c:v>
                </c:pt>
                <c:pt idx="1474">
                  <c:v>14817.081294469106</c:v>
                </c:pt>
                <c:pt idx="1475">
                  <c:v>14831.030420290022</c:v>
                </c:pt>
                <c:pt idx="1476">
                  <c:v>14844.983027667209</c:v>
                </c:pt>
                <c:pt idx="1477">
                  <c:v>14858.93911509429</c:v>
                </c:pt>
                <c:pt idx="1478">
                  <c:v>14872.898681066759</c:v>
                </c:pt>
                <c:pt idx="1479">
                  <c:v>14886.861724081926</c:v>
                </c:pt>
                <c:pt idx="1480">
                  <c:v>14900.828242638932</c:v>
                </c:pt>
                <c:pt idx="1481">
                  <c:v>14914.79823523875</c:v>
                </c:pt>
                <c:pt idx="1482">
                  <c:v>14928.771700384183</c:v>
                </c:pt>
                <c:pt idx="1483">
                  <c:v>14942.748636579829</c:v>
                </c:pt>
                <c:pt idx="1484">
                  <c:v>14956.729042332121</c:v>
                </c:pt>
                <c:pt idx="1485">
                  <c:v>14970.712916149296</c:v>
                </c:pt>
                <c:pt idx="1486">
                  <c:v>14984.700256541404</c:v>
                </c:pt>
                <c:pt idx="1487">
                  <c:v>14998.691062020291</c:v>
                </c:pt>
                <c:pt idx="1488">
                  <c:v>15012.685331099608</c:v>
                </c:pt>
                <c:pt idx="1489">
                  <c:v>15026.683062294809</c:v>
                </c:pt>
                <c:pt idx="1490">
                  <c:v>15040.684254123144</c:v>
                </c:pt>
                <c:pt idx="1491">
                  <c:v>15054.688905103631</c:v>
                </c:pt>
                <c:pt idx="1492">
                  <c:v>15068.697013757101</c:v>
                </c:pt>
                <c:pt idx="1493">
                  <c:v>15082.708578606156</c:v>
                </c:pt>
                <c:pt idx="1494">
                  <c:v>15096.723598175176</c:v>
                </c:pt>
                <c:pt idx="1495">
                  <c:v>15110.74207099032</c:v>
                </c:pt>
                <c:pt idx="1496">
                  <c:v>15124.763995579524</c:v>
                </c:pt>
                <c:pt idx="1497">
                  <c:v>15138.789370472488</c:v>
                </c:pt>
                <c:pt idx="1498">
                  <c:v>15152.818194200674</c:v>
                </c:pt>
                <c:pt idx="1499">
                  <c:v>15166.850465297312</c:v>
                </c:pt>
                <c:pt idx="1500">
                  <c:v>15180.886182297398</c:v>
                </c:pt>
                <c:pt idx="1501">
                  <c:v>15194.925343737668</c:v>
                </c:pt>
                <c:pt idx="1502">
                  <c:v>15208.96794815662</c:v>
                </c:pt>
                <c:pt idx="1503">
                  <c:v>15223.013994094496</c:v>
                </c:pt>
                <c:pt idx="1504">
                  <c:v>15237.063480093278</c:v>
                </c:pt>
                <c:pt idx="1505">
                  <c:v>15251.11640469671</c:v>
                </c:pt>
                <c:pt idx="1506">
                  <c:v>15265.17276645025</c:v>
                </c:pt>
                <c:pt idx="1507">
                  <c:v>15279.232563901105</c:v>
                </c:pt>
                <c:pt idx="1508">
                  <c:v>15293.295795598209</c:v>
                </c:pt>
                <c:pt idx="1509">
                  <c:v>15307.362460092223</c:v>
                </c:pt>
                <c:pt idx="1510">
                  <c:v>15321.432555935542</c:v>
                </c:pt>
                <c:pt idx="1511">
                  <c:v>15335.506081682266</c:v>
                </c:pt>
                <c:pt idx="1512">
                  <c:v>15349.583035888219</c:v>
                </c:pt>
                <c:pt idx="1513">
                  <c:v>15363.663417110958</c:v>
                </c:pt>
                <c:pt idx="1514">
                  <c:v>15377.747223909715</c:v>
                </c:pt>
                <c:pt idx="1515">
                  <c:v>15391.834454845468</c:v>
                </c:pt>
                <c:pt idx="1516">
                  <c:v>15405.925108480878</c:v>
                </c:pt>
                <c:pt idx="1517">
                  <c:v>15420.019183380315</c:v>
                </c:pt>
                <c:pt idx="1518">
                  <c:v>15434.116678109831</c:v>
                </c:pt>
                <c:pt idx="1519">
                  <c:v>15448.2175912372</c:v>
                </c:pt>
                <c:pt idx="1520">
                  <c:v>15462.321921331864</c:v>
                </c:pt>
                <c:pt idx="1521">
                  <c:v>15476.42966696497</c:v>
                </c:pt>
                <c:pt idx="1522">
                  <c:v>15490.540826709341</c:v>
                </c:pt>
                <c:pt idx="1523">
                  <c:v>15504.655399139483</c:v>
                </c:pt>
                <c:pt idx="1524">
                  <c:v>15518.773382831576</c:v>
                </c:pt>
                <c:pt idx="1525">
                  <c:v>15532.894776363486</c:v>
                </c:pt>
                <c:pt idx="1526">
                  <c:v>15547.019578314746</c:v>
                </c:pt>
                <c:pt idx="1527">
                  <c:v>15561.14778726656</c:v>
                </c:pt>
                <c:pt idx="1528">
                  <c:v>15575.279401801785</c:v>
                </c:pt>
                <c:pt idx="1529">
                  <c:v>15589.414420504954</c:v>
                </c:pt>
                <c:pt idx="1530">
                  <c:v>15603.552841962264</c:v>
                </c:pt>
                <c:pt idx="1531">
                  <c:v>15617.694664761551</c:v>
                </c:pt>
                <c:pt idx="1532">
                  <c:v>15631.839887492319</c:v>
                </c:pt>
                <c:pt idx="1533">
                  <c:v>15645.988508745711</c:v>
                </c:pt>
                <c:pt idx="1534">
                  <c:v>15660.140527114527</c:v>
                </c:pt>
                <c:pt idx="1535">
                  <c:v>15674.295941193195</c:v>
                </c:pt>
                <c:pt idx="1536">
                  <c:v>15688.454749577799</c:v>
                </c:pt>
                <c:pt idx="1537">
                  <c:v>15702.616950866055</c:v>
                </c:pt>
                <c:pt idx="1538">
                  <c:v>15716.782543657315</c:v>
                </c:pt>
                <c:pt idx="1539">
                  <c:v>15730.951526552541</c:v>
                </c:pt>
                <c:pt idx="1540">
                  <c:v>15745.123898154368</c:v>
                </c:pt>
                <c:pt idx="1541">
                  <c:v>15759.299657067013</c:v>
                </c:pt>
                <c:pt idx="1542">
                  <c:v>15773.478801896337</c:v>
                </c:pt>
                <c:pt idx="1543">
                  <c:v>15787.661331249805</c:v>
                </c:pt>
                <c:pt idx="1544">
                  <c:v>15801.847243736505</c:v>
                </c:pt>
                <c:pt idx="1545">
                  <c:v>15816.036537967149</c:v>
                </c:pt>
                <c:pt idx="1546">
                  <c:v>15830.229212554041</c:v>
                </c:pt>
                <c:pt idx="1547">
                  <c:v>15844.425266111095</c:v>
                </c:pt>
                <c:pt idx="1548">
                  <c:v>15858.624697253836</c:v>
                </c:pt>
                <c:pt idx="1549">
                  <c:v>15872.827504599381</c:v>
                </c:pt>
                <c:pt idx="1550">
                  <c:v>15887.033686766452</c:v>
                </c:pt>
                <c:pt idx="1551">
                  <c:v>15901.243242375353</c:v>
                </c:pt>
                <c:pt idx="1552">
                  <c:v>15915.456170047995</c:v>
                </c:pt>
                <c:pt idx="1553">
                  <c:v>15929.672468407865</c:v>
                </c:pt>
                <c:pt idx="1554">
                  <c:v>15943.892136080038</c:v>
                </c:pt>
                <c:pt idx="1555">
                  <c:v>15958.115171691174</c:v>
                </c:pt>
                <c:pt idx="1556">
                  <c:v>15972.341573869508</c:v>
                </c:pt>
                <c:pt idx="1557">
                  <c:v>15986.571341244866</c:v>
                </c:pt>
                <c:pt idx="1558">
                  <c:v>16000.804472448619</c:v>
                </c:pt>
                <c:pt idx="1559">
                  <c:v>16015.040966113742</c:v>
                </c:pt>
                <c:pt idx="1560">
                  <c:v>16029.280820874745</c:v>
                </c:pt>
                <c:pt idx="1561">
                  <c:v>16043.524035367722</c:v>
                </c:pt>
                <c:pt idx="1562">
                  <c:v>16057.770608230328</c:v>
                </c:pt>
                <c:pt idx="1563">
                  <c:v>16072.020538101777</c:v>
                </c:pt>
                <c:pt idx="1564">
                  <c:v>16086.273823622818</c:v>
                </c:pt>
                <c:pt idx="1565">
                  <c:v>16100.530463435793</c:v>
                </c:pt>
                <c:pt idx="1566">
                  <c:v>16114.790456184548</c:v>
                </c:pt>
                <c:pt idx="1567">
                  <c:v>16129.053800514514</c:v>
                </c:pt>
                <c:pt idx="1568">
                  <c:v>16143.320495072639</c:v>
                </c:pt>
                <c:pt idx="1569">
                  <c:v>16157.59053850744</c:v>
                </c:pt>
                <c:pt idx="1570">
                  <c:v>16171.863929468935</c:v>
                </c:pt>
                <c:pt idx="1571">
                  <c:v>16186.140666608715</c:v>
                </c:pt>
                <c:pt idx="1572">
                  <c:v>16200.42074857988</c:v>
                </c:pt>
                <c:pt idx="1573">
                  <c:v>16214.704174037066</c:v>
                </c:pt>
                <c:pt idx="1574">
                  <c:v>16228.990941636444</c:v>
                </c:pt>
                <c:pt idx="1575">
                  <c:v>16243.281050035697</c:v>
                </c:pt>
                <c:pt idx="1576">
                  <c:v>16257.574497894038</c:v>
                </c:pt>
                <c:pt idx="1577">
                  <c:v>16271.871283872193</c:v>
                </c:pt>
                <c:pt idx="1578">
                  <c:v>16286.171406632404</c:v>
                </c:pt>
                <c:pt idx="1579">
                  <c:v>16300.474864838428</c:v>
                </c:pt>
                <c:pt idx="1580">
                  <c:v>16314.781657155534</c:v>
                </c:pt>
                <c:pt idx="1581">
                  <c:v>16329.091782250496</c:v>
                </c:pt>
                <c:pt idx="1582">
                  <c:v>16343.405238791594</c:v>
                </c:pt>
                <c:pt idx="1583">
                  <c:v>16357.722025448604</c:v>
                </c:pt>
                <c:pt idx="1584">
                  <c:v>16372.042140892807</c:v>
                </c:pt>
                <c:pt idx="1585">
                  <c:v>16386.365583796978</c:v>
                </c:pt>
                <c:pt idx="1586">
                  <c:v>16400.692352835387</c:v>
                </c:pt>
                <c:pt idx="1587">
                  <c:v>16415.02244668379</c:v>
                </c:pt>
                <c:pt idx="1588">
                  <c:v>16429.355864019435</c:v>
                </c:pt>
                <c:pt idx="1589">
                  <c:v>16443.692603521064</c:v>
                </c:pt>
                <c:pt idx="1590">
                  <c:v>16458.032663868878</c:v>
                </c:pt>
                <c:pt idx="1591">
                  <c:v>16472.376043744582</c:v>
                </c:pt>
                <c:pt idx="1592">
                  <c:v>16486.722741831349</c:v>
                </c:pt>
                <c:pt idx="1593">
                  <c:v>16501.072756813814</c:v>
                </c:pt>
                <c:pt idx="1594">
                  <c:v>16515.426087378106</c:v>
                </c:pt>
                <c:pt idx="1595">
                  <c:v>16529.782732211803</c:v>
                </c:pt>
                <c:pt idx="1596">
                  <c:v>16544.142690003966</c:v>
                </c:pt>
                <c:pt idx="1597">
                  <c:v>16558.505959445116</c:v>
                </c:pt>
                <c:pt idx="1598">
                  <c:v>16572.872539227214</c:v>
                </c:pt>
                <c:pt idx="1599">
                  <c:v>16587.242428043712</c:v>
                </c:pt>
                <c:pt idx="1600">
                  <c:v>16601.615624589489</c:v>
                </c:pt>
                <c:pt idx="1601">
                  <c:v>16615.992127560901</c:v>
                </c:pt>
                <c:pt idx="1602">
                  <c:v>16630.371935655738</c:v>
                </c:pt>
                <c:pt idx="1603">
                  <c:v>16644.755047573239</c:v>
                </c:pt>
                <c:pt idx="1604">
                  <c:v>16659.141462014093</c:v>
                </c:pt>
                <c:pt idx="1605">
                  <c:v>16673.531177680437</c:v>
                </c:pt>
                <c:pt idx="1606">
                  <c:v>16687.924193275834</c:v>
                </c:pt>
                <c:pt idx="1607">
                  <c:v>16702.32050750529</c:v>
                </c:pt>
                <c:pt idx="1608">
                  <c:v>16716.720119075253</c:v>
                </c:pt>
                <c:pt idx="1609">
                  <c:v>16731.123026693585</c:v>
                </c:pt>
                <c:pt idx="1610">
                  <c:v>16745.529229069605</c:v>
                </c:pt>
                <c:pt idx="1611">
                  <c:v>16759.938724914027</c:v>
                </c:pt>
                <c:pt idx="1612">
                  <c:v>16774.351512939014</c:v>
                </c:pt>
                <c:pt idx="1613">
                  <c:v>16788.767591858144</c:v>
                </c:pt>
                <c:pt idx="1614">
                  <c:v>16803.186960386396</c:v>
                </c:pt>
                <c:pt idx="1615">
                  <c:v>16817.609617240196</c:v>
                </c:pt>
                <c:pt idx="1616">
                  <c:v>16832.035561137367</c:v>
                </c:pt>
                <c:pt idx="1617">
                  <c:v>16846.464790797138</c:v>
                </c:pt>
                <c:pt idx="1618">
                  <c:v>16860.897304940157</c:v>
                </c:pt>
                <c:pt idx="1619">
                  <c:v>16875.333102288492</c:v>
                </c:pt>
                <c:pt idx="1620">
                  <c:v>16889.772181565568</c:v>
                </c:pt>
                <c:pt idx="1621">
                  <c:v>16904.214541496272</c:v>
                </c:pt>
                <c:pt idx="1622">
                  <c:v>16918.660180806841</c:v>
                </c:pt>
                <c:pt idx="1623">
                  <c:v>16933.109098224926</c:v>
                </c:pt>
                <c:pt idx="1624">
                  <c:v>16947.56129247959</c:v>
                </c:pt>
                <c:pt idx="1625">
                  <c:v>16962.016762301246</c:v>
                </c:pt>
                <c:pt idx="1626">
                  <c:v>16976.475506421739</c:v>
                </c:pt>
                <c:pt idx="1627">
                  <c:v>16990.93752357427</c:v>
                </c:pt>
                <c:pt idx="1628">
                  <c:v>17005.402812493441</c:v>
                </c:pt>
                <c:pt idx="1629">
                  <c:v>17019.871371915226</c:v>
                </c:pt>
                <c:pt idx="1630">
                  <c:v>17034.343200576979</c:v>
                </c:pt>
                <c:pt idx="1631">
                  <c:v>17048.81829721744</c:v>
                </c:pt>
                <c:pt idx="1632">
                  <c:v>17063.296660576707</c:v>
                </c:pt>
                <c:pt idx="1633">
                  <c:v>17077.778289396261</c:v>
                </c:pt>
                <c:pt idx="1634">
                  <c:v>17092.263182418945</c:v>
                </c:pt>
                <c:pt idx="1635">
                  <c:v>17106.751338388982</c:v>
                </c:pt>
                <c:pt idx="1636">
                  <c:v>17121.242756051935</c:v>
                </c:pt>
                <c:pt idx="1637">
                  <c:v>17135.737434154769</c:v>
                </c:pt>
                <c:pt idx="1638">
                  <c:v>17150.23537144576</c:v>
                </c:pt>
                <c:pt idx="1639">
                  <c:v>17164.736566674568</c:v>
                </c:pt>
                <c:pt idx="1640">
                  <c:v>17179.241018592209</c:v>
                </c:pt>
                <c:pt idx="1641">
                  <c:v>17193.748725951038</c:v>
                </c:pt>
                <c:pt idx="1642">
                  <c:v>17208.259687504782</c:v>
                </c:pt>
                <c:pt idx="1643">
                  <c:v>17222.773902008481</c:v>
                </c:pt>
                <c:pt idx="1644">
                  <c:v>17237.291368218554</c:v>
                </c:pt>
                <c:pt idx="1645">
                  <c:v>17251.812084892739</c:v>
                </c:pt>
                <c:pt idx="1646">
                  <c:v>17266.336050790138</c:v>
                </c:pt>
                <c:pt idx="1647">
                  <c:v>17280.863264671163</c:v>
                </c:pt>
                <c:pt idx="1648">
                  <c:v>17295.393725297574</c:v>
                </c:pt>
                <c:pt idx="1649">
                  <c:v>17309.927431432479</c:v>
                </c:pt>
                <c:pt idx="1650">
                  <c:v>17324.464381840287</c:v>
                </c:pt>
                <c:pt idx="1651">
                  <c:v>17339.004575286766</c:v>
                </c:pt>
                <c:pt idx="1652">
                  <c:v>17353.548010538976</c:v>
                </c:pt>
                <c:pt idx="1653">
                  <c:v>17368.094686365344</c:v>
                </c:pt>
                <c:pt idx="1654">
                  <c:v>17382.64460153558</c:v>
                </c:pt>
                <c:pt idx="1655">
                  <c:v>17397.197754820736</c:v>
                </c:pt>
                <c:pt idx="1656">
                  <c:v>17411.754144993163</c:v>
                </c:pt>
                <c:pt idx="1657">
                  <c:v>17426.313770826542</c:v>
                </c:pt>
                <c:pt idx="1658">
                  <c:v>17440.876631095867</c:v>
                </c:pt>
                <c:pt idx="1659">
                  <c:v>17455.442724577417</c:v>
                </c:pt>
                <c:pt idx="1660">
                  <c:v>17470.012050048823</c:v>
                </c:pt>
                <c:pt idx="1661">
                  <c:v>17484.584606288976</c:v>
                </c:pt>
                <c:pt idx="1662">
                  <c:v>17499.160392078098</c:v>
                </c:pt>
                <c:pt idx="1663">
                  <c:v>17513.739406197703</c:v>
                </c:pt>
                <c:pt idx="1664">
                  <c:v>17528.321647430595</c:v>
                </c:pt>
                <c:pt idx="1665">
                  <c:v>17542.907114560905</c:v>
                </c:pt>
                <c:pt idx="1666">
                  <c:v>17557.495806374012</c:v>
                </c:pt>
                <c:pt idx="1667">
                  <c:v>17572.087721656626</c:v>
                </c:pt>
                <c:pt idx="1668">
                  <c:v>17586.682859196728</c:v>
                </c:pt>
                <c:pt idx="1669">
                  <c:v>17601.281217783595</c:v>
                </c:pt>
                <c:pt idx="1670">
                  <c:v>17615.88279620777</c:v>
                </c:pt>
                <c:pt idx="1671">
                  <c:v>17630.48759326111</c:v>
                </c:pt>
                <c:pt idx="1672">
                  <c:v>17645.09560773673</c:v>
                </c:pt>
                <c:pt idx="1673">
                  <c:v>17659.706838429011</c:v>
                </c:pt>
                <c:pt idx="1674">
                  <c:v>17674.321284133664</c:v>
                </c:pt>
                <c:pt idx="1675">
                  <c:v>17688.938943647609</c:v>
                </c:pt>
                <c:pt idx="1676">
                  <c:v>17703.559815769077</c:v>
                </c:pt>
                <c:pt idx="1677">
                  <c:v>17718.183899297554</c:v>
                </c:pt>
                <c:pt idx="1678">
                  <c:v>17732.811193033805</c:v>
                </c:pt>
                <c:pt idx="1679">
                  <c:v>17747.441695779853</c:v>
                </c:pt>
                <c:pt idx="1680">
                  <c:v>17762.075406338972</c:v>
                </c:pt>
                <c:pt idx="1681">
                  <c:v>17776.712323515727</c:v>
                </c:pt>
                <c:pt idx="1682">
                  <c:v>17791.352446115903</c:v>
                </c:pt>
                <c:pt idx="1683">
                  <c:v>17805.995772946575</c:v>
                </c:pt>
                <c:pt idx="1684">
                  <c:v>17820.642302816057</c:v>
                </c:pt>
                <c:pt idx="1685">
                  <c:v>17835.292034533919</c:v>
                </c:pt>
                <c:pt idx="1686">
                  <c:v>17849.944966910971</c:v>
                </c:pt>
                <c:pt idx="1687">
                  <c:v>17864.601098759296</c:v>
                </c:pt>
                <c:pt idx="1688">
                  <c:v>17879.260428892187</c:v>
                </c:pt>
                <c:pt idx="1689">
                  <c:v>17893.92295612421</c:v>
                </c:pt>
                <c:pt idx="1690">
                  <c:v>17908.588679271161</c:v>
                </c:pt>
                <c:pt idx="1691">
                  <c:v>17923.257597150066</c:v>
                </c:pt>
                <c:pt idx="1692">
                  <c:v>17937.929708579217</c:v>
                </c:pt>
                <c:pt idx="1693">
                  <c:v>17952.60501237811</c:v>
                </c:pt>
                <c:pt idx="1694">
                  <c:v>17967.283507367494</c:v>
                </c:pt>
                <c:pt idx="1695">
                  <c:v>17981.965192369331</c:v>
                </c:pt>
                <c:pt idx="1696">
                  <c:v>17996.650066206832</c:v>
                </c:pt>
                <c:pt idx="1697">
                  <c:v>18011.338127704417</c:v>
                </c:pt>
                <c:pt idx="1698">
                  <c:v>18026.029375687747</c:v>
                </c:pt>
                <c:pt idx="1699">
                  <c:v>18040.723808983694</c:v>
                </c:pt>
                <c:pt idx="1700">
                  <c:v>18055.42142642034</c:v>
                </c:pt>
                <c:pt idx="1701">
                  <c:v>18070.122226827025</c:v>
                </c:pt>
                <c:pt idx="1702">
                  <c:v>18084.82620903425</c:v>
                </c:pt>
                <c:pt idx="1703">
                  <c:v>18099.533371873786</c:v>
                </c:pt>
                <c:pt idx="1704">
                  <c:v>18114.24371417857</c:v>
                </c:pt>
                <c:pt idx="1705">
                  <c:v>18128.957234782778</c:v>
                </c:pt>
                <c:pt idx="1706">
                  <c:v>18143.673932521786</c:v>
                </c:pt>
                <c:pt idx="1707">
                  <c:v>18158.393806232165</c:v>
                </c:pt>
                <c:pt idx="1708">
                  <c:v>18173.116854751705</c:v>
                </c:pt>
                <c:pt idx="1709">
                  <c:v>18187.843076919387</c:v>
                </c:pt>
                <c:pt idx="1710">
                  <c:v>18202.572471575411</c:v>
                </c:pt>
                <c:pt idx="1711">
                  <c:v>18217.305037561146</c:v>
                </c:pt>
                <c:pt idx="1712">
                  <c:v>18232.040773719182</c:v>
                </c:pt>
                <c:pt idx="1713">
                  <c:v>18246.779678893286</c:v>
                </c:pt>
                <c:pt idx="1714">
                  <c:v>18261.521751928423</c:v>
                </c:pt>
                <c:pt idx="1715">
                  <c:v>18276.266991670753</c:v>
                </c:pt>
                <c:pt idx="1716">
                  <c:v>18291.015396967614</c:v>
                </c:pt>
                <c:pt idx="1717">
                  <c:v>18305.766966667547</c:v>
                </c:pt>
                <c:pt idx="1718">
                  <c:v>18320.521699620243</c:v>
                </c:pt>
                <c:pt idx="1719">
                  <c:v>18335.27959467662</c:v>
                </c:pt>
                <c:pt idx="1720">
                  <c:v>18350.040650688723</c:v>
                </c:pt>
                <c:pt idx="1721">
                  <c:v>18364.804866509836</c:v>
                </c:pt>
                <c:pt idx="1722">
                  <c:v>18379.572240994374</c:v>
                </c:pt>
                <c:pt idx="1723">
                  <c:v>18394.342772997927</c:v>
                </c:pt>
                <c:pt idx="1724">
                  <c:v>18409.116461377282</c:v>
                </c:pt>
                <c:pt idx="1725">
                  <c:v>18423.893304990379</c:v>
                </c:pt>
                <c:pt idx="1726">
                  <c:v>18438.67330269633</c:v>
                </c:pt>
                <c:pt idx="1727">
                  <c:v>18453.456453355408</c:v>
                </c:pt>
                <c:pt idx="1728">
                  <c:v>18468.242755829066</c:v>
                </c:pt>
                <c:pt idx="1729">
                  <c:v>18483.032208979894</c:v>
                </c:pt>
                <c:pt idx="1730">
                  <c:v>18497.824811671664</c:v>
                </c:pt>
                <c:pt idx="1731">
                  <c:v>18512.620562769298</c:v>
                </c:pt>
                <c:pt idx="1732">
                  <c:v>18527.419461138867</c:v>
                </c:pt>
                <c:pt idx="1733">
                  <c:v>18542.22150564762</c:v>
                </c:pt>
                <c:pt idx="1734">
                  <c:v>18557.026695163921</c:v>
                </c:pt>
                <c:pt idx="1735">
                  <c:v>18571.835028557325</c:v>
                </c:pt>
                <c:pt idx="1736">
                  <c:v>18586.64650469851</c:v>
                </c:pt>
                <c:pt idx="1737">
                  <c:v>18601.461122459306</c:v>
                </c:pt>
                <c:pt idx="1738">
                  <c:v>18616.278880712685</c:v>
                </c:pt>
                <c:pt idx="1739">
                  <c:v>18631.099778332773</c:v>
                </c:pt>
                <c:pt idx="1740">
                  <c:v>18645.923814194834</c:v>
                </c:pt>
                <c:pt idx="1741">
                  <c:v>18660.750987175248</c:v>
                </c:pt>
                <c:pt idx="1742">
                  <c:v>18675.58129615158</c:v>
                </c:pt>
                <c:pt idx="1743">
                  <c:v>18690.414740002478</c:v>
                </c:pt>
                <c:pt idx="1744">
                  <c:v>18705.251317607763</c:v>
                </c:pt>
                <c:pt idx="1745">
                  <c:v>18720.091027848372</c:v>
                </c:pt>
                <c:pt idx="1746">
                  <c:v>18734.933869606357</c:v>
                </c:pt>
                <c:pt idx="1747">
                  <c:v>18749.779841764925</c:v>
                </c:pt>
                <c:pt idx="1748">
                  <c:v>18764.628943208394</c:v>
                </c:pt>
                <c:pt idx="1749">
                  <c:v>18779.481172822208</c:v>
                </c:pt>
                <c:pt idx="1750">
                  <c:v>18794.336529492939</c:v>
                </c:pt>
                <c:pt idx="1751">
                  <c:v>18809.195012108274</c:v>
                </c:pt>
                <c:pt idx="1752">
                  <c:v>18824.056619557014</c:v>
                </c:pt>
                <c:pt idx="1753">
                  <c:v>18838.921350729088</c:v>
                </c:pt>
                <c:pt idx="1754">
                  <c:v>18853.789204515528</c:v>
                </c:pt>
                <c:pt idx="1755">
                  <c:v>18868.660179808499</c:v>
                </c:pt>
                <c:pt idx="1756">
                  <c:v>18883.534275501246</c:v>
                </c:pt>
                <c:pt idx="1757">
                  <c:v>18898.411490488154</c:v>
                </c:pt>
                <c:pt idx="1758">
                  <c:v>18913.291823664698</c:v>
                </c:pt>
                <c:pt idx="1759">
                  <c:v>18928.17527392746</c:v>
                </c:pt>
                <c:pt idx="1760">
                  <c:v>18943.061840174141</c:v>
                </c:pt>
                <c:pt idx="1761">
                  <c:v>18957.951521303519</c:v>
                </c:pt>
                <c:pt idx="1762">
                  <c:v>18972.844316215502</c:v>
                </c:pt>
                <c:pt idx="1763">
                  <c:v>18987.740223811074</c:v>
                </c:pt>
                <c:pt idx="1764">
                  <c:v>19002.639242992314</c:v>
                </c:pt>
                <c:pt idx="1765">
                  <c:v>19017.541372662421</c:v>
                </c:pt>
                <c:pt idx="1766">
                  <c:v>19032.446611725652</c:v>
                </c:pt>
                <c:pt idx="1767">
                  <c:v>19047.354959087403</c:v>
                </c:pt>
                <c:pt idx="1768">
                  <c:v>19062.266413654099</c:v>
                </c:pt>
                <c:pt idx="1769">
                  <c:v>19077.180974333311</c:v>
                </c:pt>
                <c:pt idx="1770">
                  <c:v>19092.098640033655</c:v>
                </c:pt>
                <c:pt idx="1771">
                  <c:v>19107.019409664852</c:v>
                </c:pt>
                <c:pt idx="1772">
                  <c:v>19121.943282137712</c:v>
                </c:pt>
                <c:pt idx="1773">
                  <c:v>19136.870256364091</c:v>
                </c:pt>
                <c:pt idx="1774">
                  <c:v>19151.800331256964</c:v>
                </c:pt>
                <c:pt idx="1775">
                  <c:v>19166.733505730357</c:v>
                </c:pt>
                <c:pt idx="1776">
                  <c:v>19181.669778699394</c:v>
                </c:pt>
                <c:pt idx="1777">
                  <c:v>19196.60914908025</c:v>
                </c:pt>
                <c:pt idx="1778">
                  <c:v>19211.551615790191</c:v>
                </c:pt>
                <c:pt idx="1779">
                  <c:v>19226.497177747537</c:v>
                </c:pt>
                <c:pt idx="1780">
                  <c:v>19241.445833871687</c:v>
                </c:pt>
                <c:pt idx="1781">
                  <c:v>19256.397583083108</c:v>
                </c:pt>
                <c:pt idx="1782">
                  <c:v>19271.352424303317</c:v>
                </c:pt>
                <c:pt idx="1783">
                  <c:v>19286.310356454924</c:v>
                </c:pt>
                <c:pt idx="1784">
                  <c:v>19301.27137846157</c:v>
                </c:pt>
                <c:pt idx="1785">
                  <c:v>19316.235489247978</c:v>
                </c:pt>
                <c:pt idx="1786">
                  <c:v>19331.202687739911</c:v>
                </c:pt>
                <c:pt idx="1787">
                  <c:v>19346.172972864202</c:v>
                </c:pt>
                <c:pt idx="1788">
                  <c:v>19361.146343548746</c:v>
                </c:pt>
                <c:pt idx="1789">
                  <c:v>19376.122798722452</c:v>
                </c:pt>
                <c:pt idx="1790">
                  <c:v>19391.102337315344</c:v>
                </c:pt>
                <c:pt idx="1791">
                  <c:v>19406.084958258434</c:v>
                </c:pt>
                <c:pt idx="1792">
                  <c:v>19421.070660483827</c:v>
                </c:pt>
                <c:pt idx="1793">
                  <c:v>19436.059442924648</c:v>
                </c:pt>
                <c:pt idx="1794">
                  <c:v>19451.051304515073</c:v>
                </c:pt>
                <c:pt idx="1795">
                  <c:v>19466.046244190329</c:v>
                </c:pt>
                <c:pt idx="1796">
                  <c:v>19481.044260886676</c:v>
                </c:pt>
                <c:pt idx="1797">
                  <c:v>19496.04535354142</c:v>
                </c:pt>
                <c:pt idx="1798">
                  <c:v>19511.049521092897</c:v>
                </c:pt>
                <c:pt idx="1799">
                  <c:v>19526.056762480497</c:v>
                </c:pt>
                <c:pt idx="1800">
                  <c:v>19541.067076644613</c:v>
                </c:pt>
                <c:pt idx="1801">
                  <c:v>19556.080462526705</c:v>
                </c:pt>
                <c:pt idx="1802">
                  <c:v>19571.096919069241</c:v>
                </c:pt>
                <c:pt idx="1803">
                  <c:v>19586.116445215743</c:v>
                </c:pt>
                <c:pt idx="1804">
                  <c:v>19601.139039910733</c:v>
                </c:pt>
                <c:pt idx="1805">
                  <c:v>19616.164702099777</c:v>
                </c:pt>
                <c:pt idx="1806">
                  <c:v>19631.193430729465</c:v>
                </c:pt>
                <c:pt idx="1807">
                  <c:v>19646.225224747399</c:v>
                </c:pt>
                <c:pt idx="1808">
                  <c:v>19661.260083102217</c:v>
                </c:pt>
                <c:pt idx="1809">
                  <c:v>19676.29800474357</c:v>
                </c:pt>
                <c:pt idx="1810">
                  <c:v>19691.338988622141</c:v>
                </c:pt>
                <c:pt idx="1811">
                  <c:v>19706.383033689595</c:v>
                </c:pt>
                <c:pt idx="1812">
                  <c:v>19721.43013889865</c:v>
                </c:pt>
                <c:pt idx="1813">
                  <c:v>19736.480303203032</c:v>
                </c:pt>
                <c:pt idx="1814">
                  <c:v>19751.533525557446</c:v>
                </c:pt>
                <c:pt idx="1815">
                  <c:v>19766.589804917647</c:v>
                </c:pt>
                <c:pt idx="1816">
                  <c:v>19781.649140240377</c:v>
                </c:pt>
                <c:pt idx="1817">
                  <c:v>19796.711530483401</c:v>
                </c:pt>
                <c:pt idx="1818">
                  <c:v>19811.776974605458</c:v>
                </c:pt>
                <c:pt idx="1819">
                  <c:v>19826.845471566339</c:v>
                </c:pt>
                <c:pt idx="1820">
                  <c:v>19841.917020326793</c:v>
                </c:pt>
                <c:pt idx="1821">
                  <c:v>19856.991619848603</c:v>
                </c:pt>
                <c:pt idx="1822">
                  <c:v>19872.069269094533</c:v>
                </c:pt>
                <c:pt idx="1823">
                  <c:v>19887.149967028341</c:v>
                </c:pt>
                <c:pt idx="1824">
                  <c:v>19902.233712614798</c:v>
                </c:pt>
                <c:pt idx="1825">
                  <c:v>19917.320504819647</c:v>
                </c:pt>
                <c:pt idx="1826">
                  <c:v>19932.410342609655</c:v>
                </c:pt>
                <c:pt idx="1827">
                  <c:v>19947.503224952554</c:v>
                </c:pt>
                <c:pt idx="1828">
                  <c:v>19962.599150817085</c:v>
                </c:pt>
                <c:pt idx="1829">
                  <c:v>19977.69811917295</c:v>
                </c:pt>
                <c:pt idx="1830">
                  <c:v>19992.800128990868</c:v>
                </c:pt>
                <c:pt idx="1831">
                  <c:v>20007.905179242531</c:v>
                </c:pt>
                <c:pt idx="1832">
                  <c:v>20023.013268900613</c:v>
                </c:pt>
                <c:pt idx="1833">
                  <c:v>20038.124396938765</c:v>
                </c:pt>
                <c:pt idx="1834">
                  <c:v>20053.238562331637</c:v>
                </c:pt>
                <c:pt idx="1835">
                  <c:v>20068.355764054839</c:v>
                </c:pt>
                <c:pt idx="1836">
                  <c:v>20083.47600108496</c:v>
                </c:pt>
                <c:pt idx="1837">
                  <c:v>20098.599272399595</c:v>
                </c:pt>
                <c:pt idx="1838">
                  <c:v>20113.725576977275</c:v>
                </c:pt>
                <c:pt idx="1839">
                  <c:v>20128.854913797513</c:v>
                </c:pt>
                <c:pt idx="1840">
                  <c:v>20143.987281840808</c:v>
                </c:pt>
                <c:pt idx="1841">
                  <c:v>20159.122680088614</c:v>
                </c:pt>
                <c:pt idx="1842">
                  <c:v>20174.261107523373</c:v>
                </c:pt>
                <c:pt idx="1843">
                  <c:v>20189.402563128468</c:v>
                </c:pt>
                <c:pt idx="1844">
                  <c:v>20204.547045888277</c:v>
                </c:pt>
                <c:pt idx="1845">
                  <c:v>20219.694554788097</c:v>
                </c:pt>
                <c:pt idx="1846">
                  <c:v>20234.845088814251</c:v>
                </c:pt>
                <c:pt idx="1847">
                  <c:v>20249.998646953973</c:v>
                </c:pt>
                <c:pt idx="1848">
                  <c:v>20265.155228195465</c:v>
                </c:pt>
                <c:pt idx="1849">
                  <c:v>20280.314831527903</c:v>
                </c:pt>
                <c:pt idx="1850">
                  <c:v>20295.477455941407</c:v>
                </c:pt>
                <c:pt idx="1851">
                  <c:v>20310.64310042706</c:v>
                </c:pt>
                <c:pt idx="1852">
                  <c:v>20325.811763976886</c:v>
                </c:pt>
                <c:pt idx="1853">
                  <c:v>20340.983445583886</c:v>
                </c:pt>
                <c:pt idx="1854">
                  <c:v>20356.15814424197</c:v>
                </c:pt>
                <c:pt idx="1855">
                  <c:v>20371.335858946055</c:v>
                </c:pt>
                <c:pt idx="1856">
                  <c:v>20386.516588691942</c:v>
                </c:pt>
                <c:pt idx="1857">
                  <c:v>20401.700332476426</c:v>
                </c:pt>
                <c:pt idx="1858">
                  <c:v>20416.887089297234</c:v>
                </c:pt>
                <c:pt idx="1859">
                  <c:v>20432.076858153003</c:v>
                </c:pt>
                <c:pt idx="1860">
                  <c:v>20447.269638043384</c:v>
                </c:pt>
                <c:pt idx="1861">
                  <c:v>20462.465427968898</c:v>
                </c:pt>
                <c:pt idx="1862">
                  <c:v>20477.664226931047</c:v>
                </c:pt>
                <c:pt idx="1863">
                  <c:v>20492.866033932245</c:v>
                </c:pt>
                <c:pt idx="1864">
                  <c:v>20508.070847975858</c:v>
                </c:pt>
                <c:pt idx="1865">
                  <c:v>20523.278668066188</c:v>
                </c:pt>
                <c:pt idx="1866">
                  <c:v>20538.489493208464</c:v>
                </c:pt>
                <c:pt idx="1867">
                  <c:v>20553.703322408837</c:v>
                </c:pt>
                <c:pt idx="1868">
                  <c:v>20568.920154674401</c:v>
                </c:pt>
                <c:pt idx="1869">
                  <c:v>20584.139989013191</c:v>
                </c:pt>
                <c:pt idx="1870">
                  <c:v>20599.362824434138</c:v>
                </c:pt>
                <c:pt idx="1871">
                  <c:v>20614.588659947134</c:v>
                </c:pt>
                <c:pt idx="1872">
                  <c:v>20629.817494562969</c:v>
                </c:pt>
                <c:pt idx="1873">
                  <c:v>20645.04932729336</c:v>
                </c:pt>
                <c:pt idx="1874">
                  <c:v>20660.28415715096</c:v>
                </c:pt>
                <c:pt idx="1875">
                  <c:v>20675.52198314932</c:v>
                </c:pt>
                <c:pt idx="1876">
                  <c:v>20690.762804302954</c:v>
                </c:pt>
                <c:pt idx="1877">
                  <c:v>20706.006619627238</c:v>
                </c:pt>
                <c:pt idx="1878">
                  <c:v>20721.253428138494</c:v>
                </c:pt>
                <c:pt idx="1879">
                  <c:v>20736.503228853951</c:v>
                </c:pt>
                <c:pt idx="1880">
                  <c:v>20751.756020791778</c:v>
                </c:pt>
                <c:pt idx="1881">
                  <c:v>20767.01180297101</c:v>
                </c:pt>
                <c:pt idx="1882">
                  <c:v>20782.270574411628</c:v>
                </c:pt>
                <c:pt idx="1883">
                  <c:v>20797.532334134507</c:v>
                </c:pt>
                <c:pt idx="1884">
                  <c:v>20812.797081161432</c:v>
                </c:pt>
                <c:pt idx="1885">
                  <c:v>20828.064814515106</c:v>
                </c:pt>
                <c:pt idx="1886">
                  <c:v>20843.335533219106</c:v>
                </c:pt>
                <c:pt idx="1887">
                  <c:v>20858.609236297958</c:v>
                </c:pt>
                <c:pt idx="1888">
                  <c:v>20873.885922777066</c:v>
                </c:pt>
                <c:pt idx="1889">
                  <c:v>20889.165591682711</c:v>
                </c:pt>
                <c:pt idx="1890">
                  <c:v>20904.448242042126</c:v>
                </c:pt>
                <c:pt idx="1891">
                  <c:v>20919.733872883389</c:v>
                </c:pt>
                <c:pt idx="1892">
                  <c:v>20935.022483235531</c:v>
                </c:pt>
                <c:pt idx="1893">
                  <c:v>20950.314072128425</c:v>
                </c:pt>
                <c:pt idx="1894">
                  <c:v>20965.608638592876</c:v>
                </c:pt>
                <c:pt idx="1895">
                  <c:v>20980.906181660568</c:v>
                </c:pt>
                <c:pt idx="1896">
                  <c:v>20996.206700364066</c:v>
                </c:pt>
                <c:pt idx="1897">
                  <c:v>21011.510193736838</c:v>
                </c:pt>
                <c:pt idx="1898">
                  <c:v>21026.816660813245</c:v>
                </c:pt>
                <c:pt idx="1899">
                  <c:v>21042.126100628535</c:v>
                </c:pt>
                <c:pt idx="1900">
                  <c:v>21057.438512218818</c:v>
                </c:pt>
                <c:pt idx="1901">
                  <c:v>21072.753894621121</c:v>
                </c:pt>
                <c:pt idx="1902">
                  <c:v>21088.072246873351</c:v>
                </c:pt>
                <c:pt idx="1903">
                  <c:v>21103.39356801426</c:v>
                </c:pt>
                <c:pt idx="1904">
                  <c:v>21118.717857083531</c:v>
                </c:pt>
                <c:pt idx="1905">
                  <c:v>21134.045113121705</c:v>
                </c:pt>
                <c:pt idx="1906">
                  <c:v>21149.375335170193</c:v>
                </c:pt>
                <c:pt idx="1907">
                  <c:v>21164.708522271285</c:v>
                </c:pt>
                <c:pt idx="1908">
                  <c:v>21180.044673468161</c:v>
                </c:pt>
                <c:pt idx="1909">
                  <c:v>21195.383787804865</c:v>
                </c:pt>
                <c:pt idx="1910">
                  <c:v>21210.725864326312</c:v>
                </c:pt>
                <c:pt idx="1911">
                  <c:v>21226.070902078296</c:v>
                </c:pt>
                <c:pt idx="1912">
                  <c:v>21241.418900107485</c:v>
                </c:pt>
                <c:pt idx="1913">
                  <c:v>21256.769857461404</c:v>
                </c:pt>
                <c:pt idx="1914">
                  <c:v>21272.123773188439</c:v>
                </c:pt>
                <c:pt idx="1915">
                  <c:v>21287.480646337874</c:v>
                </c:pt>
                <c:pt idx="1916">
                  <c:v>21302.84047595982</c:v>
                </c:pt>
                <c:pt idx="1917">
                  <c:v>21318.203261105296</c:v>
                </c:pt>
                <c:pt idx="1918">
                  <c:v>21333.569000826137</c:v>
                </c:pt>
                <c:pt idx="1919">
                  <c:v>21348.937694175063</c:v>
                </c:pt>
                <c:pt idx="1920">
                  <c:v>21364.309340205662</c:v>
                </c:pt>
                <c:pt idx="1921">
                  <c:v>21379.683937972368</c:v>
                </c:pt>
                <c:pt idx="1922">
                  <c:v>21395.061486530481</c:v>
                </c:pt>
                <c:pt idx="1923">
                  <c:v>21410.44198493614</c:v>
                </c:pt>
                <c:pt idx="1924">
                  <c:v>21425.825432246369</c:v>
                </c:pt>
                <c:pt idx="1925">
                  <c:v>21441.211827519001</c:v>
                </c:pt>
                <c:pt idx="1926">
                  <c:v>21456.601169812777</c:v>
                </c:pt>
                <c:pt idx="1927">
                  <c:v>21471.993458187237</c:v>
                </c:pt>
                <c:pt idx="1928">
                  <c:v>21487.388691702807</c:v>
                </c:pt>
                <c:pt idx="1929">
                  <c:v>21502.78686942075</c:v>
                </c:pt>
                <c:pt idx="1930">
                  <c:v>21518.187990403188</c:v>
                </c:pt>
                <c:pt idx="1931">
                  <c:v>21533.592053713051</c:v>
                </c:pt>
                <c:pt idx="1932">
                  <c:v>21548.999058414156</c:v>
                </c:pt>
                <c:pt idx="1933">
                  <c:v>21564.409003571149</c:v>
                </c:pt>
                <c:pt idx="1934">
                  <c:v>21579.821888249517</c:v>
                </c:pt>
                <c:pt idx="1935">
                  <c:v>21595.237711515583</c:v>
                </c:pt>
                <c:pt idx="1936">
                  <c:v>21610.65647243652</c:v>
                </c:pt>
                <c:pt idx="1937">
                  <c:v>21626.078170080335</c:v>
                </c:pt>
                <c:pt idx="1938">
                  <c:v>21641.502803515876</c:v>
                </c:pt>
                <c:pt idx="1939">
                  <c:v>21656.930371812825</c:v>
                </c:pt>
                <c:pt idx="1940">
                  <c:v>21672.360874041697</c:v>
                </c:pt>
                <c:pt idx="1941">
                  <c:v>21687.794309273835</c:v>
                </c:pt>
                <c:pt idx="1942">
                  <c:v>21703.230676581436</c:v>
                </c:pt>
                <c:pt idx="1943">
                  <c:v>21718.669975037505</c:v>
                </c:pt>
                <c:pt idx="1944">
                  <c:v>21734.112203715897</c:v>
                </c:pt>
                <c:pt idx="1945">
                  <c:v>21749.557361691273</c:v>
                </c:pt>
                <c:pt idx="1946">
                  <c:v>21765.005448039141</c:v>
                </c:pt>
                <c:pt idx="1947">
                  <c:v>21780.456461835827</c:v>
                </c:pt>
                <c:pt idx="1948">
                  <c:v>21795.910402158486</c:v>
                </c:pt>
                <c:pt idx="1949">
                  <c:v>21811.367268085112</c:v>
                </c:pt>
                <c:pt idx="1950">
                  <c:v>21826.827058694475</c:v>
                </c:pt>
                <c:pt idx="1951">
                  <c:v>21842.28977306623</c:v>
                </c:pt>
                <c:pt idx="1952">
                  <c:v>21857.755410280777</c:v>
                </c:pt>
                <c:pt idx="1953">
                  <c:v>21873.223969419432</c:v>
                </c:pt>
                <c:pt idx="1954">
                  <c:v>21888.695449564231</c:v>
                </c:pt>
                <c:pt idx="1955">
                  <c:v>21904.169849798098</c:v>
                </c:pt>
                <c:pt idx="1956">
                  <c:v>21919.647169204742</c:v>
                </c:pt>
                <c:pt idx="1957">
                  <c:v>21935.127406868669</c:v>
                </c:pt>
                <c:pt idx="1958">
                  <c:v>21950.610561875255</c:v>
                </c:pt>
                <c:pt idx="1959">
                  <c:v>21966.09663331063</c:v>
                </c:pt>
                <c:pt idx="1960">
                  <c:v>21981.585620261765</c:v>
                </c:pt>
                <c:pt idx="1961">
                  <c:v>21997.077521816434</c:v>
                </c:pt>
                <c:pt idx="1962">
                  <c:v>22012.572337063226</c:v>
                </c:pt>
                <c:pt idx="1963">
                  <c:v>22028.070065091524</c:v>
                </c:pt>
                <c:pt idx="1964">
                  <c:v>22043.570704991522</c:v>
                </c:pt>
                <c:pt idx="1965">
                  <c:v>22059.074255854233</c:v>
                </c:pt>
                <c:pt idx="1966">
                  <c:v>22074.580716771452</c:v>
                </c:pt>
                <c:pt idx="1967">
                  <c:v>22090.090086835804</c:v>
                </c:pt>
                <c:pt idx="1968">
                  <c:v>22105.602365140679</c:v>
                </c:pt>
                <c:pt idx="1969">
                  <c:v>22121.117550780305</c:v>
                </c:pt>
                <c:pt idx="1970">
                  <c:v>22136.635642849687</c:v>
                </c:pt>
                <c:pt idx="1971">
                  <c:v>22152.156640444638</c:v>
                </c:pt>
                <c:pt idx="1972">
                  <c:v>22167.680542661757</c:v>
                </c:pt>
                <c:pt idx="1973">
                  <c:v>22183.207348598444</c:v>
                </c:pt>
                <c:pt idx="1974">
                  <c:v>22198.737057352904</c:v>
                </c:pt>
                <c:pt idx="1975">
                  <c:v>22214.269668024128</c:v>
                </c:pt>
                <c:pt idx="1976">
                  <c:v>22229.80517971189</c:v>
                </c:pt>
                <c:pt idx="1977">
                  <c:v>22245.343591516765</c:v>
                </c:pt>
                <c:pt idx="1978">
                  <c:v>22260.884902540136</c:v>
                </c:pt>
                <c:pt idx="1979">
                  <c:v>22276.429111884128</c:v>
                </c:pt>
                <c:pt idx="1980">
                  <c:v>22291.976218651707</c:v>
                </c:pt>
                <c:pt idx="1981">
                  <c:v>22307.526221946588</c:v>
                </c:pt>
                <c:pt idx="1982">
                  <c:v>22323.079120873284</c:v>
                </c:pt>
                <c:pt idx="1983">
                  <c:v>22338.634914537095</c:v>
                </c:pt>
                <c:pt idx="1984">
                  <c:v>22354.193602044099</c:v>
                </c:pt>
                <c:pt idx="1985">
                  <c:v>22369.755182501183</c:v>
                </c:pt>
                <c:pt idx="1986">
                  <c:v>22385.319655015963</c:v>
                </c:pt>
                <c:pt idx="1987">
                  <c:v>22400.887018696878</c:v>
                </c:pt>
                <c:pt idx="1988">
                  <c:v>22416.457272653133</c:v>
                </c:pt>
                <c:pt idx="1989">
                  <c:v>22432.030415994705</c:v>
                </c:pt>
                <c:pt idx="1990">
                  <c:v>22447.606447832368</c:v>
                </c:pt>
                <c:pt idx="1991">
                  <c:v>22463.185367277627</c:v>
                </c:pt>
                <c:pt idx="1992">
                  <c:v>22478.76717344283</c:v>
                </c:pt>
                <c:pt idx="1993">
                  <c:v>22494.351865441015</c:v>
                </c:pt>
                <c:pt idx="1994">
                  <c:v>22509.939442386072</c:v>
                </c:pt>
                <c:pt idx="1995">
                  <c:v>22525.529903392613</c:v>
                </c:pt>
                <c:pt idx="1996">
                  <c:v>22541.221666643109</c:v>
                </c:pt>
                <c:pt idx="1997">
                  <c:v>22556.817918001907</c:v>
                </c:pt>
                <c:pt idx="1998">
                  <c:v>22572.417050764401</c:v>
                </c:pt>
                <c:pt idx="1999">
                  <c:v>22588.019064048294</c:v>
                </c:pt>
                <c:pt idx="2000">
                  <c:v>22603.623956972049</c:v>
                </c:pt>
                <c:pt idx="2001">
                  <c:v>22619.231728654919</c:v>
                </c:pt>
                <c:pt idx="2002">
                  <c:v>22634.842378216876</c:v>
                </c:pt>
                <c:pt idx="2003">
                  <c:v>22650.455904778697</c:v>
                </c:pt>
                <c:pt idx="2004">
                  <c:v>22666.072307461905</c:v>
                </c:pt>
                <c:pt idx="2005">
                  <c:v>22681.691585388788</c:v>
                </c:pt>
                <c:pt idx="2006">
                  <c:v>22697.313737682372</c:v>
                </c:pt>
                <c:pt idx="2007">
                  <c:v>22712.938763466471</c:v>
                </c:pt>
                <c:pt idx="2008">
                  <c:v>22728.566661865636</c:v>
                </c:pt>
                <c:pt idx="2009">
                  <c:v>22744.197432005174</c:v>
                </c:pt>
                <c:pt idx="2010">
                  <c:v>22759.831073011163</c:v>
                </c:pt>
                <c:pt idx="2011">
                  <c:v>22775.467584010425</c:v>
                </c:pt>
                <c:pt idx="2012">
                  <c:v>22791.106964130537</c:v>
                </c:pt>
                <c:pt idx="2013">
                  <c:v>22806.749212499817</c:v>
                </c:pt>
                <c:pt idx="2014">
                  <c:v>22822.394328247341</c:v>
                </c:pt>
                <c:pt idx="2015">
                  <c:v>22838.042310502951</c:v>
                </c:pt>
                <c:pt idx="2016">
                  <c:v>22853.6931583972</c:v>
                </c:pt>
                <c:pt idx="2017">
                  <c:v>22869.346871061447</c:v>
                </c:pt>
                <c:pt idx="2018">
                  <c:v>22885.003447627714</c:v>
                </c:pt>
                <c:pt idx="2019">
                  <c:v>22900.662887228857</c:v>
                </c:pt>
                <c:pt idx="2020">
                  <c:v>22916.325188998417</c:v>
                </c:pt>
                <c:pt idx="2021">
                  <c:v>22931.990352070694</c:v>
                </c:pt>
                <c:pt idx="2022">
                  <c:v>22947.658375580748</c:v>
                </c:pt>
                <c:pt idx="2023">
                  <c:v>22963.329258664347</c:v>
                </c:pt>
                <c:pt idx="2024">
                  <c:v>22979.003000458029</c:v>
                </c:pt>
                <c:pt idx="2025">
                  <c:v>22994.679600099058</c:v>
                </c:pt>
                <c:pt idx="2026">
                  <c:v>23010.359056725443</c:v>
                </c:pt>
                <c:pt idx="2027">
                  <c:v>23026.041369475908</c:v>
                </c:pt>
                <c:pt idx="2028">
                  <c:v>23041.726537489951</c:v>
                </c:pt>
                <c:pt idx="2029">
                  <c:v>23057.41455990776</c:v>
                </c:pt>
                <c:pt idx="2030">
                  <c:v>23073.105435870311</c:v>
                </c:pt>
                <c:pt idx="2031">
                  <c:v>23088.799164519267</c:v>
                </c:pt>
                <c:pt idx="2032">
                  <c:v>23104.495744997039</c:v>
                </c:pt>
                <c:pt idx="2033">
                  <c:v>23120.195176446774</c:v>
                </c:pt>
                <c:pt idx="2034">
                  <c:v>23135.897458012332</c:v>
                </c:pt>
                <c:pt idx="2035">
                  <c:v>23151.60258883833</c:v>
                </c:pt>
                <c:pt idx="2036">
                  <c:v>23167.310568070083</c:v>
                </c:pt>
                <c:pt idx="2037">
                  <c:v>23183.021394853651</c:v>
                </c:pt>
                <c:pt idx="2038">
                  <c:v>23198.735068335831</c:v>
                </c:pt>
                <c:pt idx="2039">
                  <c:v>23214.451587664105</c:v>
                </c:pt>
                <c:pt idx="2040">
                  <c:v>23230.170951986722</c:v>
                </c:pt>
                <c:pt idx="2041">
                  <c:v>23245.893160452619</c:v>
                </c:pt>
                <c:pt idx="2042">
                  <c:v>23261.618212211491</c:v>
                </c:pt>
                <c:pt idx="2043">
                  <c:v>23277.346106413715</c:v>
                </c:pt>
                <c:pt idx="2044">
                  <c:v>23293.076842210427</c:v>
                </c:pt>
                <c:pt idx="2045">
                  <c:v>23308.810418753434</c:v>
                </c:pt>
                <c:pt idx="2046">
                  <c:v>23324.546835195324</c:v>
                </c:pt>
                <c:pt idx="2047">
                  <c:v>23340.286090689333</c:v>
                </c:pt>
                <c:pt idx="2048">
                  <c:v>23356.028184389463</c:v>
                </c:pt>
                <c:pt idx="2049">
                  <c:v>23371.7731154504</c:v>
                </c:pt>
                <c:pt idx="2050">
                  <c:v>23387.520883027577</c:v>
                </c:pt>
                <c:pt idx="2051">
                  <c:v>23403.271486277117</c:v>
                </c:pt>
                <c:pt idx="2052">
                  <c:v>23419.024924355854</c:v>
                </c:pt>
                <c:pt idx="2053">
                  <c:v>23434.78119642134</c:v>
                </c:pt>
                <c:pt idx="2054">
                  <c:v>23450.540301631831</c:v>
                </c:pt>
                <c:pt idx="2055">
                  <c:v>23466.302239146295</c:v>
                </c:pt>
                <c:pt idx="2056">
                  <c:v>23482.067008124417</c:v>
                </c:pt>
                <c:pt idx="2057">
                  <c:v>23497.834607726581</c:v>
                </c:pt>
                <c:pt idx="2058">
                  <c:v>23513.605037113866</c:v>
                </c:pt>
                <c:pt idx="2059">
                  <c:v>23529.37829544807</c:v>
                </c:pt>
                <c:pt idx="2060">
                  <c:v>23545.154381891705</c:v>
                </c:pt>
                <c:pt idx="2061">
                  <c:v>23560.933295607952</c:v>
                </c:pt>
                <c:pt idx="2062">
                  <c:v>23576.715035760735</c:v>
                </c:pt>
                <c:pt idx="2063">
                  <c:v>23592.499601514643</c:v>
                </c:pt>
                <c:pt idx="2064">
                  <c:v>23608.286992034991</c:v>
                </c:pt>
                <c:pt idx="2065">
                  <c:v>23624.077206487789</c:v>
                </c:pt>
                <c:pt idx="2066">
                  <c:v>23639.870244039725</c:v>
                </c:pt>
                <c:pt idx="2067">
                  <c:v>23655.666103858217</c:v>
                </c:pt>
                <c:pt idx="2068">
                  <c:v>23671.464785111348</c:v>
                </c:pt>
                <c:pt idx="2069">
                  <c:v>23687.266286967919</c:v>
                </c:pt>
                <c:pt idx="2070">
                  <c:v>23703.070608597416</c:v>
                </c:pt>
                <c:pt idx="2071">
                  <c:v>23718.877749170031</c:v>
                </c:pt>
                <c:pt idx="2072">
                  <c:v>23734.68770785661</c:v>
                </c:pt>
                <c:pt idx="2073">
                  <c:v>23750.500483828742</c:v>
                </c:pt>
                <c:pt idx="2074">
                  <c:v>23766.316076258674</c:v>
                </c:pt>
                <c:pt idx="2075">
                  <c:v>23782.134484319347</c:v>
                </c:pt>
                <c:pt idx="2076">
                  <c:v>23797.955707184406</c:v>
                </c:pt>
                <c:pt idx="2077">
                  <c:v>23813.779744028165</c:v>
                </c:pt>
                <c:pt idx="2078">
                  <c:v>23829.606594025641</c:v>
                </c:pt>
                <c:pt idx="2079">
                  <c:v>23845.436256352521</c:v>
                </c:pt>
                <c:pt idx="2080">
                  <c:v>23861.268730185187</c:v>
                </c:pt>
                <c:pt idx="2081">
                  <c:v>23877.104014700715</c:v>
                </c:pt>
                <c:pt idx="2082">
                  <c:v>23892.942109076837</c:v>
                </c:pt>
                <c:pt idx="2083">
                  <c:v>23908.783012491993</c:v>
                </c:pt>
                <c:pt idx="2084">
                  <c:v>23924.626724125294</c:v>
                </c:pt>
                <c:pt idx="2085">
                  <c:v>23940.473243156528</c:v>
                </c:pt>
                <c:pt idx="2086">
                  <c:v>23956.322568766169</c:v>
                </c:pt>
                <c:pt idx="2087">
                  <c:v>23972.174700135372</c:v>
                </c:pt>
                <c:pt idx="2088">
                  <c:v>23988.029636445957</c:v>
                </c:pt>
                <c:pt idx="2089">
                  <c:v>24003.887376880433</c:v>
                </c:pt>
                <c:pt idx="2090">
                  <c:v>24019.747920621972</c:v>
                </c:pt>
                <c:pt idx="2091">
                  <c:v>24035.611266854437</c:v>
                </c:pt>
                <c:pt idx="2092">
                  <c:v>24051.477414762361</c:v>
                </c:pt>
                <c:pt idx="2093">
                  <c:v>24067.34636353096</c:v>
                </c:pt>
                <c:pt idx="2094">
                  <c:v>24083.218112346072</c:v>
                </c:pt>
                <c:pt idx="2095">
                  <c:v>24099.092660394268</c:v>
                </c:pt>
                <c:pt idx="2096">
                  <c:v>24114.970006862764</c:v>
                </c:pt>
                <c:pt idx="2097">
                  <c:v>24130.850150939441</c:v>
                </c:pt>
                <c:pt idx="2098">
                  <c:v>24146.733091812861</c:v>
                </c:pt>
                <c:pt idx="2099">
                  <c:v>24162.618828672232</c:v>
                </c:pt>
                <c:pt idx="2100">
                  <c:v>24178.507360707459</c:v>
                </c:pt>
                <c:pt idx="2101">
                  <c:v>24194.398687109089</c:v>
                </c:pt>
                <c:pt idx="2102">
                  <c:v>24210.292807068337</c:v>
                </c:pt>
                <c:pt idx="2103">
                  <c:v>24226.189719777103</c:v>
                </c:pt>
                <c:pt idx="2104">
                  <c:v>24242.089424427915</c:v>
                </c:pt>
                <c:pt idx="2105">
                  <c:v>24257.991920214008</c:v>
                </c:pt>
                <c:pt idx="2106">
                  <c:v>24273.897206329235</c:v>
                </c:pt>
                <c:pt idx="2107">
                  <c:v>24289.805281968125</c:v>
                </c:pt>
                <c:pt idx="2108">
                  <c:v>24305.716146325878</c:v>
                </c:pt>
                <c:pt idx="2109">
                  <c:v>24321.62979859834</c:v>
                </c:pt>
                <c:pt idx="2110">
                  <c:v>24337.546237982027</c:v>
                </c:pt>
                <c:pt idx="2111">
                  <c:v>24353.465463674096</c:v>
                </c:pt>
                <c:pt idx="2112">
                  <c:v>24369.387474872372</c:v>
                </c:pt>
                <c:pt idx="2113">
                  <c:v>24385.312270775335</c:v>
                </c:pt>
                <c:pt idx="2114">
                  <c:v>24401.239850582107</c:v>
                </c:pt>
                <c:pt idx="2115">
                  <c:v>24417.170213492485</c:v>
                </c:pt>
                <c:pt idx="2116">
                  <c:v>24433.103358706889</c:v>
                </c:pt>
                <c:pt idx="2117">
                  <c:v>24449.039285426428</c:v>
                </c:pt>
                <c:pt idx="2118">
                  <c:v>24464.977992852822</c:v>
                </c:pt>
                <c:pt idx="2119">
                  <c:v>24480.919480188473</c:v>
                </c:pt>
                <c:pt idx="2120">
                  <c:v>24496.863746636416</c:v>
                </c:pt>
                <c:pt idx="2121">
                  <c:v>24512.810791400356</c:v>
                </c:pt>
                <c:pt idx="2122">
                  <c:v>24528.760613684593</c:v>
                </c:pt>
                <c:pt idx="2123">
                  <c:v>24544.71321269414</c:v>
                </c:pt>
                <c:pt idx="2124">
                  <c:v>24560.668587634609</c:v>
                </c:pt>
                <c:pt idx="2125">
                  <c:v>24576.626737712275</c:v>
                </c:pt>
                <c:pt idx="2126">
                  <c:v>24592.58766213405</c:v>
                </c:pt>
                <c:pt idx="2127">
                  <c:v>24608.5513601075</c:v>
                </c:pt>
                <c:pt idx="2128">
                  <c:v>24624.517830840825</c:v>
                </c:pt>
                <c:pt idx="2129">
                  <c:v>24640.487073542863</c:v>
                </c:pt>
                <c:pt idx="2130">
                  <c:v>24656.4590874231</c:v>
                </c:pt>
                <c:pt idx="2131">
                  <c:v>24672.433871691668</c:v>
                </c:pt>
                <c:pt idx="2132">
                  <c:v>24688.411425559316</c:v>
                </c:pt>
                <c:pt idx="2133">
                  <c:v>24704.391748237453</c:v>
                </c:pt>
                <c:pt idx="2134">
                  <c:v>24720.374838938103</c:v>
                </c:pt>
                <c:pt idx="2135">
                  <c:v>24736.360696873962</c:v>
                </c:pt>
                <c:pt idx="2136">
                  <c:v>24752.34932125832</c:v>
                </c:pt>
                <c:pt idx="2137">
                  <c:v>24768.340711305129</c:v>
                </c:pt>
                <c:pt idx="2138">
                  <c:v>24784.334866228965</c:v>
                </c:pt>
                <c:pt idx="2139">
                  <c:v>24800.331785245042</c:v>
                </c:pt>
                <c:pt idx="2140">
                  <c:v>24816.331467569209</c:v>
                </c:pt>
                <c:pt idx="2141">
                  <c:v>24832.333912417911</c:v>
                </c:pt>
                <c:pt idx="2142">
                  <c:v>24848.339119008291</c:v>
                </c:pt>
                <c:pt idx="2143">
                  <c:v>24864.34708655806</c:v>
                </c:pt>
                <c:pt idx="2144">
                  <c:v>24880.357814285599</c:v>
                </c:pt>
                <c:pt idx="2145">
                  <c:v>24896.371301409872</c:v>
                </c:pt>
                <c:pt idx="2146">
                  <c:v>24912.387547150527</c:v>
                </c:pt>
                <c:pt idx="2147">
                  <c:v>24928.406550727799</c:v>
                </c:pt>
                <c:pt idx="2148">
                  <c:v>24944.428311362546</c:v>
                </c:pt>
                <c:pt idx="2149">
                  <c:v>24960.45282827628</c:v>
                </c:pt>
                <c:pt idx="2150">
                  <c:v>24976.480100691115</c:v>
                </c:pt>
                <c:pt idx="2151">
                  <c:v>24992.510127829784</c:v>
                </c:pt>
                <c:pt idx="2152">
                  <c:v>25008.542908915661</c:v>
                </c:pt>
                <c:pt idx="2153">
                  <c:v>25024.578443172737</c:v>
                </c:pt>
                <c:pt idx="2154">
                  <c:v>25040.616729825604</c:v>
                </c:pt>
                <c:pt idx="2155">
                  <c:v>25056.657768099511</c:v>
                </c:pt>
                <c:pt idx="2156">
                  <c:v>25072.70155722028</c:v>
                </c:pt>
                <c:pt idx="2157">
                  <c:v>25088.748096414387</c:v>
                </c:pt>
                <c:pt idx="2158">
                  <c:v>25104.79738490891</c:v>
                </c:pt>
                <c:pt idx="2159">
                  <c:v>25120.849421931547</c:v>
                </c:pt>
                <c:pt idx="2160">
                  <c:v>25136.90420671062</c:v>
                </c:pt>
                <c:pt idx="2161">
                  <c:v>25152.961738475035</c:v>
                </c:pt>
                <c:pt idx="2162">
                  <c:v>25169.022016454357</c:v>
                </c:pt>
                <c:pt idx="2163">
                  <c:v>25185.085039878748</c:v>
                </c:pt>
                <c:pt idx="2164">
                  <c:v>25201.150807978942</c:v>
                </c:pt>
                <c:pt idx="2165">
                  <c:v>25217.21931998635</c:v>
                </c:pt>
                <c:pt idx="2166">
                  <c:v>25233.290575132956</c:v>
                </c:pt>
                <c:pt idx="2167">
                  <c:v>25249.364572651361</c:v>
                </c:pt>
                <c:pt idx="2168">
                  <c:v>25265.441311774775</c:v>
                </c:pt>
                <c:pt idx="2169">
                  <c:v>25281.520791737028</c:v>
                </c:pt>
                <c:pt idx="2170">
                  <c:v>25297.60301177252</c:v>
                </c:pt>
                <c:pt idx="2171">
                  <c:v>25313.68797111632</c:v>
                </c:pt>
                <c:pt idx="2172">
                  <c:v>25329.775669004055</c:v>
                </c:pt>
                <c:pt idx="2173">
                  <c:v>25345.866104671957</c:v>
                </c:pt>
                <c:pt idx="2174">
                  <c:v>25361.959277356902</c:v>
                </c:pt>
                <c:pt idx="2175">
                  <c:v>25378.055186296318</c:v>
                </c:pt>
                <c:pt idx="2176">
                  <c:v>25394.15383072829</c:v>
                </c:pt>
                <c:pt idx="2177">
                  <c:v>25410.25520989146</c:v>
                </c:pt>
                <c:pt idx="2178">
                  <c:v>25426.359323025099</c:v>
                </c:pt>
                <c:pt idx="2179">
                  <c:v>25442.466169369065</c:v>
                </c:pt>
                <c:pt idx="2180">
                  <c:v>25458.575748163821</c:v>
                </c:pt>
                <c:pt idx="2181">
                  <c:v>25474.688058650445</c:v>
                </c:pt>
                <c:pt idx="2182">
                  <c:v>25490.803100070567</c:v>
                </c:pt>
                <c:pt idx="2183">
                  <c:v>25506.920871666469</c:v>
                </c:pt>
                <c:pt idx="2184">
                  <c:v>25523.041372681</c:v>
                </c:pt>
                <c:pt idx="2185">
                  <c:v>25539.164602357607</c:v>
                </c:pt>
                <c:pt idx="2186">
                  <c:v>25555.290559940338</c:v>
                </c:pt>
                <c:pt idx="2187">
                  <c:v>25571.419244673838</c:v>
                </c:pt>
                <c:pt idx="2188">
                  <c:v>25587.550655803345</c:v>
                </c:pt>
                <c:pt idx="2189">
                  <c:v>25603.68479257467</c:v>
                </c:pt>
                <c:pt idx="2190">
                  <c:v>25619.821654234256</c:v>
                </c:pt>
                <c:pt idx="2191">
                  <c:v>25635.961240029101</c:v>
                </c:pt>
                <c:pt idx="2192">
                  <c:v>25652.103549206804</c:v>
                </c:pt>
                <c:pt idx="2193">
                  <c:v>25668.248581015563</c:v>
                </c:pt>
                <c:pt idx="2194">
                  <c:v>25684.396334704172</c:v>
                </c:pt>
                <c:pt idx="2195">
                  <c:v>25700.546809521984</c:v>
                </c:pt>
                <c:pt idx="2196">
                  <c:v>25716.700004718972</c:v>
                </c:pt>
                <c:pt idx="2197">
                  <c:v>25732.855919545669</c:v>
                </c:pt>
                <c:pt idx="2198">
                  <c:v>25749.014553253211</c:v>
                </c:pt>
                <c:pt idx="2199">
                  <c:v>25765.175905093325</c:v>
                </c:pt>
                <c:pt idx="2200">
                  <c:v>25781.339974318289</c:v>
                </c:pt>
                <c:pt idx="2201">
                  <c:v>25797.506760181011</c:v>
                </c:pt>
                <c:pt idx="2202">
                  <c:v>25813.676261934947</c:v>
                </c:pt>
                <c:pt idx="2203">
                  <c:v>25829.848478834159</c:v>
                </c:pt>
                <c:pt idx="2204">
                  <c:v>25846.023410133275</c:v>
                </c:pt>
                <c:pt idx="2205">
                  <c:v>25862.201055087513</c:v>
                </c:pt>
                <c:pt idx="2206">
                  <c:v>25878.381412952673</c:v>
                </c:pt>
                <c:pt idx="2207">
                  <c:v>25894.564482985108</c:v>
                </c:pt>
                <c:pt idx="2208">
                  <c:v>25910.750264441791</c:v>
                </c:pt>
                <c:pt idx="2209">
                  <c:v>25926.938756580239</c:v>
                </c:pt>
                <c:pt idx="2210">
                  <c:v>25943.129958658574</c:v>
                </c:pt>
                <c:pt idx="2211">
                  <c:v>25959.323869935477</c:v>
                </c:pt>
                <c:pt idx="2212">
                  <c:v>25975.520489670209</c:v>
                </c:pt>
                <c:pt idx="2213">
                  <c:v>25991.719817122597</c:v>
                </c:pt>
                <c:pt idx="2214">
                  <c:v>26007.92185155307</c:v>
                </c:pt>
                <c:pt idx="2215">
                  <c:v>26024.126592222598</c:v>
                </c:pt>
                <c:pt idx="2216">
                  <c:v>26040.334038392739</c:v>
                </c:pt>
                <c:pt idx="2217">
                  <c:v>26056.544189325636</c:v>
                </c:pt>
                <c:pt idx="2218">
                  <c:v>26072.757044283964</c:v>
                </c:pt>
                <c:pt idx="2219">
                  <c:v>26088.972602531023</c:v>
                </c:pt>
                <c:pt idx="2220">
                  <c:v>26105.19086333063</c:v>
                </c:pt>
                <c:pt idx="2221">
                  <c:v>26121.411825947223</c:v>
                </c:pt>
                <c:pt idx="2222">
                  <c:v>26137.635489645756</c:v>
                </c:pt>
                <c:pt idx="2223">
                  <c:v>26153.861853691797</c:v>
                </c:pt>
                <c:pt idx="2224">
                  <c:v>26170.090917351445</c:v>
                </c:pt>
                <c:pt idx="2225">
                  <c:v>26186.322679891386</c:v>
                </c:pt>
                <c:pt idx="2226">
                  <c:v>26202.557140578872</c:v>
                </c:pt>
                <c:pt idx="2227">
                  <c:v>26218.794298681718</c:v>
                </c:pt>
                <c:pt idx="2228">
                  <c:v>26235.034153468288</c:v>
                </c:pt>
                <c:pt idx="2229">
                  <c:v>26251.276704207528</c:v>
                </c:pt>
                <c:pt idx="2230">
                  <c:v>26267.521950168939</c:v>
                </c:pt>
                <c:pt idx="2231">
                  <c:v>26283.769890622607</c:v>
                </c:pt>
                <c:pt idx="2232">
                  <c:v>26300.020524839114</c:v>
                </c:pt>
                <c:pt idx="2233">
                  <c:v>26316.273852089682</c:v>
                </c:pt>
                <c:pt idx="2234">
                  <c:v>26332.52987164606</c:v>
                </c:pt>
                <c:pt idx="2235">
                  <c:v>26348.788582780529</c:v>
                </c:pt>
                <c:pt idx="2236">
                  <c:v>26365.049984765974</c:v>
                </c:pt>
                <c:pt idx="2237">
                  <c:v>26381.31407687582</c:v>
                </c:pt>
                <c:pt idx="2238">
                  <c:v>26397.580858384041</c:v>
                </c:pt>
                <c:pt idx="2239">
                  <c:v>26413.850328565168</c:v>
                </c:pt>
                <c:pt idx="2240">
                  <c:v>26430.122486694308</c:v>
                </c:pt>
                <c:pt idx="2241">
                  <c:v>26446.397332047094</c:v>
                </c:pt>
                <c:pt idx="2242">
                  <c:v>26462.674863899741</c:v>
                </c:pt>
                <c:pt idx="2243">
                  <c:v>26478.955081528999</c:v>
                </c:pt>
                <c:pt idx="2244">
                  <c:v>26495.237984212177</c:v>
                </c:pt>
                <c:pt idx="2245">
                  <c:v>26511.523571227142</c:v>
                </c:pt>
                <c:pt idx="2246">
                  <c:v>26527.811841852301</c:v>
                </c:pt>
                <c:pt idx="2247">
                  <c:v>26544.102795366627</c:v>
                </c:pt>
                <c:pt idx="2248">
                  <c:v>26560.396431049623</c:v>
                </c:pt>
                <c:pt idx="2249">
                  <c:v>26576.692748181369</c:v>
                </c:pt>
                <c:pt idx="2250">
                  <c:v>26592.991746042462</c:v>
                </c:pt>
                <c:pt idx="2251">
                  <c:v>26609.293423914074</c:v>
                </c:pt>
                <c:pt idx="2252">
                  <c:v>26625.597781077908</c:v>
                </c:pt>
                <c:pt idx="2253">
                  <c:v>26641.90481681623</c:v>
                </c:pt>
                <c:pt idx="2254">
                  <c:v>26658.214530411824</c:v>
                </c:pt>
                <c:pt idx="2255">
                  <c:v>26674.526921148063</c:v>
                </c:pt>
                <c:pt idx="2256">
                  <c:v>26690.841988308825</c:v>
                </c:pt>
                <c:pt idx="2257">
                  <c:v>26707.159731178537</c:v>
                </c:pt>
                <c:pt idx="2258">
                  <c:v>26723.480149042196</c:v>
                </c:pt>
                <c:pt idx="2259">
                  <c:v>26739.80324118532</c:v>
                </c:pt>
                <c:pt idx="2260">
                  <c:v>26756.129006893978</c:v>
                </c:pt>
                <c:pt idx="2261">
                  <c:v>26772.457445454762</c:v>
                </c:pt>
                <c:pt idx="2262">
                  <c:v>26788.788556154832</c:v>
                </c:pt>
                <c:pt idx="2263">
                  <c:v>26805.122338281879</c:v>
                </c:pt>
                <c:pt idx="2264">
                  <c:v>26821.458791124132</c:v>
                </c:pt>
                <c:pt idx="2265">
                  <c:v>26837.797913970331</c:v>
                </c:pt>
                <c:pt idx="2266">
                  <c:v>26854.139706109811</c:v>
                </c:pt>
                <c:pt idx="2267">
                  <c:v>26870.484166832401</c:v>
                </c:pt>
                <c:pt idx="2268">
                  <c:v>26886.831295428477</c:v>
                </c:pt>
                <c:pt idx="2269">
                  <c:v>26903.181091188948</c:v>
                </c:pt>
                <c:pt idx="2270">
                  <c:v>26919.533553405272</c:v>
                </c:pt>
                <c:pt idx="2271">
                  <c:v>26935.888681369448</c:v>
                </c:pt>
                <c:pt idx="2272">
                  <c:v>26952.246474373973</c:v>
                </c:pt>
                <c:pt idx="2273">
                  <c:v>26968.606931711904</c:v>
                </c:pt>
                <c:pt idx="2274">
                  <c:v>26984.970052676828</c:v>
                </c:pt>
                <c:pt idx="2275">
                  <c:v>27001.335836562866</c:v>
                </c:pt>
                <c:pt idx="2276">
                  <c:v>27017.704282664658</c:v>
                </c:pt>
                <c:pt idx="2277">
                  <c:v>27034.075390277383</c:v>
                </c:pt>
                <c:pt idx="2278">
                  <c:v>27050.449158696778</c:v>
                </c:pt>
                <c:pt idx="2279">
                  <c:v>27066.825587219042</c:v>
                </c:pt>
                <c:pt idx="2280">
                  <c:v>27083.204675140973</c:v>
                </c:pt>
                <c:pt idx="2281">
                  <c:v>27099.586421759857</c:v>
                </c:pt>
                <c:pt idx="2282">
                  <c:v>27115.970826373508</c:v>
                </c:pt>
                <c:pt idx="2283">
                  <c:v>27132.35788828029</c:v>
                </c:pt>
                <c:pt idx="2284">
                  <c:v>27148.74760677907</c:v>
                </c:pt>
                <c:pt idx="2285">
                  <c:v>27165.139981169279</c:v>
                </c:pt>
                <c:pt idx="2286">
                  <c:v>27181.535010750806</c:v>
                </c:pt>
                <c:pt idx="2287">
                  <c:v>27197.932694824129</c:v>
                </c:pt>
                <c:pt idx="2288">
                  <c:v>27214.333032690211</c:v>
                </c:pt>
                <c:pt idx="2289">
                  <c:v>27230.736023650563</c:v>
                </c:pt>
                <c:pt idx="2290">
                  <c:v>27247.141667007199</c:v>
                </c:pt>
                <c:pt idx="2291">
                  <c:v>27263.549962062651</c:v>
                </c:pt>
                <c:pt idx="2292">
                  <c:v>27279.960908120003</c:v>
                </c:pt>
                <c:pt idx="2293">
                  <c:v>27296.374504482839</c:v>
                </c:pt>
                <c:pt idx="2294">
                  <c:v>27312.79075045525</c:v>
                </c:pt>
                <c:pt idx="2295">
                  <c:v>27329.209645341874</c:v>
                </c:pt>
                <c:pt idx="2296">
                  <c:v>27345.631188447849</c:v>
                </c:pt>
                <c:pt idx="2297">
                  <c:v>27362.055379078829</c:v>
                </c:pt>
                <c:pt idx="2298">
                  <c:v>27378.482216541001</c:v>
                </c:pt>
                <c:pt idx="2299">
                  <c:v>27394.911700141056</c:v>
                </c:pt>
                <c:pt idx="2300">
                  <c:v>27411.343829186204</c:v>
                </c:pt>
                <c:pt idx="2301">
                  <c:v>27427.778602984177</c:v>
                </c:pt>
                <c:pt idx="2302">
                  <c:v>27444.216020843196</c:v>
                </c:pt>
                <c:pt idx="2303">
                  <c:v>27460.656082072055</c:v>
                </c:pt>
                <c:pt idx="2304">
                  <c:v>27477.098785979982</c:v>
                </c:pt>
                <c:pt idx="2305">
                  <c:v>27493.544131876792</c:v>
                </c:pt>
                <c:pt idx="2306">
                  <c:v>27509.992119072762</c:v>
                </c:pt>
                <c:pt idx="2307">
                  <c:v>27526.442746878696</c:v>
                </c:pt>
                <c:pt idx="2308">
                  <c:v>27542.896014605918</c:v>
                </c:pt>
                <c:pt idx="2309">
                  <c:v>27559.351921566245</c:v>
                </c:pt>
                <c:pt idx="2310">
                  <c:v>27575.810467072039</c:v>
                </c:pt>
                <c:pt idx="2311">
                  <c:v>27592.271650436116</c:v>
                </c:pt>
                <c:pt idx="2312">
                  <c:v>27608.735470971849</c:v>
                </c:pt>
                <c:pt idx="2313">
                  <c:v>27625.201927993112</c:v>
                </c:pt>
                <c:pt idx="2314">
                  <c:v>27641.671020814239</c:v>
                </c:pt>
                <c:pt idx="2315">
                  <c:v>27658.142748750146</c:v>
                </c:pt>
                <c:pt idx="2316">
                  <c:v>27674.617111116182</c:v>
                </c:pt>
                <c:pt idx="2317">
                  <c:v>27691.094107228284</c:v>
                </c:pt>
                <c:pt idx="2318">
                  <c:v>27707.573736402795</c:v>
                </c:pt>
                <c:pt idx="2319">
                  <c:v>27724.055997956642</c:v>
                </c:pt>
                <c:pt idx="2320">
                  <c:v>27740.540891207209</c:v>
                </c:pt>
                <c:pt idx="2321">
                  <c:v>27757.028415472425</c:v>
                </c:pt>
                <c:pt idx="2322">
                  <c:v>27773.51857007069</c:v>
                </c:pt>
                <c:pt idx="2323">
                  <c:v>27790.011354320894</c:v>
                </c:pt>
                <c:pt idx="2324">
                  <c:v>27806.506767542473</c:v>
                </c:pt>
                <c:pt idx="2325">
                  <c:v>27823.00480905531</c:v>
                </c:pt>
                <c:pt idx="2326">
                  <c:v>27839.505478179857</c:v>
                </c:pt>
                <c:pt idx="2327">
                  <c:v>27856.008774236991</c:v>
                </c:pt>
                <c:pt idx="2328">
                  <c:v>27872.51469654814</c:v>
                </c:pt>
                <c:pt idx="2329">
                  <c:v>27889.023244435197</c:v>
                </c:pt>
                <c:pt idx="2330">
                  <c:v>27905.534417220581</c:v>
                </c:pt>
                <c:pt idx="2331">
                  <c:v>27922.048214227201</c:v>
                </c:pt>
                <c:pt idx="2332">
                  <c:v>27938.564634778431</c:v>
                </c:pt>
                <c:pt idx="2333">
                  <c:v>27955.083678198193</c:v>
                </c:pt>
                <c:pt idx="2334">
                  <c:v>27971.605343810857</c:v>
                </c:pt>
                <c:pt idx="2335">
                  <c:v>27988.129630941319</c:v>
                </c:pt>
                <c:pt idx="2336">
                  <c:v>28004.656538914962</c:v>
                </c:pt>
                <c:pt idx="2337">
                  <c:v>28021.186067057657</c:v>
                </c:pt>
                <c:pt idx="2338">
                  <c:v>28037.718214695757</c:v>
                </c:pt>
                <c:pt idx="2339">
                  <c:v>28054.25298115614</c:v>
                </c:pt>
                <c:pt idx="2340">
                  <c:v>28070.790365766145</c:v>
                </c:pt>
                <c:pt idx="2341">
                  <c:v>28087.33036785361</c:v>
                </c:pt>
                <c:pt idx="2342">
                  <c:v>28103.872986746872</c:v>
                </c:pt>
                <c:pt idx="2343">
                  <c:v>28120.418221774751</c:v>
                </c:pt>
                <c:pt idx="2344">
                  <c:v>28136.966072266565</c:v>
                </c:pt>
                <c:pt idx="2345">
                  <c:v>28153.516537552103</c:v>
                </c:pt>
                <c:pt idx="2346">
                  <c:v>28170.069616961657</c:v>
                </c:pt>
                <c:pt idx="2347">
                  <c:v>28186.625309826013</c:v>
                </c:pt>
                <c:pt idx="2348">
                  <c:v>28203.18361547641</c:v>
                </c:pt>
                <c:pt idx="2349">
                  <c:v>28219.744533244622</c:v>
                </c:pt>
                <c:pt idx="2350">
                  <c:v>28236.308062462867</c:v>
                </c:pt>
                <c:pt idx="2351">
                  <c:v>28252.874202463892</c:v>
                </c:pt>
                <c:pt idx="2352">
                  <c:v>28269.442952580859</c:v>
                </c:pt>
                <c:pt idx="2353">
                  <c:v>28286.014312147498</c:v>
                </c:pt>
                <c:pt idx="2354">
                  <c:v>28302.588280497956</c:v>
                </c:pt>
                <c:pt idx="2355">
                  <c:v>28319.164856966912</c:v>
                </c:pt>
                <c:pt idx="2356">
                  <c:v>28335.744040889476</c:v>
                </c:pt>
                <c:pt idx="2357">
                  <c:v>28352.325831601302</c:v>
                </c:pt>
                <c:pt idx="2358">
                  <c:v>28368.910228438464</c:v>
                </c:pt>
                <c:pt idx="2359">
                  <c:v>28385.49723073755</c:v>
                </c:pt>
                <c:pt idx="2360">
                  <c:v>28402.086837835635</c:v>
                </c:pt>
                <c:pt idx="2361">
                  <c:v>28418.679049070248</c:v>
                </c:pt>
                <c:pt idx="2362">
                  <c:v>28435.273863779417</c:v>
                </c:pt>
                <c:pt idx="2363">
                  <c:v>28451.871281301646</c:v>
                </c:pt>
                <c:pt idx="2364">
                  <c:v>28468.471300975907</c:v>
                </c:pt>
                <c:pt idx="2365">
                  <c:v>28485.073922141641</c:v>
                </c:pt>
                <c:pt idx="2366">
                  <c:v>28501.679144138801</c:v>
                </c:pt>
                <c:pt idx="2367">
                  <c:v>28518.286966307795</c:v>
                </c:pt>
                <c:pt idx="2368">
                  <c:v>28534.897387989491</c:v>
                </c:pt>
                <c:pt idx="2369">
                  <c:v>28551.510408525268</c:v>
                </c:pt>
                <c:pt idx="2370">
                  <c:v>28568.126027256942</c:v>
                </c:pt>
                <c:pt idx="2371">
                  <c:v>28584.744243526831</c:v>
                </c:pt>
                <c:pt idx="2372">
                  <c:v>28601.365056677703</c:v>
                </c:pt>
                <c:pt idx="2373">
                  <c:v>28617.988466052819</c:v>
                </c:pt>
                <c:pt idx="2374">
                  <c:v>28634.614470995897</c:v>
                </c:pt>
                <c:pt idx="2375">
                  <c:v>28651.243070851157</c:v>
                </c:pt>
                <c:pt idx="2376">
                  <c:v>28667.874264963248</c:v>
                </c:pt>
                <c:pt idx="2377">
                  <c:v>28684.508052677309</c:v>
                </c:pt>
                <c:pt idx="2378">
                  <c:v>28701.144433338959</c:v>
                </c:pt>
                <c:pt idx="2379">
                  <c:v>28717.783406294264</c:v>
                </c:pt>
                <c:pt idx="2380">
                  <c:v>28734.424970889791</c:v>
                </c:pt>
                <c:pt idx="2381">
                  <c:v>28751.069126472539</c:v>
                </c:pt>
                <c:pt idx="2382">
                  <c:v>28767.715872389992</c:v>
                </c:pt>
                <c:pt idx="2383">
                  <c:v>28784.365207990122</c:v>
                </c:pt>
                <c:pt idx="2384">
                  <c:v>28801.017132621317</c:v>
                </c:pt>
                <c:pt idx="2385">
                  <c:v>28817.671645632494</c:v>
                </c:pt>
                <c:pt idx="2386">
                  <c:v>28834.328746372965</c:v>
                </c:pt>
                <c:pt idx="2387">
                  <c:v>28850.988434192586</c:v>
                </c:pt>
                <c:pt idx="2388">
                  <c:v>28867.650708441608</c:v>
                </c:pt>
                <c:pt idx="2389">
                  <c:v>28884.315568470785</c:v>
                </c:pt>
                <c:pt idx="2390">
                  <c:v>28900.983013631321</c:v>
                </c:pt>
                <c:pt idx="2391">
                  <c:v>28917.653043274888</c:v>
                </c:pt>
                <c:pt idx="2392">
                  <c:v>28934.325656753623</c:v>
                </c:pt>
                <c:pt idx="2393">
                  <c:v>28951.000853420108</c:v>
                </c:pt>
                <c:pt idx="2394">
                  <c:v>28967.678632627416</c:v>
                </c:pt>
                <c:pt idx="2395">
                  <c:v>28984.358993729049</c:v>
                </c:pt>
                <c:pt idx="2396">
                  <c:v>29001.041936079</c:v>
                </c:pt>
                <c:pt idx="2397">
                  <c:v>29017.727459031685</c:v>
                </c:pt>
                <c:pt idx="2398">
                  <c:v>29034.415561942013</c:v>
                </c:pt>
                <c:pt idx="2399">
                  <c:v>29051.106244165341</c:v>
                </c:pt>
                <c:pt idx="2400">
                  <c:v>29067.799505057475</c:v>
                </c:pt>
                <c:pt idx="2401">
                  <c:v>29084.495343974679</c:v>
                </c:pt>
                <c:pt idx="2402">
                  <c:v>29101.193760273694</c:v>
                </c:pt>
                <c:pt idx="2403">
                  <c:v>29117.894753311703</c:v>
                </c:pt>
                <c:pt idx="2404">
                  <c:v>29134.598322446334</c:v>
                </c:pt>
                <c:pt idx="2405">
                  <c:v>29151.30446703569</c:v>
                </c:pt>
                <c:pt idx="2406">
                  <c:v>29168.013186438329</c:v>
                </c:pt>
                <c:pt idx="2407">
                  <c:v>29184.724480013228</c:v>
                </c:pt>
                <c:pt idx="2408">
                  <c:v>29201.438347119882</c:v>
                </c:pt>
                <c:pt idx="2409">
                  <c:v>29218.154787118179</c:v>
                </c:pt>
                <c:pt idx="2410">
                  <c:v>29234.873799368492</c:v>
                </c:pt>
                <c:pt idx="2411">
                  <c:v>29251.595383231637</c:v>
                </c:pt>
                <c:pt idx="2412">
                  <c:v>29268.31953806887</c:v>
                </c:pt>
                <c:pt idx="2413">
                  <c:v>29285.04626324194</c:v>
                </c:pt>
                <c:pt idx="2414">
                  <c:v>29301.775558112986</c:v>
                </c:pt>
                <c:pt idx="2415">
                  <c:v>29318.507422044655</c:v>
                </c:pt>
                <c:pt idx="2416">
                  <c:v>29335.241854399996</c:v>
                </c:pt>
                <c:pt idx="2417">
                  <c:v>29351.97885454254</c:v>
                </c:pt>
                <c:pt idx="2418">
                  <c:v>29368.71842183626</c:v>
                </c:pt>
                <c:pt idx="2419">
                  <c:v>29385.460555645564</c:v>
                </c:pt>
                <c:pt idx="2420">
                  <c:v>29402.205255335321</c:v>
                </c:pt>
                <c:pt idx="2421">
                  <c:v>29418.952520270846</c:v>
                </c:pt>
                <c:pt idx="2422">
                  <c:v>29435.70234981789</c:v>
                </c:pt>
                <c:pt idx="2423">
                  <c:v>29452.454743342649</c:v>
                </c:pt>
                <c:pt idx="2424">
                  <c:v>29469.209700211795</c:v>
                </c:pt>
                <c:pt idx="2425">
                  <c:v>29485.967219792397</c:v>
                </c:pt>
                <c:pt idx="2426">
                  <c:v>29502.727301452025</c:v>
                </c:pt>
                <c:pt idx="2427">
                  <c:v>29519.48994455862</c:v>
                </c:pt>
                <c:pt idx="2428">
                  <c:v>29536.255148480657</c:v>
                </c:pt>
                <c:pt idx="2429">
                  <c:v>29553.022912586966</c:v>
                </c:pt>
                <c:pt idx="2430">
                  <c:v>29569.793236246889</c:v>
                </c:pt>
                <c:pt idx="2431">
                  <c:v>29586.566118830156</c:v>
                </c:pt>
                <c:pt idx="2432">
                  <c:v>29603.341559706976</c:v>
                </c:pt>
                <c:pt idx="2433">
                  <c:v>29620.119558247985</c:v>
                </c:pt>
                <c:pt idx="2434">
                  <c:v>29636.900113824253</c:v>
                </c:pt>
                <c:pt idx="2435">
                  <c:v>29653.683225807319</c:v>
                </c:pt>
                <c:pt idx="2436">
                  <c:v>29670.468893569105</c:v>
                </c:pt>
                <c:pt idx="2437">
                  <c:v>29687.257116482033</c:v>
                </c:pt>
                <c:pt idx="2438">
                  <c:v>29704.047893918934</c:v>
                </c:pt>
                <c:pt idx="2439">
                  <c:v>29720.841225253054</c:v>
                </c:pt>
                <c:pt idx="2440">
                  <c:v>29737.637109858144</c:v>
                </c:pt>
                <c:pt idx="2441">
                  <c:v>29754.435547108318</c:v>
                </c:pt>
                <c:pt idx="2442">
                  <c:v>29771.236536378179</c:v>
                </c:pt>
                <c:pt idx="2443">
                  <c:v>29788.040077042733</c:v>
                </c:pt>
                <c:pt idx="2444">
                  <c:v>29804.846168477437</c:v>
                </c:pt>
                <c:pt idx="2445">
                  <c:v>29821.654810058175</c:v>
                </c:pt>
                <c:pt idx="2446">
                  <c:v>29838.46600116129</c:v>
                </c:pt>
                <c:pt idx="2447">
                  <c:v>29855.279741163526</c:v>
                </c:pt>
                <c:pt idx="2448">
                  <c:v>29872.096029442069</c:v>
                </c:pt>
                <c:pt idx="2449">
                  <c:v>29888.914865374551</c:v>
                </c:pt>
                <c:pt idx="2450">
                  <c:v>29905.736248339024</c:v>
                </c:pt>
                <c:pt idx="2451">
                  <c:v>29922.560177713982</c:v>
                </c:pt>
                <c:pt idx="2452">
                  <c:v>29939.386652878347</c:v>
                </c:pt>
                <c:pt idx="2453">
                  <c:v>29956.215673211467</c:v>
                </c:pt>
                <c:pt idx="2454">
                  <c:v>29973.047238093117</c:v>
                </c:pt>
                <c:pt idx="2455">
                  <c:v>29989.881346903527</c:v>
                </c:pt>
                <c:pt idx="2456">
                  <c:v>30006.717999023305</c:v>
                </c:pt>
                <c:pt idx="2457">
                  <c:v>30023.557193833556</c:v>
                </c:pt>
                <c:pt idx="2458">
                  <c:v>30040.398930715764</c:v>
                </c:pt>
                <c:pt idx="2459">
                  <c:v>30057.243209051856</c:v>
                </c:pt>
                <c:pt idx="2460">
                  <c:v>30074.090028224182</c:v>
                </c:pt>
                <c:pt idx="2461">
                  <c:v>30090.939387615537</c:v>
                </c:pt>
                <c:pt idx="2462">
                  <c:v>30107.791286609128</c:v>
                </c:pt>
                <c:pt idx="2463">
                  <c:v>30124.645724588576</c:v>
                </c:pt>
                <c:pt idx="2464">
                  <c:v>30141.502700937934</c:v>
                </c:pt>
                <c:pt idx="2465">
                  <c:v>30158.362215041714</c:v>
                </c:pt>
                <c:pt idx="2466">
                  <c:v>30175.224266284818</c:v>
                </c:pt>
                <c:pt idx="2467">
                  <c:v>30192.088854052578</c:v>
                </c:pt>
                <c:pt idx="2468">
                  <c:v>30208.955977730744</c:v>
                </c:pt>
                <c:pt idx="2469">
                  <c:v>30225.825636705511</c:v>
                </c:pt>
                <c:pt idx="2470">
                  <c:v>30242.697830363468</c:v>
                </c:pt>
                <c:pt idx="2471">
                  <c:v>30259.572558091662</c:v>
                </c:pt>
                <c:pt idx="2472">
                  <c:v>30276.449819277514</c:v>
                </c:pt>
                <c:pt idx="2473">
                  <c:v>30293.329613308917</c:v>
                </c:pt>
                <c:pt idx="2474">
                  <c:v>30310.211939574154</c:v>
                </c:pt>
                <c:pt idx="2475">
                  <c:v>30327.096797461927</c:v>
                </c:pt>
                <c:pt idx="2476">
                  <c:v>30343.984186361398</c:v>
                </c:pt>
                <c:pt idx="2477">
                  <c:v>30360.874105662075</c:v>
                </c:pt>
                <c:pt idx="2478">
                  <c:v>30377.766554753947</c:v>
                </c:pt>
                <c:pt idx="2479">
                  <c:v>30394.661533027407</c:v>
                </c:pt>
                <c:pt idx="2480">
                  <c:v>30411.559039873264</c:v>
                </c:pt>
                <c:pt idx="2481">
                  <c:v>30428.459074682731</c:v>
                </c:pt>
                <c:pt idx="2482">
                  <c:v>30445.36163684744</c:v>
                </c:pt>
                <c:pt idx="2483">
                  <c:v>30462.266725759466</c:v>
                </c:pt>
                <c:pt idx="2484">
                  <c:v>30479.174340811274</c:v>
                </c:pt>
                <c:pt idx="2485">
                  <c:v>30496.084481395774</c:v>
                </c:pt>
                <c:pt idx="2486">
                  <c:v>30512.997146906237</c:v>
                </c:pt>
                <c:pt idx="2487">
                  <c:v>30529.912336736394</c:v>
                </c:pt>
                <c:pt idx="2488">
                  <c:v>30546.830050280405</c:v>
                </c:pt>
                <c:pt idx="2489">
                  <c:v>30563.750286932773</c:v>
                </c:pt>
                <c:pt idx="2490">
                  <c:v>30580.673046088494</c:v>
                </c:pt>
                <c:pt idx="2491">
                  <c:v>30597.598327142914</c:v>
                </c:pt>
                <c:pt idx="2492">
                  <c:v>30614.526129491856</c:v>
                </c:pt>
                <c:pt idx="2493">
                  <c:v>30631.456452531485</c:v>
                </c:pt>
                <c:pt idx="2494">
                  <c:v>30648.389295658424</c:v>
                </c:pt>
                <c:pt idx="2495">
                  <c:v>30665.324658269688</c:v>
                </c:pt>
                <c:pt idx="2496">
                  <c:v>30682.262539762727</c:v>
                </c:pt>
                <c:pt idx="2497">
                  <c:v>30699.20293953536</c:v>
                </c:pt>
                <c:pt idx="2498">
                  <c:v>30716.145856985859</c:v>
                </c:pt>
                <c:pt idx="2499">
                  <c:v>30733.091291512857</c:v>
                </c:pt>
                <c:pt idx="2500">
                  <c:v>30750.03924251545</c:v>
                </c:pt>
                <c:pt idx="2501">
                  <c:v>30766.98970939311</c:v>
                </c:pt>
                <c:pt idx="2502">
                  <c:v>30783.942691545715</c:v>
                </c:pt>
                <c:pt idx="2503">
                  <c:v>30800.898188373572</c:v>
                </c:pt>
                <c:pt idx="2504">
                  <c:v>30817.856199277372</c:v>
                </c:pt>
                <c:pt idx="2505">
                  <c:v>30834.816723658212</c:v>
                </c:pt>
                <c:pt idx="2506">
                  <c:v>30851.779760917627</c:v>
                </c:pt>
                <c:pt idx="2507">
                  <c:v>30868.745310457514</c:v>
                </c:pt>
                <c:pt idx="2508">
                  <c:v>30885.713371680213</c:v>
                </c:pt>
                <c:pt idx="2509">
                  <c:v>30902.683943988442</c:v>
                </c:pt>
                <c:pt idx="2510">
                  <c:v>30919.657026785357</c:v>
                </c:pt>
                <c:pt idx="2511">
                  <c:v>30936.632619474454</c:v>
                </c:pt>
                <c:pt idx="2512">
                  <c:v>30953.610721459707</c:v>
                </c:pt>
                <c:pt idx="2513">
                  <c:v>30970.591332145446</c:v>
                </c:pt>
                <c:pt idx="2514">
                  <c:v>30987.574450936416</c:v>
                </c:pt>
                <c:pt idx="2515">
                  <c:v>31004.560077237773</c:v>
                </c:pt>
                <c:pt idx="2516">
                  <c:v>31021.548210455057</c:v>
                </c:pt>
                <c:pt idx="2517">
                  <c:v>31038.53884999422</c:v>
                </c:pt>
                <c:pt idx="2518">
                  <c:v>31055.531995261605</c:v>
                </c:pt>
                <c:pt idx="2519">
                  <c:v>31072.527645663991</c:v>
                </c:pt>
                <c:pt idx="2520">
                  <c:v>31089.525800608506</c:v>
                </c:pt>
                <c:pt idx="2521">
                  <c:v>31106.526459502707</c:v>
                </c:pt>
                <c:pt idx="2522">
                  <c:v>31123.52962175454</c:v>
                </c:pt>
                <c:pt idx="2523">
                  <c:v>31140.535286772349</c:v>
                </c:pt>
                <c:pt idx="2524">
                  <c:v>31157.543453964892</c:v>
                </c:pt>
                <c:pt idx="2525">
                  <c:v>31174.554122741305</c:v>
                </c:pt>
                <c:pt idx="2526">
                  <c:v>31191.56729251115</c:v>
                </c:pt>
                <c:pt idx="2527">
                  <c:v>31208.582962684322</c:v>
                </c:pt>
                <c:pt idx="2528">
                  <c:v>31225.601132671203</c:v>
                </c:pt>
                <c:pt idx="2529">
                  <c:v>31242.621801882487</c:v>
                </c:pt>
                <c:pt idx="2530">
                  <c:v>31259.644969729314</c:v>
                </c:pt>
                <c:pt idx="2531">
                  <c:v>31276.67063562321</c:v>
                </c:pt>
                <c:pt idx="2532">
                  <c:v>31293.698798976075</c:v>
                </c:pt>
                <c:pt idx="2533">
                  <c:v>31310.729459200229</c:v>
                </c:pt>
                <c:pt idx="2534">
                  <c:v>31327.762615708372</c:v>
                </c:pt>
                <c:pt idx="2535">
                  <c:v>31344.798267913604</c:v>
                </c:pt>
                <c:pt idx="2536">
                  <c:v>31361.836415229409</c:v>
                </c:pt>
                <c:pt idx="2537">
                  <c:v>31378.87705706968</c:v>
                </c:pt>
                <c:pt idx="2538">
                  <c:v>31395.920192848669</c:v>
                </c:pt>
                <c:pt idx="2539">
                  <c:v>31412.965821981055</c:v>
                </c:pt>
                <c:pt idx="2540">
                  <c:v>31430.013943881899</c:v>
                </c:pt>
                <c:pt idx="2541">
                  <c:v>31447.064557966638</c:v>
                </c:pt>
                <c:pt idx="2542">
                  <c:v>31464.117663651115</c:v>
                </c:pt>
                <c:pt idx="2543">
                  <c:v>31481.173260351556</c:v>
                </c:pt>
                <c:pt idx="2544">
                  <c:v>31498.231347484587</c:v>
                </c:pt>
                <c:pt idx="2545">
                  <c:v>31515.291924467187</c:v>
                </c:pt>
                <c:pt idx="2546">
                  <c:v>31532.354990716773</c:v>
                </c:pt>
                <c:pt idx="2547">
                  <c:v>31549.420545651126</c:v>
                </c:pt>
                <c:pt idx="2548">
                  <c:v>31566.488588688415</c:v>
                </c:pt>
                <c:pt idx="2549">
                  <c:v>31583.559119247184</c:v>
                </c:pt>
                <c:pt idx="2550">
                  <c:v>31600.63213674639</c:v>
                </c:pt>
                <c:pt idx="2551">
                  <c:v>31617.70764060536</c:v>
                </c:pt>
                <c:pt idx="2552">
                  <c:v>31634.785630243816</c:v>
                </c:pt>
                <c:pt idx="2553">
                  <c:v>31651.866105081866</c:v>
                </c:pt>
                <c:pt idx="2554">
                  <c:v>31668.949064539964</c:v>
                </c:pt>
                <c:pt idx="2555">
                  <c:v>31686.034508039033</c:v>
                </c:pt>
                <c:pt idx="2556">
                  <c:v>31703.122435000296</c:v>
                </c:pt>
                <c:pt idx="2557">
                  <c:v>31720.212844845388</c:v>
                </c:pt>
                <c:pt idx="2558">
                  <c:v>31737.305736996364</c:v>
                </c:pt>
                <c:pt idx="2559">
                  <c:v>31754.401110875595</c:v>
                </c:pt>
                <c:pt idx="2560">
                  <c:v>31771.498965905914</c:v>
                </c:pt>
                <c:pt idx="2561">
                  <c:v>31788.599301510454</c:v>
                </c:pt>
                <c:pt idx="2562">
                  <c:v>31805.702117112793</c:v>
                </c:pt>
                <c:pt idx="2563">
                  <c:v>31822.807412136863</c:v>
                </c:pt>
                <c:pt idx="2564">
                  <c:v>31839.915186006961</c:v>
                </c:pt>
                <c:pt idx="2565">
                  <c:v>31857.025438147815</c:v>
                </c:pt>
                <c:pt idx="2566">
                  <c:v>31874.138167984478</c:v>
                </c:pt>
                <c:pt idx="2567">
                  <c:v>31891.253374942426</c:v>
                </c:pt>
                <c:pt idx="2568">
                  <c:v>31908.371058447479</c:v>
                </c:pt>
                <c:pt idx="2569">
                  <c:v>31925.491217925868</c:v>
                </c:pt>
                <c:pt idx="2570">
                  <c:v>31942.613852804181</c:v>
                </c:pt>
                <c:pt idx="2571">
                  <c:v>31959.738962509389</c:v>
                </c:pt>
                <c:pt idx="2572">
                  <c:v>31976.86654646886</c:v>
                </c:pt>
                <c:pt idx="2573">
                  <c:v>31993.996604110282</c:v>
                </c:pt>
                <c:pt idx="2574">
                  <c:v>32011.129134861796</c:v>
                </c:pt>
                <c:pt idx="2575">
                  <c:v>32028.264138151852</c:v>
                </c:pt>
                <c:pt idx="2576">
                  <c:v>32045.401613409347</c:v>
                </c:pt>
                <c:pt idx="2577">
                  <c:v>32062.541560063495</c:v>
                </c:pt>
                <c:pt idx="2578">
                  <c:v>32079.683977543893</c:v>
                </c:pt>
                <c:pt idx="2579">
                  <c:v>32096.828865280539</c:v>
                </c:pt>
                <c:pt idx="2580">
                  <c:v>32113.976222703779</c:v>
                </c:pt>
                <c:pt idx="2581">
                  <c:v>32131.126049244369</c:v>
                </c:pt>
                <c:pt idx="2582">
                  <c:v>32148.278344333383</c:v>
                </c:pt>
                <c:pt idx="2583">
                  <c:v>32165.433107402321</c:v>
                </c:pt>
                <c:pt idx="2584">
                  <c:v>32182.590337883026</c:v>
                </c:pt>
                <c:pt idx="2585">
                  <c:v>32199.750035207726</c:v>
                </c:pt>
                <c:pt idx="2586">
                  <c:v>32216.912198809012</c:v>
                </c:pt>
                <c:pt idx="2587">
                  <c:v>32234.076828119869</c:v>
                </c:pt>
                <c:pt idx="2588">
                  <c:v>32251.243922573623</c:v>
                </c:pt>
                <c:pt idx="2589">
                  <c:v>32268.413481603977</c:v>
                </c:pt>
                <c:pt idx="2590">
                  <c:v>32285.585504645034</c:v>
                </c:pt>
                <c:pt idx="2591">
                  <c:v>32302.759991131221</c:v>
                </c:pt>
                <c:pt idx="2592">
                  <c:v>32319.936940497373</c:v>
                </c:pt>
                <c:pt idx="2593">
                  <c:v>32337.11635217868</c:v>
                </c:pt>
                <c:pt idx="2594">
                  <c:v>32354.298225610713</c:v>
                </c:pt>
                <c:pt idx="2595">
                  <c:v>32371.482560229357</c:v>
                </c:pt>
                <c:pt idx="2596">
                  <c:v>32388.669355470956</c:v>
                </c:pt>
                <c:pt idx="2597">
                  <c:v>32405.858610772142</c:v>
                </c:pt>
                <c:pt idx="2598">
                  <c:v>32423.050325569966</c:v>
                </c:pt>
                <c:pt idx="2599">
                  <c:v>32440.244499301822</c:v>
                </c:pt>
                <c:pt idx="2600">
                  <c:v>32457.44113140546</c:v>
                </c:pt>
                <c:pt idx="2601">
                  <c:v>32474.640221319023</c:v>
                </c:pt>
                <c:pt idx="2602">
                  <c:v>32491.841768481005</c:v>
                </c:pt>
                <c:pt idx="2603">
                  <c:v>32509.045772330261</c:v>
                </c:pt>
                <c:pt idx="2604">
                  <c:v>32526.25223230604</c:v>
                </c:pt>
                <c:pt idx="2605">
                  <c:v>32543.461147847913</c:v>
                </c:pt>
                <c:pt idx="2606">
                  <c:v>32560.672518395841</c:v>
                </c:pt>
                <c:pt idx="2607">
                  <c:v>32577.886343390135</c:v>
                </c:pt>
                <c:pt idx="2608">
                  <c:v>32595.102622271486</c:v>
                </c:pt>
                <c:pt idx="2609">
                  <c:v>32612.321354480955</c:v>
                </c:pt>
                <c:pt idx="2610">
                  <c:v>32629.542539459915</c:v>
                </c:pt>
                <c:pt idx="2611">
                  <c:v>32646.76617665017</c:v>
                </c:pt>
                <c:pt idx="2612">
                  <c:v>32663.992265493842</c:v>
                </c:pt>
                <c:pt idx="2613">
                  <c:v>32681.220805433437</c:v>
                </c:pt>
                <c:pt idx="2614">
                  <c:v>32698.451795911769</c:v>
                </c:pt>
                <c:pt idx="2615">
                  <c:v>32715.685236372097</c:v>
                </c:pt>
                <c:pt idx="2616">
                  <c:v>32732.921126257977</c:v>
                </c:pt>
                <c:pt idx="2617">
                  <c:v>32750.15946501337</c:v>
                </c:pt>
                <c:pt idx="2618">
                  <c:v>32767.400252082552</c:v>
                </c:pt>
                <c:pt idx="2619">
                  <c:v>32784.643486910172</c:v>
                </c:pt>
                <c:pt idx="2620">
                  <c:v>32801.889168941256</c:v>
                </c:pt>
                <c:pt idx="2621">
                  <c:v>32819.137297621179</c:v>
                </c:pt>
                <c:pt idx="2622">
                  <c:v>32836.387872395673</c:v>
                </c:pt>
                <c:pt idx="2623">
                  <c:v>32853.640892710806</c:v>
                </c:pt>
                <c:pt idx="2624">
                  <c:v>32870.896358013051</c:v>
                </c:pt>
                <c:pt idx="2625">
                  <c:v>32888.154267749203</c:v>
                </c:pt>
                <c:pt idx="2626">
                  <c:v>32905.414621366421</c:v>
                </c:pt>
                <c:pt idx="2627">
                  <c:v>32922.677418312203</c:v>
                </c:pt>
                <c:pt idx="2628">
                  <c:v>32939.942658034452</c:v>
                </c:pt>
                <c:pt idx="2629">
                  <c:v>32957.210339981364</c:v>
                </c:pt>
                <c:pt idx="2630">
                  <c:v>32974.480463601561</c:v>
                </c:pt>
                <c:pt idx="2631">
                  <c:v>32991.753028343941</c:v>
                </c:pt>
                <c:pt idx="2632">
                  <c:v>33009.028033657814</c:v>
                </c:pt>
                <c:pt idx="2633">
                  <c:v>33026.305478992821</c:v>
                </c:pt>
                <c:pt idx="2634">
                  <c:v>33043.585363798957</c:v>
                </c:pt>
                <c:pt idx="2635">
                  <c:v>33060.867687526596</c:v>
                </c:pt>
                <c:pt idx="2636">
                  <c:v>33078.152449626403</c:v>
                </c:pt>
                <c:pt idx="2637">
                  <c:v>33095.439649549466</c:v>
                </c:pt>
                <c:pt idx="2638">
                  <c:v>33112.729286747184</c:v>
                </c:pt>
                <c:pt idx="2639">
                  <c:v>33130.021360671322</c:v>
                </c:pt>
                <c:pt idx="2640">
                  <c:v>33147.315870773993</c:v>
                </c:pt>
                <c:pt idx="2641">
                  <c:v>33164.612816507659</c:v>
                </c:pt>
                <c:pt idx="2642">
                  <c:v>33181.912197325139</c:v>
                </c:pt>
                <c:pt idx="2643">
                  <c:v>33199.214012679578</c:v>
                </c:pt>
                <c:pt idx="2644">
                  <c:v>33216.518262024518</c:v>
                </c:pt>
                <c:pt idx="2645">
                  <c:v>33233.824944813794</c:v>
                </c:pt>
                <c:pt idx="2646">
                  <c:v>33251.134060501659</c:v>
                </c:pt>
                <c:pt idx="2647">
                  <c:v>33268.445608542643</c:v>
                </c:pt>
                <c:pt idx="2648">
                  <c:v>33285.759588391651</c:v>
                </c:pt>
                <c:pt idx="2649">
                  <c:v>33303.075999503963</c:v>
                </c:pt>
                <c:pt idx="2650">
                  <c:v>33320.394841335183</c:v>
                </c:pt>
                <c:pt idx="2651">
                  <c:v>33337.716113341245</c:v>
                </c:pt>
                <c:pt idx="2652">
                  <c:v>33355.039814978467</c:v>
                </c:pt>
                <c:pt idx="2653">
                  <c:v>33372.365945703496</c:v>
                </c:pt>
                <c:pt idx="2654">
                  <c:v>33389.694504973319</c:v>
                </c:pt>
                <c:pt idx="2655">
                  <c:v>33407.025492245259</c:v>
                </c:pt>
                <c:pt idx="2656">
                  <c:v>33424.358906977053</c:v>
                </c:pt>
                <c:pt idx="2657">
                  <c:v>33441.694748626665</c:v>
                </c:pt>
                <c:pt idx="2658">
                  <c:v>33459.033016652531</c:v>
                </c:pt>
                <c:pt idx="2659">
                  <c:v>33476.373710513304</c:v>
                </c:pt>
                <c:pt idx="2660">
                  <c:v>33493.716829668105</c:v>
                </c:pt>
                <c:pt idx="2661">
                  <c:v>33511.062373576322</c:v>
                </c:pt>
                <c:pt idx="2662">
                  <c:v>33528.410341697687</c:v>
                </c:pt>
                <c:pt idx="2663">
                  <c:v>33545.76073349233</c:v>
                </c:pt>
                <c:pt idx="2664">
                  <c:v>33563.113548420646</c:v>
                </c:pt>
                <c:pt idx="2665">
                  <c:v>33580.468785943434</c:v>
                </c:pt>
                <c:pt idx="2666">
                  <c:v>33597.82644552183</c:v>
                </c:pt>
                <c:pt idx="2667">
                  <c:v>33615.186526617275</c:v>
                </c:pt>
                <c:pt idx="2668">
                  <c:v>33632.549028691559</c:v>
                </c:pt>
                <c:pt idx="2669">
                  <c:v>33649.913951206865</c:v>
                </c:pt>
                <c:pt idx="2670">
                  <c:v>33667.281293625638</c:v>
                </c:pt>
                <c:pt idx="2671">
                  <c:v>33684.651055410723</c:v>
                </c:pt>
                <c:pt idx="2672">
                  <c:v>33702.023236025285</c:v>
                </c:pt>
                <c:pt idx="2673">
                  <c:v>33719.397834932832</c:v>
                </c:pt>
                <c:pt idx="2674">
                  <c:v>33736.774851597191</c:v>
                </c:pt>
                <c:pt idx="2675">
                  <c:v>33754.154285482553</c:v>
                </c:pt>
                <c:pt idx="2676">
                  <c:v>33771.536136053444</c:v>
                </c:pt>
                <c:pt idx="2677">
                  <c:v>33788.920402774718</c:v>
                </c:pt>
                <c:pt idx="2678">
                  <c:v>33806.307085111548</c:v>
                </c:pt>
                <c:pt idx="2679">
                  <c:v>33823.6961825295</c:v>
                </c:pt>
                <c:pt idx="2680">
                  <c:v>33841.087694494447</c:v>
                </c:pt>
                <c:pt idx="2681">
                  <c:v>33858.481620472565</c:v>
                </c:pt>
                <c:pt idx="2682">
                  <c:v>33875.877959930425</c:v>
                </c:pt>
                <c:pt idx="2683">
                  <c:v>33893.276712334897</c:v>
                </c:pt>
                <c:pt idx="2684">
                  <c:v>33910.67787715319</c:v>
                </c:pt>
                <c:pt idx="2685">
                  <c:v>33928.081453852865</c:v>
                </c:pt>
                <c:pt idx="2686">
                  <c:v>33945.487441901794</c:v>
                </c:pt>
                <c:pt idx="2687">
                  <c:v>33962.895840768208</c:v>
                </c:pt>
                <c:pt idx="2688">
                  <c:v>33980.306649920662</c:v>
                </c:pt>
                <c:pt idx="2689">
                  <c:v>33997.719868828033</c:v>
                </c:pt>
                <c:pt idx="2690">
                  <c:v>34015.135496959556</c:v>
                </c:pt>
                <c:pt idx="2691">
                  <c:v>34032.553533784769</c:v>
                </c:pt>
                <c:pt idx="2692">
                  <c:v>34049.973978773574</c:v>
                </c:pt>
                <c:pt idx="2693">
                  <c:v>34067.396831396196</c:v>
                </c:pt>
                <c:pt idx="2694">
                  <c:v>34084.822091123184</c:v>
                </c:pt>
                <c:pt idx="2695">
                  <c:v>34102.249757425394</c:v>
                </c:pt>
                <c:pt idx="2696">
                  <c:v>34119.67982977409</c:v>
                </c:pt>
                <c:pt idx="2697">
                  <c:v>34137.112307640775</c:v>
                </c:pt>
                <c:pt idx="2698">
                  <c:v>34154.547190497353</c:v>
                </c:pt>
                <c:pt idx="2699">
                  <c:v>34171.984477816033</c:v>
                </c:pt>
                <c:pt idx="2700">
                  <c:v>34189.424169069331</c:v>
                </c:pt>
                <c:pt idx="2701">
                  <c:v>34206.866263730139</c:v>
                </c:pt>
                <c:pt idx="2702">
                  <c:v>34224.310761271641</c:v>
                </c:pt>
                <c:pt idx="2703">
                  <c:v>34241.757661167372</c:v>
                </c:pt>
                <c:pt idx="2704">
                  <c:v>34259.206962891185</c:v>
                </c:pt>
                <c:pt idx="2705">
                  <c:v>34276.658665917261</c:v>
                </c:pt>
                <c:pt idx="2706">
                  <c:v>34294.112769720115</c:v>
                </c:pt>
                <c:pt idx="2707">
                  <c:v>34311.569273774585</c:v>
                </c:pt>
                <c:pt idx="2708">
                  <c:v>34329.028177555854</c:v>
                </c:pt>
                <c:pt idx="2709">
                  <c:v>34346.4894805394</c:v>
                </c:pt>
                <c:pt idx="2710">
                  <c:v>34363.953182201032</c:v>
                </c:pt>
                <c:pt idx="2711">
                  <c:v>34381.419282016919</c:v>
                </c:pt>
                <c:pt idx="2712">
                  <c:v>34398.887779463541</c:v>
                </c:pt>
                <c:pt idx="2713">
                  <c:v>34416.358674017683</c:v>
                </c:pt>
                <c:pt idx="2714">
                  <c:v>34433.831965156452</c:v>
                </c:pt>
                <c:pt idx="2715">
                  <c:v>34451.307652357355</c:v>
                </c:pt>
                <c:pt idx="2716">
                  <c:v>34468.785735098121</c:v>
                </c:pt>
                <c:pt idx="2717">
                  <c:v>34486.266212856841</c:v>
                </c:pt>
                <c:pt idx="2718">
                  <c:v>34503.74908511198</c:v>
                </c:pt>
                <c:pt idx="2719">
                  <c:v>34521.234351342267</c:v>
                </c:pt>
                <c:pt idx="2720">
                  <c:v>34538.722011026766</c:v>
                </c:pt>
                <c:pt idx="2721">
                  <c:v>34556.212063644882</c:v>
                </c:pt>
                <c:pt idx="2722">
                  <c:v>34573.704508676325</c:v>
                </c:pt>
                <c:pt idx="2723">
                  <c:v>34591.199345601126</c:v>
                </c:pt>
                <c:pt idx="2724">
                  <c:v>34608.696573899666</c:v>
                </c:pt>
                <c:pt idx="2725">
                  <c:v>34626.196193052609</c:v>
                </c:pt>
                <c:pt idx="2726">
                  <c:v>34643.698202540982</c:v>
                </c:pt>
                <c:pt idx="2727">
                  <c:v>34661.202601846104</c:v>
                </c:pt>
                <c:pt idx="2728">
                  <c:v>34678.709390449614</c:v>
                </c:pt>
                <c:pt idx="2729">
                  <c:v>34696.218567833479</c:v>
                </c:pt>
                <c:pt idx="2730">
                  <c:v>34713.730133479999</c:v>
                </c:pt>
                <c:pt idx="2731">
                  <c:v>34731.244086871775</c:v>
                </c:pt>
                <c:pt idx="2732">
                  <c:v>34748.760427491725</c:v>
                </c:pt>
                <c:pt idx="2733">
                  <c:v>34766.279154823118</c:v>
                </c:pt>
                <c:pt idx="2734">
                  <c:v>34783.800268349485</c:v>
                </c:pt>
                <c:pt idx="2735">
                  <c:v>34801.323767554757</c:v>
                </c:pt>
                <c:pt idx="2736">
                  <c:v>34818.849651923105</c:v>
                </c:pt>
                <c:pt idx="2737">
                  <c:v>34836.377920939056</c:v>
                </c:pt>
                <c:pt idx="2738">
                  <c:v>34853.908574087443</c:v>
                </c:pt>
                <c:pt idx="2739">
                  <c:v>34871.441610853421</c:v>
                </c:pt>
                <c:pt idx="2740">
                  <c:v>34888.977030722483</c:v>
                </c:pt>
                <c:pt idx="2741">
                  <c:v>34906.514833180387</c:v>
                </c:pt>
                <c:pt idx="2742">
                  <c:v>34924.055017713268</c:v>
                </c:pt>
                <c:pt idx="2743">
                  <c:v>34941.597583807525</c:v>
                </c:pt>
                <c:pt idx="2744">
                  <c:v>34959.142530949903</c:v>
                </c:pt>
                <c:pt idx="2745">
                  <c:v>34976.689858627455</c:v>
                </c:pt>
                <c:pt idx="2746">
                  <c:v>34994.239566327553</c:v>
                </c:pt>
                <c:pt idx="2747">
                  <c:v>35011.791653537883</c:v>
                </c:pt>
                <c:pt idx="2748">
                  <c:v>35029.346119746398</c:v>
                </c:pt>
                <c:pt idx="2749">
                  <c:v>35046.902964441484</c:v>
                </c:pt>
                <c:pt idx="2750">
                  <c:v>35064.462187111698</c:v>
                </c:pt>
                <c:pt idx="2751">
                  <c:v>35082.023787246027</c:v>
                </c:pt>
                <c:pt idx="2752">
                  <c:v>35099.587764333693</c:v>
                </c:pt>
                <c:pt idx="2753">
                  <c:v>35117.154117864273</c:v>
                </c:pt>
                <c:pt idx="2754">
                  <c:v>35134.722847327619</c:v>
                </c:pt>
                <c:pt idx="2755">
                  <c:v>35152.293952213964</c:v>
                </c:pt>
                <c:pt idx="2756">
                  <c:v>35169.867432013794</c:v>
                </c:pt>
                <c:pt idx="2757">
                  <c:v>35187.443286217895</c:v>
                </c:pt>
                <c:pt idx="2758">
                  <c:v>35205.021514317414</c:v>
                </c:pt>
                <c:pt idx="2759">
                  <c:v>35222.602115803769</c:v>
                </c:pt>
                <c:pt idx="2760">
                  <c:v>35240.185090168728</c:v>
                </c:pt>
                <c:pt idx="2761">
                  <c:v>35257.770436904335</c:v>
                </c:pt>
                <c:pt idx="2762">
                  <c:v>35275.358155502967</c:v>
                </c:pt>
                <c:pt idx="2763">
                  <c:v>35292.948245457279</c:v>
                </c:pt>
                <c:pt idx="2764">
                  <c:v>35310.540706260283</c:v>
                </c:pt>
                <c:pt idx="2765">
                  <c:v>35328.135537405251</c:v>
                </c:pt>
                <c:pt idx="2766">
                  <c:v>35345.732738385777</c:v>
                </c:pt>
                <c:pt idx="2767">
                  <c:v>35363.332308695812</c:v>
                </c:pt>
                <c:pt idx="2768">
                  <c:v>35380.934247829529</c:v>
                </c:pt>
                <c:pt idx="2769">
                  <c:v>35398.538555281499</c:v>
                </c:pt>
                <c:pt idx="2770">
                  <c:v>35416.145230546521</c:v>
                </c:pt>
                <c:pt idx="2771">
                  <c:v>35433.754273119768</c:v>
                </c:pt>
                <c:pt idx="2772">
                  <c:v>35451.365682496682</c:v>
                </c:pt>
                <c:pt idx="2773">
                  <c:v>35468.979458172995</c:v>
                </c:pt>
                <c:pt idx="2774">
                  <c:v>35486.595599644803</c:v>
                </c:pt>
                <c:pt idx="2775">
                  <c:v>35504.21410640845</c:v>
                </c:pt>
                <c:pt idx="2776">
                  <c:v>35521.834977960621</c:v>
                </c:pt>
                <c:pt idx="2777">
                  <c:v>35539.458213798309</c:v>
                </c:pt>
                <c:pt idx="2778">
                  <c:v>35557.083813418772</c:v>
                </c:pt>
                <c:pt idx="2779">
                  <c:v>35574.7117763196</c:v>
                </c:pt>
                <c:pt idx="2780">
                  <c:v>35592.342101998722</c:v>
                </c:pt>
                <c:pt idx="2781">
                  <c:v>35609.974789954307</c:v>
                </c:pt>
                <c:pt idx="2782">
                  <c:v>35627.609839684868</c:v>
                </c:pt>
                <c:pt idx="2783">
                  <c:v>35645.247250689208</c:v>
                </c:pt>
                <c:pt idx="2784">
                  <c:v>35662.887022466435</c:v>
                </c:pt>
                <c:pt idx="2785">
                  <c:v>35680.529154515971</c:v>
                </c:pt>
                <c:pt idx="2786">
                  <c:v>35698.17364633752</c:v>
                </c:pt>
                <c:pt idx="2787">
                  <c:v>35715.820497431116</c:v>
                </c:pt>
                <c:pt idx="2788">
                  <c:v>35733.469707297059</c:v>
                </c:pt>
                <c:pt idx="2789">
                  <c:v>35751.121275435973</c:v>
                </c:pt>
                <c:pt idx="2790">
                  <c:v>35768.775201348792</c:v>
                </c:pt>
                <c:pt idx="2791">
                  <c:v>35786.431484536733</c:v>
                </c:pt>
                <c:pt idx="2792">
                  <c:v>35804.090124501337</c:v>
                </c:pt>
                <c:pt idx="2793">
                  <c:v>35821.751120744404</c:v>
                </c:pt>
                <c:pt idx="2794">
                  <c:v>35839.414472768083</c:v>
                </c:pt>
                <c:pt idx="2795">
                  <c:v>35857.080180074787</c:v>
                </c:pt>
                <c:pt idx="2796">
                  <c:v>35874.748242167247</c:v>
                </c:pt>
                <c:pt idx="2797">
                  <c:v>35892.418658548493</c:v>
                </c:pt>
                <c:pt idx="2798">
                  <c:v>35910.091428721847</c:v>
                </c:pt>
                <c:pt idx="2799">
                  <c:v>35927.766552190929</c:v>
                </c:pt>
                <c:pt idx="2800">
                  <c:v>35945.444028459664</c:v>
                </c:pt>
                <c:pt idx="2801">
                  <c:v>35963.123857032275</c:v>
                </c:pt>
                <c:pt idx="2802">
                  <c:v>35980.806037413276</c:v>
                </c:pt>
                <c:pt idx="2803">
                  <c:v>35998.490569107482</c:v>
                </c:pt>
                <c:pt idx="2804">
                  <c:v>36016.177451620024</c:v>
                </c:pt>
                <c:pt idx="2805">
                  <c:v>36033.86668445629</c:v>
                </c:pt>
                <c:pt idx="2806">
                  <c:v>36051.558267121989</c:v>
                </c:pt>
                <c:pt idx="2807">
                  <c:v>36069.252199123148</c:v>
                </c:pt>
                <c:pt idx="2808">
                  <c:v>36086.948479966049</c:v>
                </c:pt>
                <c:pt idx="2809">
                  <c:v>36104.647109157275</c:v>
                </c:pt>
                <c:pt idx="2810">
                  <c:v>36122.348086203754</c:v>
                </c:pt>
                <c:pt idx="2811">
                  <c:v>36140.051410612643</c:v>
                </c:pt>
                <c:pt idx="2812">
                  <c:v>36157.757081891454</c:v>
                </c:pt>
                <c:pt idx="2813">
                  <c:v>36175.465099547924</c:v>
                </c:pt>
                <c:pt idx="2814">
                  <c:v>36193.175463090149</c:v>
                </c:pt>
                <c:pt idx="2815">
                  <c:v>36210.888172026505</c:v>
                </c:pt>
                <c:pt idx="2816">
                  <c:v>36228.603225865634</c:v>
                </c:pt>
                <c:pt idx="2817">
                  <c:v>36246.320624116488</c:v>
                </c:pt>
                <c:pt idx="2818">
                  <c:v>36264.040366288311</c:v>
                </c:pt>
                <c:pt idx="2819">
                  <c:v>36281.762451890681</c:v>
                </c:pt>
                <c:pt idx="2820">
                  <c:v>36299.486880433382</c:v>
                </c:pt>
                <c:pt idx="2821">
                  <c:v>36317.213651426558</c:v>
                </c:pt>
                <c:pt idx="2822">
                  <c:v>36334.942764380627</c:v>
                </c:pt>
                <c:pt idx="2823">
                  <c:v>36352.674218806307</c:v>
                </c:pt>
                <c:pt idx="2824">
                  <c:v>36370.408014214598</c:v>
                </c:pt>
                <c:pt idx="2825">
                  <c:v>36388.144150116765</c:v>
                </c:pt>
                <c:pt idx="2826">
                  <c:v>36405.882626024424</c:v>
                </c:pt>
                <c:pt idx="2827">
                  <c:v>36423.623441449417</c:v>
                </c:pt>
                <c:pt idx="2828">
                  <c:v>36441.366595903935</c:v>
                </c:pt>
                <c:pt idx="2829">
                  <c:v>36459.112088900431</c:v>
                </c:pt>
                <c:pt idx="2830">
                  <c:v>36476.859919951632</c:v>
                </c:pt>
                <c:pt idx="2831">
                  <c:v>36494.610088570604</c:v>
                </c:pt>
                <c:pt idx="2832">
                  <c:v>36512.36259427062</c:v>
                </c:pt>
                <c:pt idx="2833">
                  <c:v>36530.117436565335</c:v>
                </c:pt>
                <c:pt idx="2834">
                  <c:v>36547.874614968634</c:v>
                </c:pt>
                <c:pt idx="2835">
                  <c:v>36565.63412899473</c:v>
                </c:pt>
                <c:pt idx="2836">
                  <c:v>36583.395978158063</c:v>
                </c:pt>
                <c:pt idx="2837">
                  <c:v>36601.160161973407</c:v>
                </c:pt>
                <c:pt idx="2838">
                  <c:v>36618.926679955854</c:v>
                </c:pt>
                <c:pt idx="2839">
                  <c:v>36636.695531620702</c:v>
                </c:pt>
                <c:pt idx="2840">
                  <c:v>36654.466716483585</c:v>
                </c:pt>
                <c:pt idx="2841">
                  <c:v>36672.240234060446</c:v>
                </c:pt>
                <c:pt idx="2842">
                  <c:v>36690.016083867449</c:v>
                </c:pt>
                <c:pt idx="2843">
                  <c:v>36707.794265421122</c:v>
                </c:pt>
                <c:pt idx="2844">
                  <c:v>36725.57477823821</c:v>
                </c:pt>
                <c:pt idx="2845">
                  <c:v>36743.357621835763</c:v>
                </c:pt>
                <c:pt idx="2846">
                  <c:v>36761.142795731168</c:v>
                </c:pt>
                <c:pt idx="2847">
                  <c:v>36778.930299442029</c:v>
                </c:pt>
                <c:pt idx="2848">
                  <c:v>36796.720132486247</c:v>
                </c:pt>
                <c:pt idx="2849">
                  <c:v>36814.512294382046</c:v>
                </c:pt>
                <c:pt idx="2850">
                  <c:v>36832.306784647895</c:v>
                </c:pt>
                <c:pt idx="2851">
                  <c:v>36850.103602802585</c:v>
                </c:pt>
                <c:pt idx="2852">
                  <c:v>36867.902748365137</c:v>
                </c:pt>
                <c:pt idx="2853">
                  <c:v>36885.70422085491</c:v>
                </c:pt>
                <c:pt idx="2854">
                  <c:v>36903.508019791509</c:v>
                </c:pt>
                <c:pt idx="2855">
                  <c:v>36921.31414469485</c:v>
                </c:pt>
                <c:pt idx="2856">
                  <c:v>36939.122595085108</c:v>
                </c:pt>
                <c:pt idx="2857">
                  <c:v>36956.93337048273</c:v>
                </c:pt>
                <c:pt idx="2858">
                  <c:v>36974.7464704085</c:v>
                </c:pt>
                <c:pt idx="2859">
                  <c:v>36992.561894383434</c:v>
                </c:pt>
                <c:pt idx="2860">
                  <c:v>37010.379641928848</c:v>
                </c:pt>
                <c:pt idx="2861">
                  <c:v>37028.199712566318</c:v>
                </c:pt>
                <c:pt idx="2862">
                  <c:v>37046.022105817756</c:v>
                </c:pt>
                <c:pt idx="2863">
                  <c:v>37063.846821205283</c:v>
                </c:pt>
                <c:pt idx="2864">
                  <c:v>37081.673858251328</c:v>
                </c:pt>
                <c:pt idx="2865">
                  <c:v>37099.503216478653</c:v>
                </c:pt>
                <c:pt idx="2866">
                  <c:v>37117.334895410211</c:v>
                </c:pt>
                <c:pt idx="2867">
                  <c:v>37135.168894569317</c:v>
                </c:pt>
                <c:pt idx="2868">
                  <c:v>37153.005213479468</c:v>
                </c:pt>
                <c:pt idx="2869">
                  <c:v>37170.843851664569</c:v>
                </c:pt>
                <c:pt idx="2870">
                  <c:v>37188.684808648679</c:v>
                </c:pt>
                <c:pt idx="2871">
                  <c:v>37206.528083956211</c:v>
                </c:pt>
                <c:pt idx="2872">
                  <c:v>37224.373677111857</c:v>
                </c:pt>
                <c:pt idx="2873">
                  <c:v>37242.221587640524</c:v>
                </c:pt>
                <c:pt idx="2874">
                  <c:v>37260.071815067466</c:v>
                </c:pt>
                <c:pt idx="2875">
                  <c:v>37277.924358918186</c:v>
                </c:pt>
                <c:pt idx="2876">
                  <c:v>37295.779218718439</c:v>
                </c:pt>
                <c:pt idx="2877">
                  <c:v>37313.63639399434</c:v>
                </c:pt>
                <c:pt idx="2878">
                  <c:v>37331.495884272161</c:v>
                </c:pt>
                <c:pt idx="2879">
                  <c:v>37349.357689078548</c:v>
                </c:pt>
                <c:pt idx="2880">
                  <c:v>37367.221807940397</c:v>
                </c:pt>
                <c:pt idx="2881">
                  <c:v>37385.08824038483</c:v>
                </c:pt>
                <c:pt idx="2882">
                  <c:v>37402.95698593933</c:v>
                </c:pt>
                <c:pt idx="2883">
                  <c:v>37420.828044131602</c:v>
                </c:pt>
                <c:pt idx="2884">
                  <c:v>37438.701414489624</c:v>
                </c:pt>
                <c:pt idx="2885">
                  <c:v>37456.577096541674</c:v>
                </c:pt>
                <c:pt idx="2886">
                  <c:v>37474.455089816285</c:v>
                </c:pt>
                <c:pt idx="2887">
                  <c:v>37492.335393842266</c:v>
                </c:pt>
                <c:pt idx="2888">
                  <c:v>37510.218008148724</c:v>
                </c:pt>
                <c:pt idx="2889">
                  <c:v>37528.102932264999</c:v>
                </c:pt>
                <c:pt idx="2890">
                  <c:v>37545.990165720752</c:v>
                </c:pt>
                <c:pt idx="2891">
                  <c:v>37563.879708045861</c:v>
                </c:pt>
                <c:pt idx="2892">
                  <c:v>37581.771558770561</c:v>
                </c:pt>
                <c:pt idx="2893">
                  <c:v>37599.665717425247</c:v>
                </c:pt>
                <c:pt idx="2894">
                  <c:v>37617.562183540678</c:v>
                </c:pt>
                <c:pt idx="2895">
                  <c:v>37635.460956647861</c:v>
                </c:pt>
                <c:pt idx="2896">
                  <c:v>37653.362036278035</c:v>
                </c:pt>
                <c:pt idx="2897">
                  <c:v>37671.265421962788</c:v>
                </c:pt>
                <c:pt idx="2898">
                  <c:v>37689.171113233904</c:v>
                </c:pt>
                <c:pt idx="2899">
                  <c:v>37707.07910962349</c:v>
                </c:pt>
                <c:pt idx="2900">
                  <c:v>37724.989410663889</c:v>
                </c:pt>
                <c:pt idx="2901">
                  <c:v>37742.902015887732</c:v>
                </c:pt>
                <c:pt idx="2902">
                  <c:v>37760.81692482793</c:v>
                </c:pt>
                <c:pt idx="2903">
                  <c:v>37778.734137017636</c:v>
                </c:pt>
                <c:pt idx="2904">
                  <c:v>37796.653651990295</c:v>
                </c:pt>
                <c:pt idx="2905">
                  <c:v>37814.575469279633</c:v>
                </c:pt>
                <c:pt idx="2906">
                  <c:v>37832.499588419625</c:v>
                </c:pt>
                <c:pt idx="2907">
                  <c:v>37850.426008944502</c:v>
                </c:pt>
                <c:pt idx="2908">
                  <c:v>37868.354730388775</c:v>
                </c:pt>
                <c:pt idx="2909">
                  <c:v>37886.285752287244</c:v>
                </c:pt>
                <c:pt idx="2910">
                  <c:v>37904.21907417498</c:v>
                </c:pt>
                <c:pt idx="2911">
                  <c:v>37922.154695587269</c:v>
                </c:pt>
                <c:pt idx="2912">
                  <c:v>37940.092616059745</c:v>
                </c:pt>
                <c:pt idx="2913">
                  <c:v>37958.032835128244</c:v>
                </c:pt>
                <c:pt idx="2914">
                  <c:v>37975.975352328867</c:v>
                </c:pt>
                <c:pt idx="2915">
                  <c:v>37993.920167198048</c:v>
                </c:pt>
                <c:pt idx="2916">
                  <c:v>38011.867279272425</c:v>
                </c:pt>
                <c:pt idx="2917">
                  <c:v>38029.816688088933</c:v>
                </c:pt>
                <c:pt idx="2918">
                  <c:v>38047.768393184757</c:v>
                </c:pt>
                <c:pt idx="2919">
                  <c:v>38065.722394097364</c:v>
                </c:pt>
                <c:pt idx="2920">
                  <c:v>38083.678690364482</c:v>
                </c:pt>
                <c:pt idx="2921">
                  <c:v>38101.637281524097</c:v>
                </c:pt>
                <c:pt idx="2922">
                  <c:v>38119.598167114447</c:v>
                </c:pt>
                <c:pt idx="2923">
                  <c:v>38137.561346674083</c:v>
                </c:pt>
                <c:pt idx="2924">
                  <c:v>38155.526819741768</c:v>
                </c:pt>
                <c:pt idx="2925">
                  <c:v>38173.494585856577</c:v>
                </c:pt>
                <c:pt idx="2926">
                  <c:v>38191.464644557811</c:v>
                </c:pt>
                <c:pt idx="2927">
                  <c:v>38209.436995385055</c:v>
                </c:pt>
                <c:pt idx="2928">
                  <c:v>38227.411637878147</c:v>
                </c:pt>
                <c:pt idx="2929">
                  <c:v>38245.388571577198</c:v>
                </c:pt>
                <c:pt idx="2930">
                  <c:v>38263.367796022583</c:v>
                </c:pt>
                <c:pt idx="2931">
                  <c:v>38281.349310754937</c:v>
                </c:pt>
                <c:pt idx="2932">
                  <c:v>38299.333115315138</c:v>
                </c:pt>
                <c:pt idx="2933">
                  <c:v>38317.319209244364</c:v>
                </c:pt>
                <c:pt idx="2934">
                  <c:v>38335.307592084035</c:v>
                </c:pt>
                <c:pt idx="2935">
                  <c:v>38353.298263375851</c:v>
                </c:pt>
                <c:pt idx="2936">
                  <c:v>38371.291222661726</c:v>
                </c:pt>
                <c:pt idx="2937">
                  <c:v>38389.286469483872</c:v>
                </c:pt>
                <c:pt idx="2938">
                  <c:v>38407.284003384804</c:v>
                </c:pt>
                <c:pt idx="2939">
                  <c:v>38425.283823907201</c:v>
                </c:pt>
                <c:pt idx="2940">
                  <c:v>38443.285930594066</c:v>
                </c:pt>
                <c:pt idx="2941">
                  <c:v>38461.290322988672</c:v>
                </c:pt>
                <c:pt idx="2942">
                  <c:v>38479.297000634528</c:v>
                </c:pt>
                <c:pt idx="2943">
                  <c:v>38497.305963075385</c:v>
                </c:pt>
                <c:pt idx="2944">
                  <c:v>38515.317209855304</c:v>
                </c:pt>
                <c:pt idx="2945">
                  <c:v>38533.33074051857</c:v>
                </c:pt>
                <c:pt idx="2946">
                  <c:v>38551.346554609721</c:v>
                </c:pt>
                <c:pt idx="2947">
                  <c:v>38569.364651673604</c:v>
                </c:pt>
                <c:pt idx="2948">
                  <c:v>38587.385031255239</c:v>
                </c:pt>
                <c:pt idx="2949">
                  <c:v>38605.4076929</c:v>
                </c:pt>
                <c:pt idx="2950">
                  <c:v>38623.432636153448</c:v>
                </c:pt>
                <c:pt idx="2951">
                  <c:v>38641.459860561459</c:v>
                </c:pt>
                <c:pt idx="2952">
                  <c:v>38659.489365670102</c:v>
                </c:pt>
                <c:pt idx="2953">
                  <c:v>38677.52115102578</c:v>
                </c:pt>
                <c:pt idx="2954">
                  <c:v>38695.555216175082</c:v>
                </c:pt>
                <c:pt idx="2955">
                  <c:v>38713.591560664907</c:v>
                </c:pt>
                <c:pt idx="2956">
                  <c:v>38731.630184042384</c:v>
                </c:pt>
                <c:pt idx="2957">
                  <c:v>38749.671085854876</c:v>
                </c:pt>
                <c:pt idx="2958">
                  <c:v>38767.714265650087</c:v>
                </c:pt>
                <c:pt idx="2959">
                  <c:v>38785.759722975876</c:v>
                </c:pt>
                <c:pt idx="2960">
                  <c:v>38803.807457380433</c:v>
                </c:pt>
                <c:pt idx="2961">
                  <c:v>38821.857468412141</c:v>
                </c:pt>
                <c:pt idx="2962">
                  <c:v>38839.909755619723</c:v>
                </c:pt>
                <c:pt idx="2963">
                  <c:v>38857.964318552076</c:v>
                </c:pt>
                <c:pt idx="2964">
                  <c:v>38876.021156758376</c:v>
                </c:pt>
                <c:pt idx="2965">
                  <c:v>38894.080269788072</c:v>
                </c:pt>
                <c:pt idx="2966">
                  <c:v>38912.141657190863</c:v>
                </c:pt>
                <c:pt idx="2967">
                  <c:v>38930.205318516702</c:v>
                </c:pt>
                <c:pt idx="2968">
                  <c:v>38948.271253315761</c:v>
                </c:pt>
                <c:pt idx="2969">
                  <c:v>38966.339461138523</c:v>
                </c:pt>
                <c:pt idx="2970">
                  <c:v>38984.409941535705</c:v>
                </c:pt>
                <c:pt idx="2971">
                  <c:v>39002.48269405825</c:v>
                </c:pt>
                <c:pt idx="2972">
                  <c:v>39020.557718257398</c:v>
                </c:pt>
                <c:pt idx="2973">
                  <c:v>39038.635013684587</c:v>
                </c:pt>
                <c:pt idx="2974">
                  <c:v>39056.714579891574</c:v>
                </c:pt>
                <c:pt idx="2975">
                  <c:v>39074.796416430283</c:v>
                </c:pt>
                <c:pt idx="2976">
                  <c:v>39092.880522853011</c:v>
                </c:pt>
                <c:pt idx="2977">
                  <c:v>39110.966898712191</c:v>
                </c:pt>
                <c:pt idx="2978">
                  <c:v>39129.055543560564</c:v>
                </c:pt>
                <c:pt idx="2979">
                  <c:v>39147.146456951115</c:v>
                </c:pt>
                <c:pt idx="2980">
                  <c:v>39165.239638437102</c:v>
                </c:pt>
                <c:pt idx="2981">
                  <c:v>39183.335087571984</c:v>
                </c:pt>
                <c:pt idx="2982">
                  <c:v>39201.432803909498</c:v>
                </c:pt>
                <c:pt idx="2983">
                  <c:v>39219.532787003656</c:v>
                </c:pt>
                <c:pt idx="2984">
                  <c:v>39237.635036408661</c:v>
                </c:pt>
                <c:pt idx="2985">
                  <c:v>39255.739551679057</c:v>
                </c:pt>
                <c:pt idx="2986">
                  <c:v>39273.846332369518</c:v>
                </c:pt>
                <c:pt idx="2987">
                  <c:v>39291.955378035083</c:v>
                </c:pt>
                <c:pt idx="2988">
                  <c:v>39310.06668823096</c:v>
                </c:pt>
                <c:pt idx="2989">
                  <c:v>39328.180262512658</c:v>
                </c:pt>
                <c:pt idx="2990">
                  <c:v>39346.296100435909</c:v>
                </c:pt>
                <c:pt idx="2991">
                  <c:v>39364.41420155669</c:v>
                </c:pt>
                <c:pt idx="2992">
                  <c:v>39382.53456543127</c:v>
                </c:pt>
                <c:pt idx="2993">
                  <c:v>39400.65719161609</c:v>
                </c:pt>
                <c:pt idx="2994">
                  <c:v>39418.782079667872</c:v>
                </c:pt>
                <c:pt idx="2995">
                  <c:v>39436.909229143639</c:v>
                </c:pt>
                <c:pt idx="2996">
                  <c:v>39455.038639600614</c:v>
                </c:pt>
                <c:pt idx="2997">
                  <c:v>39473.170310596266</c:v>
                </c:pt>
                <c:pt idx="2998">
                  <c:v>39491.304241688296</c:v>
                </c:pt>
                <c:pt idx="2999">
                  <c:v>39509.440432434698</c:v>
                </c:pt>
                <c:pt idx="3000">
                  <c:v>39527.578882393675</c:v>
                </c:pt>
                <c:pt idx="3001">
                  <c:v>39545.719591123692</c:v>
                </c:pt>
                <c:pt idx="3002">
                  <c:v>39563.862558183464</c:v>
                </c:pt>
                <c:pt idx="3003">
                  <c:v>39582.00778313195</c:v>
                </c:pt>
                <c:pt idx="3004">
                  <c:v>39600.155265528345</c:v>
                </c:pt>
                <c:pt idx="3005">
                  <c:v>39618.305004932103</c:v>
                </c:pt>
                <c:pt idx="3006">
                  <c:v>39636.457000902927</c:v>
                </c:pt>
                <c:pt idx="3007">
                  <c:v>39654.611253000723</c:v>
                </c:pt>
                <c:pt idx="3008">
                  <c:v>39672.767760785689</c:v>
                </c:pt>
                <c:pt idx="3009">
                  <c:v>39690.926523818271</c:v>
                </c:pt>
                <c:pt idx="3010">
                  <c:v>39709.087541659137</c:v>
                </c:pt>
                <c:pt idx="3011">
                  <c:v>39727.250813869177</c:v>
                </c:pt>
                <c:pt idx="3012">
                  <c:v>39745.4163400096</c:v>
                </c:pt>
                <c:pt idx="3013">
                  <c:v>39763.584119641768</c:v>
                </c:pt>
                <c:pt idx="3014">
                  <c:v>39781.754152327339</c:v>
                </c:pt>
                <c:pt idx="3015">
                  <c:v>39799.926437628237</c:v>
                </c:pt>
                <c:pt idx="3016">
                  <c:v>39818.100975106572</c:v>
                </c:pt>
                <c:pt idx="3017">
                  <c:v>39836.277764324732</c:v>
                </c:pt>
                <c:pt idx="3018">
                  <c:v>39854.456804845337</c:v>
                </c:pt>
                <c:pt idx="3019">
                  <c:v>39872.638096231247</c:v>
                </c:pt>
                <c:pt idx="3020">
                  <c:v>39890.821638045563</c:v>
                </c:pt>
                <c:pt idx="3021">
                  <c:v>39909.007429851656</c:v>
                </c:pt>
                <c:pt idx="3022">
                  <c:v>39927.195471213119</c:v>
                </c:pt>
                <c:pt idx="3023">
                  <c:v>39945.38576169376</c:v>
                </c:pt>
                <c:pt idx="3024">
                  <c:v>39963.578300857669</c:v>
                </c:pt>
                <c:pt idx="3025">
                  <c:v>39981.773088269161</c:v>
                </c:pt>
                <c:pt idx="3026">
                  <c:v>39999.970123492807</c:v>
                </c:pt>
                <c:pt idx="3027">
                  <c:v>40018.169406093373</c:v>
                </c:pt>
                <c:pt idx="3028">
                  <c:v>40036.370935635932</c:v>
                </c:pt>
                <c:pt idx="3029">
                  <c:v>40054.574711685753</c:v>
                </c:pt>
                <c:pt idx="3030">
                  <c:v>40072.780733808351</c:v>
                </c:pt>
                <c:pt idx="3031">
                  <c:v>40090.989001569476</c:v>
                </c:pt>
                <c:pt idx="3032">
                  <c:v>40109.199514535139</c:v>
                </c:pt>
                <c:pt idx="3033">
                  <c:v>40127.412272271606</c:v>
                </c:pt>
                <c:pt idx="3034">
                  <c:v>40145.627274345301</c:v>
                </c:pt>
                <c:pt idx="3035">
                  <c:v>40163.844520322986</c:v>
                </c:pt>
                <c:pt idx="3036">
                  <c:v>40182.06400977158</c:v>
                </c:pt>
                <c:pt idx="3037">
                  <c:v>40200.285742258326</c:v>
                </c:pt>
                <c:pt idx="3038">
                  <c:v>40218.509717350629</c:v>
                </c:pt>
                <c:pt idx="3039">
                  <c:v>40236.735934616139</c:v>
                </c:pt>
                <c:pt idx="3040">
                  <c:v>40254.964393622824</c:v>
                </c:pt>
                <c:pt idx="3041">
                  <c:v>40273.195093938775</c:v>
                </c:pt>
                <c:pt idx="3042">
                  <c:v>40291.42803513242</c:v>
                </c:pt>
                <c:pt idx="3043">
                  <c:v>40309.663216772358</c:v>
                </c:pt>
                <c:pt idx="3044">
                  <c:v>40327.900638427454</c:v>
                </c:pt>
                <c:pt idx="3045">
                  <c:v>40346.140299666811</c:v>
                </c:pt>
                <c:pt idx="3046">
                  <c:v>40364.382200059765</c:v>
                </c:pt>
                <c:pt idx="3047">
                  <c:v>40382.626339175869</c:v>
                </c:pt>
                <c:pt idx="3048">
                  <c:v>40400.872716584956</c:v>
                </c:pt>
                <c:pt idx="3049">
                  <c:v>40419.121331857066</c:v>
                </c:pt>
                <c:pt idx="3050">
                  <c:v>40437.372184562468</c:v>
                </c:pt>
                <c:pt idx="3051">
                  <c:v>40455.625274271646</c:v>
                </c:pt>
                <c:pt idx="3052">
                  <c:v>40473.880600555407</c:v>
                </c:pt>
                <c:pt idx="3053">
                  <c:v>40492.138162984716</c:v>
                </c:pt>
                <c:pt idx="3054">
                  <c:v>40510.39796113078</c:v>
                </c:pt>
                <c:pt idx="3055">
                  <c:v>40528.659994565074</c:v>
                </c:pt>
                <c:pt idx="3056">
                  <c:v>40546.924262859284</c:v>
                </c:pt>
                <c:pt idx="3057">
                  <c:v>40565.190765585328</c:v>
                </c:pt>
                <c:pt idx="3058">
                  <c:v>40583.459502315367</c:v>
                </c:pt>
                <c:pt idx="3059">
                  <c:v>40601.730472621784</c:v>
                </c:pt>
                <c:pt idx="3060">
                  <c:v>40620.003676077235</c:v>
                </c:pt>
                <c:pt idx="3061">
                  <c:v>40638.279112254546</c:v>
                </c:pt>
                <c:pt idx="3062">
                  <c:v>40656.556780726853</c:v>
                </c:pt>
                <c:pt idx="3063">
                  <c:v>40674.836681067449</c:v>
                </c:pt>
                <c:pt idx="3064">
                  <c:v>40693.118812849891</c:v>
                </c:pt>
                <c:pt idx="3065">
                  <c:v>40711.403175648004</c:v>
                </c:pt>
                <c:pt idx="3066">
                  <c:v>40729.689769035795</c:v>
                </c:pt>
                <c:pt idx="3067">
                  <c:v>40747.978592587519</c:v>
                </c:pt>
                <c:pt idx="3068">
                  <c:v>40766.269645877663</c:v>
                </c:pt>
                <c:pt idx="3069">
                  <c:v>40784.562928480969</c:v>
                </c:pt>
                <c:pt idx="3070">
                  <c:v>40802.85843997237</c:v>
                </c:pt>
                <c:pt idx="3071">
                  <c:v>40821.156179927057</c:v>
                </c:pt>
                <c:pt idx="3072">
                  <c:v>40839.456147920457</c:v>
                </c:pt>
                <c:pt idx="3073">
                  <c:v>40857.758343528199</c:v>
                </c:pt>
                <c:pt idx="3074">
                  <c:v>40876.062766326191</c:v>
                </c:pt>
                <c:pt idx="3075">
                  <c:v>40894.369415890513</c:v>
                </c:pt>
                <c:pt idx="3076">
                  <c:v>40912.678291797536</c:v>
                </c:pt>
                <c:pt idx="3077">
                  <c:v>40930.989393623779</c:v>
                </c:pt>
                <c:pt idx="3078">
                  <c:v>40949.3027209461</c:v>
                </c:pt>
                <c:pt idx="3079">
                  <c:v>40967.61827334149</c:v>
                </c:pt>
                <c:pt idx="3080">
                  <c:v>40985.93605038723</c:v>
                </c:pt>
                <c:pt idx="3081">
                  <c:v>41004.256051660806</c:v>
                </c:pt>
                <c:pt idx="3082">
                  <c:v>41022.578276739929</c:v>
                </c:pt>
                <c:pt idx="3083">
                  <c:v>41040.90272520257</c:v>
                </c:pt>
                <c:pt idx="3084">
                  <c:v>41059.229396626863</c:v>
                </c:pt>
                <c:pt idx="3085">
                  <c:v>41077.558290591245</c:v>
                </c:pt>
                <c:pt idx="3086">
                  <c:v>41095.889406674352</c:v>
                </c:pt>
                <c:pt idx="3087">
                  <c:v>41114.22274445503</c:v>
                </c:pt>
                <c:pt idx="3088">
                  <c:v>41132.558303512371</c:v>
                </c:pt>
                <c:pt idx="3089">
                  <c:v>41150.896083425701</c:v>
                </c:pt>
                <c:pt idx="3090">
                  <c:v>41169.23608377458</c:v>
                </c:pt>
                <c:pt idx="3091">
                  <c:v>41187.578304138762</c:v>
                </c:pt>
                <c:pt idx="3092">
                  <c:v>41205.922744098229</c:v>
                </c:pt>
                <c:pt idx="3093">
                  <c:v>41224.269403233237</c:v>
                </c:pt>
                <c:pt idx="3094">
                  <c:v>41242.618281124247</c:v>
                </c:pt>
                <c:pt idx="3095">
                  <c:v>41260.96937735191</c:v>
                </c:pt>
                <c:pt idx="3096">
                  <c:v>41279.32269149716</c:v>
                </c:pt>
                <c:pt idx="3097">
                  <c:v>41297.678223141134</c:v>
                </c:pt>
                <c:pt idx="3098">
                  <c:v>41316.03597186516</c:v>
                </c:pt>
                <c:pt idx="3099">
                  <c:v>41334.395937250854</c:v>
                </c:pt>
                <c:pt idx="3100">
                  <c:v>41352.758118880003</c:v>
                </c:pt>
                <c:pt idx="3101">
                  <c:v>41371.122516334653</c:v>
                </c:pt>
                <c:pt idx="3102">
                  <c:v>41389.489129197085</c:v>
                </c:pt>
                <c:pt idx="3103">
                  <c:v>41407.857957049753</c:v>
                </c:pt>
                <c:pt idx="3104">
                  <c:v>41426.228999475388</c:v>
                </c:pt>
                <c:pt idx="3105">
                  <c:v>41444.60225605694</c:v>
                </c:pt>
                <c:pt idx="3106">
                  <c:v>41462.977726377547</c:v>
                </c:pt>
                <c:pt idx="3107">
                  <c:v>41481.355410020595</c:v>
                </c:pt>
                <c:pt idx="3108">
                  <c:v>41499.735306569695</c:v>
                </c:pt>
                <c:pt idx="3109">
                  <c:v>41518.117415608693</c:v>
                </c:pt>
                <c:pt idx="3110">
                  <c:v>41536.50173672165</c:v>
                </c:pt>
                <c:pt idx="3111">
                  <c:v>41554.888269492818</c:v>
                </c:pt>
                <c:pt idx="3112">
                  <c:v>41573.277013506726</c:v>
                </c:pt>
                <c:pt idx="3113">
                  <c:v>41591.667968348091</c:v>
                </c:pt>
                <c:pt idx="3114">
                  <c:v>41610.061133601848</c:v>
                </c:pt>
                <c:pt idx="3115">
                  <c:v>41628.456508853189</c:v>
                </c:pt>
                <c:pt idx="3116">
                  <c:v>41646.854093687522</c:v>
                </c:pt>
                <c:pt idx="3117">
                  <c:v>41665.253887690429</c:v>
                </c:pt>
                <c:pt idx="3118">
                  <c:v>41683.655890447764</c:v>
                </c:pt>
                <c:pt idx="3119">
                  <c:v>41702.060101545605</c:v>
                </c:pt>
                <c:pt idx="3120">
                  <c:v>41720.466520570219</c:v>
                </c:pt>
                <c:pt idx="3121">
                  <c:v>41738.87514710809</c:v>
                </c:pt>
                <c:pt idx="3122">
                  <c:v>41757.28598074599</c:v>
                </c:pt>
                <c:pt idx="3123">
                  <c:v>41775.699021070803</c:v>
                </c:pt>
                <c:pt idx="3124">
                  <c:v>41794.114267669764</c:v>
                </c:pt>
                <c:pt idx="3125">
                  <c:v>41812.53172013021</c:v>
                </c:pt>
                <c:pt idx="3126">
                  <c:v>41830.951378039783</c:v>
                </c:pt>
                <c:pt idx="3127">
                  <c:v>41849.373240986301</c:v>
                </c:pt>
                <c:pt idx="3128">
                  <c:v>41867.797308557812</c:v>
                </c:pt>
                <c:pt idx="3129">
                  <c:v>41886.223580342587</c:v>
                </c:pt>
                <c:pt idx="3130">
                  <c:v>41904.652055929095</c:v>
                </c:pt>
                <c:pt idx="3131">
                  <c:v>41923.082734906086</c:v>
                </c:pt>
                <c:pt idx="3132">
                  <c:v>41941.515616862438</c:v>
                </c:pt>
                <c:pt idx="3133">
                  <c:v>41959.950701387352</c:v>
                </c:pt>
                <c:pt idx="3134">
                  <c:v>41978.38798807015</c:v>
                </c:pt>
                <c:pt idx="3135">
                  <c:v>41996.827476500446</c:v>
                </c:pt>
                <c:pt idx="3136">
                  <c:v>42015.269166268008</c:v>
                </c:pt>
                <c:pt idx="3137">
                  <c:v>42033.713056962893</c:v>
                </c:pt>
                <c:pt idx="3138">
                  <c:v>42052.159148175357</c:v>
                </c:pt>
                <c:pt idx="3139">
                  <c:v>42070.607439495798</c:v>
                </c:pt>
                <c:pt idx="3140">
                  <c:v>42089.057930514944</c:v>
                </c:pt>
                <c:pt idx="3141">
                  <c:v>42107.510620823654</c:v>
                </c:pt>
                <c:pt idx="3142">
                  <c:v>42125.965510013077</c:v>
                </c:pt>
                <c:pt idx="3143">
                  <c:v>42144.422597674493</c:v>
                </c:pt>
                <c:pt idx="3144">
                  <c:v>42162.881883399503</c:v>
                </c:pt>
                <c:pt idx="3145">
                  <c:v>42181.343366779831</c:v>
                </c:pt>
                <c:pt idx="3146">
                  <c:v>42199.807047407456</c:v>
                </c:pt>
                <c:pt idx="3147">
                  <c:v>42218.272924874604</c:v>
                </c:pt>
                <c:pt idx="3148">
                  <c:v>42236.740998773654</c:v>
                </c:pt>
                <c:pt idx="3149">
                  <c:v>42255.21126869724</c:v>
                </c:pt>
                <c:pt idx="3150">
                  <c:v>42273.683734238228</c:v>
                </c:pt>
                <c:pt idx="3151">
                  <c:v>42292.158394989659</c:v>
                </c:pt>
                <c:pt idx="3152">
                  <c:v>42310.63525054483</c:v>
                </c:pt>
                <c:pt idx="3153">
                  <c:v>42329.114300497182</c:v>
                </c:pt>
                <c:pt idx="3154">
                  <c:v>42347.595544440475</c:v>
                </c:pt>
                <c:pt idx="3155">
                  <c:v>42366.078981968632</c:v>
                </c:pt>
                <c:pt idx="3156">
                  <c:v>42384.564612675749</c:v>
                </c:pt>
                <c:pt idx="3157">
                  <c:v>42403.052436156198</c:v>
                </c:pt>
                <c:pt idx="3158">
                  <c:v>42421.542452004534</c:v>
                </c:pt>
                <c:pt idx="3159">
                  <c:v>42440.034659815574</c:v>
                </c:pt>
                <c:pt idx="3160">
                  <c:v>42458.529059184264</c:v>
                </c:pt>
                <c:pt idx="3161">
                  <c:v>42477.025649705814</c:v>
                </c:pt>
                <c:pt idx="3162">
                  <c:v>42495.524430975689</c:v>
                </c:pt>
                <c:pt idx="3163">
                  <c:v>42514.02540258949</c:v>
                </c:pt>
                <c:pt idx="3164">
                  <c:v>42532.528564143053</c:v>
                </c:pt>
                <c:pt idx="3165">
                  <c:v>42551.033915232474</c:v>
                </c:pt>
                <c:pt idx="3166">
                  <c:v>42569.541455454026</c:v>
                </c:pt>
                <c:pt idx="3167">
                  <c:v>42588.051184404154</c:v>
                </c:pt>
                <c:pt idx="3168">
                  <c:v>42606.563101679596</c:v>
                </c:pt>
                <c:pt idx="3169">
                  <c:v>42625.077206877264</c:v>
                </c:pt>
                <c:pt idx="3170">
                  <c:v>42643.593499594266</c:v>
                </c:pt>
                <c:pt idx="3171">
                  <c:v>42662.111979427951</c:v>
                </c:pt>
                <c:pt idx="3172">
                  <c:v>42680.632645975842</c:v>
                </c:pt>
                <c:pt idx="3173">
                  <c:v>42699.155498835724</c:v>
                </c:pt>
                <c:pt idx="3174">
                  <c:v>42717.6805376056</c:v>
                </c:pt>
                <c:pt idx="3175">
                  <c:v>42736.20776188359</c:v>
                </c:pt>
                <c:pt idx="3176">
                  <c:v>42754.737171268105</c:v>
                </c:pt>
                <c:pt idx="3177">
                  <c:v>42773.268765357789</c:v>
                </c:pt>
                <c:pt idx="3178">
                  <c:v>42791.802543751408</c:v>
                </c:pt>
                <c:pt idx="3179">
                  <c:v>42810.338506048007</c:v>
                </c:pt>
                <c:pt idx="3180">
                  <c:v>42828.87665184684</c:v>
                </c:pt>
                <c:pt idx="3181">
                  <c:v>42847.416980747337</c:v>
                </c:pt>
                <c:pt idx="3182">
                  <c:v>42865.959492349153</c:v>
                </c:pt>
                <c:pt idx="3183">
                  <c:v>42884.504186252176</c:v>
                </c:pt>
                <c:pt idx="3184">
                  <c:v>42903.051062056446</c:v>
                </c:pt>
                <c:pt idx="3185">
                  <c:v>42921.600119362287</c:v>
                </c:pt>
                <c:pt idx="3186">
                  <c:v>42940.151357770177</c:v>
                </c:pt>
                <c:pt idx="3187">
                  <c:v>42958.704776880826</c:v>
                </c:pt>
                <c:pt idx="3188">
                  <c:v>42977.260376295148</c:v>
                </c:pt>
                <c:pt idx="3189">
                  <c:v>42995.818155614252</c:v>
                </c:pt>
                <c:pt idx="3190">
                  <c:v>43014.378114439482</c:v>
                </c:pt>
                <c:pt idx="3191">
                  <c:v>43032.940252372398</c:v>
                </c:pt>
                <c:pt idx="3192">
                  <c:v>43051.504569014709</c:v>
                </c:pt>
                <c:pt idx="3193">
                  <c:v>43070.071063968389</c:v>
                </c:pt>
                <c:pt idx="3194">
                  <c:v>43088.63973683559</c:v>
                </c:pt>
                <c:pt idx="3195">
                  <c:v>43107.210587218709</c:v>
                </c:pt>
                <c:pt idx="3196">
                  <c:v>43125.783614720334</c:v>
                </c:pt>
                <c:pt idx="3197">
                  <c:v>43144.358818943205</c:v>
                </c:pt>
                <c:pt idx="3198">
                  <c:v>43162.936199490374</c:v>
                </c:pt>
                <c:pt idx="3199">
                  <c:v>43181.515755964982</c:v>
                </c:pt>
                <c:pt idx="3200">
                  <c:v>43200.097487970466</c:v>
                </c:pt>
                <c:pt idx="3201">
                  <c:v>43218.681395110434</c:v>
                </c:pt>
                <c:pt idx="3202">
                  <c:v>43237.267476988731</c:v>
                </c:pt>
                <c:pt idx="3203">
                  <c:v>43255.855733209377</c:v>
                </c:pt>
                <c:pt idx="3204">
                  <c:v>43274.44616337656</c:v>
                </c:pt>
                <c:pt idx="3205">
                  <c:v>43293.038767094797</c:v>
                </c:pt>
                <c:pt idx="3206">
                  <c:v>43311.633543968652</c:v>
                </c:pt>
                <c:pt idx="3207">
                  <c:v>43330.230493603034</c:v>
                </c:pt>
                <c:pt idx="3208">
                  <c:v>43348.829615602976</c:v>
                </c:pt>
                <c:pt idx="3209">
                  <c:v>43367.430909573748</c:v>
                </c:pt>
                <c:pt idx="3210">
                  <c:v>43386.034375120813</c:v>
                </c:pt>
                <c:pt idx="3211">
                  <c:v>43404.640011849835</c:v>
                </c:pt>
                <c:pt idx="3212">
                  <c:v>43423.24781936669</c:v>
                </c:pt>
                <c:pt idx="3213">
                  <c:v>43441.857797277509</c:v>
                </c:pt>
                <c:pt idx="3214">
                  <c:v>43460.469945188524</c:v>
                </c:pt>
                <c:pt idx="3215">
                  <c:v>43479.084262706208</c:v>
                </c:pt>
                <c:pt idx="3216">
                  <c:v>43497.700749437325</c:v>
                </c:pt>
                <c:pt idx="3217">
                  <c:v>43516.319404988702</c:v>
                </c:pt>
                <c:pt idx="3218">
                  <c:v>43534.940228967462</c:v>
                </c:pt>
                <c:pt idx="3219">
                  <c:v>43553.563220980912</c:v>
                </c:pt>
                <c:pt idx="3220">
                  <c:v>43572.188380636602</c:v>
                </c:pt>
                <c:pt idx="3221">
                  <c:v>43590.815707542191</c:v>
                </c:pt>
                <c:pt idx="3222">
                  <c:v>43609.4452013056</c:v>
                </c:pt>
                <c:pt idx="3223">
                  <c:v>43628.076861534981</c:v>
                </c:pt>
                <c:pt idx="3224">
                  <c:v>43646.710687838597</c:v>
                </c:pt>
                <c:pt idx="3225">
                  <c:v>43665.34667982503</c:v>
                </c:pt>
                <c:pt idx="3226">
                  <c:v>43683.984837102966</c:v>
                </c:pt>
                <c:pt idx="3227">
                  <c:v>43702.625159281335</c:v>
                </c:pt>
                <c:pt idx="3228">
                  <c:v>43721.267645969274</c:v>
                </c:pt>
                <c:pt idx="3229">
                  <c:v>43739.912296776121</c:v>
                </c:pt>
                <c:pt idx="3230">
                  <c:v>43758.559111311428</c:v>
                </c:pt>
                <c:pt idx="3231">
                  <c:v>43777.20808918486</c:v>
                </c:pt>
                <c:pt idx="3232">
                  <c:v>43795.85923000639</c:v>
                </c:pt>
                <c:pt idx="3233">
                  <c:v>43814.512533386187</c:v>
                </c:pt>
                <c:pt idx="3234">
                  <c:v>43833.167998934528</c:v>
                </c:pt>
                <c:pt idx="3235">
                  <c:v>43851.825626262013</c:v>
                </c:pt>
                <c:pt idx="3236">
                  <c:v>43870.485414979325</c:v>
                </c:pt>
                <c:pt idx="3237">
                  <c:v>43889.147364697448</c:v>
                </c:pt>
                <c:pt idx="3238">
                  <c:v>43907.811475027491</c:v>
                </c:pt>
                <c:pt idx="3239">
                  <c:v>43926.477745580793</c:v>
                </c:pt>
                <c:pt idx="3240">
                  <c:v>43945.146175968919</c:v>
                </c:pt>
                <c:pt idx="3241">
                  <c:v>43963.816765803582</c:v>
                </c:pt>
                <c:pt idx="3242">
                  <c:v>43982.489514696761</c:v>
                </c:pt>
                <c:pt idx="3243">
                  <c:v>44001.16442226051</c:v>
                </c:pt>
                <c:pt idx="3244">
                  <c:v>44019.841488107253</c:v>
                </c:pt>
                <c:pt idx="3245">
                  <c:v>44038.520711849516</c:v>
                </c:pt>
                <c:pt idx="3246">
                  <c:v>44057.202093099993</c:v>
                </c:pt>
                <c:pt idx="3247">
                  <c:v>44075.885631471625</c:v>
                </c:pt>
                <c:pt idx="3248">
                  <c:v>44094.571326577592</c:v>
                </c:pt>
                <c:pt idx="3249">
                  <c:v>44113.259178031163</c:v>
                </c:pt>
                <c:pt idx="3250">
                  <c:v>44131.949185445897</c:v>
                </c:pt>
                <c:pt idx="3251">
                  <c:v>44150.641348435514</c:v>
                </c:pt>
                <c:pt idx="3252">
                  <c:v>44169.335666613988</c:v>
                </c:pt>
                <c:pt idx="3253">
                  <c:v>44188.032139595351</c:v>
                </c:pt>
                <c:pt idx="3254">
                  <c:v>44206.730766993991</c:v>
                </c:pt>
                <c:pt idx="3255">
                  <c:v>44225.431548424429</c:v>
                </c:pt>
                <c:pt idx="3256">
                  <c:v>44244.134483501337</c:v>
                </c:pt>
                <c:pt idx="3257">
                  <c:v>44262.83957183965</c:v>
                </c:pt>
                <c:pt idx="3258">
                  <c:v>44281.54681305449</c:v>
                </c:pt>
                <c:pt idx="3259">
                  <c:v>44300.256206761143</c:v>
                </c:pt>
                <c:pt idx="3260">
                  <c:v>44318.967752575132</c:v>
                </c:pt>
                <c:pt idx="3261">
                  <c:v>44337.681450112141</c:v>
                </c:pt>
                <c:pt idx="3262">
                  <c:v>44356.397298988057</c:v>
                </c:pt>
                <c:pt idx="3263">
                  <c:v>44375.11529881903</c:v>
                </c:pt>
                <c:pt idx="3264">
                  <c:v>44393.835449221267</c:v>
                </c:pt>
                <c:pt idx="3265">
                  <c:v>44412.557749811283</c:v>
                </c:pt>
                <c:pt idx="3266">
                  <c:v>44431.282200205795</c:v>
                </c:pt>
                <c:pt idx="3267">
                  <c:v>44450.00880002162</c:v>
                </c:pt>
                <c:pt idx="3268">
                  <c:v>44468.737548875855</c:v>
                </c:pt>
                <c:pt idx="3269">
                  <c:v>44487.468446385756</c:v>
                </c:pt>
                <c:pt idx="3270">
                  <c:v>44506.20149216881</c:v>
                </c:pt>
                <c:pt idx="3271">
                  <c:v>44524.936685842651</c:v>
                </c:pt>
                <c:pt idx="3272">
                  <c:v>44543.674027025103</c:v>
                </c:pt>
                <c:pt idx="3273">
                  <c:v>44562.41351533428</c:v>
                </c:pt>
                <c:pt idx="3274">
                  <c:v>44581.155150388353</c:v>
                </c:pt>
                <c:pt idx="3275">
                  <c:v>44599.898931805772</c:v>
                </c:pt>
                <c:pt idx="3276">
                  <c:v>44618.64485920516</c:v>
                </c:pt>
                <c:pt idx="3277">
                  <c:v>44637.392932205388</c:v>
                </c:pt>
                <c:pt idx="3278">
                  <c:v>44656.1431504254</c:v>
                </c:pt>
                <c:pt idx="3279">
                  <c:v>44674.895513484415</c:v>
                </c:pt>
                <c:pt idx="3280">
                  <c:v>44693.6500210019</c:v>
                </c:pt>
                <c:pt idx="3281">
                  <c:v>44712.406672597368</c:v>
                </c:pt>
                <c:pt idx="3282">
                  <c:v>44731.165467890649</c:v>
                </c:pt>
                <c:pt idx="3283">
                  <c:v>44749.926406501698</c:v>
                </c:pt>
                <c:pt idx="3284">
                  <c:v>44768.689488050732</c:v>
                </c:pt>
                <c:pt idx="3285">
                  <c:v>44787.454712158069</c:v>
                </c:pt>
                <c:pt idx="3286">
                  <c:v>44806.222078444276</c:v>
                </c:pt>
                <c:pt idx="3287">
                  <c:v>44824.99158653013</c:v>
                </c:pt>
                <c:pt idx="3288">
                  <c:v>44843.763236036539</c:v>
                </c:pt>
                <c:pt idx="3289">
                  <c:v>44862.53702658465</c:v>
                </c:pt>
                <c:pt idx="3290">
                  <c:v>44881.312957795803</c:v>
                </c:pt>
                <c:pt idx="3291">
                  <c:v>44900.091029291492</c:v>
                </c:pt>
                <c:pt idx="3292">
                  <c:v>44918.87124069345</c:v>
                </c:pt>
                <c:pt idx="3293">
                  <c:v>44937.653591623544</c:v>
                </c:pt>
                <c:pt idx="3294">
                  <c:v>44956.438081703891</c:v>
                </c:pt>
                <c:pt idx="3295">
                  <c:v>44975.22471055678</c:v>
                </c:pt>
                <c:pt idx="3296">
                  <c:v>44994.013477804634</c:v>
                </c:pt>
                <c:pt idx="3297">
                  <c:v>45012.804383070179</c:v>
                </c:pt>
                <c:pt idx="3298">
                  <c:v>45031.597425976252</c:v>
                </c:pt>
                <c:pt idx="3299">
                  <c:v>45050.392606145848</c:v>
                </c:pt>
                <c:pt idx="3300">
                  <c:v>45069.189923202284</c:v>
                </c:pt>
                <c:pt idx="3301">
                  <c:v>45087.989376768906</c:v>
                </c:pt>
                <c:pt idx="3302">
                  <c:v>45106.790966469373</c:v>
                </c:pt>
                <c:pt idx="3303">
                  <c:v>45125.594691927472</c:v>
                </c:pt>
                <c:pt idx="3304">
                  <c:v>45144.400552767183</c:v>
                </c:pt>
                <c:pt idx="3305">
                  <c:v>45163.208548612762</c:v>
                </c:pt>
                <c:pt idx="3306">
                  <c:v>45182.018679088491</c:v>
                </c:pt>
                <c:pt idx="3307">
                  <c:v>45200.830943818975</c:v>
                </c:pt>
                <c:pt idx="3308">
                  <c:v>45219.645342428943</c:v>
                </c:pt>
                <c:pt idx="3309">
                  <c:v>45238.461874543362</c:v>
                </c:pt>
                <c:pt idx="3310">
                  <c:v>45257.280539787324</c:v>
                </c:pt>
                <c:pt idx="3311">
                  <c:v>45276.101337786182</c:v>
                </c:pt>
                <c:pt idx="3312">
                  <c:v>45294.9242681654</c:v>
                </c:pt>
                <c:pt idx="3313">
                  <c:v>45313.749330550723</c:v>
                </c:pt>
                <c:pt idx="3314">
                  <c:v>45332.576524567987</c:v>
                </c:pt>
                <c:pt idx="3315">
                  <c:v>45351.405849843264</c:v>
                </c:pt>
                <c:pt idx="3316">
                  <c:v>45370.237306002833</c:v>
                </c:pt>
                <c:pt idx="3317">
                  <c:v>45389.070892673102</c:v>
                </c:pt>
                <c:pt idx="3318">
                  <c:v>45407.906609480757</c:v>
                </c:pt>
                <c:pt idx="3319">
                  <c:v>45426.744456052547</c:v>
                </c:pt>
                <c:pt idx="3320">
                  <c:v>45445.58443201553</c:v>
                </c:pt>
                <c:pt idx="3321">
                  <c:v>45464.426536996885</c:v>
                </c:pt>
                <c:pt idx="3322">
                  <c:v>45483.270770623945</c:v>
                </c:pt>
                <c:pt idx="3323">
                  <c:v>45502.117132524356</c:v>
                </c:pt>
                <c:pt idx="3324">
                  <c:v>45520.965622325835</c:v>
                </c:pt>
                <c:pt idx="3325">
                  <c:v>45539.816239656284</c:v>
                </c:pt>
                <c:pt idx="3326">
                  <c:v>45558.668984143849</c:v>
                </c:pt>
                <c:pt idx="3327">
                  <c:v>45577.523855416861</c:v>
                </c:pt>
                <c:pt idx="3328">
                  <c:v>45596.380853103779</c:v>
                </c:pt>
                <c:pt idx="3329">
                  <c:v>45615.239976833342</c:v>
                </c:pt>
                <c:pt idx="3330">
                  <c:v>45634.101226234365</c:v>
                </c:pt>
                <c:pt idx="3331">
                  <c:v>45652.964600935913</c:v>
                </c:pt>
                <c:pt idx="3332">
                  <c:v>45671.830100567233</c:v>
                </c:pt>
                <c:pt idx="3333">
                  <c:v>45690.697724757709</c:v>
                </c:pt>
                <c:pt idx="3334">
                  <c:v>45709.567473137024</c:v>
                </c:pt>
                <c:pt idx="3335">
                  <c:v>45728.439345334904</c:v>
                </c:pt>
                <c:pt idx="3336">
                  <c:v>45747.313340981331</c:v>
                </c:pt>
                <c:pt idx="3337">
                  <c:v>45766.189459706511</c:v>
                </c:pt>
                <c:pt idx="3338">
                  <c:v>45785.067701140768</c:v>
                </c:pt>
                <c:pt idx="3339">
                  <c:v>45803.948064914577</c:v>
                </c:pt>
                <c:pt idx="3340">
                  <c:v>45822.830550658749</c:v>
                </c:pt>
                <c:pt idx="3341">
                  <c:v>45841.715158004103</c:v>
                </c:pt>
                <c:pt idx="3342">
                  <c:v>45860.601886581775</c:v>
                </c:pt>
                <c:pt idx="3343">
                  <c:v>45879.490736022999</c:v>
                </c:pt>
                <c:pt idx="3344">
                  <c:v>45898.381705959204</c:v>
                </c:pt>
                <c:pt idx="3345">
                  <c:v>45917.274796022073</c:v>
                </c:pt>
                <c:pt idx="3346">
                  <c:v>45936.170005843378</c:v>
                </c:pt>
                <c:pt idx="3347">
                  <c:v>45955.067335055137</c:v>
                </c:pt>
                <c:pt idx="3348">
                  <c:v>45973.96678328955</c:v>
                </c:pt>
                <c:pt idx="3349">
                  <c:v>45992.868350178935</c:v>
                </c:pt>
                <c:pt idx="3350">
                  <c:v>46011.77203535584</c:v>
                </c:pt>
                <c:pt idx="3351">
                  <c:v>46030.677838453033</c:v>
                </c:pt>
                <c:pt idx="3352">
                  <c:v>46049.585759103415</c:v>
                </c:pt>
                <c:pt idx="3353">
                  <c:v>46068.495796940057</c:v>
                </c:pt>
                <c:pt idx="3354">
                  <c:v>46087.407951596229</c:v>
                </c:pt>
                <c:pt idx="3355">
                  <c:v>46106.322222705428</c:v>
                </c:pt>
                <c:pt idx="3356">
                  <c:v>46125.238609901244</c:v>
                </c:pt>
                <c:pt idx="3357">
                  <c:v>46144.157112817506</c:v>
                </c:pt>
                <c:pt idx="3358">
                  <c:v>46163.07773108824</c:v>
                </c:pt>
                <c:pt idx="3359">
                  <c:v>46182.000464347613</c:v>
                </c:pt>
                <c:pt idx="3360">
                  <c:v>46200.925312229971</c:v>
                </c:pt>
                <c:pt idx="3361">
                  <c:v>46219.852274369885</c:v>
                </c:pt>
                <c:pt idx="3362">
                  <c:v>46238.78135040206</c:v>
                </c:pt>
                <c:pt idx="3363">
                  <c:v>46257.712539961423</c:v>
                </c:pt>
                <c:pt idx="3364">
                  <c:v>46276.645842683029</c:v>
                </c:pt>
                <c:pt idx="3365">
                  <c:v>46295.581258202154</c:v>
                </c:pt>
                <c:pt idx="3366">
                  <c:v>46314.518786154265</c:v>
                </c:pt>
                <c:pt idx="3367">
                  <c:v>46333.458426174977</c:v>
                </c:pt>
                <c:pt idx="3368">
                  <c:v>46352.400177900068</c:v>
                </c:pt>
                <c:pt idx="3369">
                  <c:v>46371.344040965552</c:v>
                </c:pt>
                <c:pt idx="3370">
                  <c:v>46390.290015007573</c:v>
                </c:pt>
                <c:pt idx="3371">
                  <c:v>46409.238099662529</c:v>
                </c:pt>
                <c:pt idx="3372">
                  <c:v>46428.188294566862</c:v>
                </c:pt>
                <c:pt idx="3373">
                  <c:v>46447.140599357357</c:v>
                </c:pt>
                <c:pt idx="3374">
                  <c:v>46466.095013670827</c:v>
                </c:pt>
                <c:pt idx="3375">
                  <c:v>46485.051537144362</c:v>
                </c:pt>
                <c:pt idx="3376">
                  <c:v>46504.010169415196</c:v>
                </c:pt>
                <c:pt idx="3377">
                  <c:v>46522.970910120785</c:v>
                </c:pt>
                <c:pt idx="3378">
                  <c:v>46541.93375889866</c:v>
                </c:pt>
                <c:pt idx="3379">
                  <c:v>46560.898715386618</c:v>
                </c:pt>
                <c:pt idx="3380">
                  <c:v>46579.865779222651</c:v>
                </c:pt>
                <c:pt idx="3381">
                  <c:v>46598.834950044853</c:v>
                </c:pt>
                <c:pt idx="3382">
                  <c:v>46617.806227491528</c:v>
                </c:pt>
                <c:pt idx="3383">
                  <c:v>46636.779611201186</c:v>
                </c:pt>
                <c:pt idx="3384">
                  <c:v>46655.755100812472</c:v>
                </c:pt>
                <c:pt idx="3385">
                  <c:v>46674.732695964238</c:v>
                </c:pt>
                <c:pt idx="3386">
                  <c:v>46693.712396295487</c:v>
                </c:pt>
                <c:pt idx="3387">
                  <c:v>46712.694201445411</c:v>
                </c:pt>
                <c:pt idx="3388">
                  <c:v>46731.678111053428</c:v>
                </c:pt>
                <c:pt idx="3389">
                  <c:v>46750.66412475906</c:v>
                </c:pt>
                <c:pt idx="3390">
                  <c:v>46769.652242202006</c:v>
                </c:pt>
                <c:pt idx="3391">
                  <c:v>46788.642463022188</c:v>
                </c:pt>
                <c:pt idx="3392">
                  <c:v>46807.634786859708</c:v>
                </c:pt>
                <c:pt idx="3393">
                  <c:v>46826.629213354798</c:v>
                </c:pt>
                <c:pt idx="3394">
                  <c:v>46845.62574214788</c:v>
                </c:pt>
                <c:pt idx="3395">
                  <c:v>46864.624372879596</c:v>
                </c:pt>
                <c:pt idx="3396">
                  <c:v>46883.625105190702</c:v>
                </c:pt>
                <c:pt idx="3397">
                  <c:v>46902.627938722173</c:v>
                </c:pt>
                <c:pt idx="3398">
                  <c:v>46921.632873115122</c:v>
                </c:pt>
                <c:pt idx="3399">
                  <c:v>46940.63990801086</c:v>
                </c:pt>
                <c:pt idx="3400">
                  <c:v>46959.649043050893</c:v>
                </c:pt>
                <c:pt idx="3401">
                  <c:v>46978.660277876887</c:v>
                </c:pt>
                <c:pt idx="3402">
                  <c:v>46997.673612130653</c:v>
                </c:pt>
                <c:pt idx="3403">
                  <c:v>47016.689045454208</c:v>
                </c:pt>
                <c:pt idx="3404">
                  <c:v>47035.706577489749</c:v>
                </c:pt>
                <c:pt idx="3405">
                  <c:v>47054.726207879634</c:v>
                </c:pt>
                <c:pt idx="3406">
                  <c:v>47073.747936266373</c:v>
                </c:pt>
                <c:pt idx="3407">
                  <c:v>47092.771762292672</c:v>
                </c:pt>
                <c:pt idx="3408">
                  <c:v>47111.797685601472</c:v>
                </c:pt>
                <c:pt idx="3409">
                  <c:v>47130.82570583577</c:v>
                </c:pt>
                <c:pt idx="3410">
                  <c:v>47149.855822638841</c:v>
                </c:pt>
                <c:pt idx="3411">
                  <c:v>47168.888035654039</c:v>
                </c:pt>
                <c:pt idx="3412">
                  <c:v>47187.922344524966</c:v>
                </c:pt>
                <c:pt idx="3413">
                  <c:v>47206.958748895413</c:v>
                </c:pt>
                <c:pt idx="3414">
                  <c:v>47225.997248409221</c:v>
                </c:pt>
                <c:pt idx="3415">
                  <c:v>47245.037842710575</c:v>
                </c:pt>
                <c:pt idx="3416">
                  <c:v>47264.080531443666</c:v>
                </c:pt>
                <c:pt idx="3417">
                  <c:v>47283.125314253004</c:v>
                </c:pt>
                <c:pt idx="3418">
                  <c:v>47302.172190783174</c:v>
                </c:pt>
                <c:pt idx="3419">
                  <c:v>47321.22116067895</c:v>
                </c:pt>
                <c:pt idx="3420">
                  <c:v>47340.272223585343</c:v>
                </c:pt>
                <c:pt idx="3421">
                  <c:v>47359.325379147442</c:v>
                </c:pt>
                <c:pt idx="3422">
                  <c:v>47378.380627010571</c:v>
                </c:pt>
                <c:pt idx="3423">
                  <c:v>47397.437966820216</c:v>
                </c:pt>
                <c:pt idx="3424">
                  <c:v>47416.497398222025</c:v>
                </c:pt>
                <c:pt idx="3425">
                  <c:v>47435.558920861775</c:v>
                </c:pt>
                <c:pt idx="3426">
                  <c:v>47454.622534385533</c:v>
                </c:pt>
                <c:pt idx="3427">
                  <c:v>47473.688238439434</c:v>
                </c:pt>
                <c:pt idx="3428">
                  <c:v>47492.756032669771</c:v>
                </c:pt>
                <c:pt idx="3429">
                  <c:v>47511.825916723115</c:v>
                </c:pt>
                <c:pt idx="3430">
                  <c:v>47530.897890246153</c:v>
                </c:pt>
                <c:pt idx="3431">
                  <c:v>47549.971952885673</c:v>
                </c:pt>
                <c:pt idx="3432">
                  <c:v>47569.048104288726</c:v>
                </c:pt>
                <c:pt idx="3433">
                  <c:v>47588.126344102493</c:v>
                </c:pt>
                <c:pt idx="3434">
                  <c:v>47607.206671974389</c:v>
                </c:pt>
                <c:pt idx="3435">
                  <c:v>47626.289087551871</c:v>
                </c:pt>
                <c:pt idx="3436">
                  <c:v>47645.37359048269</c:v>
                </c:pt>
                <c:pt idx="3437">
                  <c:v>47664.46018041471</c:v>
                </c:pt>
                <c:pt idx="3438">
                  <c:v>47683.548856995985</c:v>
                </c:pt>
                <c:pt idx="3439">
                  <c:v>47702.63961987471</c:v>
                </c:pt>
                <c:pt idx="3440">
                  <c:v>47721.732468699265</c:v>
                </c:pt>
                <c:pt idx="3441">
                  <c:v>47740.827403118223</c:v>
                </c:pt>
                <c:pt idx="3442">
                  <c:v>47759.924422780277</c:v>
                </c:pt>
                <c:pt idx="3443">
                  <c:v>47779.023527334357</c:v>
                </c:pt>
                <c:pt idx="3444">
                  <c:v>47798.124716429491</c:v>
                </c:pt>
                <c:pt idx="3445">
                  <c:v>47817.227989714942</c:v>
                </c:pt>
                <c:pt idx="3446">
                  <c:v>47836.333346840067</c:v>
                </c:pt>
                <c:pt idx="3447">
                  <c:v>47855.44078745447</c:v>
                </c:pt>
                <c:pt idx="3448">
                  <c:v>47874.550311207888</c:v>
                </c:pt>
                <c:pt idx="3449">
                  <c:v>47893.661917750171</c:v>
                </c:pt>
                <c:pt idx="3450">
                  <c:v>47912.775606731484</c:v>
                </c:pt>
                <c:pt idx="3451">
                  <c:v>47931.891377801978</c:v>
                </c:pt>
                <c:pt idx="3452">
                  <c:v>47951.009230612151</c:v>
                </c:pt>
                <c:pt idx="3453">
                  <c:v>47970.12916481249</c:v>
                </c:pt>
                <c:pt idx="3454">
                  <c:v>47989.25118005379</c:v>
                </c:pt>
                <c:pt idx="3455">
                  <c:v>48008.375275986997</c:v>
                </c:pt>
                <c:pt idx="3456">
                  <c:v>48027.501452263154</c:v>
                </c:pt>
                <c:pt idx="3457">
                  <c:v>48046.629708533495</c:v>
                </c:pt>
                <c:pt idx="3458">
                  <c:v>48065.760044449446</c:v>
                </c:pt>
                <c:pt idx="3459">
                  <c:v>48084.892459662631</c:v>
                </c:pt>
                <c:pt idx="3460">
                  <c:v>48104.026953824752</c:v>
                </c:pt>
                <c:pt idx="3461">
                  <c:v>48123.163526587727</c:v>
                </c:pt>
                <c:pt idx="3462">
                  <c:v>48142.302177603677</c:v>
                </c:pt>
                <c:pt idx="3463">
                  <c:v>48161.442906524855</c:v>
                </c:pt>
                <c:pt idx="3464">
                  <c:v>48180.585713003631</c:v>
                </c:pt>
                <c:pt idx="3465">
                  <c:v>48199.730596692636</c:v>
                </c:pt>
                <c:pt idx="3466">
                  <c:v>48218.877557244603</c:v>
                </c:pt>
                <c:pt idx="3467">
                  <c:v>48238.02659431244</c:v>
                </c:pt>
                <c:pt idx="3468">
                  <c:v>48257.17770754925</c:v>
                </c:pt>
                <c:pt idx="3469">
                  <c:v>48276.330896608255</c:v>
                </c:pt>
                <c:pt idx="3470">
                  <c:v>48295.486161142908</c:v>
                </c:pt>
                <c:pt idx="3471">
                  <c:v>48314.643500806749</c:v>
                </c:pt>
                <c:pt idx="3472">
                  <c:v>48333.802915253575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3-4F9D-A7B1-A26A39C60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3632"/>
        <c:axId val="805854192"/>
      </c:scatterChart>
      <c:valAx>
        <c:axId val="80585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Qout [L/s]</a:t>
                </a:r>
              </a:p>
            </c:rich>
          </c:tx>
          <c:layout>
            <c:manualLayout>
              <c:xMode val="edge"/>
              <c:yMode val="edge"/>
              <c:x val="0.49884102564102561"/>
              <c:y val="0.895698611111110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54192"/>
        <c:crosses val="autoZero"/>
        <c:crossBetween val="midCat"/>
      </c:valAx>
      <c:valAx>
        <c:axId val="805854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2S/t + Qout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5363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System outlet flow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472249068201901"/>
          <c:y val="0.11415555555555555"/>
          <c:w val="0.83505537166383281"/>
          <c:h val="0.6199055555555556"/>
        </c:manualLayout>
      </c:layout>
      <c:scatterChart>
        <c:scatterStyle val="lineMarker"/>
        <c:varyColors val="0"/>
        <c:ser>
          <c:idx val="0"/>
          <c:order val="0"/>
          <c:tx>
            <c:v>Hydrograph without LID practice</c:v>
          </c:tx>
          <c:spPr>
            <a:ln w="285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[0]!Vazao_secao_i</c:f>
              <c:numCache>
                <c:formatCode>0.0</c:formatCode>
                <c:ptCount val="55"/>
                <c:pt idx="0">
                  <c:v>0</c:v>
                </c:pt>
                <c:pt idx="1">
                  <c:v>27.8779057228077</c:v>
                </c:pt>
                <c:pt idx="2">
                  <c:v>55.7558114456154</c:v>
                </c:pt>
                <c:pt idx="3">
                  <c:v>83.633717168423104</c:v>
                </c:pt>
                <c:pt idx="4">
                  <c:v>111.5116228912308</c:v>
                </c:pt>
                <c:pt idx="5">
                  <c:v>139.38952861403851</c:v>
                </c:pt>
                <c:pt idx="6">
                  <c:v>167.26743433684621</c:v>
                </c:pt>
                <c:pt idx="7">
                  <c:v>195.1453400596539</c:v>
                </c:pt>
                <c:pt idx="8">
                  <c:v>223.0232457824616</c:v>
                </c:pt>
                <c:pt idx="9">
                  <c:v>250.9011515052693</c:v>
                </c:pt>
                <c:pt idx="10">
                  <c:v>278.77905722807702</c:v>
                </c:pt>
                <c:pt idx="11">
                  <c:v>306.65696295088469</c:v>
                </c:pt>
                <c:pt idx="12">
                  <c:v>334.53486867369242</c:v>
                </c:pt>
                <c:pt idx="13">
                  <c:v>362.41277439650008</c:v>
                </c:pt>
                <c:pt idx="14">
                  <c:v>390.29068011930781</c:v>
                </c:pt>
                <c:pt idx="15">
                  <c:v>418.16858584211548</c:v>
                </c:pt>
                <c:pt idx="16">
                  <c:v>446.0464915649232</c:v>
                </c:pt>
                <c:pt idx="17">
                  <c:v>473.92439728773093</c:v>
                </c:pt>
                <c:pt idx="18">
                  <c:v>501.80230301053859</c:v>
                </c:pt>
                <c:pt idx="19">
                  <c:v>529.68020873334626</c:v>
                </c:pt>
                <c:pt idx="20">
                  <c:v>557.55811445615404</c:v>
                </c:pt>
                <c:pt idx="21">
                  <c:v>585.43602017896171</c:v>
                </c:pt>
                <c:pt idx="22">
                  <c:v>613.31392590176938</c:v>
                </c:pt>
                <c:pt idx="23">
                  <c:v>613.31392590176938</c:v>
                </c:pt>
                <c:pt idx="24">
                  <c:v>613.31392590176938</c:v>
                </c:pt>
                <c:pt idx="25">
                  <c:v>613.31392590176938</c:v>
                </c:pt>
                <c:pt idx="26">
                  <c:v>613.31392590176938</c:v>
                </c:pt>
                <c:pt idx="27">
                  <c:v>613.31392590176938</c:v>
                </c:pt>
                <c:pt idx="28">
                  <c:v>613.31392590176938</c:v>
                </c:pt>
                <c:pt idx="29">
                  <c:v>613.31392590176938</c:v>
                </c:pt>
                <c:pt idx="30">
                  <c:v>613.31392590176938</c:v>
                </c:pt>
                <c:pt idx="31">
                  <c:v>613.31392590176938</c:v>
                </c:pt>
                <c:pt idx="32">
                  <c:v>613.31392590176938</c:v>
                </c:pt>
                <c:pt idx="33">
                  <c:v>585.43602017896171</c:v>
                </c:pt>
                <c:pt idx="34">
                  <c:v>557.55811445615393</c:v>
                </c:pt>
                <c:pt idx="35">
                  <c:v>529.68020873334626</c:v>
                </c:pt>
                <c:pt idx="36">
                  <c:v>501.80230301053859</c:v>
                </c:pt>
                <c:pt idx="37">
                  <c:v>473.92439728773087</c:v>
                </c:pt>
                <c:pt idx="38">
                  <c:v>446.04649156492314</c:v>
                </c:pt>
                <c:pt idx="39">
                  <c:v>418.16858584211548</c:v>
                </c:pt>
                <c:pt idx="40">
                  <c:v>390.29068011930781</c:v>
                </c:pt>
                <c:pt idx="41">
                  <c:v>362.41277439650008</c:v>
                </c:pt>
                <c:pt idx="42">
                  <c:v>334.53486867369236</c:v>
                </c:pt>
                <c:pt idx="43">
                  <c:v>306.65696295088469</c:v>
                </c:pt>
                <c:pt idx="44">
                  <c:v>278.77905722807697</c:v>
                </c:pt>
                <c:pt idx="45">
                  <c:v>250.9011515052693</c:v>
                </c:pt>
                <c:pt idx="46">
                  <c:v>223.02324578246157</c:v>
                </c:pt>
                <c:pt idx="47">
                  <c:v>195.1453400596539</c:v>
                </c:pt>
                <c:pt idx="48">
                  <c:v>167.26743433684618</c:v>
                </c:pt>
                <c:pt idx="49">
                  <c:v>139.38952861403845</c:v>
                </c:pt>
                <c:pt idx="50">
                  <c:v>111.51162289123079</c:v>
                </c:pt>
                <c:pt idx="51">
                  <c:v>83.633717168423118</c:v>
                </c:pt>
                <c:pt idx="52">
                  <c:v>55.755811445615336</c:v>
                </c:pt>
                <c:pt idx="53">
                  <c:v>27.877905722807668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47-4956-A894-1698CBB07078}"/>
            </c:ext>
          </c:extLst>
        </c:ser>
        <c:ser>
          <c:idx val="1"/>
          <c:order val="1"/>
          <c:tx>
            <c:v>Hydrograph with LID practice</c:v>
          </c:tx>
          <c:spPr>
            <a:ln w="1905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[0]!Qsis_efl</c:f>
              <c:numCache>
                <c:formatCode>0.00</c:formatCode>
                <c:ptCount val="91"/>
                <c:pt idx="0">
                  <c:v>0</c:v>
                </c:pt>
                <c:pt idx="1">
                  <c:v>26.357292683381825</c:v>
                </c:pt>
                <c:pt idx="2">
                  <c:v>52.71458536676365</c:v>
                </c:pt>
                <c:pt idx="3">
                  <c:v>79.071878050145486</c:v>
                </c:pt>
                <c:pt idx="4">
                  <c:v>105.4291707335273</c:v>
                </c:pt>
                <c:pt idx="5">
                  <c:v>135.6893641085729</c:v>
                </c:pt>
                <c:pt idx="6">
                  <c:v>164.06706535819583</c:v>
                </c:pt>
                <c:pt idx="7">
                  <c:v>192.03386802701843</c:v>
                </c:pt>
                <c:pt idx="8">
                  <c:v>219.81411912024583</c:v>
                </c:pt>
                <c:pt idx="9">
                  <c:v>247.39740909363178</c:v>
                </c:pt>
                <c:pt idx="10">
                  <c:v>274.76785042364315</c:v>
                </c:pt>
                <c:pt idx="11">
                  <c:v>302.0539189266276</c:v>
                </c:pt>
                <c:pt idx="12">
                  <c:v>329.2040537704429</c:v>
                </c:pt>
                <c:pt idx="13">
                  <c:v>356.30825996976608</c:v>
                </c:pt>
                <c:pt idx="14">
                  <c:v>383.31077148232407</c:v>
                </c:pt>
                <c:pt idx="15">
                  <c:v>410.28541763676122</c:v>
                </c:pt>
                <c:pt idx="16">
                  <c:v>437.23552431650887</c:v>
                </c:pt>
                <c:pt idx="17">
                  <c:v>464.13403505662643</c:v>
                </c:pt>
                <c:pt idx="18">
                  <c:v>490.99093022972716</c:v>
                </c:pt>
                <c:pt idx="19">
                  <c:v>517.83318762162446</c:v>
                </c:pt>
                <c:pt idx="20">
                  <c:v>544.662023089537</c:v>
                </c:pt>
                <c:pt idx="21">
                  <c:v>571.42805413948588</c:v>
                </c:pt>
                <c:pt idx="22">
                  <c:v>598.18497033081826</c:v>
                </c:pt>
                <c:pt idx="23">
                  <c:v>598.57606286161331</c:v>
                </c:pt>
                <c:pt idx="24">
                  <c:v>598.95914849996598</c:v>
                </c:pt>
                <c:pt idx="25">
                  <c:v>599.33469977154846</c:v>
                </c:pt>
                <c:pt idx="26">
                  <c:v>599.70314447662201</c:v>
                </c:pt>
                <c:pt idx="27">
                  <c:v>602.56191606212133</c:v>
                </c:pt>
                <c:pt idx="28">
                  <c:v>606.72090306965367</c:v>
                </c:pt>
                <c:pt idx="29">
                  <c:v>610.08446084104492</c:v>
                </c:pt>
                <c:pt idx="30">
                  <c:v>612.87164644958443</c:v>
                </c:pt>
                <c:pt idx="31">
                  <c:v>614.84548865792328</c:v>
                </c:pt>
                <c:pt idx="32">
                  <c:v>615.86545545777278</c:v>
                </c:pt>
                <c:pt idx="33">
                  <c:v>589.50816277439105</c:v>
                </c:pt>
                <c:pt idx="34">
                  <c:v>562.1309032911596</c:v>
                </c:pt>
                <c:pt idx="35">
                  <c:v>532.84696378073772</c:v>
                </c:pt>
                <c:pt idx="36">
                  <c:v>503.7750643913858</c:v>
                </c:pt>
                <c:pt idx="37">
                  <c:v>474.1622396659148</c:v>
                </c:pt>
                <c:pt idx="38">
                  <c:v>444.41815996183038</c:v>
                </c:pt>
                <c:pt idx="39">
                  <c:v>415.3849213546294</c:v>
                </c:pt>
                <c:pt idx="40">
                  <c:v>388.56911990751081</c:v>
                </c:pt>
                <c:pt idx="41">
                  <c:v>361.83809108649251</c:v>
                </c:pt>
                <c:pt idx="42">
                  <c:v>335.0996388013636</c:v>
                </c:pt>
                <c:pt idx="43">
                  <c:v>308.35330230036897</c:v>
                </c:pt>
                <c:pt idx="44">
                  <c:v>281.64872881404011</c:v>
                </c:pt>
                <c:pt idx="45">
                  <c:v>254.93735120101854</c:v>
                </c:pt>
                <c:pt idx="46">
                  <c:v>228.21875313307194</c:v>
                </c:pt>
                <c:pt idx="47">
                  <c:v>201.49247400954161</c:v>
                </c:pt>
                <c:pt idx="48">
                  <c:v>174.75800207171528</c:v>
                </c:pt>
                <c:pt idx="49">
                  <c:v>148.01476607589623</c:v>
                </c:pt>
                <c:pt idx="50">
                  <c:v>121.26212513832455</c:v>
                </c:pt>
                <c:pt idx="51">
                  <c:v>94.473982094313982</c:v>
                </c:pt>
                <c:pt idx="52">
                  <c:v>67.700949434174277</c:v>
                </c:pt>
                <c:pt idx="53">
                  <c:v>40.977902156550471</c:v>
                </c:pt>
                <c:pt idx="54">
                  <c:v>14.24546716583353</c:v>
                </c:pt>
                <c:pt idx="55">
                  <c:v>13.860174897120629</c:v>
                </c:pt>
                <c:pt idx="56">
                  <c:v>13.463861317790839</c:v>
                </c:pt>
                <c:pt idx="57">
                  <c:v>13.055522777378014</c:v>
                </c:pt>
                <c:pt idx="58">
                  <c:v>12.633993366967061</c:v>
                </c:pt>
                <c:pt idx="59">
                  <c:v>12.197905631808249</c:v>
                </c:pt>
                <c:pt idx="60">
                  <c:v>11.745638135428445</c:v>
                </c:pt>
                <c:pt idx="61">
                  <c:v>11.354996391311948</c:v>
                </c:pt>
                <c:pt idx="62">
                  <c:v>10.950427885931386</c:v>
                </c:pt>
                <c:pt idx="63">
                  <c:v>10.530327569608653</c:v>
                </c:pt>
                <c:pt idx="64">
                  <c:v>10.092756142973853</c:v>
                </c:pt>
                <c:pt idx="65">
                  <c:v>9.6353336423713323</c:v>
                </c:pt>
                <c:pt idx="66">
                  <c:v>9.1550850481079173</c:v>
                </c:pt>
                <c:pt idx="67">
                  <c:v>8.7519326156404045</c:v>
                </c:pt>
                <c:pt idx="68">
                  <c:v>8.3292896923646094</c:v>
                </c:pt>
                <c:pt idx="69">
                  <c:v>7.8840223902493092</c:v>
                </c:pt>
                <c:pt idx="70">
                  <c:v>7.4120544601732066</c:v>
                </c:pt>
                <c:pt idx="71">
                  <c:v>6.9079152854674328</c:v>
                </c:pt>
                <c:pt idx="72">
                  <c:v>6.3639638482486456</c:v>
                </c:pt>
                <c:pt idx="73">
                  <c:v>5.9233092579048678</c:v>
                </c:pt>
                <c:pt idx="74">
                  <c:v>5.447123026676314</c:v>
                </c:pt>
                <c:pt idx="75">
                  <c:v>4.9251097419969385</c:v>
                </c:pt>
                <c:pt idx="76">
                  <c:v>4.3407675212661374</c:v>
                </c:pt>
                <c:pt idx="77">
                  <c:v>3.9029006916637665</c:v>
                </c:pt>
                <c:pt idx="78">
                  <c:v>3.4092528425301705</c:v>
                </c:pt>
                <c:pt idx="79">
                  <c:v>2.8307907163212538</c:v>
                </c:pt>
                <c:pt idx="80">
                  <c:v>2.0985107135588175</c:v>
                </c:pt>
                <c:pt idx="81">
                  <c:v>1.6121205856189567</c:v>
                </c:pt>
                <c:pt idx="82">
                  <c:v>0.89113318321768431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47-4956-A894-1698CBB0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856992"/>
        <c:axId val="806412208"/>
      </c:scatterChart>
      <c:valAx>
        <c:axId val="805856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Tempo [min]</a:t>
                </a:r>
              </a:p>
            </c:rich>
          </c:tx>
          <c:layout>
            <c:manualLayout>
              <c:xMode val="edge"/>
              <c:yMode val="edge"/>
              <c:x val="0.48476797272332883"/>
              <c:y val="0.80799791666666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412208"/>
        <c:crosses val="autoZero"/>
        <c:crossBetween val="midCat"/>
      </c:valAx>
      <c:valAx>
        <c:axId val="806412208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585699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5.8338281581916354E-2"/>
          <c:y val="0.88363686534216335"/>
          <c:w val="0.90793244748475044"/>
          <c:h val="8.0559970566593087E-2"/>
        </c:manualLayout>
      </c:layout>
      <c:overlay val="0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95000"/>
        </a:scheme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ysClr val="windowText" lastClr="000000"/>
                </a:solidFill>
              </a:rPr>
              <a:t>Simulação das soluções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234569249034511"/>
          <c:y val="0.11613887693518571"/>
          <c:w val="0.75504050728494299"/>
          <c:h val="0.56941544639196151"/>
        </c:manualLayout>
      </c:layout>
      <c:scatterChart>
        <c:scatterStyle val="lineMarker"/>
        <c:varyColors val="0"/>
        <c:ser>
          <c:idx val="0"/>
          <c:order val="0"/>
          <c:tx>
            <c:v>Hidrograma de saída 2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Simulação!$AH$5:$AH$125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0.20411711317205333</c:v>
                </c:pt>
                <c:pt idx="4">
                  <c:v>0.33255506306761479</c:v>
                </c:pt>
                <c:pt idx="5">
                  <c:v>0.44999811341995838</c:v>
                </c:pt>
                <c:pt idx="6" formatCode="0.00%">
                  <c:v>0.55652610559560256</c:v>
                </c:pt>
                <c:pt idx="7">
                  <c:v>0.66326515690536458</c:v>
                </c:pt>
                <c:pt idx="8">
                  <c:v>0.76513894328955523</c:v>
                </c:pt>
                <c:pt idx="9">
                  <c:v>0.85942615896943209</c:v>
                </c:pt>
                <c:pt idx="10">
                  <c:v>0.94434582802257661</c:v>
                </c:pt>
                <c:pt idx="11">
                  <c:v>1.0184821928130139</c:v>
                </c:pt>
                <c:pt idx="12">
                  <c:v>1.082564749323599</c:v>
                </c:pt>
                <c:pt idx="13">
                  <c:v>1.1439129906772101</c:v>
                </c:pt>
                <c:pt idx="14">
                  <c:v>1.2021345282463571</c:v>
                </c:pt>
                <c:pt idx="15">
                  <c:v>1.2576636743438621</c:v>
                </c:pt>
                <c:pt idx="16">
                  <c:v>1.3079449723751992</c:v>
                </c:pt>
                <c:pt idx="17">
                  <c:v>1.3500841272771666</c:v>
                </c:pt>
                <c:pt idx="18">
                  <c:v>1.3966164772378267</c:v>
                </c:pt>
                <c:pt idx="19">
                  <c:v>1.4390377887494317</c:v>
                </c:pt>
                <c:pt idx="20">
                  <c:v>1.480243875314305</c:v>
                </c:pt>
                <c:pt idx="21">
                  <c:v>1.520333550035047</c:v>
                </c:pt>
                <c:pt idx="22">
                  <c:v>1.5521399288359254</c:v>
                </c:pt>
                <c:pt idx="23">
                  <c:v>1.5900673372546896</c:v>
                </c:pt>
                <c:pt idx="24">
                  <c:v>1.6248204298250337</c:v>
                </c:pt>
                <c:pt idx="25">
                  <c:v>1.6588455990083573</c:v>
                </c:pt>
                <c:pt idx="26">
                  <c:v>1.692186754918612</c:v>
                </c:pt>
                <c:pt idx="27">
                  <c:v>1.7141366248514127</c:v>
                </c:pt>
                <c:pt idx="28">
                  <c:v>1.7439173714260592</c:v>
                </c:pt>
                <c:pt idx="29">
                  <c:v>1.7731980228012201</c:v>
                </c:pt>
                <c:pt idx="30">
                  <c:v>1.8020029572036607</c:v>
                </c:pt>
                <c:pt idx="31">
                  <c:v>1.8303546343469395</c:v>
                </c:pt>
                <c:pt idx="32">
                  <c:v>1.8582738003803154</c:v>
                </c:pt>
                <c:pt idx="33">
                  <c:v>2.018640394175383</c:v>
                </c:pt>
                <c:pt idx="34">
                  <c:v>2.2350706597772709</c:v>
                </c:pt>
                <c:pt idx="35">
                  <c:v>2.3635144850544241</c:v>
                </c:pt>
                <c:pt idx="36">
                  <c:v>2.4517857747747969</c:v>
                </c:pt>
                <c:pt idx="37">
                  <c:v>2.4967365462236923</c:v>
                </c:pt>
                <c:pt idx="38">
                  <c:v>2.5054454538656419</c:v>
                </c:pt>
                <c:pt idx="39">
                  <c:v>2.4879386997855439</c:v>
                </c:pt>
                <c:pt idx="40">
                  <c:v>2.4424868574957515</c:v>
                </c:pt>
                <c:pt idx="41">
                  <c:v>2.3635144850544241</c:v>
                </c:pt>
                <c:pt idx="42">
                  <c:v>2.2481640365759255</c:v>
                </c:pt>
                <c:pt idx="43">
                  <c:v>2.018640394175383</c:v>
                </c:pt>
                <c:pt idx="44">
                  <c:v>1.8582738003803154</c:v>
                </c:pt>
                <c:pt idx="45">
                  <c:v>1.8343691029900564</c:v>
                </c:pt>
                <c:pt idx="46">
                  <c:v>1.8101487493654185</c:v>
                </c:pt>
                <c:pt idx="47">
                  <c:v>1.7855998946163256</c:v>
                </c:pt>
                <c:pt idx="48">
                  <c:v>1.7607087983191538</c:v>
                </c:pt>
                <c:pt idx="49">
                  <c:v>1.735460734589845</c:v>
                </c:pt>
                <c:pt idx="50">
                  <c:v>1.7098398902025207</c:v>
                </c:pt>
                <c:pt idx="51">
                  <c:v>1.6965827376852747</c:v>
                </c:pt>
                <c:pt idx="52">
                  <c:v>1.6722618330328627</c:v>
                </c:pt>
                <c:pt idx="53">
                  <c:v>1.6475819526279107</c:v>
                </c:pt>
                <c:pt idx="54">
                  <c:v>1.622526715660475</c:v>
                </c:pt>
                <c:pt idx="55">
                  <c:v>1.5970784562565286</c:v>
                </c:pt>
                <c:pt idx="56">
                  <c:v>1.5712180777490772</c:v>
                </c:pt>
                <c:pt idx="57">
                  <c:v>1.5473336377126667</c:v>
                </c:pt>
                <c:pt idx="58">
                  <c:v>1.5301918659440499</c:v>
                </c:pt>
                <c:pt idx="59">
                  <c:v>1.5054250358298888</c:v>
                </c:pt>
                <c:pt idx="60">
                  <c:v>1.480243875314305</c:v>
                </c:pt>
                <c:pt idx="61">
                  <c:v>1.4546268670375921</c:v>
                </c:pt>
                <c:pt idx="62">
                  <c:v>1.4285505641067417</c:v>
                </c:pt>
                <c:pt idx="63">
                  <c:v>1.4019893388010405</c:v>
                </c:pt>
                <c:pt idx="64">
                  <c:v>1.3776464563971627</c:v>
                </c:pt>
                <c:pt idx="65">
                  <c:v>1.352865629519628</c:v>
                </c:pt>
                <c:pt idx="66">
                  <c:v>1.3276223349459815</c:v>
                </c:pt>
                <c:pt idx="67">
                  <c:v>1.3079449723751992</c:v>
                </c:pt>
                <c:pt idx="68">
                  <c:v>1.2815712246615691</c:v>
                </c:pt>
                <c:pt idx="69">
                  <c:v>1.2546431990807378</c:v>
                </c:pt>
                <c:pt idx="70">
                  <c:v>1.2302124494911835</c:v>
                </c:pt>
                <c:pt idx="71">
                  <c:v>1.2052865986007841</c:v>
                </c:pt>
                <c:pt idx="72">
                  <c:v>1.1798342674503897</c:v>
                </c:pt>
                <c:pt idx="73">
                  <c:v>1.1538206154050759</c:v>
                </c:pt>
                <c:pt idx="74">
                  <c:v>1.127206780682807</c:v>
                </c:pt>
                <c:pt idx="75">
                  <c:v>1.0999491989636829</c:v>
                </c:pt>
                <c:pt idx="76">
                  <c:v>1.0805116099480354</c:v>
                </c:pt>
                <c:pt idx="77">
                  <c:v>1.0554116908432236</c:v>
                </c:pt>
                <c:pt idx="78">
                  <c:v>1.0297001190174786</c:v>
                </c:pt>
                <c:pt idx="79">
                  <c:v>1.0033298724949171</c:v>
                </c:pt>
                <c:pt idx="80">
                  <c:v>0.97624757668161388</c:v>
                </c:pt>
                <c:pt idx="81">
                  <c:v>0.94839223368434444</c:v>
                </c:pt>
                <c:pt idx="82">
                  <c:v>0.92384799228984193</c:v>
                </c:pt>
                <c:pt idx="83">
                  <c:v>0.89863362768325328</c:v>
                </c:pt>
                <c:pt idx="84">
                  <c:v>0.87269105687428461</c:v>
                </c:pt>
                <c:pt idx="85">
                  <c:v>0.84595328753634358</c:v>
                </c:pt>
                <c:pt idx="86">
                  <c:v>0.8183423786159062</c:v>
                </c:pt>
                <c:pt idx="87">
                  <c:v>0.78976675834320276</c:v>
                </c:pt>
                <c:pt idx="88">
                  <c:v>0.76513894328955523</c:v>
                </c:pt>
                <c:pt idx="89">
                  <c:v>0.73969160634184816</c:v>
                </c:pt>
                <c:pt idx="90">
                  <c:v>0.71333704687679744</c:v>
                </c:pt>
                <c:pt idx="91">
                  <c:v>0.68597070812188232</c:v>
                </c:pt>
                <c:pt idx="92">
                  <c:v>0.65746625948071513</c:v>
                </c:pt>
                <c:pt idx="93">
                  <c:v>0.62766866443203095</c:v>
                </c:pt>
                <c:pt idx="94">
                  <c:v>0.60277094179576263</c:v>
                </c:pt>
                <c:pt idx="95">
                  <c:v>0.57679950089854604</c:v>
                </c:pt>
                <c:pt idx="96">
                  <c:v>0.54960214719401623</c:v>
                </c:pt>
                <c:pt idx="97">
                  <c:v>0.52098692513702693</c:v>
                </c:pt>
                <c:pt idx="98">
                  <c:v>0.4907058509200754</c:v>
                </c:pt>
                <c:pt idx="99">
                  <c:v>0.45842893461326856</c:v>
                </c:pt>
                <c:pt idx="100">
                  <c:v>0.43264388365404211</c:v>
                </c:pt>
                <c:pt idx="101">
                  <c:v>0.40522138644924488</c:v>
                </c:pt>
                <c:pt idx="102">
                  <c:v>0.3758031585929581</c:v>
                </c:pt>
                <c:pt idx="103">
                  <c:v>0.34387738509683924</c:v>
                </c:pt>
                <c:pt idx="104">
                  <c:v>0.3086669693271954</c:v>
                </c:pt>
                <c:pt idx="105">
                  <c:v>0.282767971905176</c:v>
                </c:pt>
                <c:pt idx="106">
                  <c:v>0.25424428000861093</c:v>
                </c:pt>
                <c:pt idx="107">
                  <c:v>0.22208687916855316</c:v>
                </c:pt>
                <c:pt idx="108">
                  <c:v>0.18440447359149972</c:v>
                </c:pt>
                <c:pt idx="109">
                  <c:v>0.1367020038707871</c:v>
                </c:pt>
                <c:pt idx="110">
                  <c:v>0.10501738833714151</c:v>
                </c:pt>
                <c:pt idx="111">
                  <c:v>5.8050545596223892E-2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2-44D4-A79E-D0C412D0D17A}"/>
            </c:ext>
          </c:extLst>
        </c:ser>
        <c:ser>
          <c:idx val="2"/>
          <c:order val="2"/>
          <c:tx>
            <c:v>Hidrograma afluente</c:v>
          </c:tx>
          <c:spPr>
            <a:ln w="31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[0]!Tempo_afluente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[0]!Vazao_afluente</c:f>
              <c:numCache>
                <c:formatCode>0.00</c:formatCode>
                <c:ptCount val="106"/>
                <c:pt idx="0">
                  <c:v>0</c:v>
                </c:pt>
                <c:pt idx="1">
                  <c:v>5.117411171832984</c:v>
                </c:pt>
                <c:pt idx="2">
                  <c:v>10.234822343665968</c:v>
                </c:pt>
                <c:pt idx="3">
                  <c:v>15.352233515498952</c:v>
                </c:pt>
                <c:pt idx="4">
                  <c:v>20.469644687331936</c:v>
                </c:pt>
                <c:pt idx="5">
                  <c:v>25.58705585916492</c:v>
                </c:pt>
                <c:pt idx="6">
                  <c:v>30.704467030997904</c:v>
                </c:pt>
                <c:pt idx="7">
                  <c:v>35.821878202830888</c:v>
                </c:pt>
                <c:pt idx="8">
                  <c:v>40.939289374663872</c:v>
                </c:pt>
                <c:pt idx="9">
                  <c:v>40.939289374663872</c:v>
                </c:pt>
                <c:pt idx="10">
                  <c:v>40.939289374663872</c:v>
                </c:pt>
                <c:pt idx="11">
                  <c:v>40.939289374663872</c:v>
                </c:pt>
                <c:pt idx="12">
                  <c:v>40.939289374663872</c:v>
                </c:pt>
                <c:pt idx="13">
                  <c:v>40.939289374663872</c:v>
                </c:pt>
                <c:pt idx="14">
                  <c:v>40.939289374663872</c:v>
                </c:pt>
                <c:pt idx="15">
                  <c:v>40.939289374663872</c:v>
                </c:pt>
                <c:pt idx="16">
                  <c:v>40.939289374663872</c:v>
                </c:pt>
                <c:pt idx="17">
                  <c:v>40.939289374663872</c:v>
                </c:pt>
                <c:pt idx="18">
                  <c:v>40.939289374663872</c:v>
                </c:pt>
                <c:pt idx="19">
                  <c:v>40.939289374663872</c:v>
                </c:pt>
                <c:pt idx="20">
                  <c:v>40.939289374663872</c:v>
                </c:pt>
                <c:pt idx="21">
                  <c:v>40.939289374663872</c:v>
                </c:pt>
                <c:pt idx="22">
                  <c:v>40.939289374663872</c:v>
                </c:pt>
                <c:pt idx="23">
                  <c:v>40.939289374663872</c:v>
                </c:pt>
                <c:pt idx="24">
                  <c:v>40.939289374663872</c:v>
                </c:pt>
                <c:pt idx="25">
                  <c:v>40.939289374663872</c:v>
                </c:pt>
                <c:pt idx="26">
                  <c:v>40.939289374663872</c:v>
                </c:pt>
                <c:pt idx="27">
                  <c:v>40.939289374663872</c:v>
                </c:pt>
                <c:pt idx="28">
                  <c:v>40.939289374663872</c:v>
                </c:pt>
                <c:pt idx="29">
                  <c:v>40.939289374663872</c:v>
                </c:pt>
                <c:pt idx="30">
                  <c:v>40.939289374663872</c:v>
                </c:pt>
                <c:pt idx="31">
                  <c:v>40.939289374663872</c:v>
                </c:pt>
                <c:pt idx="32">
                  <c:v>40.939289374663872</c:v>
                </c:pt>
                <c:pt idx="33">
                  <c:v>35.821878202830888</c:v>
                </c:pt>
                <c:pt idx="34">
                  <c:v>30.704467030997904</c:v>
                </c:pt>
                <c:pt idx="35">
                  <c:v>25.58705585916492</c:v>
                </c:pt>
                <c:pt idx="36">
                  <c:v>20.469644687331936</c:v>
                </c:pt>
                <c:pt idx="37">
                  <c:v>15.352233515498952</c:v>
                </c:pt>
                <c:pt idx="38">
                  <c:v>10.234822343665968</c:v>
                </c:pt>
                <c:pt idx="39">
                  <c:v>5.117411171832984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E2-44D4-A79E-D0C412D0D17A}"/>
            </c:ext>
          </c:extLst>
        </c:ser>
        <c:ser>
          <c:idx val="3"/>
          <c:order val="3"/>
          <c:tx>
            <c:v>Hidrograma de referência do lote</c:v>
          </c:tx>
          <c:spPr>
            <a:ln w="317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[0]!Tempo_sistema_i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[0]!Vazao_ref_i</c:f>
              <c:numCache>
                <c:formatCode>0.00</c:formatCode>
                <c:ptCount val="55"/>
                <c:pt idx="0">
                  <c:v>0</c:v>
                </c:pt>
                <c:pt idx="1">
                  <c:v>1.5206130394258743</c:v>
                </c:pt>
                <c:pt idx="2">
                  <c:v>3.0412260788517487</c:v>
                </c:pt>
                <c:pt idx="3">
                  <c:v>4.5618391182776232</c:v>
                </c:pt>
                <c:pt idx="4">
                  <c:v>6.0824521577034973</c:v>
                </c:pt>
                <c:pt idx="5">
                  <c:v>7.6030651971293715</c:v>
                </c:pt>
                <c:pt idx="6">
                  <c:v>9.1236782365552465</c:v>
                </c:pt>
                <c:pt idx="7">
                  <c:v>10.64429127598112</c:v>
                </c:pt>
                <c:pt idx="8">
                  <c:v>12.164904315406995</c:v>
                </c:pt>
                <c:pt idx="9">
                  <c:v>13.685517354832871</c:v>
                </c:pt>
                <c:pt idx="10">
                  <c:v>15.206130394258743</c:v>
                </c:pt>
                <c:pt idx="11">
                  <c:v>16.726743433684618</c:v>
                </c:pt>
                <c:pt idx="12">
                  <c:v>18.247356473110493</c:v>
                </c:pt>
                <c:pt idx="13">
                  <c:v>19.767969512536364</c:v>
                </c:pt>
                <c:pt idx="14">
                  <c:v>21.288582551962239</c:v>
                </c:pt>
                <c:pt idx="15">
                  <c:v>22.809195591388114</c:v>
                </c:pt>
                <c:pt idx="16">
                  <c:v>24.329808630813989</c:v>
                </c:pt>
                <c:pt idx="17">
                  <c:v>25.850421670239868</c:v>
                </c:pt>
                <c:pt idx="18">
                  <c:v>27.371034709665743</c:v>
                </c:pt>
                <c:pt idx="19">
                  <c:v>28.891647749091611</c:v>
                </c:pt>
                <c:pt idx="20">
                  <c:v>30.412260788517486</c:v>
                </c:pt>
                <c:pt idx="21">
                  <c:v>31.932873827943364</c:v>
                </c:pt>
                <c:pt idx="22">
                  <c:v>33.453486867369236</c:v>
                </c:pt>
                <c:pt idx="23">
                  <c:v>33.453486867369236</c:v>
                </c:pt>
                <c:pt idx="24">
                  <c:v>33.453486867369236</c:v>
                </c:pt>
                <c:pt idx="25">
                  <c:v>33.453486867369236</c:v>
                </c:pt>
                <c:pt idx="26">
                  <c:v>33.453486867369236</c:v>
                </c:pt>
                <c:pt idx="27">
                  <c:v>33.453486867369236</c:v>
                </c:pt>
                <c:pt idx="28">
                  <c:v>33.453486867369236</c:v>
                </c:pt>
                <c:pt idx="29">
                  <c:v>33.453486867369236</c:v>
                </c:pt>
                <c:pt idx="30">
                  <c:v>33.453486867369236</c:v>
                </c:pt>
                <c:pt idx="31">
                  <c:v>33.453486867369236</c:v>
                </c:pt>
                <c:pt idx="32">
                  <c:v>33.453486867369236</c:v>
                </c:pt>
                <c:pt idx="33">
                  <c:v>31.932873827943364</c:v>
                </c:pt>
                <c:pt idx="34">
                  <c:v>30.412260788517482</c:v>
                </c:pt>
                <c:pt idx="35">
                  <c:v>28.891647749091611</c:v>
                </c:pt>
                <c:pt idx="36">
                  <c:v>27.371034709665743</c:v>
                </c:pt>
                <c:pt idx="37">
                  <c:v>25.850421670239861</c:v>
                </c:pt>
                <c:pt idx="38">
                  <c:v>24.329808630813986</c:v>
                </c:pt>
                <c:pt idx="39">
                  <c:v>22.809195591388114</c:v>
                </c:pt>
                <c:pt idx="40">
                  <c:v>21.288582551962239</c:v>
                </c:pt>
                <c:pt idx="41">
                  <c:v>19.767969512536364</c:v>
                </c:pt>
                <c:pt idx="42">
                  <c:v>18.247356473110489</c:v>
                </c:pt>
                <c:pt idx="43">
                  <c:v>16.726743433684618</c:v>
                </c:pt>
                <c:pt idx="44">
                  <c:v>15.206130394258741</c:v>
                </c:pt>
                <c:pt idx="45">
                  <c:v>13.685517354832871</c:v>
                </c:pt>
                <c:pt idx="46">
                  <c:v>12.164904315406993</c:v>
                </c:pt>
                <c:pt idx="47">
                  <c:v>10.64429127598112</c:v>
                </c:pt>
                <c:pt idx="48">
                  <c:v>9.1236782365552447</c:v>
                </c:pt>
                <c:pt idx="49">
                  <c:v>7.6030651971293697</c:v>
                </c:pt>
                <c:pt idx="50">
                  <c:v>6.0824521577034965</c:v>
                </c:pt>
                <c:pt idx="51">
                  <c:v>4.5618391182776241</c:v>
                </c:pt>
                <c:pt idx="52">
                  <c:v>3.0412260788517447</c:v>
                </c:pt>
                <c:pt idx="53">
                  <c:v>1.5206130394258723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E2-44D4-A79E-D0C412D0D17A}"/>
            </c:ext>
          </c:extLst>
        </c:ser>
        <c:ser>
          <c:idx val="4"/>
          <c:order val="4"/>
          <c:tx>
            <c:v>Hidrograma de saída 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Simulação!$AG$5:$AG$125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0.20411711317205333</c:v>
                </c:pt>
                <c:pt idx="4">
                  <c:v>0.33255506306761479</c:v>
                </c:pt>
                <c:pt idx="5">
                  <c:v>0.44999811341995838</c:v>
                </c:pt>
                <c:pt idx="6">
                  <c:v>0.55652610559560256</c:v>
                </c:pt>
                <c:pt idx="7">
                  <c:v>0.66326515690536458</c:v>
                </c:pt>
                <c:pt idx="8">
                  <c:v>0.76513894328955523</c:v>
                </c:pt>
                <c:pt idx="9">
                  <c:v>0.85942615896943209</c:v>
                </c:pt>
                <c:pt idx="10">
                  <c:v>0.94434582802257661</c:v>
                </c:pt>
                <c:pt idx="11">
                  <c:v>1.0184821928130139</c:v>
                </c:pt>
                <c:pt idx="12">
                  <c:v>1.082564749323599</c:v>
                </c:pt>
                <c:pt idx="13">
                  <c:v>1.1439129906772101</c:v>
                </c:pt>
                <c:pt idx="14">
                  <c:v>1.2021345282463571</c:v>
                </c:pt>
                <c:pt idx="15">
                  <c:v>1.2576636743438621</c:v>
                </c:pt>
                <c:pt idx="16">
                  <c:v>1.3079449723751992</c:v>
                </c:pt>
                <c:pt idx="17">
                  <c:v>1.3500841272771666</c:v>
                </c:pt>
                <c:pt idx="18">
                  <c:v>1.3966164772378267</c:v>
                </c:pt>
                <c:pt idx="19">
                  <c:v>1.4390377887494317</c:v>
                </c:pt>
                <c:pt idx="20">
                  <c:v>1.480243875314305</c:v>
                </c:pt>
                <c:pt idx="21">
                  <c:v>1.520333550035047</c:v>
                </c:pt>
                <c:pt idx="22">
                  <c:v>1.5521399288359254</c:v>
                </c:pt>
                <c:pt idx="23">
                  <c:v>1.5900673372546896</c:v>
                </c:pt>
                <c:pt idx="24">
                  <c:v>1.6248204298250337</c:v>
                </c:pt>
                <c:pt idx="25">
                  <c:v>1.6588455990083573</c:v>
                </c:pt>
                <c:pt idx="26">
                  <c:v>1.692186754918612</c:v>
                </c:pt>
                <c:pt idx="27">
                  <c:v>1.7141366248514127</c:v>
                </c:pt>
                <c:pt idx="28">
                  <c:v>1.7439173714260592</c:v>
                </c:pt>
                <c:pt idx="29">
                  <c:v>1.7731980228012201</c:v>
                </c:pt>
                <c:pt idx="30">
                  <c:v>1.8020029572036607</c:v>
                </c:pt>
                <c:pt idx="31">
                  <c:v>1.8303546343469395</c:v>
                </c:pt>
                <c:pt idx="32">
                  <c:v>1.8582738003803154</c:v>
                </c:pt>
                <c:pt idx="33">
                  <c:v>1.885779665518875</c:v>
                </c:pt>
                <c:pt idx="34">
                  <c:v>1.9109663569316047</c:v>
                </c:pt>
                <c:pt idx="35">
                  <c:v>1.9358253763613127</c:v>
                </c:pt>
                <c:pt idx="36">
                  <c:v>1.9566132575639879</c:v>
                </c:pt>
                <c:pt idx="37">
                  <c:v>2.2969992168274245</c:v>
                </c:pt>
                <c:pt idx="38">
                  <c:v>2.3516761689601116</c:v>
                </c:pt>
                <c:pt idx="39">
                  <c:v>2.3252571290066979</c:v>
                </c:pt>
                <c:pt idx="40">
                  <c:v>2.1947559869442812</c:v>
                </c:pt>
                <c:pt idx="41">
                  <c:v>1.9528501020677274</c:v>
                </c:pt>
                <c:pt idx="42">
                  <c:v>1.9377243991416917</c:v>
                </c:pt>
                <c:pt idx="43">
                  <c:v>1.9167316700879879</c:v>
                </c:pt>
                <c:pt idx="44">
                  <c:v>1.891621744609191</c:v>
                </c:pt>
                <c:pt idx="45">
                  <c:v>1.8661739882010873</c:v>
                </c:pt>
                <c:pt idx="46">
                  <c:v>1.8423717982706409</c:v>
                </c:pt>
                <c:pt idx="47">
                  <c:v>1.8182580487619575</c:v>
                </c:pt>
                <c:pt idx="48">
                  <c:v>1.7938201751324703</c:v>
                </c:pt>
                <c:pt idx="49">
                  <c:v>1.7690447449222224</c:v>
                </c:pt>
                <c:pt idx="50">
                  <c:v>1.7439173714260592</c:v>
                </c:pt>
                <c:pt idx="51">
                  <c:v>1.7184226160017271</c:v>
                </c:pt>
                <c:pt idx="52">
                  <c:v>1.7053407080085252</c:v>
                </c:pt>
                <c:pt idx="53">
                  <c:v>1.6811465084274442</c:v>
                </c:pt>
                <c:pt idx="54">
                  <c:v>1.6565989964999241</c:v>
                </c:pt>
                <c:pt idx="55">
                  <c:v>1.6316822262963229</c:v>
                </c:pt>
                <c:pt idx="56">
                  <c:v>1.6063790150578079</c:v>
                </c:pt>
                <c:pt idx="57">
                  <c:v>1.5806708045715472</c:v>
                </c:pt>
                <c:pt idx="58">
                  <c:v>1.5545375019058341</c:v>
                </c:pt>
                <c:pt idx="59">
                  <c:v>1.5303927546166831</c:v>
                </c:pt>
                <c:pt idx="60">
                  <c:v>1.5128976571244983</c:v>
                </c:pt>
                <c:pt idx="61">
                  <c:v>1.4878429731779108</c:v>
                </c:pt>
                <c:pt idx="62">
                  <c:v>1.4623590888482123</c:v>
                </c:pt>
                <c:pt idx="63">
                  <c:v>1.436423160715206</c:v>
                </c:pt>
                <c:pt idx="64">
                  <c:v>1.4100102441263156</c:v>
                </c:pt>
                <c:pt idx="65">
                  <c:v>1.3858082628029869</c:v>
                </c:pt>
                <c:pt idx="66">
                  <c:v>1.3611760334229048</c:v>
                </c:pt>
                <c:pt idx="67">
                  <c:v>1.3360897599625534</c:v>
                </c:pt>
                <c:pt idx="68">
                  <c:v>1.3166188260294733</c:v>
                </c:pt>
                <c:pt idx="69">
                  <c:v>1.2904223673566042</c:v>
                </c:pt>
                <c:pt idx="70">
                  <c:v>1.2636829662906817</c:v>
                </c:pt>
                <c:pt idx="71">
                  <c:v>1.2363653959943273</c:v>
                </c:pt>
                <c:pt idx="72">
                  <c:v>1.2115661378132687</c:v>
                </c:pt>
                <c:pt idx="73">
                  <c:v>1.1862485490736376</c:v>
                </c:pt>
                <c:pt idx="74">
                  <c:v>1.1603787028650863</c:v>
                </c:pt>
                <c:pt idx="75">
                  <c:v>1.1339188013021082</c:v>
                </c:pt>
                <c:pt idx="76">
                  <c:v>1.1068265274332558</c:v>
                </c:pt>
                <c:pt idx="77">
                  <c:v>1.0840498721191889</c:v>
                </c:pt>
                <c:pt idx="78">
                  <c:v>1.0590338158801575</c:v>
                </c:pt>
                <c:pt idx="79">
                  <c:v>1.033412367408937</c:v>
                </c:pt>
                <c:pt idx="80">
                  <c:v>1.0071393245474038</c:v>
                </c:pt>
                <c:pt idx="81">
                  <c:v>0.98016229114665399</c:v>
                </c:pt>
                <c:pt idx="82">
                  <c:v>0.9524214481635298</c:v>
                </c:pt>
                <c:pt idx="83">
                  <c:v>0.92384799228984193</c:v>
                </c:pt>
                <c:pt idx="84">
                  <c:v>0.89863362768325328</c:v>
                </c:pt>
                <c:pt idx="85">
                  <c:v>0.87269105687428461</c:v>
                </c:pt>
                <c:pt idx="86">
                  <c:v>0.84595328753634358</c:v>
                </c:pt>
                <c:pt idx="87">
                  <c:v>0.8183423786159062</c:v>
                </c:pt>
                <c:pt idx="88">
                  <c:v>0.78976675834320276</c:v>
                </c:pt>
                <c:pt idx="89">
                  <c:v>0.76513894328955523</c:v>
                </c:pt>
                <c:pt idx="90">
                  <c:v>0.73969160634184816</c:v>
                </c:pt>
                <c:pt idx="91">
                  <c:v>0.71333704687679744</c:v>
                </c:pt>
                <c:pt idx="92">
                  <c:v>0.68597070812188232</c:v>
                </c:pt>
                <c:pt idx="93">
                  <c:v>0.65746625948071513</c:v>
                </c:pt>
                <c:pt idx="94">
                  <c:v>0.62766866443203095</c:v>
                </c:pt>
                <c:pt idx="95">
                  <c:v>0.60277094179576263</c:v>
                </c:pt>
                <c:pt idx="96">
                  <c:v>0.57679950089854604</c:v>
                </c:pt>
                <c:pt idx="97">
                  <c:v>0.54960214719401623</c:v>
                </c:pt>
                <c:pt idx="98">
                  <c:v>0.52098692513702693</c:v>
                </c:pt>
                <c:pt idx="99">
                  <c:v>0.4907058509200754</c:v>
                </c:pt>
                <c:pt idx="100">
                  <c:v>0.45842893461326856</c:v>
                </c:pt>
                <c:pt idx="101">
                  <c:v>0.43264388365404211</c:v>
                </c:pt>
                <c:pt idx="102">
                  <c:v>0.40522138644924488</c:v>
                </c:pt>
                <c:pt idx="103">
                  <c:v>0.3758031585929581</c:v>
                </c:pt>
                <c:pt idx="104">
                  <c:v>0.34387738509683924</c:v>
                </c:pt>
                <c:pt idx="105">
                  <c:v>0.3086669693271954</c:v>
                </c:pt>
                <c:pt idx="106">
                  <c:v>0.282767971905176</c:v>
                </c:pt>
                <c:pt idx="107">
                  <c:v>0.25424428000861093</c:v>
                </c:pt>
                <c:pt idx="108">
                  <c:v>0.22208687916855316</c:v>
                </c:pt>
                <c:pt idx="109">
                  <c:v>0.18440447359149972</c:v>
                </c:pt>
                <c:pt idx="110">
                  <c:v>0.1367020038707871</c:v>
                </c:pt>
                <c:pt idx="111">
                  <c:v>0.10501738833714151</c:v>
                </c:pt>
                <c:pt idx="112">
                  <c:v>5.8050545596223892E-2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E2-44D4-A79E-D0C412D0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24176"/>
        <c:axId val="884724736"/>
      </c:scatterChart>
      <c:scatterChart>
        <c:scatterStyle val="lineMarker"/>
        <c:varyColors val="0"/>
        <c:ser>
          <c:idx val="1"/>
          <c:order val="1"/>
          <c:tx>
            <c:v>Nível d'água no reservatório 2</c:v>
          </c:tx>
          <c:spPr>
            <a:ln w="19050" cap="rnd">
              <a:solidFill>
                <a:srgbClr val="FFFF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Simulação!$AJ$5:$AJ$125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5</c:v>
                </c:pt>
                <c:pt idx="5">
                  <c:v>8</c:v>
                </c:pt>
                <c:pt idx="6">
                  <c:v>11.5</c:v>
                </c:pt>
                <c:pt idx="7">
                  <c:v>15.75</c:v>
                </c:pt>
                <c:pt idx="8">
                  <c:v>20.5</c:v>
                </c:pt>
                <c:pt idx="9">
                  <c:v>25.5</c:v>
                </c:pt>
                <c:pt idx="10">
                  <c:v>30.5</c:v>
                </c:pt>
                <c:pt idx="11">
                  <c:v>35.25</c:v>
                </c:pt>
                <c:pt idx="12">
                  <c:v>40</c:v>
                </c:pt>
                <c:pt idx="13">
                  <c:v>44.5</c:v>
                </c:pt>
                <c:pt idx="14">
                  <c:v>49</c:v>
                </c:pt>
                <c:pt idx="15">
                  <c:v>53.5</c:v>
                </c:pt>
                <c:pt idx="16">
                  <c:v>57.75</c:v>
                </c:pt>
                <c:pt idx="17">
                  <c:v>62</c:v>
                </c:pt>
                <c:pt idx="18">
                  <c:v>66.25</c:v>
                </c:pt>
                <c:pt idx="19">
                  <c:v>70.25</c:v>
                </c:pt>
                <c:pt idx="20">
                  <c:v>74.25</c:v>
                </c:pt>
                <c:pt idx="21">
                  <c:v>78.25</c:v>
                </c:pt>
                <c:pt idx="22">
                  <c:v>82.25</c:v>
                </c:pt>
                <c:pt idx="23">
                  <c:v>86.25</c:v>
                </c:pt>
                <c:pt idx="24">
                  <c:v>90</c:v>
                </c:pt>
                <c:pt idx="25">
                  <c:v>93.75</c:v>
                </c:pt>
                <c:pt idx="26">
                  <c:v>97.5</c:v>
                </c:pt>
                <c:pt idx="27">
                  <c:v>101.25</c:v>
                </c:pt>
                <c:pt idx="28">
                  <c:v>104.75</c:v>
                </c:pt>
                <c:pt idx="29">
                  <c:v>108.25</c:v>
                </c:pt>
                <c:pt idx="30">
                  <c:v>111.75</c:v>
                </c:pt>
                <c:pt idx="31">
                  <c:v>115.25</c:v>
                </c:pt>
                <c:pt idx="32">
                  <c:v>118.75</c:v>
                </c:pt>
                <c:pt idx="33">
                  <c:v>122</c:v>
                </c:pt>
                <c:pt idx="34">
                  <c:v>125</c:v>
                </c:pt>
                <c:pt idx="35">
                  <c:v>127.75</c:v>
                </c:pt>
                <c:pt idx="36">
                  <c:v>130</c:v>
                </c:pt>
                <c:pt idx="37">
                  <c:v>131.25</c:v>
                </c:pt>
                <c:pt idx="38">
                  <c:v>131.5</c:v>
                </c:pt>
                <c:pt idx="39">
                  <c:v>131</c:v>
                </c:pt>
                <c:pt idx="40">
                  <c:v>129.75</c:v>
                </c:pt>
                <c:pt idx="41">
                  <c:v>127.75</c:v>
                </c:pt>
                <c:pt idx="42">
                  <c:v>125.25</c:v>
                </c:pt>
                <c:pt idx="43">
                  <c:v>122</c:v>
                </c:pt>
                <c:pt idx="44">
                  <c:v>118.75</c:v>
                </c:pt>
                <c:pt idx="45">
                  <c:v>115.75</c:v>
                </c:pt>
                <c:pt idx="46">
                  <c:v>112.75</c:v>
                </c:pt>
                <c:pt idx="47">
                  <c:v>109.75</c:v>
                </c:pt>
                <c:pt idx="48">
                  <c:v>106.75</c:v>
                </c:pt>
                <c:pt idx="49">
                  <c:v>103.75</c:v>
                </c:pt>
                <c:pt idx="50">
                  <c:v>100.75</c:v>
                </c:pt>
                <c:pt idx="51">
                  <c:v>98</c:v>
                </c:pt>
                <c:pt idx="52">
                  <c:v>95.25</c:v>
                </c:pt>
                <c:pt idx="53">
                  <c:v>92.5</c:v>
                </c:pt>
                <c:pt idx="54">
                  <c:v>89.75</c:v>
                </c:pt>
                <c:pt idx="55">
                  <c:v>87</c:v>
                </c:pt>
                <c:pt idx="56">
                  <c:v>84.25</c:v>
                </c:pt>
                <c:pt idx="57">
                  <c:v>81.75</c:v>
                </c:pt>
                <c:pt idx="58">
                  <c:v>79.25</c:v>
                </c:pt>
                <c:pt idx="59">
                  <c:v>76.75</c:v>
                </c:pt>
                <c:pt idx="60">
                  <c:v>74.25</c:v>
                </c:pt>
                <c:pt idx="61">
                  <c:v>71.75</c:v>
                </c:pt>
                <c:pt idx="62">
                  <c:v>69.25</c:v>
                </c:pt>
                <c:pt idx="63">
                  <c:v>66.75</c:v>
                </c:pt>
                <c:pt idx="64">
                  <c:v>64.5</c:v>
                </c:pt>
                <c:pt idx="65">
                  <c:v>62.25</c:v>
                </c:pt>
                <c:pt idx="66">
                  <c:v>60</c:v>
                </c:pt>
                <c:pt idx="67">
                  <c:v>57.75</c:v>
                </c:pt>
                <c:pt idx="68">
                  <c:v>55.5</c:v>
                </c:pt>
                <c:pt idx="69">
                  <c:v>53.25</c:v>
                </c:pt>
                <c:pt idx="70">
                  <c:v>51.25</c:v>
                </c:pt>
                <c:pt idx="71">
                  <c:v>49.25</c:v>
                </c:pt>
                <c:pt idx="72">
                  <c:v>47.25</c:v>
                </c:pt>
                <c:pt idx="73">
                  <c:v>45.25</c:v>
                </c:pt>
                <c:pt idx="74">
                  <c:v>43.25</c:v>
                </c:pt>
                <c:pt idx="75">
                  <c:v>41.25</c:v>
                </c:pt>
                <c:pt idx="76">
                  <c:v>39.5</c:v>
                </c:pt>
                <c:pt idx="77">
                  <c:v>37.75</c:v>
                </c:pt>
                <c:pt idx="78">
                  <c:v>36</c:v>
                </c:pt>
                <c:pt idx="79">
                  <c:v>34.25</c:v>
                </c:pt>
                <c:pt idx="80">
                  <c:v>32.5</c:v>
                </c:pt>
                <c:pt idx="81">
                  <c:v>30.75</c:v>
                </c:pt>
                <c:pt idx="82">
                  <c:v>29.25</c:v>
                </c:pt>
                <c:pt idx="83">
                  <c:v>27.75</c:v>
                </c:pt>
                <c:pt idx="84">
                  <c:v>26.25</c:v>
                </c:pt>
                <c:pt idx="85">
                  <c:v>24.75</c:v>
                </c:pt>
                <c:pt idx="86">
                  <c:v>23.25</c:v>
                </c:pt>
                <c:pt idx="87">
                  <c:v>21.75</c:v>
                </c:pt>
                <c:pt idx="88">
                  <c:v>20.5</c:v>
                </c:pt>
                <c:pt idx="89">
                  <c:v>19.25</c:v>
                </c:pt>
                <c:pt idx="90">
                  <c:v>18</c:v>
                </c:pt>
                <c:pt idx="91">
                  <c:v>16.75</c:v>
                </c:pt>
                <c:pt idx="92">
                  <c:v>15.5</c:v>
                </c:pt>
                <c:pt idx="93">
                  <c:v>14.25</c:v>
                </c:pt>
                <c:pt idx="94">
                  <c:v>13.25</c:v>
                </c:pt>
                <c:pt idx="95">
                  <c:v>12.25</c:v>
                </c:pt>
                <c:pt idx="96">
                  <c:v>11.25</c:v>
                </c:pt>
                <c:pt idx="97">
                  <c:v>10.25</c:v>
                </c:pt>
                <c:pt idx="98">
                  <c:v>9.25</c:v>
                </c:pt>
                <c:pt idx="99">
                  <c:v>8.25</c:v>
                </c:pt>
                <c:pt idx="100">
                  <c:v>7.5</c:v>
                </c:pt>
                <c:pt idx="101">
                  <c:v>6.75</c:v>
                </c:pt>
                <c:pt idx="102">
                  <c:v>6</c:v>
                </c:pt>
                <c:pt idx="103">
                  <c:v>5.25</c:v>
                </c:pt>
                <c:pt idx="104">
                  <c:v>4.5</c:v>
                </c:pt>
                <c:pt idx="105">
                  <c:v>4</c:v>
                </c:pt>
                <c:pt idx="106">
                  <c:v>3.5</c:v>
                </c:pt>
                <c:pt idx="107">
                  <c:v>3</c:v>
                </c:pt>
                <c:pt idx="108">
                  <c:v>2.5</c:v>
                </c:pt>
                <c:pt idx="109">
                  <c:v>2</c:v>
                </c:pt>
                <c:pt idx="110">
                  <c:v>1.75</c:v>
                </c:pt>
                <c:pt idx="111">
                  <c:v>1.5</c:v>
                </c:pt>
                <c:pt idx="112">
                  <c:v>1.25</c:v>
                </c:pt>
                <c:pt idx="113">
                  <c:v>1.25</c:v>
                </c:pt>
                <c:pt idx="114">
                  <c:v>1.25</c:v>
                </c:pt>
                <c:pt idx="115">
                  <c:v>1.25</c:v>
                </c:pt>
                <c:pt idx="116">
                  <c:v>1.25</c:v>
                </c:pt>
                <c:pt idx="117">
                  <c:v>1.25</c:v>
                </c:pt>
                <c:pt idx="118">
                  <c:v>1.25</c:v>
                </c:pt>
                <c:pt idx="119">
                  <c:v>1.25</c:v>
                </c:pt>
                <c:pt idx="12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E2-44D4-A79E-D0C412D0D17A}"/>
            </c:ext>
          </c:extLst>
        </c:ser>
        <c:ser>
          <c:idx val="5"/>
          <c:order val="5"/>
          <c:tx>
            <c:v>Nível d'água no reservatório 1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[0]!tempo_PULS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Simulação!$AI$5:$AI$125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2.75</c:v>
                </c:pt>
                <c:pt idx="4">
                  <c:v>5</c:v>
                </c:pt>
                <c:pt idx="5">
                  <c:v>8</c:v>
                </c:pt>
                <c:pt idx="6">
                  <c:v>11.5</c:v>
                </c:pt>
                <c:pt idx="7">
                  <c:v>15.75</c:v>
                </c:pt>
                <c:pt idx="8">
                  <c:v>20.5</c:v>
                </c:pt>
                <c:pt idx="9">
                  <c:v>25.5</c:v>
                </c:pt>
                <c:pt idx="10">
                  <c:v>30.5</c:v>
                </c:pt>
                <c:pt idx="11">
                  <c:v>35.25</c:v>
                </c:pt>
                <c:pt idx="12">
                  <c:v>40</c:v>
                </c:pt>
                <c:pt idx="13">
                  <c:v>44.5</c:v>
                </c:pt>
                <c:pt idx="14">
                  <c:v>49</c:v>
                </c:pt>
                <c:pt idx="15">
                  <c:v>53.5</c:v>
                </c:pt>
                <c:pt idx="16">
                  <c:v>57.75</c:v>
                </c:pt>
                <c:pt idx="17">
                  <c:v>62</c:v>
                </c:pt>
                <c:pt idx="18">
                  <c:v>66.25</c:v>
                </c:pt>
                <c:pt idx="19">
                  <c:v>70.25</c:v>
                </c:pt>
                <c:pt idx="20">
                  <c:v>74.25</c:v>
                </c:pt>
                <c:pt idx="21">
                  <c:v>78.25</c:v>
                </c:pt>
                <c:pt idx="22">
                  <c:v>82.25</c:v>
                </c:pt>
                <c:pt idx="23">
                  <c:v>86.25</c:v>
                </c:pt>
                <c:pt idx="24">
                  <c:v>90</c:v>
                </c:pt>
                <c:pt idx="25">
                  <c:v>93.75</c:v>
                </c:pt>
                <c:pt idx="26">
                  <c:v>97.5</c:v>
                </c:pt>
                <c:pt idx="27">
                  <c:v>101.25</c:v>
                </c:pt>
                <c:pt idx="28">
                  <c:v>104.75</c:v>
                </c:pt>
                <c:pt idx="29">
                  <c:v>108.25</c:v>
                </c:pt>
                <c:pt idx="30">
                  <c:v>111.75</c:v>
                </c:pt>
                <c:pt idx="31">
                  <c:v>115.25</c:v>
                </c:pt>
                <c:pt idx="32">
                  <c:v>118.75</c:v>
                </c:pt>
                <c:pt idx="33">
                  <c:v>122.25</c:v>
                </c:pt>
                <c:pt idx="34">
                  <c:v>125.5</c:v>
                </c:pt>
                <c:pt idx="35">
                  <c:v>128.75</c:v>
                </c:pt>
                <c:pt idx="36">
                  <c:v>131.5</c:v>
                </c:pt>
                <c:pt idx="37">
                  <c:v>133.25</c:v>
                </c:pt>
                <c:pt idx="38">
                  <c:v>133.75</c:v>
                </c:pt>
                <c:pt idx="39">
                  <c:v>133.5</c:v>
                </c:pt>
                <c:pt idx="40">
                  <c:v>132.5</c:v>
                </c:pt>
                <c:pt idx="41">
                  <c:v>131</c:v>
                </c:pt>
                <c:pt idx="42">
                  <c:v>129</c:v>
                </c:pt>
                <c:pt idx="43">
                  <c:v>126.25</c:v>
                </c:pt>
                <c:pt idx="44">
                  <c:v>123</c:v>
                </c:pt>
                <c:pt idx="45">
                  <c:v>119.75</c:v>
                </c:pt>
                <c:pt idx="46">
                  <c:v>116.75</c:v>
                </c:pt>
                <c:pt idx="47">
                  <c:v>113.75</c:v>
                </c:pt>
                <c:pt idx="48">
                  <c:v>110.75</c:v>
                </c:pt>
                <c:pt idx="49">
                  <c:v>107.75</c:v>
                </c:pt>
                <c:pt idx="50">
                  <c:v>104.75</c:v>
                </c:pt>
                <c:pt idx="51">
                  <c:v>101.75</c:v>
                </c:pt>
                <c:pt idx="52">
                  <c:v>99</c:v>
                </c:pt>
                <c:pt idx="53">
                  <c:v>96.25</c:v>
                </c:pt>
                <c:pt idx="54">
                  <c:v>93.5</c:v>
                </c:pt>
                <c:pt idx="55">
                  <c:v>90.75</c:v>
                </c:pt>
                <c:pt idx="56">
                  <c:v>88</c:v>
                </c:pt>
                <c:pt idx="57">
                  <c:v>85.25</c:v>
                </c:pt>
                <c:pt idx="58">
                  <c:v>82.5</c:v>
                </c:pt>
                <c:pt idx="59">
                  <c:v>80</c:v>
                </c:pt>
                <c:pt idx="60">
                  <c:v>77.5</c:v>
                </c:pt>
                <c:pt idx="61">
                  <c:v>75</c:v>
                </c:pt>
                <c:pt idx="62">
                  <c:v>72.5</c:v>
                </c:pt>
                <c:pt idx="63">
                  <c:v>70</c:v>
                </c:pt>
                <c:pt idx="64">
                  <c:v>67.5</c:v>
                </c:pt>
                <c:pt idx="65">
                  <c:v>65.25</c:v>
                </c:pt>
                <c:pt idx="66">
                  <c:v>63</c:v>
                </c:pt>
                <c:pt idx="67">
                  <c:v>60.75</c:v>
                </c:pt>
                <c:pt idx="68">
                  <c:v>58.5</c:v>
                </c:pt>
                <c:pt idx="69">
                  <c:v>56.25</c:v>
                </c:pt>
                <c:pt idx="70">
                  <c:v>54</c:v>
                </c:pt>
                <c:pt idx="71">
                  <c:v>51.75</c:v>
                </c:pt>
                <c:pt idx="72">
                  <c:v>49.75</c:v>
                </c:pt>
                <c:pt idx="73">
                  <c:v>47.75</c:v>
                </c:pt>
                <c:pt idx="74">
                  <c:v>45.75</c:v>
                </c:pt>
                <c:pt idx="75">
                  <c:v>43.75</c:v>
                </c:pt>
                <c:pt idx="76">
                  <c:v>41.75</c:v>
                </c:pt>
                <c:pt idx="77">
                  <c:v>39.75</c:v>
                </c:pt>
                <c:pt idx="78">
                  <c:v>38</c:v>
                </c:pt>
                <c:pt idx="79">
                  <c:v>36.25</c:v>
                </c:pt>
                <c:pt idx="80">
                  <c:v>34.5</c:v>
                </c:pt>
                <c:pt idx="81">
                  <c:v>32.75</c:v>
                </c:pt>
                <c:pt idx="82">
                  <c:v>31</c:v>
                </c:pt>
                <c:pt idx="83">
                  <c:v>29.25</c:v>
                </c:pt>
                <c:pt idx="84">
                  <c:v>27.75</c:v>
                </c:pt>
                <c:pt idx="85">
                  <c:v>26.25</c:v>
                </c:pt>
                <c:pt idx="86">
                  <c:v>24.75</c:v>
                </c:pt>
                <c:pt idx="87">
                  <c:v>23.25</c:v>
                </c:pt>
                <c:pt idx="88">
                  <c:v>21.75</c:v>
                </c:pt>
                <c:pt idx="89">
                  <c:v>20.5</c:v>
                </c:pt>
                <c:pt idx="90">
                  <c:v>19.25</c:v>
                </c:pt>
                <c:pt idx="91">
                  <c:v>18</c:v>
                </c:pt>
                <c:pt idx="92">
                  <c:v>16.75</c:v>
                </c:pt>
                <c:pt idx="93">
                  <c:v>15.5</c:v>
                </c:pt>
                <c:pt idx="94">
                  <c:v>14.25</c:v>
                </c:pt>
                <c:pt idx="95">
                  <c:v>13.25</c:v>
                </c:pt>
                <c:pt idx="96">
                  <c:v>12.25</c:v>
                </c:pt>
                <c:pt idx="97">
                  <c:v>11.25</c:v>
                </c:pt>
                <c:pt idx="98">
                  <c:v>10.25</c:v>
                </c:pt>
                <c:pt idx="99">
                  <c:v>9.25</c:v>
                </c:pt>
                <c:pt idx="100">
                  <c:v>8.25</c:v>
                </c:pt>
                <c:pt idx="101">
                  <c:v>7.5</c:v>
                </c:pt>
                <c:pt idx="102">
                  <c:v>6.75</c:v>
                </c:pt>
                <c:pt idx="103">
                  <c:v>6</c:v>
                </c:pt>
                <c:pt idx="104">
                  <c:v>5.25</c:v>
                </c:pt>
                <c:pt idx="105">
                  <c:v>4.5</c:v>
                </c:pt>
                <c:pt idx="106">
                  <c:v>4</c:v>
                </c:pt>
                <c:pt idx="107">
                  <c:v>3.5</c:v>
                </c:pt>
                <c:pt idx="108">
                  <c:v>3</c:v>
                </c:pt>
                <c:pt idx="109">
                  <c:v>2.5</c:v>
                </c:pt>
                <c:pt idx="110">
                  <c:v>2</c:v>
                </c:pt>
                <c:pt idx="111">
                  <c:v>1.75</c:v>
                </c:pt>
                <c:pt idx="112">
                  <c:v>1.5</c:v>
                </c:pt>
                <c:pt idx="113">
                  <c:v>1.25</c:v>
                </c:pt>
                <c:pt idx="114">
                  <c:v>1.25</c:v>
                </c:pt>
                <c:pt idx="115">
                  <c:v>1.25</c:v>
                </c:pt>
                <c:pt idx="116">
                  <c:v>1.25</c:v>
                </c:pt>
                <c:pt idx="117">
                  <c:v>1.25</c:v>
                </c:pt>
                <c:pt idx="118">
                  <c:v>1.25</c:v>
                </c:pt>
                <c:pt idx="119">
                  <c:v>1.25</c:v>
                </c:pt>
                <c:pt idx="12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E2-44D4-A79E-D0C412D0D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25856"/>
        <c:axId val="884725296"/>
      </c:scatterChart>
      <c:valAx>
        <c:axId val="88472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Tempo [min]</a:t>
                </a:r>
              </a:p>
            </c:rich>
          </c:tx>
          <c:layout>
            <c:manualLayout>
              <c:xMode val="edge"/>
              <c:yMode val="edge"/>
              <c:x val="0.43207301390473901"/>
              <c:y val="0.785152680183353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4724736"/>
        <c:crosses val="autoZero"/>
        <c:crossBetween val="midCat"/>
      </c:valAx>
      <c:valAx>
        <c:axId val="88472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Vazão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4724176"/>
        <c:crosses val="autoZero"/>
        <c:crossBetween val="midCat"/>
      </c:valAx>
      <c:valAx>
        <c:axId val="884725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Altura no reservatório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4725856"/>
        <c:crosses val="max"/>
        <c:crossBetween val="midCat"/>
      </c:valAx>
      <c:valAx>
        <c:axId val="88472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72529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6348840277114419E-2"/>
          <c:y val="0.84963181418956513"/>
          <c:w val="0.92004512819247586"/>
          <c:h val="0.15036860584752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bg1">
            <a:lumMod val="85000"/>
            <a:shade val="30000"/>
            <a:satMod val="115000"/>
          </a:schemeClr>
        </a:gs>
        <a:gs pos="50000">
          <a:schemeClr val="bg1">
            <a:lumMod val="85000"/>
            <a:shade val="67500"/>
            <a:satMod val="115000"/>
          </a:schemeClr>
        </a:gs>
        <a:gs pos="100000">
          <a:schemeClr val="bg1">
            <a:lumMod val="85000"/>
            <a:shade val="100000"/>
            <a:satMod val="115000"/>
          </a:schemeClr>
        </a:gs>
      </a:gsLst>
      <a:path path="circle">
        <a:fillToRect l="50000" t="50000" r="50000" b="50000"/>
      </a:path>
      <a:tileRect/>
    </a:gradFill>
    <a:ln w="19050" cap="flat" cmpd="sng" algn="ctr">
      <a:solidFill>
        <a:schemeClr val="bg1">
          <a:lumMod val="50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US" b="1"/>
              <a:t>System Hydrograph</a:t>
            </a:r>
          </a:p>
        </c:rich>
      </c:tx>
      <c:layout>
        <c:manualLayout>
          <c:xMode val="edge"/>
          <c:yMode val="edge"/>
          <c:x val="0.30767626615663918"/>
          <c:y val="1.67142791361606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965004374452"/>
          <c:y val="0.1191349043039544"/>
          <c:w val="0.78596128608923876"/>
          <c:h val="0.51621334539448882"/>
        </c:manualLayout>
      </c:layout>
      <c:scatterChart>
        <c:scatterStyle val="lineMarker"/>
        <c:varyColors val="0"/>
        <c:ser>
          <c:idx val="13"/>
          <c:order val="0"/>
          <c:tx>
            <c:v>Reference</c:v>
          </c:tx>
          <c:spPr>
            <a:ln w="254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'[1]10'!$T$5:$T$95</c:f>
              <c:numCache>
                <c:formatCode>General</c:formatCode>
                <c:ptCount val="91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246.27393835012197</c:v>
                </c:pt>
                <c:pt idx="13">
                  <c:v>266.79676654596545</c:v>
                </c:pt>
                <c:pt idx="14">
                  <c:v>287.319594741809</c:v>
                </c:pt>
                <c:pt idx="15">
                  <c:v>307.84242293765249</c:v>
                </c:pt>
                <c:pt idx="16">
                  <c:v>328.36525113349597</c:v>
                </c:pt>
                <c:pt idx="17">
                  <c:v>348.88807932933946</c:v>
                </c:pt>
                <c:pt idx="18">
                  <c:v>369.41090752518295</c:v>
                </c:pt>
                <c:pt idx="19">
                  <c:v>389.93373572102649</c:v>
                </c:pt>
                <c:pt idx="20">
                  <c:v>410.45656391686998</c:v>
                </c:pt>
                <c:pt idx="21">
                  <c:v>430.97939211271347</c:v>
                </c:pt>
                <c:pt idx="22">
                  <c:v>451.50222030855696</c:v>
                </c:pt>
                <c:pt idx="23">
                  <c:v>472.02504850440044</c:v>
                </c:pt>
                <c:pt idx="24">
                  <c:v>492.54787670024393</c:v>
                </c:pt>
                <c:pt idx="25">
                  <c:v>492.54787670024399</c:v>
                </c:pt>
                <c:pt idx="26">
                  <c:v>492.54787670024399</c:v>
                </c:pt>
                <c:pt idx="27">
                  <c:v>492.54787670024399</c:v>
                </c:pt>
                <c:pt idx="28">
                  <c:v>492.54787670024399</c:v>
                </c:pt>
                <c:pt idx="29">
                  <c:v>492.54787670024399</c:v>
                </c:pt>
                <c:pt idx="30">
                  <c:v>492.54787670024399</c:v>
                </c:pt>
                <c:pt idx="31">
                  <c:v>492.54787670024399</c:v>
                </c:pt>
                <c:pt idx="32">
                  <c:v>492.54787670024399</c:v>
                </c:pt>
                <c:pt idx="33">
                  <c:v>492.54787670024399</c:v>
                </c:pt>
                <c:pt idx="34">
                  <c:v>492.54787670024399</c:v>
                </c:pt>
                <c:pt idx="35">
                  <c:v>492.54787670024399</c:v>
                </c:pt>
                <c:pt idx="36">
                  <c:v>472.0250485044005</c:v>
                </c:pt>
                <c:pt idx="37">
                  <c:v>451.50222030855701</c:v>
                </c:pt>
                <c:pt idx="38">
                  <c:v>430.97939211271353</c:v>
                </c:pt>
                <c:pt idx="39">
                  <c:v>410.45656391686998</c:v>
                </c:pt>
                <c:pt idx="40">
                  <c:v>389.93373572102649</c:v>
                </c:pt>
                <c:pt idx="41">
                  <c:v>369.41090752518301</c:v>
                </c:pt>
                <c:pt idx="42">
                  <c:v>348.88807932933946</c:v>
                </c:pt>
                <c:pt idx="43">
                  <c:v>328.36525113349603</c:v>
                </c:pt>
                <c:pt idx="44">
                  <c:v>307.84242293765249</c:v>
                </c:pt>
                <c:pt idx="45">
                  <c:v>287.319594741809</c:v>
                </c:pt>
                <c:pt idx="46">
                  <c:v>266.79676654596551</c:v>
                </c:pt>
                <c:pt idx="47">
                  <c:v>246.27393835012202</c:v>
                </c:pt>
                <c:pt idx="48">
                  <c:v>225.75111015427854</c:v>
                </c:pt>
                <c:pt idx="49">
                  <c:v>205.22828195843499</c:v>
                </c:pt>
                <c:pt idx="50">
                  <c:v>184.7054537625915</c:v>
                </c:pt>
                <c:pt idx="51">
                  <c:v>164.18262556674802</c:v>
                </c:pt>
                <c:pt idx="52">
                  <c:v>143.65979737090453</c:v>
                </c:pt>
                <c:pt idx="53">
                  <c:v>123.13696917506104</c:v>
                </c:pt>
                <c:pt idx="54">
                  <c:v>102.6141409792175</c:v>
                </c:pt>
                <c:pt idx="55">
                  <c:v>82.091312783374008</c:v>
                </c:pt>
                <c:pt idx="56">
                  <c:v>61.56848458753052</c:v>
                </c:pt>
                <c:pt idx="57">
                  <c:v>41.045656391687032</c:v>
                </c:pt>
                <c:pt idx="58">
                  <c:v>20.522828195843545</c:v>
                </c:pt>
                <c:pt idx="59">
                  <c:v>5.6843418860808015E-14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66-4637-A377-A766D733BA09}"/>
            </c:ext>
          </c:extLst>
        </c:ser>
        <c:ser>
          <c:idx val="0"/>
          <c:order val="1"/>
          <c:tx>
            <c:v>With the reservoir</c:v>
          </c:tx>
          <c:spPr>
            <a:ln w="254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'[1]10'!$U$5:$U$95</c:f>
              <c:numCache>
                <c:formatCode>General</c:formatCode>
                <c:ptCount val="91"/>
                <c:pt idx="0">
                  <c:v>0</c:v>
                </c:pt>
                <c:pt idx="1">
                  <c:v>19.403401203342945</c:v>
                </c:pt>
                <c:pt idx="2">
                  <c:v>38.80680240668589</c:v>
                </c:pt>
                <c:pt idx="3">
                  <c:v>58.210203610028827</c:v>
                </c:pt>
                <c:pt idx="4">
                  <c:v>77.613604813371779</c:v>
                </c:pt>
                <c:pt idx="5">
                  <c:v>98.62912660233367</c:v>
                </c:pt>
                <c:pt idx="6">
                  <c:v>120.7611747413238</c:v>
                </c:pt>
                <c:pt idx="7">
                  <c:v>141.89755578373149</c:v>
                </c:pt>
                <c:pt idx="8">
                  <c:v>162.63926408691677</c:v>
                </c:pt>
                <c:pt idx="9">
                  <c:v>183.17383596138325</c:v>
                </c:pt>
                <c:pt idx="10">
                  <c:v>203.57522998332809</c:v>
                </c:pt>
                <c:pt idx="11">
                  <c:v>223.79493078966945</c:v>
                </c:pt>
                <c:pt idx="12">
                  <c:v>243.95483710293516</c:v>
                </c:pt>
                <c:pt idx="13">
                  <c:v>263.9898537788867</c:v>
                </c:pt>
                <c:pt idx="14">
                  <c:v>283.99259682520494</c:v>
                </c:pt>
                <c:pt idx="15">
                  <c:v>303.96755962000515</c:v>
                </c:pt>
                <c:pt idx="16">
                  <c:v>323.85108850940145</c:v>
                </c:pt>
                <c:pt idx="17">
                  <c:v>343.71799535395064</c:v>
                </c:pt>
                <c:pt idx="18">
                  <c:v>363.56989557515146</c:v>
                </c:pt>
                <c:pt idx="19">
                  <c:v>383.40815874306668</c:v>
                </c:pt>
                <c:pt idx="20">
                  <c:v>403.23395797341442</c:v>
                </c:pt>
                <c:pt idx="21">
                  <c:v>422.99026665260152</c:v>
                </c:pt>
                <c:pt idx="22">
                  <c:v>442.76486143843493</c:v>
                </c:pt>
                <c:pt idx="23">
                  <c:v>462.50653033587486</c:v>
                </c:pt>
                <c:pt idx="24">
                  <c:v>482.24129080908494</c:v>
                </c:pt>
                <c:pt idx="25">
                  <c:v>482.56614839380302</c:v>
                </c:pt>
                <c:pt idx="26">
                  <c:v>482.8848726211786</c:v>
                </c:pt>
                <c:pt idx="27">
                  <c:v>483.14603339958597</c:v>
                </c:pt>
                <c:pt idx="28">
                  <c:v>483.4033459308128</c:v>
                </c:pt>
                <c:pt idx="29">
                  <c:v>483.65697547566822</c:v>
                </c:pt>
                <c:pt idx="30">
                  <c:v>483.90707579467761</c:v>
                </c:pt>
                <c:pt idx="31">
                  <c:v>484.15379023824551</c:v>
                </c:pt>
                <c:pt idx="32">
                  <c:v>484.3972527074439</c:v>
                </c:pt>
                <c:pt idx="33">
                  <c:v>484.63758850370971</c:v>
                </c:pt>
                <c:pt idx="34">
                  <c:v>484.87491508275946</c:v>
                </c:pt>
                <c:pt idx="35">
                  <c:v>485.10934272559592</c:v>
                </c:pt>
                <c:pt idx="36">
                  <c:v>465.89146629934805</c:v>
                </c:pt>
                <c:pt idx="37">
                  <c:v>446.58017248074941</c:v>
                </c:pt>
                <c:pt idx="38">
                  <c:v>427.22266389629061</c:v>
                </c:pt>
                <c:pt idx="39">
                  <c:v>407.77337007406345</c:v>
                </c:pt>
                <c:pt idx="40">
                  <c:v>388.23164520368118</c:v>
                </c:pt>
                <c:pt idx="41">
                  <c:v>368.64227682382068</c:v>
                </c:pt>
                <c:pt idx="42">
                  <c:v>349.00387668914948</c:v>
                </c:pt>
                <c:pt idx="43">
                  <c:v>329.26654585426888</c:v>
                </c:pt>
                <c:pt idx="44">
                  <c:v>309.47410083331312</c:v>
                </c:pt>
                <c:pt idx="45">
                  <c:v>289.72341882702312</c:v>
                </c:pt>
                <c:pt idx="46">
                  <c:v>269.96593269404042</c:v>
                </c:pt>
                <c:pt idx="47">
                  <c:v>250.20122610613274</c:v>
                </c:pt>
                <c:pt idx="48">
                  <c:v>230.42883846264127</c:v>
                </c:pt>
                <c:pt idx="49">
                  <c:v>210.6482580048538</c:v>
                </c:pt>
                <c:pt idx="50">
                  <c:v>190.85891348907367</c:v>
                </c:pt>
                <c:pt idx="51">
                  <c:v>171.06016403154084</c:v>
                </c:pt>
                <c:pt idx="52">
                  <c:v>151.22591246756912</c:v>
                </c:pt>
                <c:pt idx="53">
                  <c:v>131.40677128746839</c:v>
                </c:pt>
                <c:pt idx="54">
                  <c:v>111.63761548988339</c:v>
                </c:pt>
                <c:pt idx="55">
                  <c:v>91.859071979205325</c:v>
                </c:pt>
                <c:pt idx="56">
                  <c:v>72.070378507149485</c:v>
                </c:pt>
                <c:pt idx="57">
                  <c:v>52.270663724476755</c:v>
                </c:pt>
                <c:pt idx="58">
                  <c:v>32.458923980721003</c:v>
                </c:pt>
                <c:pt idx="59">
                  <c:v>12.633993366967115</c:v>
                </c:pt>
                <c:pt idx="60">
                  <c:v>12.197905631808249</c:v>
                </c:pt>
                <c:pt idx="61">
                  <c:v>11.745638135428445</c:v>
                </c:pt>
                <c:pt idx="62">
                  <c:v>11.354996391311948</c:v>
                </c:pt>
                <c:pt idx="63">
                  <c:v>10.950427885931386</c:v>
                </c:pt>
                <c:pt idx="64">
                  <c:v>10.530327569608653</c:v>
                </c:pt>
                <c:pt idx="65">
                  <c:v>10.092756142973853</c:v>
                </c:pt>
                <c:pt idx="66">
                  <c:v>9.6353336423713323</c:v>
                </c:pt>
                <c:pt idx="67">
                  <c:v>9.1550850481079173</c:v>
                </c:pt>
                <c:pt idx="68">
                  <c:v>8.7519326156404045</c:v>
                </c:pt>
                <c:pt idx="69">
                  <c:v>8.3292896923646094</c:v>
                </c:pt>
                <c:pt idx="70">
                  <c:v>7.8840223902493092</c:v>
                </c:pt>
                <c:pt idx="71">
                  <c:v>7.4120544601732066</c:v>
                </c:pt>
                <c:pt idx="72">
                  <c:v>6.9079152854674328</c:v>
                </c:pt>
                <c:pt idx="73">
                  <c:v>6.3639638482486456</c:v>
                </c:pt>
                <c:pt idx="74">
                  <c:v>5.9233092579048678</c:v>
                </c:pt>
                <c:pt idx="75">
                  <c:v>5.447123026676314</c:v>
                </c:pt>
                <c:pt idx="76">
                  <c:v>4.9251097419969385</c:v>
                </c:pt>
                <c:pt idx="77">
                  <c:v>4.3407675212661374</c:v>
                </c:pt>
                <c:pt idx="78">
                  <c:v>3.9029006916637665</c:v>
                </c:pt>
                <c:pt idx="79">
                  <c:v>3.4092528425301705</c:v>
                </c:pt>
                <c:pt idx="80">
                  <c:v>2.8307907163212538</c:v>
                </c:pt>
                <c:pt idx="81">
                  <c:v>2.0985107135588175</c:v>
                </c:pt>
                <c:pt idx="82">
                  <c:v>1.6121205856189567</c:v>
                </c:pt>
                <c:pt idx="83">
                  <c:v>0.89113318321768431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66-4637-A377-A766D733B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2"/>
          <c:tx>
            <c:v>No reservoir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'[1]10'!$V$5:$V$95</c:f>
              <c:numCache>
                <c:formatCode>General</c:formatCode>
                <c:ptCount val="91"/>
                <c:pt idx="0">
                  <c:v>0</c:v>
                </c:pt>
                <c:pt idx="1">
                  <c:v>23.47710237189612</c:v>
                </c:pt>
                <c:pt idx="2">
                  <c:v>46.954204743792239</c:v>
                </c:pt>
                <c:pt idx="3">
                  <c:v>70.431307115688355</c:v>
                </c:pt>
                <c:pt idx="4">
                  <c:v>93.908409487584478</c:v>
                </c:pt>
                <c:pt idx="5">
                  <c:v>117.38551185948059</c:v>
                </c:pt>
                <c:pt idx="6">
                  <c:v>140.86261423137671</c:v>
                </c:pt>
                <c:pt idx="7">
                  <c:v>164.33971660327282</c:v>
                </c:pt>
                <c:pt idx="8">
                  <c:v>187.81681897516896</c:v>
                </c:pt>
                <c:pt idx="9">
                  <c:v>207.22022017851188</c:v>
                </c:pt>
                <c:pt idx="10">
                  <c:v>226.62362138185483</c:v>
                </c:pt>
                <c:pt idx="11">
                  <c:v>246.02702258519778</c:v>
                </c:pt>
                <c:pt idx="12">
                  <c:v>265.43042378854068</c:v>
                </c:pt>
                <c:pt idx="13">
                  <c:v>284.83382499188366</c:v>
                </c:pt>
                <c:pt idx="14">
                  <c:v>304.23722619522664</c:v>
                </c:pt>
                <c:pt idx="15">
                  <c:v>323.64062739856956</c:v>
                </c:pt>
                <c:pt idx="16">
                  <c:v>343.04402860191249</c:v>
                </c:pt>
                <c:pt idx="17">
                  <c:v>362.44742980525541</c:v>
                </c:pt>
                <c:pt idx="18">
                  <c:v>381.85083100859833</c:v>
                </c:pt>
                <c:pt idx="19">
                  <c:v>401.25423221194137</c:v>
                </c:pt>
                <c:pt idx="20">
                  <c:v>420.65763341528429</c:v>
                </c:pt>
                <c:pt idx="21">
                  <c:v>440.06103461862722</c:v>
                </c:pt>
                <c:pt idx="22">
                  <c:v>459.46443582197014</c:v>
                </c:pt>
                <c:pt idx="23">
                  <c:v>478.86783702531307</c:v>
                </c:pt>
                <c:pt idx="24">
                  <c:v>498.27123822865599</c:v>
                </c:pt>
                <c:pt idx="25">
                  <c:v>498.2712382286561</c:v>
                </c:pt>
                <c:pt idx="26">
                  <c:v>498.2712382286561</c:v>
                </c:pt>
                <c:pt idx="27">
                  <c:v>498.2712382286561</c:v>
                </c:pt>
                <c:pt idx="28">
                  <c:v>498.2712382286561</c:v>
                </c:pt>
                <c:pt idx="29">
                  <c:v>498.2712382286561</c:v>
                </c:pt>
                <c:pt idx="30">
                  <c:v>498.2712382286561</c:v>
                </c:pt>
                <c:pt idx="31">
                  <c:v>498.2712382286561</c:v>
                </c:pt>
                <c:pt idx="32">
                  <c:v>498.2712382286561</c:v>
                </c:pt>
                <c:pt idx="33">
                  <c:v>498.2712382286561</c:v>
                </c:pt>
                <c:pt idx="34">
                  <c:v>498.2712382286561</c:v>
                </c:pt>
                <c:pt idx="35">
                  <c:v>498.2712382286561</c:v>
                </c:pt>
                <c:pt idx="36">
                  <c:v>474.79413585675997</c:v>
                </c:pt>
                <c:pt idx="37">
                  <c:v>451.31703348486388</c:v>
                </c:pt>
                <c:pt idx="38">
                  <c:v>427.8399311129678</c:v>
                </c:pt>
                <c:pt idx="39">
                  <c:v>404.36282874107155</c:v>
                </c:pt>
                <c:pt idx="40">
                  <c:v>380.88572636917547</c:v>
                </c:pt>
                <c:pt idx="41">
                  <c:v>357.40862399727939</c:v>
                </c:pt>
                <c:pt idx="42">
                  <c:v>333.9315216253832</c:v>
                </c:pt>
                <c:pt idx="43">
                  <c:v>310.45441925348717</c:v>
                </c:pt>
                <c:pt idx="44">
                  <c:v>291.05101805014419</c:v>
                </c:pt>
                <c:pt idx="45">
                  <c:v>271.64761684680121</c:v>
                </c:pt>
                <c:pt idx="46">
                  <c:v>252.24421564345829</c:v>
                </c:pt>
                <c:pt idx="47">
                  <c:v>232.84081444011537</c:v>
                </c:pt>
                <c:pt idx="48">
                  <c:v>213.43741323677244</c:v>
                </c:pt>
                <c:pt idx="49">
                  <c:v>194.03401203342943</c:v>
                </c:pt>
                <c:pt idx="50">
                  <c:v>174.63061083008651</c:v>
                </c:pt>
                <c:pt idx="51">
                  <c:v>155.22720962674359</c:v>
                </c:pt>
                <c:pt idx="52">
                  <c:v>135.82380842340064</c:v>
                </c:pt>
                <c:pt idx="53">
                  <c:v>116.42040722005771</c:v>
                </c:pt>
                <c:pt idx="54">
                  <c:v>97.017006016714717</c:v>
                </c:pt>
                <c:pt idx="55">
                  <c:v>77.613604813371794</c:v>
                </c:pt>
                <c:pt idx="56">
                  <c:v>58.210203610028856</c:v>
                </c:pt>
                <c:pt idx="57">
                  <c:v>38.806802406685918</c:v>
                </c:pt>
                <c:pt idx="58">
                  <c:v>19.403401203342987</c:v>
                </c:pt>
                <c:pt idx="59">
                  <c:v>5.3742868741127577E-14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66-4637-A377-A766D733B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  <c:max val="6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4275674675280974"/>
              <c:y val="0.71742165388595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8384"/>
        <c:crosses val="autoZero"/>
        <c:crossBetween val="midCat"/>
        <c:majorUnit val="10"/>
      </c:valAx>
      <c:valAx>
        <c:axId val="805278384"/>
        <c:scaling>
          <c:orientation val="minMax"/>
          <c:max val="5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 w="38100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193092666695354E-2"/>
          <c:y val="0.79271726003574705"/>
          <c:w val="0.96844423647863676"/>
          <c:h val="0.17950501586074746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19050" cap="flat" cmpd="sng" algn="ctr">
      <a:noFill/>
      <a:round/>
    </a:ln>
    <a:effectLst/>
    <a:scene3d>
      <a:camera prst="orthographicFront"/>
      <a:lightRig rig="threePt" dir="t"/>
    </a:scene3d>
    <a:extLst>
      <a:ext uri="{91240B29-F687-4F45-9708-019B960494DF}">
        <a14:hiddenLine xmlns:a14="http://schemas.microsoft.com/office/drawing/2010/main" w="19050" cap="flat" cmpd="sng" algn="ctr">
          <a:solidFill>
            <a:sysClr val="window" lastClr="FFFFFF">
              <a:lumMod val="95000"/>
            </a:sysClr>
          </a:solidFill>
          <a:round/>
        </a14:hiddenLine>
      </a:ext>
    </a:extLst>
  </c:spPr>
  <c:txPr>
    <a:bodyPr/>
    <a:lstStyle/>
    <a:p>
      <a:pPr>
        <a:defRPr sz="14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en-US" b="1"/>
              <a:t>System Hydrograph</a:t>
            </a:r>
          </a:p>
        </c:rich>
      </c:tx>
      <c:layout>
        <c:manualLayout>
          <c:xMode val="edge"/>
          <c:yMode val="edge"/>
          <c:x val="0.30767626615663918"/>
          <c:y val="1.67142791361606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129965004374452"/>
          <c:y val="0.1191349043039544"/>
          <c:w val="0.78596128608923876"/>
          <c:h val="0.51621334539448882"/>
        </c:manualLayout>
      </c:layout>
      <c:scatterChart>
        <c:scatterStyle val="lineMarker"/>
        <c:varyColors val="0"/>
        <c:ser>
          <c:idx val="13"/>
          <c:order val="0"/>
          <c:tx>
            <c:v>Reference</c:v>
          </c:tx>
          <c:spPr>
            <a:ln w="25400" cap="rnd">
              <a:solidFill>
                <a:srgbClr val="00808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'[1]10'!$T$5:$T$95</c:f>
              <c:numCache>
                <c:formatCode>General</c:formatCode>
                <c:ptCount val="91"/>
                <c:pt idx="0">
                  <c:v>0</c:v>
                </c:pt>
                <c:pt idx="1">
                  <c:v>20.522828195843498</c:v>
                </c:pt>
                <c:pt idx="2">
                  <c:v>41.045656391686997</c:v>
                </c:pt>
                <c:pt idx="3">
                  <c:v>61.568484587530492</c:v>
                </c:pt>
                <c:pt idx="4">
                  <c:v>82.091312783373994</c:v>
                </c:pt>
                <c:pt idx="5">
                  <c:v>102.6141409792175</c:v>
                </c:pt>
                <c:pt idx="6">
                  <c:v>123.13696917506098</c:v>
                </c:pt>
                <c:pt idx="7">
                  <c:v>143.6597973709045</c:v>
                </c:pt>
                <c:pt idx="8">
                  <c:v>164.18262556674799</c:v>
                </c:pt>
                <c:pt idx="9">
                  <c:v>184.70545376259147</c:v>
                </c:pt>
                <c:pt idx="10">
                  <c:v>205.22828195843499</c:v>
                </c:pt>
                <c:pt idx="11">
                  <c:v>225.75111015427848</c:v>
                </c:pt>
                <c:pt idx="12">
                  <c:v>246.27393835012197</c:v>
                </c:pt>
                <c:pt idx="13">
                  <c:v>266.79676654596545</c:v>
                </c:pt>
                <c:pt idx="14">
                  <c:v>287.319594741809</c:v>
                </c:pt>
                <c:pt idx="15">
                  <c:v>307.84242293765249</c:v>
                </c:pt>
                <c:pt idx="16">
                  <c:v>328.36525113349597</c:v>
                </c:pt>
                <c:pt idx="17">
                  <c:v>348.88807932933946</c:v>
                </c:pt>
                <c:pt idx="18">
                  <c:v>369.41090752518295</c:v>
                </c:pt>
                <c:pt idx="19">
                  <c:v>389.93373572102649</c:v>
                </c:pt>
                <c:pt idx="20">
                  <c:v>410.45656391686998</c:v>
                </c:pt>
                <c:pt idx="21">
                  <c:v>430.97939211271347</c:v>
                </c:pt>
                <c:pt idx="22">
                  <c:v>451.50222030855696</c:v>
                </c:pt>
                <c:pt idx="23">
                  <c:v>472.02504850440044</c:v>
                </c:pt>
                <c:pt idx="24">
                  <c:v>492.54787670024393</c:v>
                </c:pt>
                <c:pt idx="25">
                  <c:v>492.54787670024399</c:v>
                </c:pt>
                <c:pt idx="26">
                  <c:v>492.54787670024399</c:v>
                </c:pt>
                <c:pt idx="27">
                  <c:v>492.54787670024399</c:v>
                </c:pt>
                <c:pt idx="28">
                  <c:v>492.54787670024399</c:v>
                </c:pt>
                <c:pt idx="29">
                  <c:v>492.54787670024399</c:v>
                </c:pt>
                <c:pt idx="30">
                  <c:v>492.54787670024399</c:v>
                </c:pt>
                <c:pt idx="31">
                  <c:v>492.54787670024399</c:v>
                </c:pt>
                <c:pt idx="32">
                  <c:v>492.54787670024399</c:v>
                </c:pt>
                <c:pt idx="33">
                  <c:v>492.54787670024399</c:v>
                </c:pt>
                <c:pt idx="34">
                  <c:v>492.54787670024399</c:v>
                </c:pt>
                <c:pt idx="35">
                  <c:v>492.54787670024399</c:v>
                </c:pt>
                <c:pt idx="36">
                  <c:v>472.0250485044005</c:v>
                </c:pt>
                <c:pt idx="37">
                  <c:v>451.50222030855701</c:v>
                </c:pt>
                <c:pt idx="38">
                  <c:v>430.97939211271353</c:v>
                </c:pt>
                <c:pt idx="39">
                  <c:v>410.45656391686998</c:v>
                </c:pt>
                <c:pt idx="40">
                  <c:v>389.93373572102649</c:v>
                </c:pt>
                <c:pt idx="41">
                  <c:v>369.41090752518301</c:v>
                </c:pt>
                <c:pt idx="42">
                  <c:v>348.88807932933946</c:v>
                </c:pt>
                <c:pt idx="43">
                  <c:v>328.36525113349603</c:v>
                </c:pt>
                <c:pt idx="44">
                  <c:v>307.84242293765249</c:v>
                </c:pt>
                <c:pt idx="45">
                  <c:v>287.319594741809</c:v>
                </c:pt>
                <c:pt idx="46">
                  <c:v>266.79676654596551</c:v>
                </c:pt>
                <c:pt idx="47">
                  <c:v>246.27393835012202</c:v>
                </c:pt>
                <c:pt idx="48">
                  <c:v>225.75111015427854</c:v>
                </c:pt>
                <c:pt idx="49">
                  <c:v>205.22828195843499</c:v>
                </c:pt>
                <c:pt idx="50">
                  <c:v>184.7054537625915</c:v>
                </c:pt>
                <c:pt idx="51">
                  <c:v>164.18262556674802</c:v>
                </c:pt>
                <c:pt idx="52">
                  <c:v>143.65979737090453</c:v>
                </c:pt>
                <c:pt idx="53">
                  <c:v>123.13696917506104</c:v>
                </c:pt>
                <c:pt idx="54">
                  <c:v>102.6141409792175</c:v>
                </c:pt>
                <c:pt idx="55">
                  <c:v>82.091312783374008</c:v>
                </c:pt>
                <c:pt idx="56">
                  <c:v>61.56848458753052</c:v>
                </c:pt>
                <c:pt idx="57">
                  <c:v>41.045656391687032</c:v>
                </c:pt>
                <c:pt idx="58">
                  <c:v>20.522828195843545</c:v>
                </c:pt>
                <c:pt idx="59">
                  <c:v>5.6843418860808015E-14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D-4BD1-8131-92F3F7139A07}"/>
            </c:ext>
          </c:extLst>
        </c:ser>
        <c:ser>
          <c:idx val="0"/>
          <c:order val="1"/>
          <c:tx>
            <c:v>With the reservoir</c:v>
          </c:tx>
          <c:spPr>
            <a:ln w="25400" cap="rnd">
              <a:solidFill>
                <a:srgbClr val="7030A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'[1]10'!$U$5:$U$95</c:f>
              <c:numCache>
                <c:formatCode>General</c:formatCode>
                <c:ptCount val="91"/>
                <c:pt idx="0">
                  <c:v>0</c:v>
                </c:pt>
                <c:pt idx="1">
                  <c:v>19.403401203342945</c:v>
                </c:pt>
                <c:pt idx="2">
                  <c:v>38.80680240668589</c:v>
                </c:pt>
                <c:pt idx="3">
                  <c:v>58.210203610028827</c:v>
                </c:pt>
                <c:pt idx="4">
                  <c:v>77.613604813371779</c:v>
                </c:pt>
                <c:pt idx="5">
                  <c:v>98.62912660233367</c:v>
                </c:pt>
                <c:pt idx="6">
                  <c:v>120.7611747413238</c:v>
                </c:pt>
                <c:pt idx="7">
                  <c:v>141.89755578373149</c:v>
                </c:pt>
                <c:pt idx="8">
                  <c:v>162.63926408691677</c:v>
                </c:pt>
                <c:pt idx="9">
                  <c:v>183.17383596138325</c:v>
                </c:pt>
                <c:pt idx="10">
                  <c:v>203.57522998332809</c:v>
                </c:pt>
                <c:pt idx="11">
                  <c:v>223.79493078966945</c:v>
                </c:pt>
                <c:pt idx="12">
                  <c:v>243.95483710293516</c:v>
                </c:pt>
                <c:pt idx="13">
                  <c:v>263.9898537788867</c:v>
                </c:pt>
                <c:pt idx="14">
                  <c:v>283.99259682520494</c:v>
                </c:pt>
                <c:pt idx="15">
                  <c:v>303.96755962000515</c:v>
                </c:pt>
                <c:pt idx="16">
                  <c:v>323.85108850940145</c:v>
                </c:pt>
                <c:pt idx="17">
                  <c:v>343.71799535395064</c:v>
                </c:pt>
                <c:pt idx="18">
                  <c:v>363.56989557515146</c:v>
                </c:pt>
                <c:pt idx="19">
                  <c:v>383.40815874306668</c:v>
                </c:pt>
                <c:pt idx="20">
                  <c:v>403.23395797341442</c:v>
                </c:pt>
                <c:pt idx="21">
                  <c:v>422.99026665260152</c:v>
                </c:pt>
                <c:pt idx="22">
                  <c:v>442.76486143843493</c:v>
                </c:pt>
                <c:pt idx="23">
                  <c:v>462.50653033587486</c:v>
                </c:pt>
                <c:pt idx="24">
                  <c:v>482.24129080908494</c:v>
                </c:pt>
                <c:pt idx="25">
                  <c:v>482.56614839380302</c:v>
                </c:pt>
                <c:pt idx="26">
                  <c:v>482.8848726211786</c:v>
                </c:pt>
                <c:pt idx="27">
                  <c:v>483.14603339958597</c:v>
                </c:pt>
                <c:pt idx="28">
                  <c:v>483.4033459308128</c:v>
                </c:pt>
                <c:pt idx="29">
                  <c:v>483.65697547566822</c:v>
                </c:pt>
                <c:pt idx="30">
                  <c:v>483.90707579467761</c:v>
                </c:pt>
                <c:pt idx="31">
                  <c:v>484.15379023824551</c:v>
                </c:pt>
                <c:pt idx="32">
                  <c:v>484.3972527074439</c:v>
                </c:pt>
                <c:pt idx="33">
                  <c:v>484.63758850370971</c:v>
                </c:pt>
                <c:pt idx="34">
                  <c:v>484.87491508275946</c:v>
                </c:pt>
                <c:pt idx="35">
                  <c:v>485.10934272559592</c:v>
                </c:pt>
                <c:pt idx="36">
                  <c:v>465.89146629934805</c:v>
                </c:pt>
                <c:pt idx="37">
                  <c:v>446.58017248074941</c:v>
                </c:pt>
                <c:pt idx="38">
                  <c:v>427.22266389629061</c:v>
                </c:pt>
                <c:pt idx="39">
                  <c:v>407.77337007406345</c:v>
                </c:pt>
                <c:pt idx="40">
                  <c:v>388.23164520368118</c:v>
                </c:pt>
                <c:pt idx="41">
                  <c:v>368.64227682382068</c:v>
                </c:pt>
                <c:pt idx="42">
                  <c:v>349.00387668914948</c:v>
                </c:pt>
                <c:pt idx="43">
                  <c:v>329.26654585426888</c:v>
                </c:pt>
                <c:pt idx="44">
                  <c:v>309.47410083331312</c:v>
                </c:pt>
                <c:pt idx="45">
                  <c:v>289.72341882702312</c:v>
                </c:pt>
                <c:pt idx="46">
                  <c:v>269.96593269404042</c:v>
                </c:pt>
                <c:pt idx="47">
                  <c:v>250.20122610613274</c:v>
                </c:pt>
                <c:pt idx="48">
                  <c:v>230.42883846264127</c:v>
                </c:pt>
                <c:pt idx="49">
                  <c:v>210.6482580048538</c:v>
                </c:pt>
                <c:pt idx="50">
                  <c:v>190.85891348907367</c:v>
                </c:pt>
                <c:pt idx="51">
                  <c:v>171.06016403154084</c:v>
                </c:pt>
                <c:pt idx="52">
                  <c:v>151.22591246756912</c:v>
                </c:pt>
                <c:pt idx="53">
                  <c:v>131.40677128746839</c:v>
                </c:pt>
                <c:pt idx="54">
                  <c:v>111.63761548988339</c:v>
                </c:pt>
                <c:pt idx="55">
                  <c:v>91.859071979205325</c:v>
                </c:pt>
                <c:pt idx="56">
                  <c:v>72.070378507149485</c:v>
                </c:pt>
                <c:pt idx="57">
                  <c:v>52.270663724476755</c:v>
                </c:pt>
                <c:pt idx="58">
                  <c:v>32.458923980721003</c:v>
                </c:pt>
                <c:pt idx="59">
                  <c:v>12.633993366967115</c:v>
                </c:pt>
                <c:pt idx="60">
                  <c:v>12.197905631808249</c:v>
                </c:pt>
                <c:pt idx="61">
                  <c:v>11.745638135428445</c:v>
                </c:pt>
                <c:pt idx="62">
                  <c:v>11.354996391311948</c:v>
                </c:pt>
                <c:pt idx="63">
                  <c:v>10.950427885931386</c:v>
                </c:pt>
                <c:pt idx="64">
                  <c:v>10.530327569608653</c:v>
                </c:pt>
                <c:pt idx="65">
                  <c:v>10.092756142973853</c:v>
                </c:pt>
                <c:pt idx="66">
                  <c:v>9.6353336423713323</c:v>
                </c:pt>
                <c:pt idx="67">
                  <c:v>9.1550850481079173</c:v>
                </c:pt>
                <c:pt idx="68">
                  <c:v>8.7519326156404045</c:v>
                </c:pt>
                <c:pt idx="69">
                  <c:v>8.3292896923646094</c:v>
                </c:pt>
                <c:pt idx="70">
                  <c:v>7.8840223902493092</c:v>
                </c:pt>
                <c:pt idx="71">
                  <c:v>7.4120544601732066</c:v>
                </c:pt>
                <c:pt idx="72">
                  <c:v>6.9079152854674328</c:v>
                </c:pt>
                <c:pt idx="73">
                  <c:v>6.3639638482486456</c:v>
                </c:pt>
                <c:pt idx="74">
                  <c:v>5.9233092579048678</c:v>
                </c:pt>
                <c:pt idx="75">
                  <c:v>5.447123026676314</c:v>
                </c:pt>
                <c:pt idx="76">
                  <c:v>4.9251097419969385</c:v>
                </c:pt>
                <c:pt idx="77">
                  <c:v>4.3407675212661374</c:v>
                </c:pt>
                <c:pt idx="78">
                  <c:v>3.9029006916637665</c:v>
                </c:pt>
                <c:pt idx="79">
                  <c:v>3.4092528425301705</c:v>
                </c:pt>
                <c:pt idx="80">
                  <c:v>2.8307907163212538</c:v>
                </c:pt>
                <c:pt idx="81">
                  <c:v>2.0985107135588175</c:v>
                </c:pt>
                <c:pt idx="82">
                  <c:v>1.6121205856189567</c:v>
                </c:pt>
                <c:pt idx="83">
                  <c:v>0.89113318321768431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ED-4BD1-8131-92F3F7139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7824"/>
        <c:axId val="805278384"/>
      </c:scatterChart>
      <c:scatterChart>
        <c:scatterStyle val="lineMarker"/>
        <c:varyColors val="0"/>
        <c:ser>
          <c:idx val="1"/>
          <c:order val="2"/>
          <c:tx>
            <c:v>No reservoir</c:v>
          </c:tx>
          <c:spPr>
            <a:ln w="25400" cap="rnd">
              <a:solidFill>
                <a:srgbClr val="DC143C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'[1]10'!$S$5:$S$95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'[1]10'!$V$5:$V$95</c:f>
              <c:numCache>
                <c:formatCode>General</c:formatCode>
                <c:ptCount val="91"/>
                <c:pt idx="0">
                  <c:v>0</c:v>
                </c:pt>
                <c:pt idx="1">
                  <c:v>23.47710237189612</c:v>
                </c:pt>
                <c:pt idx="2">
                  <c:v>46.954204743792239</c:v>
                </c:pt>
                <c:pt idx="3">
                  <c:v>70.431307115688355</c:v>
                </c:pt>
                <c:pt idx="4">
                  <c:v>93.908409487584478</c:v>
                </c:pt>
                <c:pt idx="5">
                  <c:v>117.38551185948059</c:v>
                </c:pt>
                <c:pt idx="6">
                  <c:v>140.86261423137671</c:v>
                </c:pt>
                <c:pt idx="7">
                  <c:v>164.33971660327282</c:v>
                </c:pt>
                <c:pt idx="8">
                  <c:v>187.81681897516896</c:v>
                </c:pt>
                <c:pt idx="9">
                  <c:v>207.22022017851188</c:v>
                </c:pt>
                <c:pt idx="10">
                  <c:v>226.62362138185483</c:v>
                </c:pt>
                <c:pt idx="11">
                  <c:v>246.02702258519778</c:v>
                </c:pt>
                <c:pt idx="12">
                  <c:v>265.43042378854068</c:v>
                </c:pt>
                <c:pt idx="13">
                  <c:v>284.83382499188366</c:v>
                </c:pt>
                <c:pt idx="14">
                  <c:v>304.23722619522664</c:v>
                </c:pt>
                <c:pt idx="15">
                  <c:v>323.64062739856956</c:v>
                </c:pt>
                <c:pt idx="16">
                  <c:v>343.04402860191249</c:v>
                </c:pt>
                <c:pt idx="17">
                  <c:v>362.44742980525541</c:v>
                </c:pt>
                <c:pt idx="18">
                  <c:v>381.85083100859833</c:v>
                </c:pt>
                <c:pt idx="19">
                  <c:v>401.25423221194137</c:v>
                </c:pt>
                <c:pt idx="20">
                  <c:v>420.65763341528429</c:v>
                </c:pt>
                <c:pt idx="21">
                  <c:v>440.06103461862722</c:v>
                </c:pt>
                <c:pt idx="22">
                  <c:v>459.46443582197014</c:v>
                </c:pt>
                <c:pt idx="23">
                  <c:v>478.86783702531307</c:v>
                </c:pt>
                <c:pt idx="24">
                  <c:v>498.27123822865599</c:v>
                </c:pt>
                <c:pt idx="25">
                  <c:v>498.2712382286561</c:v>
                </c:pt>
                <c:pt idx="26">
                  <c:v>498.2712382286561</c:v>
                </c:pt>
                <c:pt idx="27">
                  <c:v>498.2712382286561</c:v>
                </c:pt>
                <c:pt idx="28">
                  <c:v>498.2712382286561</c:v>
                </c:pt>
                <c:pt idx="29">
                  <c:v>498.2712382286561</c:v>
                </c:pt>
                <c:pt idx="30">
                  <c:v>498.2712382286561</c:v>
                </c:pt>
                <c:pt idx="31">
                  <c:v>498.2712382286561</c:v>
                </c:pt>
                <c:pt idx="32">
                  <c:v>498.2712382286561</c:v>
                </c:pt>
                <c:pt idx="33">
                  <c:v>498.2712382286561</c:v>
                </c:pt>
                <c:pt idx="34">
                  <c:v>498.2712382286561</c:v>
                </c:pt>
                <c:pt idx="35">
                  <c:v>498.2712382286561</c:v>
                </c:pt>
                <c:pt idx="36">
                  <c:v>474.79413585675997</c:v>
                </c:pt>
                <c:pt idx="37">
                  <c:v>451.31703348486388</c:v>
                </c:pt>
                <c:pt idx="38">
                  <c:v>427.8399311129678</c:v>
                </c:pt>
                <c:pt idx="39">
                  <c:v>404.36282874107155</c:v>
                </c:pt>
                <c:pt idx="40">
                  <c:v>380.88572636917547</c:v>
                </c:pt>
                <c:pt idx="41">
                  <c:v>357.40862399727939</c:v>
                </c:pt>
                <c:pt idx="42">
                  <c:v>333.9315216253832</c:v>
                </c:pt>
                <c:pt idx="43">
                  <c:v>310.45441925348717</c:v>
                </c:pt>
                <c:pt idx="44">
                  <c:v>291.05101805014419</c:v>
                </c:pt>
                <c:pt idx="45">
                  <c:v>271.64761684680121</c:v>
                </c:pt>
                <c:pt idx="46">
                  <c:v>252.24421564345829</c:v>
                </c:pt>
                <c:pt idx="47">
                  <c:v>232.84081444011537</c:v>
                </c:pt>
                <c:pt idx="48">
                  <c:v>213.43741323677244</c:v>
                </c:pt>
                <c:pt idx="49">
                  <c:v>194.03401203342943</c:v>
                </c:pt>
                <c:pt idx="50">
                  <c:v>174.63061083008651</c:v>
                </c:pt>
                <c:pt idx="51">
                  <c:v>155.22720962674359</c:v>
                </c:pt>
                <c:pt idx="52">
                  <c:v>135.82380842340064</c:v>
                </c:pt>
                <c:pt idx="53">
                  <c:v>116.42040722005771</c:v>
                </c:pt>
                <c:pt idx="54">
                  <c:v>97.017006016714717</c:v>
                </c:pt>
                <c:pt idx="55">
                  <c:v>77.613604813371794</c:v>
                </c:pt>
                <c:pt idx="56">
                  <c:v>58.210203610028856</c:v>
                </c:pt>
                <c:pt idx="57">
                  <c:v>38.806802406685918</c:v>
                </c:pt>
                <c:pt idx="58">
                  <c:v>19.403401203342987</c:v>
                </c:pt>
                <c:pt idx="59">
                  <c:v>5.3742868741127577E-14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ED-4BD1-8131-92F3F7139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9504"/>
        <c:axId val="805278944"/>
      </c:scatterChart>
      <c:valAx>
        <c:axId val="805277824"/>
        <c:scaling>
          <c:orientation val="minMax"/>
          <c:max val="6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Time [min]</a:t>
                </a:r>
              </a:p>
            </c:rich>
          </c:tx>
          <c:layout>
            <c:manualLayout>
              <c:xMode val="edge"/>
              <c:yMode val="edge"/>
              <c:x val="0.44275674675280974"/>
              <c:y val="0.717421653885953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8384"/>
        <c:crosses val="autoZero"/>
        <c:crossBetween val="midCat"/>
        <c:majorUnit val="10"/>
      </c:valAx>
      <c:valAx>
        <c:axId val="805278384"/>
        <c:scaling>
          <c:orientation val="minMax"/>
          <c:max val="5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Flow rate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05277824"/>
        <c:crosses val="autoZero"/>
        <c:crossBetween val="midCat"/>
      </c:valAx>
      <c:valAx>
        <c:axId val="8052789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05279504"/>
        <c:crosses val="max"/>
        <c:crossBetween val="midCat"/>
      </c:valAx>
      <c:valAx>
        <c:axId val="805279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5278944"/>
        <c:crosses val="autoZero"/>
        <c:crossBetween val="midCat"/>
      </c:valAx>
      <c:spPr>
        <a:solidFill>
          <a:schemeClr val="bg1"/>
        </a:solidFill>
        <a:ln w="38100">
          <a:solidFill>
            <a:sysClr val="windowText" lastClr="000000"/>
          </a:solidFill>
        </a:ln>
        <a:effectLst/>
      </c:spPr>
    </c:plotArea>
    <c:legend>
      <c:legendPos val="b"/>
      <c:layout>
        <c:manualLayout>
          <c:xMode val="edge"/>
          <c:yMode val="edge"/>
          <c:x val="1.9193092666695354E-2"/>
          <c:y val="0.79271726003574705"/>
          <c:w val="0.96844423647863676"/>
          <c:h val="0.17950501586074746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ysClr val="window" lastClr="FFFFFF">
          <a:lumMod val="95000"/>
        </a:sysClr>
      </a:solidFill>
      <a:round/>
    </a:ln>
    <a:effectLst/>
    <a:scene3d>
      <a:camera prst="orthographicFront"/>
      <a:lightRig rig="threePt" dir="t"/>
    </a:scene3d>
  </c:spPr>
  <c:txPr>
    <a:bodyPr/>
    <a:lstStyle/>
    <a:p>
      <a:pPr>
        <a:defRPr sz="1400">
          <a:solidFill>
            <a:schemeClr val="tx1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Front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851159230096238"/>
          <c:y val="0.12541666666666668"/>
          <c:w val="0.81949962247395924"/>
          <c:h val="0.70398950131233606"/>
        </c:manualLayout>
      </c:layout>
      <c:scatterChart>
        <c:scatterStyle val="lineMarker"/>
        <c:varyColors val="0"/>
        <c:ser>
          <c:idx val="0"/>
          <c:order val="0"/>
          <c:tx>
            <c:v>Frente Pareto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chemeClr val="tx1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E5B-4D67-AFD1-973DDA8F4741}"/>
              </c:ext>
            </c:extLst>
          </c:dPt>
          <c:dLbls>
            <c:dLbl>
              <c:idx val="0"/>
              <c:layout>
                <c:manualLayout>
                  <c:x val="0.1861415205266122"/>
                  <c:y val="6.9936934966462513E-2"/>
                </c:manualLayout>
              </c:layout>
              <c:tx>
                <c:rich>
                  <a:bodyPr/>
                  <a:lstStyle/>
                  <a:p>
                    <a:fld id="{AD8AE4AE-B51C-4DEE-87AF-B5ADA1E6CE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9401790566606283"/>
                      <c:h val="0.151875182268883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EE5B-4D67-AFD1-973DDA8F4741}"/>
                </c:ext>
              </c:extLst>
            </c:dLbl>
            <c:dLbl>
              <c:idx val="1"/>
              <c:layout>
                <c:manualLayout>
                  <c:x val="-0.32856932315775206"/>
                  <c:y val="0.16898148148148148"/>
                </c:manualLayout>
              </c:layout>
              <c:tx>
                <c:rich>
                  <a:bodyPr/>
                  <a:lstStyle/>
                  <a:p>
                    <a:fld id="{58EAF6CE-3D2D-4007-945F-6F3154D54E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104475451534474"/>
                      <c:h val="0.19361111111111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E5B-4D67-AFD1-973DDA8F4741}"/>
                </c:ext>
              </c:extLst>
            </c:dLbl>
            <c:dLbl>
              <c:idx val="2"/>
              <c:layout>
                <c:manualLayout>
                  <c:x val="-1.7514063621984362E-3"/>
                  <c:y val="-0.35416703120443283"/>
                </c:manualLayout>
              </c:layout>
              <c:tx>
                <c:rich>
                  <a:bodyPr/>
                  <a:lstStyle/>
                  <a:p>
                    <a:fld id="{DD6BF82D-5A49-4C0F-9E02-E35C16129E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66457207528271"/>
                      <c:h val="0.235208515602216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E5B-4D67-AFD1-973DDA8F4741}"/>
                </c:ext>
              </c:extLst>
            </c:dLbl>
            <c:dLbl>
              <c:idx val="3"/>
              <c:layout>
                <c:manualLayout>
                  <c:x val="-0.37490599987644918"/>
                  <c:y val="3.472222222222222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859733158355202"/>
                      <c:h val="0.12409740449110528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EE5B-4D67-AFD1-973DDA8F47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E5B-4D67-AFD1-973DDA8F47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E5B-4D67-AFD1-973DDA8F47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E5B-4D67-AFD1-973DDA8F47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E5B-4D67-AFD1-973DDA8F47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EE5B-4D67-AFD1-973DDA8F47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E5B-4D67-AFD1-973DDA8F47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E5B-4D67-AFD1-973DDA8F47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E5B-4D67-AFD1-973DDA8F47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E5B-4D67-AFD1-973DDA8F4741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'Base de dados'!$AQ$28:$AQ$40</c:f>
              <c:numCache>
                <c:formatCode>General</c:formatCode>
                <c:ptCount val="13"/>
                <c:pt idx="0">
                  <c:v>1.98</c:v>
                </c:pt>
                <c:pt idx="1">
                  <c:v>2.3199999999999998</c:v>
                </c:pt>
                <c:pt idx="2">
                  <c:v>2.5099999999999998</c:v>
                </c:pt>
                <c:pt idx="3">
                  <c:v>2.4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'Base de dados'!$AO$28:$AO$40</c:f>
              <c:numCache>
                <c:formatCode>General</c:formatCode>
                <c:ptCount val="13"/>
                <c:pt idx="0">
                  <c:v>5.0599999999999996</c:v>
                </c:pt>
                <c:pt idx="1">
                  <c:v>4.9800000000000004</c:v>
                </c:pt>
                <c:pt idx="2">
                  <c:v>4.93</c:v>
                </c:pt>
                <c:pt idx="3">
                  <c:v>5.91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'Base de dados'!$BE$28:$BE$30</c15:f>
                <c15:dlblRangeCache>
                  <c:ptCount val="3"/>
                  <c:pt idx="0">
                    <c:v>Vol = 5.06m³ / Qmaxef = 1.98L/s / φs = 20 mm / φh = 25 mm / h = 1.35m</c:v>
                  </c:pt>
                  <c:pt idx="1">
                    <c:v>Vol = 4.98m³ / Qmaxef = 2.32L/s / φs = 25 mm / φh = 25 mm / h = 1.33m </c:v>
                  </c:pt>
                  <c:pt idx="2">
                    <c:v>Vol = 4.93m³ / Qmaxef = 2.51L/s / φs = 32 mm / φh = 25 mm /  h = 1.32m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0D4-45CB-8A44-E88A1C39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662016"/>
        <c:axId val="707339872"/>
      </c:scatterChart>
      <c:valAx>
        <c:axId val="786662016"/>
        <c:scaling>
          <c:orientation val="minMax"/>
          <c:max val="2.5499999999999998"/>
          <c:min val="1.9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</a:rPr>
                  <a:t>Qmaxef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7339872"/>
        <c:crosses val="autoZero"/>
        <c:crossBetween val="midCat"/>
      </c:valAx>
      <c:valAx>
        <c:axId val="707339872"/>
        <c:scaling>
          <c:orientation val="minMax"/>
          <c:max val="5.0599999999999996"/>
          <c:min val="4.9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666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Pareto Front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851159230096238"/>
          <c:y val="0.12541666666666668"/>
          <c:w val="0.81949962247395924"/>
          <c:h val="0.70398950131233606"/>
        </c:manualLayout>
      </c:layout>
      <c:scatterChart>
        <c:scatterStyle val="lineMarker"/>
        <c:varyColors val="0"/>
        <c:ser>
          <c:idx val="0"/>
          <c:order val="0"/>
          <c:tx>
            <c:v>Frente Pareto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3"/>
            <c:marker>
              <c:spPr>
                <a:solidFill>
                  <a:schemeClr val="tx1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C33-479F-9A6F-C41EF83D5E8F}"/>
              </c:ext>
            </c:extLst>
          </c:dPt>
          <c:dLbls>
            <c:dLbl>
              <c:idx val="0"/>
              <c:layout>
                <c:manualLayout>
                  <c:x val="0.1861415205266122"/>
                  <c:y val="6.9936934966462513E-2"/>
                </c:manualLayout>
              </c:layout>
              <c:tx>
                <c:rich>
                  <a:bodyPr/>
                  <a:lstStyle/>
                  <a:p>
                    <a:fld id="{C314CF76-7E0A-4ACA-B895-31537AA008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9401790566606283"/>
                      <c:h val="0.151875182268883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3-479F-9A6F-C41EF83D5E8F}"/>
                </c:ext>
              </c:extLst>
            </c:dLbl>
            <c:dLbl>
              <c:idx val="1"/>
              <c:layout>
                <c:manualLayout>
                  <c:x val="-0.32856932315775206"/>
                  <c:y val="0.16898148148148148"/>
                </c:manualLayout>
              </c:layout>
              <c:tx>
                <c:rich>
                  <a:bodyPr/>
                  <a:lstStyle/>
                  <a:p>
                    <a:fld id="{B08ABD15-BBC4-4062-A8BC-22AEA6B384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9104475451534474"/>
                      <c:h val="0.1936111111111111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3-479F-9A6F-C41EF83D5E8F}"/>
                </c:ext>
              </c:extLst>
            </c:dLbl>
            <c:dLbl>
              <c:idx val="2"/>
              <c:layout>
                <c:manualLayout>
                  <c:x val="-1.7514063621984362E-3"/>
                  <c:y val="-0.35416703120443283"/>
                </c:manualLayout>
              </c:layout>
              <c:tx>
                <c:rich>
                  <a:bodyPr/>
                  <a:lstStyle/>
                  <a:p>
                    <a:fld id="{DC39081A-6234-4030-9972-A4D178BB8E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66457207528271"/>
                      <c:h val="0.23520851560221639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8C33-479F-9A6F-C41EF83D5E8F}"/>
                </c:ext>
              </c:extLst>
            </c:dLbl>
            <c:dLbl>
              <c:idx val="3"/>
              <c:layout>
                <c:manualLayout>
                  <c:x val="-0.37490599987644918"/>
                  <c:y val="3.472222222222222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859733158355202"/>
                      <c:h val="0.12409740449110528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8C33-479F-9A6F-C41EF83D5E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C33-479F-9A6F-C41EF83D5E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C33-479F-9A6F-C41EF83D5E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C33-479F-9A6F-C41EF83D5E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C33-479F-9A6F-C41EF83D5E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C33-479F-9A6F-C41EF83D5E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C33-479F-9A6F-C41EF83D5E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C33-479F-9A6F-C41EF83D5E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C33-479F-9A6F-C41EF83D5E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C33-479F-9A6F-C41EF83D5E8F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'Base de dados'!$AQ$28:$AQ$40</c:f>
              <c:numCache>
                <c:formatCode>General</c:formatCode>
                <c:ptCount val="13"/>
                <c:pt idx="0">
                  <c:v>1.98</c:v>
                </c:pt>
                <c:pt idx="1">
                  <c:v>2.3199999999999998</c:v>
                </c:pt>
                <c:pt idx="2">
                  <c:v>2.5099999999999998</c:v>
                </c:pt>
                <c:pt idx="3">
                  <c:v>2.4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xVal>
          <c:yVal>
            <c:numRef>
              <c:f>'Base de dados'!$AO$28:$AO$40</c:f>
              <c:numCache>
                <c:formatCode>General</c:formatCode>
                <c:ptCount val="13"/>
                <c:pt idx="0">
                  <c:v>5.0599999999999996</c:v>
                </c:pt>
                <c:pt idx="1">
                  <c:v>4.9800000000000004</c:v>
                </c:pt>
                <c:pt idx="2">
                  <c:v>4.93</c:v>
                </c:pt>
                <c:pt idx="3">
                  <c:v>5.91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'Base de dados'!$BE$28:$BE$30</c15:f>
                <c15:dlblRangeCache>
                  <c:ptCount val="3"/>
                  <c:pt idx="0">
                    <c:v>Vol = 5.06m³ / Qmaxef = 1.98L/s / φs = 20 mm / φh = 25 mm / h = 1.35m</c:v>
                  </c:pt>
                  <c:pt idx="1">
                    <c:v>Vol = 4.98m³ / Qmaxef = 2.32L/s / φs = 25 mm / φh = 25 mm / h = 1.33m </c:v>
                  </c:pt>
                  <c:pt idx="2">
                    <c:v>Vol = 4.93m³ / Qmaxef = 2.51L/s / φs = 32 mm / φh = 25 mm /  h = 1.32m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8C33-479F-9A6F-C41EF83D5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662016"/>
        <c:axId val="707339872"/>
      </c:scatterChart>
      <c:valAx>
        <c:axId val="786662016"/>
        <c:scaling>
          <c:orientation val="minMax"/>
          <c:max val="2.5499999999999998"/>
          <c:min val="1.95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pt-BR"/>
                  <a:t>Qmaxef [L/s]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in"/>
        <c:tickLblPos val="nextTo"/>
        <c:spPr>
          <a:noFill/>
          <a:ln w="2857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707339872"/>
        <c:crosses val="autoZero"/>
        <c:crossBetween val="midCat"/>
      </c:valAx>
      <c:valAx>
        <c:axId val="707339872"/>
        <c:scaling>
          <c:orientation val="minMax"/>
          <c:max val="5.0599999999999996"/>
          <c:min val="4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28575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786662016"/>
        <c:crosses val="autoZero"/>
        <c:crossBetween val="midCat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sz="1200"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Regressão!$L$4</c:f>
          <c:strCache>
            <c:ptCount val="1"/>
            <c:pt idx="0">
              <c:v>Least square fit  -  R2 = 1</c:v>
            </c:pt>
          </c:strCache>
        </c:strRef>
      </c:tx>
      <c:layout>
        <c:manualLayout>
          <c:xMode val="edge"/>
          <c:yMode val="edge"/>
          <c:x val="0.22133102896944118"/>
          <c:y val="1.439153822879826E-2"/>
        </c:manualLayout>
      </c:layout>
      <c:overlay val="0"/>
      <c:spPr>
        <a:noFill/>
        <a:ln>
          <a:solidFill>
            <a:schemeClr val="bg1">
              <a:lumMod val="95000"/>
              <a:alpha val="96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208236654915191"/>
          <c:y val="8.6750771536734148E-2"/>
          <c:w val="0.69652916428653966"/>
          <c:h val="0.72840476031289703"/>
        </c:manualLayout>
      </c:layout>
      <c:scatterChart>
        <c:scatterStyle val="lineMarker"/>
        <c:varyColors val="0"/>
        <c:ser>
          <c:idx val="2"/>
          <c:order val="0"/>
          <c:tx>
            <c:v>Stage-storage points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1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[0]!Vol_obs_quad</c:f>
              <c:numCache>
                <c:formatCode>0.00</c:formatCode>
                <c:ptCount val="4"/>
                <c:pt idx="0">
                  <c:v>10</c:v>
                </c:pt>
                <c:pt idx="1">
                  <c:v>21.33</c:v>
                </c:pt>
                <c:pt idx="2">
                  <c:v>34.01</c:v>
                </c:pt>
                <c:pt idx="3">
                  <c:v>47.64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0336"/>
        <c:axId val="884730896"/>
      </c:scatterChart>
      <c:scatterChart>
        <c:scatterStyle val="smoothMarker"/>
        <c:varyColors val="0"/>
        <c:ser>
          <c:idx val="4"/>
          <c:order val="1"/>
          <c:tx>
            <c:strRef>
              <c:f>Regressão!$AE$3</c:f>
              <c:strCache>
                <c:ptCount val="1"/>
                <c:pt idx="0">
                  <c:v>S = 60.6246(h ^ 1.1246)</c:v>
                </c:pt>
              </c:strCache>
            </c:strRef>
          </c:tx>
          <c:spPr>
            <a:ln w="28575" cap="rnd">
              <a:solidFill>
                <a:srgbClr val="DC143C"/>
              </a:solidFill>
              <a:round/>
            </a:ln>
            <a:effectLst/>
          </c:spPr>
          <c:marker>
            <c:symbol val="none"/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[0]!Vcalc_quad</c:f>
              <c:numCache>
                <c:formatCode>0.00</c:formatCode>
                <c:ptCount val="4"/>
                <c:pt idx="0">
                  <c:v>9.9221260764532371</c:v>
                </c:pt>
                <c:pt idx="1">
                  <c:v>21.633927903659238</c:v>
                </c:pt>
                <c:pt idx="2">
                  <c:v>34.132107596014748</c:v>
                </c:pt>
                <c:pt idx="3">
                  <c:v>47.170015068789233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0336"/>
        <c:axId val="884730896"/>
      </c:scatterChart>
      <c:scatterChart>
        <c:scatterStyle val="smoothMarker"/>
        <c:varyColors val="0"/>
        <c:ser>
          <c:idx val="0"/>
          <c:order val="2"/>
          <c:tx>
            <c:strRef>
              <c:f>Regressão!$AE$19</c:f>
              <c:strCache>
                <c:ptCount val="1"/>
                <c:pt idx="0">
                  <c:v>A = 68.1768(h^0.1246)</c:v>
                </c:pt>
              </c:strCache>
            </c:strRef>
          </c:tx>
          <c:spPr>
            <a:ln w="28575" cap="rnd">
              <a:solidFill>
                <a:srgbClr val="008080"/>
              </a:solidFill>
              <a:round/>
            </a:ln>
            <a:effectLst/>
          </c:spPr>
          <c:marker>
            <c:symbol val="none"/>
          </c:marker>
          <c:xVal>
            <c:numRef>
              <c:f>[0]!h_obs_quad</c:f>
              <c:numCache>
                <c:formatCode>0.00</c:formatCode>
                <c:ptCount val="4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</c:numCache>
            </c:numRef>
          </c:xVal>
          <c:yVal>
            <c:numRef>
              <c:f>[0]!Area_quad</c:f>
              <c:numCache>
                <c:formatCode>0.00</c:formatCode>
                <c:ptCount val="4"/>
                <c:pt idx="0">
                  <c:v>55.79084657118365</c:v>
                </c:pt>
                <c:pt idx="1">
                  <c:v>60.822405556277033</c:v>
                </c:pt>
                <c:pt idx="2">
                  <c:v>63.973492622026399</c:v>
                </c:pt>
                <c:pt idx="3">
                  <c:v>66.30774123372035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1BB-4C6D-BDB6-0EA6C0021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732016"/>
        <c:axId val="884731456"/>
      </c:scatterChart>
      <c:valAx>
        <c:axId val="884730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Water depth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3810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84730896"/>
        <c:crosses val="autoZero"/>
        <c:crossBetween val="midCat"/>
      </c:valAx>
      <c:valAx>
        <c:axId val="884730896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Volume [m³]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84730336"/>
        <c:crosses val="autoZero"/>
        <c:crossBetween val="midCat"/>
      </c:valAx>
      <c:valAx>
        <c:axId val="8847314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pt-BR" b="1"/>
                  <a:t>Area [m²]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600" b="1" i="0" u="none" strike="noStrike" kern="1200" baseline="0">
                  <a:solidFill>
                    <a:sysClr val="windowText" lastClr="000000"/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pt-BR"/>
          </a:p>
        </c:txPr>
        <c:crossAx val="884732016"/>
        <c:crosses val="max"/>
        <c:crossBetween val="midCat"/>
      </c:valAx>
      <c:valAx>
        <c:axId val="8847320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84731456"/>
        <c:crosses val="autoZero"/>
        <c:crossBetween val="midCat"/>
      </c:valAx>
      <c:spPr>
        <a:solidFill>
          <a:schemeClr val="bg1"/>
        </a:solidFill>
        <a:ln w="3810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7485904241067282"/>
          <c:y val="0.10430692278316479"/>
          <c:w val="0.39102275042915186"/>
          <c:h val="0.2141444619125979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  <a:prstDash val="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 sz="1600">
          <a:solidFill>
            <a:sysClr val="windowText" lastClr="000000"/>
          </a:solidFill>
          <a:latin typeface="Garamond" panose="02020404030301010803" pitchFamily="18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chart" Target="../charts/chart12.xml"/><Relationship Id="rId3" Type="http://schemas.openxmlformats.org/officeDocument/2006/relationships/image" Target="../media/image3.png"/><Relationship Id="rId21" Type="http://schemas.openxmlformats.org/officeDocument/2006/relationships/chart" Target="../charts/chart15.xml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23" Type="http://schemas.openxmlformats.org/officeDocument/2006/relationships/chart" Target="../charts/chart17.xml"/><Relationship Id="rId10" Type="http://schemas.openxmlformats.org/officeDocument/2006/relationships/chart" Target="../charts/chart4.xml"/><Relationship Id="rId19" Type="http://schemas.openxmlformats.org/officeDocument/2006/relationships/chart" Target="../charts/chart13.xml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chart" Target="../charts/chart1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chart" Target="../charts/chart22.xml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chart" Target="../charts/chart21.xml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371475</xdr:colOff>
      <xdr:row>63</xdr:row>
      <xdr:rowOff>142875</xdr:rowOff>
    </xdr:from>
    <xdr:ext cx="1767663" cy="5447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B2ED823-A68C-4EB7-A5A3-D3344D23768D}"/>
                </a:ext>
              </a:extLst>
            </xdr:cNvPr>
            <xdr:cNvSpPr txBox="1"/>
          </xdr:nvSpPr>
          <xdr:spPr>
            <a:xfrm>
              <a:off x="3657600" y="8772525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=447.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0,60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.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𝑅</m:t>
                                        </m:r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𝑎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𝑏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𝑡𝑐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0,4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7B2ED823-A68C-4EB7-A5A3-D3344D23768D}"/>
                </a:ext>
              </a:extLst>
            </xdr:cNvPr>
            <xdr:cNvSpPr txBox="1"/>
          </xdr:nvSpPr>
          <xdr:spPr>
            <a:xfrm>
              <a:off x="3657600" y="8772525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</a:t>
              </a:r>
              <a:r>
                <a:rPr lang="pt-BR" sz="1100" b="0" i="0">
                  <a:latin typeface="Cambria Math" panose="02040503050406030204" pitchFamily="18" charset="0"/>
                </a:rPr>
                <a:t>=447.(𝐿.𝑛)^0,60/(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[(𝐾.𝑇𝑅^𝑎)/(𝑏+𝑡𝑐)^𝑐 ]^</a:t>
              </a:r>
              <a:r>
                <a:rPr lang="pt-BR" sz="1100" b="0" i="0">
                  <a:latin typeface="Cambria Math" panose="02040503050406030204" pitchFamily="18" charset="0"/>
                </a:rPr>
                <a:t>0,4.𝑆^0,3 )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</xdr:col>
      <xdr:colOff>390525</xdr:colOff>
      <xdr:row>64</xdr:row>
      <xdr:rowOff>0</xdr:rowOff>
    </xdr:from>
    <xdr:ext cx="1121782" cy="419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426CE5-2946-40A5-8848-7C49BA4B2017}"/>
                </a:ext>
              </a:extLst>
            </xdr:cNvPr>
            <xdr:cNvSpPr txBox="1"/>
          </xdr:nvSpPr>
          <xdr:spPr>
            <a:xfrm>
              <a:off x="2362200" y="8820150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=57.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𝐿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0,385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8426CE5-2946-40A5-8848-7C49BA4B2017}"/>
                </a:ext>
              </a:extLst>
            </xdr:cNvPr>
            <xdr:cNvSpPr txBox="1"/>
          </xdr:nvSpPr>
          <xdr:spPr>
            <a:xfrm>
              <a:off x="2362200" y="8820150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𝑡𝑐=57.(𝐿^2/𝑆)^0,385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</xdr:col>
      <xdr:colOff>474570</xdr:colOff>
      <xdr:row>83</xdr:row>
      <xdr:rowOff>118782</xdr:rowOff>
    </xdr:from>
    <xdr:ext cx="1767663" cy="5447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5B350E5-CAB5-4DA8-9C86-BA109C3AB3B0}"/>
                </a:ext>
              </a:extLst>
            </xdr:cNvPr>
            <xdr:cNvSpPr txBox="1"/>
          </xdr:nvSpPr>
          <xdr:spPr>
            <a:xfrm>
              <a:off x="2726952" y="16143194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sub>
                    </m:sSub>
                    <m:r>
                      <a:rPr lang="pt-BR" sz="1100" b="0" i="1">
                        <a:latin typeface="Cambria Math" panose="02040503050406030204" pitchFamily="18" charset="0"/>
                      </a:rPr>
                      <m:t>=447.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0,60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.</m:t>
                                    </m:r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𝑅</m:t>
                                        </m:r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𝑎</m:t>
                                        </m:r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𝑏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+</m:t>
                                            </m:r>
                                            <m:r>
                                              <a:rPr lang="pt-B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𝑡𝑐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pt-B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0,4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0,3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A5B350E5-CAB5-4DA8-9C86-BA109C3AB3B0}"/>
                </a:ext>
              </a:extLst>
            </xdr:cNvPr>
            <xdr:cNvSpPr txBox="1"/>
          </xdr:nvSpPr>
          <xdr:spPr>
            <a:xfrm>
              <a:off x="2726952" y="16143194"/>
              <a:ext cx="1767663" cy="5447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</a:t>
              </a:r>
              <a:r>
                <a:rPr lang="pt-BR" sz="1100" b="0" i="0">
                  <a:latin typeface="Cambria Math" panose="02040503050406030204" pitchFamily="18" charset="0"/>
                </a:rPr>
                <a:t>=447.(𝐿.𝑛)^0,60/(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[(𝐾.𝑇𝑅^𝑎)/(𝑏+𝑡𝑐)^𝑐 ]^</a:t>
              </a:r>
              <a:r>
                <a:rPr lang="pt-BR" sz="1100" b="0" i="0">
                  <a:latin typeface="Cambria Math" panose="02040503050406030204" pitchFamily="18" charset="0"/>
                </a:rPr>
                <a:t>0,4.𝑆^0,3 )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0</xdr:col>
      <xdr:colOff>771525</xdr:colOff>
      <xdr:row>81</xdr:row>
      <xdr:rowOff>114300</xdr:rowOff>
    </xdr:from>
    <xdr:ext cx="1121782" cy="4196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8EFD7CD-9433-4A3B-AB10-8F460F077B8E}"/>
                </a:ext>
              </a:extLst>
            </xdr:cNvPr>
            <xdr:cNvSpPr txBox="1"/>
          </xdr:nvSpPr>
          <xdr:spPr>
            <a:xfrm>
              <a:off x="771525" y="15744825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𝑡𝑐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=57.</m:t>
                    </m:r>
                    <m:sSup>
                      <m:sSup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𝐿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0,385</m:t>
                        </m:r>
                      </m:sup>
                    </m:sSup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8EFD7CD-9433-4A3B-AB10-8F460F077B8E}"/>
                </a:ext>
              </a:extLst>
            </xdr:cNvPr>
            <xdr:cNvSpPr txBox="1"/>
          </xdr:nvSpPr>
          <xdr:spPr>
            <a:xfrm>
              <a:off x="771525" y="15744825"/>
              <a:ext cx="1121782" cy="4196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𝑡𝑐=57.(𝐿^2/𝑆)^0,385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125</xdr:row>
      <xdr:rowOff>0</xdr:rowOff>
    </xdr:from>
    <xdr:to>
      <xdr:col>1</xdr:col>
      <xdr:colOff>447675</xdr:colOff>
      <xdr:row>125</xdr:row>
      <xdr:rowOff>161925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C5E8414-1451-4768-889F-7FAC1EFFE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4014206"/>
          <a:ext cx="1310528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9525</xdr:colOff>
      <xdr:row>124</xdr:row>
      <xdr:rowOff>142875</xdr:rowOff>
    </xdr:from>
    <xdr:to>
      <xdr:col>5</xdr:col>
      <xdr:colOff>361950</xdr:colOff>
      <xdr:row>126</xdr:row>
      <xdr:rowOff>85725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4F4C0E4-D741-4067-B7C5-172B7C7A7E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5466" y="23977787"/>
          <a:ext cx="1080808" cy="312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647700</xdr:colOff>
      <xdr:row>125</xdr:row>
      <xdr:rowOff>19050</xdr:rowOff>
    </xdr:from>
    <xdr:to>
      <xdr:col>3</xdr:col>
      <xdr:colOff>428625</xdr:colOff>
      <xdr:row>125</xdr:row>
      <xdr:rowOff>171450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6A98902-C645-443D-850B-FEA2E4E75D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0553" y="24033256"/>
          <a:ext cx="1192866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523875</xdr:colOff>
      <xdr:row>124</xdr:row>
      <xdr:rowOff>152400</xdr:rowOff>
    </xdr:from>
    <xdr:to>
      <xdr:col>7</xdr:col>
      <xdr:colOff>400050</xdr:colOff>
      <xdr:row>126</xdr:row>
      <xdr:rowOff>38100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9483B5E7-B0C5-4DB0-9EAE-92E175EFF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23012400"/>
          <a:ext cx="1190625" cy="257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627529</xdr:colOff>
      <xdr:row>126</xdr:row>
      <xdr:rowOff>70597</xdr:rowOff>
    </xdr:from>
    <xdr:to>
      <xdr:col>7</xdr:col>
      <xdr:colOff>324410</xdr:colOff>
      <xdr:row>127</xdr:row>
      <xdr:rowOff>42022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5362F7F-A631-4A09-A416-D74C327D56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24275303"/>
          <a:ext cx="626969" cy="150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533400</xdr:colOff>
      <xdr:row>126</xdr:row>
      <xdr:rowOff>76200</xdr:rowOff>
    </xdr:from>
    <xdr:to>
      <xdr:col>6</xdr:col>
      <xdr:colOff>495300</xdr:colOff>
      <xdr:row>127</xdr:row>
      <xdr:rowOff>57150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1372E49-96F2-4397-BC77-10BF47537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9525" y="23307675"/>
          <a:ext cx="6191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401811</xdr:colOff>
      <xdr:row>71</xdr:row>
      <xdr:rowOff>190496</xdr:rowOff>
    </xdr:from>
    <xdr:to>
      <xdr:col>28</xdr:col>
      <xdr:colOff>485253</xdr:colOff>
      <xdr:row>95</xdr:row>
      <xdr:rowOff>64033</xdr:rowOff>
    </xdr:to>
    <xdr:graphicFrame macro="">
      <xdr:nvGraphicFramePr>
        <xdr:cNvPr id="26" name="Gráfico_otimizacao">
          <a:extLst>
            <a:ext uri="{FF2B5EF4-FFF2-40B4-BE49-F238E27FC236}">
              <a16:creationId xmlns:a16="http://schemas.microsoft.com/office/drawing/2014/main" id="{082D6DCC-A899-4F27-8AB9-87803225F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251047</xdr:colOff>
      <xdr:row>16</xdr:row>
      <xdr:rowOff>126460</xdr:rowOff>
    </xdr:from>
    <xdr:to>
      <xdr:col>28</xdr:col>
      <xdr:colOff>382828</xdr:colOff>
      <xdr:row>29</xdr:row>
      <xdr:rowOff>84489</xdr:rowOff>
    </xdr:to>
    <xdr:graphicFrame macro="">
      <xdr:nvGraphicFramePr>
        <xdr:cNvPr id="41" name="Gráfico_simulacao">
          <a:extLst>
            <a:ext uri="{FF2B5EF4-FFF2-40B4-BE49-F238E27FC236}">
              <a16:creationId xmlns:a16="http://schemas.microsoft.com/office/drawing/2014/main" id="{6FF4280A-5D74-4411-899A-9697A1D600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171224</xdr:colOff>
      <xdr:row>2</xdr:row>
      <xdr:rowOff>160904</xdr:rowOff>
    </xdr:from>
    <xdr:to>
      <xdr:col>28</xdr:col>
      <xdr:colOff>303005</xdr:colOff>
      <xdr:row>15</xdr:row>
      <xdr:rowOff>203487</xdr:rowOff>
    </xdr:to>
    <xdr:graphicFrame macro="">
      <xdr:nvGraphicFramePr>
        <xdr:cNvPr id="42" name="Gráfico_exutório">
          <a:extLst>
            <a:ext uri="{FF2B5EF4-FFF2-40B4-BE49-F238E27FC236}">
              <a16:creationId xmlns:a16="http://schemas.microsoft.com/office/drawing/2014/main" id="{EECDFF52-9921-4357-A988-BD5A5343CB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6112</xdr:colOff>
      <xdr:row>16</xdr:row>
      <xdr:rowOff>130466</xdr:rowOff>
    </xdr:from>
    <xdr:to>
      <xdr:col>19</xdr:col>
      <xdr:colOff>138913</xdr:colOff>
      <xdr:row>29</xdr:row>
      <xdr:rowOff>94608</xdr:rowOff>
    </xdr:to>
    <xdr:graphicFrame macro="">
      <xdr:nvGraphicFramePr>
        <xdr:cNvPr id="43" name="Gráfico_vazoes_esp">
          <a:extLst>
            <a:ext uri="{FF2B5EF4-FFF2-40B4-BE49-F238E27FC236}">
              <a16:creationId xmlns:a16="http://schemas.microsoft.com/office/drawing/2014/main" id="{FE10D2FD-E3D3-4E68-818B-75BD33529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11205</xdr:colOff>
      <xdr:row>2</xdr:row>
      <xdr:rowOff>212911</xdr:rowOff>
    </xdr:from>
    <xdr:to>
      <xdr:col>19</xdr:col>
      <xdr:colOff>142986</xdr:colOff>
      <xdr:row>16</xdr:row>
      <xdr:rowOff>42582</xdr:rowOff>
    </xdr:to>
    <xdr:graphicFrame macro="">
      <xdr:nvGraphicFramePr>
        <xdr:cNvPr id="44" name="Gráfico_entrada">
          <a:extLst>
            <a:ext uri="{FF2B5EF4-FFF2-40B4-BE49-F238E27FC236}">
              <a16:creationId xmlns:a16="http://schemas.microsoft.com/office/drawing/2014/main" id="{CFDF0A84-FAFA-4272-9D12-ABECF73BA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565388</xdr:colOff>
      <xdr:row>29</xdr:row>
      <xdr:rowOff>174420</xdr:rowOff>
    </xdr:from>
    <xdr:to>
      <xdr:col>19</xdr:col>
      <xdr:colOff>91032</xdr:colOff>
      <xdr:row>42</xdr:row>
      <xdr:rowOff>154860</xdr:rowOff>
    </xdr:to>
    <xdr:graphicFrame macro="">
      <xdr:nvGraphicFramePr>
        <xdr:cNvPr id="45" name="Gráfico_orifício">
          <a:extLst>
            <a:ext uri="{FF2B5EF4-FFF2-40B4-BE49-F238E27FC236}">
              <a16:creationId xmlns:a16="http://schemas.microsoft.com/office/drawing/2014/main" id="{806551CB-1B0B-4487-9EC2-50BA5F63D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219075</xdr:colOff>
      <xdr:row>29</xdr:row>
      <xdr:rowOff>185252</xdr:rowOff>
    </xdr:from>
    <xdr:to>
      <xdr:col>28</xdr:col>
      <xdr:colOff>350856</xdr:colOff>
      <xdr:row>42</xdr:row>
      <xdr:rowOff>165691</xdr:rowOff>
    </xdr:to>
    <xdr:graphicFrame macro="">
      <xdr:nvGraphicFramePr>
        <xdr:cNvPr id="46" name="Gráfico_vertedor">
          <a:extLst>
            <a:ext uri="{FF2B5EF4-FFF2-40B4-BE49-F238E27FC236}">
              <a16:creationId xmlns:a16="http://schemas.microsoft.com/office/drawing/2014/main" id="{D71647AF-317D-4A08-AE8C-EA88125DC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574191</xdr:colOff>
      <xdr:row>42</xdr:row>
      <xdr:rowOff>130686</xdr:rowOff>
    </xdr:from>
    <xdr:to>
      <xdr:col>19</xdr:col>
      <xdr:colOff>100853</xdr:colOff>
      <xdr:row>55</xdr:row>
      <xdr:rowOff>128445</xdr:rowOff>
    </xdr:to>
    <xdr:graphicFrame macro="">
      <xdr:nvGraphicFramePr>
        <xdr:cNvPr id="47" name="Gráfico_curva_auxiliar">
          <a:extLst>
            <a:ext uri="{FF2B5EF4-FFF2-40B4-BE49-F238E27FC236}">
              <a16:creationId xmlns:a16="http://schemas.microsoft.com/office/drawing/2014/main" id="{EA17F85A-022D-4A79-88D5-7CBD81768F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195570</xdr:colOff>
      <xdr:row>42</xdr:row>
      <xdr:rowOff>176825</xdr:rowOff>
    </xdr:from>
    <xdr:to>
      <xdr:col>28</xdr:col>
      <xdr:colOff>327351</xdr:colOff>
      <xdr:row>55</xdr:row>
      <xdr:rowOff>174584</xdr:rowOff>
    </xdr:to>
    <xdr:graphicFrame macro="">
      <xdr:nvGraphicFramePr>
        <xdr:cNvPr id="48" name="Gráfico_sistema">
          <a:extLst>
            <a:ext uri="{FF2B5EF4-FFF2-40B4-BE49-F238E27FC236}">
              <a16:creationId xmlns:a16="http://schemas.microsoft.com/office/drawing/2014/main" id="{A3A7ECED-79CE-421D-838B-E72BF6F57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105736</xdr:colOff>
      <xdr:row>2</xdr:row>
      <xdr:rowOff>146477</xdr:rowOff>
    </xdr:from>
    <xdr:to>
      <xdr:col>9</xdr:col>
      <xdr:colOff>523475</xdr:colOff>
      <xdr:row>6</xdr:row>
      <xdr:rowOff>7009</xdr:rowOff>
    </xdr:to>
    <xdr:sp macro="[0]!abrir_formulár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A37C03E-78F8-4988-9EBD-3A143DD3A314}"/>
            </a:ext>
          </a:extLst>
        </xdr:cNvPr>
        <xdr:cNvSpPr/>
      </xdr:nvSpPr>
      <xdr:spPr>
        <a:xfrm>
          <a:off x="5809530" y="527477"/>
          <a:ext cx="1022857" cy="622532"/>
        </a:xfrm>
        <a:prstGeom prst="roundRect">
          <a:avLst/>
        </a:prstGeom>
        <a:solidFill>
          <a:schemeClr val="bg1"/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Abrir</a:t>
          </a:r>
          <a:r>
            <a:rPr lang="pt-BR" sz="2000" baseline="0"/>
            <a:t> Formulário</a:t>
          </a:r>
          <a:endParaRPr lang="pt-BR" sz="2000"/>
        </a:p>
      </xdr:txBody>
    </xdr:sp>
    <xdr:clientData/>
  </xdr:twoCellAnchor>
  <xdr:twoCellAnchor>
    <xdr:from>
      <xdr:col>0</xdr:col>
      <xdr:colOff>68916</xdr:colOff>
      <xdr:row>176</xdr:row>
      <xdr:rowOff>49864</xdr:rowOff>
    </xdr:from>
    <xdr:to>
      <xdr:col>7</xdr:col>
      <xdr:colOff>640415</xdr:colOff>
      <xdr:row>190</xdr:row>
      <xdr:rowOff>93984</xdr:rowOff>
    </xdr:to>
    <xdr:graphicFrame macro="">
      <xdr:nvGraphicFramePr>
        <xdr:cNvPr id="36" name="Gráfico_exutório">
          <a:extLst>
            <a:ext uri="{FF2B5EF4-FFF2-40B4-BE49-F238E27FC236}">
              <a16:creationId xmlns:a16="http://schemas.microsoft.com/office/drawing/2014/main" id="{96174174-063A-4121-83B4-D6B609685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57150</xdr:colOff>
      <xdr:row>161</xdr:row>
      <xdr:rowOff>123262</xdr:rowOff>
    </xdr:from>
    <xdr:to>
      <xdr:col>7</xdr:col>
      <xdr:colOff>647016</xdr:colOff>
      <xdr:row>175</xdr:row>
      <xdr:rowOff>174262</xdr:rowOff>
    </xdr:to>
    <xdr:graphicFrame macro="">
      <xdr:nvGraphicFramePr>
        <xdr:cNvPr id="37" name="Gráfico_vazoes_esp">
          <a:extLst>
            <a:ext uri="{FF2B5EF4-FFF2-40B4-BE49-F238E27FC236}">
              <a16:creationId xmlns:a16="http://schemas.microsoft.com/office/drawing/2014/main" id="{CB6E4218-95E4-43B8-832F-6E9A5E0AA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58831</xdr:colOff>
      <xdr:row>147</xdr:row>
      <xdr:rowOff>38100</xdr:rowOff>
    </xdr:from>
    <xdr:to>
      <xdr:col>7</xdr:col>
      <xdr:colOff>648697</xdr:colOff>
      <xdr:row>161</xdr:row>
      <xdr:rowOff>84057</xdr:rowOff>
    </xdr:to>
    <xdr:graphicFrame macro="">
      <xdr:nvGraphicFramePr>
        <xdr:cNvPr id="38" name="Gráfico_entrada">
          <a:extLst>
            <a:ext uri="{FF2B5EF4-FFF2-40B4-BE49-F238E27FC236}">
              <a16:creationId xmlns:a16="http://schemas.microsoft.com/office/drawing/2014/main" id="{B6D449CE-DD0E-43D7-8857-B30895702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63313</xdr:colOff>
      <xdr:row>199</xdr:row>
      <xdr:rowOff>22412</xdr:rowOff>
    </xdr:from>
    <xdr:to>
      <xdr:col>7</xdr:col>
      <xdr:colOff>640416</xdr:colOff>
      <xdr:row>213</xdr:row>
      <xdr:rowOff>80122</xdr:rowOff>
    </xdr:to>
    <xdr:graphicFrame macro="">
      <xdr:nvGraphicFramePr>
        <xdr:cNvPr id="39" name="Gráfico_simulacao">
          <a:extLst>
            <a:ext uri="{FF2B5EF4-FFF2-40B4-BE49-F238E27FC236}">
              <a16:creationId xmlns:a16="http://schemas.microsoft.com/office/drawing/2014/main" id="{652C002B-265F-4131-9180-112AC2505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89646</xdr:colOff>
      <xdr:row>213</xdr:row>
      <xdr:rowOff>102533</xdr:rowOff>
    </xdr:from>
    <xdr:to>
      <xdr:col>7</xdr:col>
      <xdr:colOff>661022</xdr:colOff>
      <xdr:row>228</xdr:row>
      <xdr:rowOff>131121</xdr:rowOff>
    </xdr:to>
    <xdr:graphicFrame macro="">
      <xdr:nvGraphicFramePr>
        <xdr:cNvPr id="40" name="Gráfico_orifício">
          <a:extLst>
            <a:ext uri="{FF2B5EF4-FFF2-40B4-BE49-F238E27FC236}">
              <a16:creationId xmlns:a16="http://schemas.microsoft.com/office/drawing/2014/main" id="{6BDF40EF-8ED5-40E1-BA2E-A7F28E7821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28577</xdr:colOff>
      <xdr:row>228</xdr:row>
      <xdr:rowOff>179292</xdr:rowOff>
    </xdr:from>
    <xdr:to>
      <xdr:col>7</xdr:col>
      <xdr:colOff>607153</xdr:colOff>
      <xdr:row>244</xdr:row>
      <xdr:rowOff>17380</xdr:rowOff>
    </xdr:to>
    <xdr:graphicFrame macro="">
      <xdr:nvGraphicFramePr>
        <xdr:cNvPr id="49" name="Gráfico_vertedor">
          <a:extLst>
            <a:ext uri="{FF2B5EF4-FFF2-40B4-BE49-F238E27FC236}">
              <a16:creationId xmlns:a16="http://schemas.microsoft.com/office/drawing/2014/main" id="{FF1891D0-FF7C-44CC-ACB1-FE10D7E68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56030</xdr:colOff>
      <xdr:row>245</xdr:row>
      <xdr:rowOff>110379</xdr:rowOff>
    </xdr:from>
    <xdr:to>
      <xdr:col>7</xdr:col>
      <xdr:colOff>627406</xdr:colOff>
      <xdr:row>260</xdr:row>
      <xdr:rowOff>4496</xdr:rowOff>
    </xdr:to>
    <xdr:graphicFrame macro="">
      <xdr:nvGraphicFramePr>
        <xdr:cNvPr id="50" name="Gráfico_curva_auxiliar">
          <a:extLst>
            <a:ext uri="{FF2B5EF4-FFF2-40B4-BE49-F238E27FC236}">
              <a16:creationId xmlns:a16="http://schemas.microsoft.com/office/drawing/2014/main" id="{809C36B9-48E3-40C7-966E-A45EAE552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39781</xdr:colOff>
      <xdr:row>260</xdr:row>
      <xdr:rowOff>44824</xdr:rowOff>
    </xdr:from>
    <xdr:to>
      <xdr:col>7</xdr:col>
      <xdr:colOff>618004</xdr:colOff>
      <xdr:row>274</xdr:row>
      <xdr:rowOff>129441</xdr:rowOff>
    </xdr:to>
    <xdr:graphicFrame macro="">
      <xdr:nvGraphicFramePr>
        <xdr:cNvPr id="51" name="Gráfico_sistema">
          <a:extLst>
            <a:ext uri="{FF2B5EF4-FFF2-40B4-BE49-F238E27FC236}">
              <a16:creationId xmlns:a16="http://schemas.microsoft.com/office/drawing/2014/main" id="{34F8F0A0-9638-42A4-9AAE-2980468265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602145</xdr:colOff>
      <xdr:row>10</xdr:row>
      <xdr:rowOff>180975</xdr:rowOff>
    </xdr:from>
    <xdr:to>
      <xdr:col>47</xdr:col>
      <xdr:colOff>561367</xdr:colOff>
      <xdr:row>27</xdr:row>
      <xdr:rowOff>57150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71ADF3B-A647-4318-9211-7279330BC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471</xdr:row>
      <xdr:rowOff>0</xdr:rowOff>
    </xdr:from>
    <xdr:to>
      <xdr:col>33</xdr:col>
      <xdr:colOff>234806</xdr:colOff>
      <xdr:row>484</xdr:row>
      <xdr:rowOff>92449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207C6F-39B1-46E4-8279-4E639FD3E0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302559</xdr:colOff>
      <xdr:row>455</xdr:row>
      <xdr:rowOff>112059</xdr:rowOff>
    </xdr:from>
    <xdr:to>
      <xdr:col>29</xdr:col>
      <xdr:colOff>627013</xdr:colOff>
      <xdr:row>469</xdr:row>
      <xdr:rowOff>2802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C925EF8-53D9-438C-92C9-E12637581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58</xdr:row>
      <xdr:rowOff>51288</xdr:rowOff>
    </xdr:from>
    <xdr:to>
      <xdr:col>17</xdr:col>
      <xdr:colOff>71634</xdr:colOff>
      <xdr:row>72</xdr:row>
      <xdr:rowOff>146015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D5FA144-EF7F-4350-B4EB-EFA53F5A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3096" y="10814538"/>
          <a:ext cx="4453134" cy="2761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74</xdr:row>
      <xdr:rowOff>51288</xdr:rowOff>
    </xdr:from>
    <xdr:to>
      <xdr:col>17</xdr:col>
      <xdr:colOff>71634</xdr:colOff>
      <xdr:row>88</xdr:row>
      <xdr:rowOff>146015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4868D02-6885-4BC6-8D86-C97460CD2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43096" y="13862538"/>
          <a:ext cx="4453134" cy="276172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89</xdr:row>
      <xdr:rowOff>163598</xdr:rowOff>
    </xdr:from>
    <xdr:to>
      <xdr:col>17</xdr:col>
      <xdr:colOff>85725</xdr:colOff>
      <xdr:row>103</xdr:row>
      <xdr:rowOff>170828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8F10E58-ED15-40C2-81DB-24F304D15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43096" y="16832348"/>
          <a:ext cx="4467225" cy="2674230"/>
        </a:xfrm>
        <a:prstGeom prst="rect">
          <a:avLst/>
        </a:prstGeom>
      </xdr:spPr>
    </xdr:pic>
    <xdr:clientData/>
  </xdr:twoCellAnchor>
  <xdr:twoCellAnchor editAs="oneCell">
    <xdr:from>
      <xdr:col>26</xdr:col>
      <xdr:colOff>148477</xdr:colOff>
      <xdr:row>14</xdr:row>
      <xdr:rowOff>132229</xdr:rowOff>
    </xdr:from>
    <xdr:to>
      <xdr:col>34</xdr:col>
      <xdr:colOff>595770</xdr:colOff>
      <xdr:row>24</xdr:row>
      <xdr:rowOff>46438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B01F98D7-B586-41F7-B622-831240C46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74102" y="2418229"/>
          <a:ext cx="5324093" cy="181920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105</xdr:row>
      <xdr:rowOff>51288</xdr:rowOff>
    </xdr:from>
    <xdr:to>
      <xdr:col>17</xdr:col>
      <xdr:colOff>75062</xdr:colOff>
      <xdr:row>119</xdr:row>
      <xdr:rowOff>158208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C70B8B4-B4AD-4B98-8144-08447EB93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43096" y="19768038"/>
          <a:ext cx="4456562" cy="2773920"/>
        </a:xfrm>
        <a:prstGeom prst="rect">
          <a:avLst/>
        </a:prstGeom>
      </xdr:spPr>
    </xdr:pic>
    <xdr:clientData/>
  </xdr:twoCellAnchor>
  <xdr:twoCellAnchor>
    <xdr:from>
      <xdr:col>45</xdr:col>
      <xdr:colOff>571499</xdr:colOff>
      <xdr:row>31</xdr:row>
      <xdr:rowOff>109537</xdr:rowOff>
    </xdr:from>
    <xdr:to>
      <xdr:col>54</xdr:col>
      <xdr:colOff>33618</xdr:colOff>
      <xdr:row>45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42D711-01DC-4679-AE74-863D00622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773205</xdr:colOff>
      <xdr:row>47</xdr:row>
      <xdr:rowOff>57150</xdr:rowOff>
    </xdr:from>
    <xdr:to>
      <xdr:col>49</xdr:col>
      <xdr:colOff>406213</xdr:colOff>
      <xdr:row>61</xdr:row>
      <xdr:rowOff>66115</xdr:rowOff>
    </xdr:to>
    <xdr:graphicFrame macro="">
      <xdr:nvGraphicFramePr>
        <xdr:cNvPr id="8" name="Pareto_front">
          <a:extLst>
            <a:ext uri="{FF2B5EF4-FFF2-40B4-BE49-F238E27FC236}">
              <a16:creationId xmlns:a16="http://schemas.microsoft.com/office/drawing/2014/main" id="{DA26CAA1-076D-4984-A237-804BD86863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403412</xdr:colOff>
      <xdr:row>4</xdr:row>
      <xdr:rowOff>35297</xdr:rowOff>
    </xdr:from>
    <xdr:ext cx="1784719" cy="458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0276EAE-A24E-4BDC-8AC1-F70C9C4F934A}"/>
                </a:ext>
              </a:extLst>
            </xdr:cNvPr>
            <xdr:cNvSpPr txBox="1"/>
          </xdr:nvSpPr>
          <xdr:spPr>
            <a:xfrm>
              <a:off x="7080437" y="835397"/>
              <a:ext cx="1784719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4−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3.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1.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2−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sSup>
                                  <m:sSupPr>
                                    <m:ctrlP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e>
                                  <m:sup>
                                    <m:r>
                                      <a:rPr lang="pt-BR" sz="11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.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den>
                            </m:f>
                          </m:e>
                        </m:d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0276EAE-A24E-4BDC-8AC1-F70C9C4F934A}"/>
                </a:ext>
              </a:extLst>
            </xdr:cNvPr>
            <xdr:cNvSpPr txBox="1"/>
          </xdr:nvSpPr>
          <xdr:spPr>
            <a:xfrm>
              <a:off x="7080437" y="835397"/>
              <a:ext cx="1784719" cy="458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𝑎=(𝑘4−𝑘3.[(𝑘1.𝑘2−𝑁.𝑘4)/(𝑘1^2−𝑁.𝑘3)])/𝑘1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30</xdr:col>
      <xdr:colOff>200025</xdr:colOff>
      <xdr:row>7</xdr:row>
      <xdr:rowOff>138392</xdr:rowOff>
    </xdr:from>
    <xdr:ext cx="1142364" cy="320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65544C8-79C8-4578-9172-D930F2BE57CB}"/>
                </a:ext>
              </a:extLst>
            </xdr:cNvPr>
            <xdr:cNvSpPr txBox="1"/>
          </xdr:nvSpPr>
          <xdr:spPr>
            <a:xfrm>
              <a:off x="7486650" y="1538567"/>
              <a:ext cx="1142364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4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65544C8-79C8-4578-9172-D930F2BE57CB}"/>
                </a:ext>
              </a:extLst>
            </xdr:cNvPr>
            <xdr:cNvSpPr txBox="1"/>
          </xdr:nvSpPr>
          <xdr:spPr>
            <a:xfrm>
              <a:off x="7486650" y="1538567"/>
              <a:ext cx="1142364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𝑏=(𝑘1.𝑘2−𝑁.𝑘4)/(𝑘1^2−𝑁.𝑘3)</a:t>
              </a:r>
              <a:endParaRPr lang="pt-BR" sz="1100"/>
            </a:p>
          </xdr:txBody>
        </xdr:sp>
      </mc:Fallback>
    </mc:AlternateContent>
    <xdr:clientData/>
  </xdr:oneCellAnchor>
  <xdr:oneCellAnchor>
    <xdr:from>
      <xdr:col>33</xdr:col>
      <xdr:colOff>268380</xdr:colOff>
      <xdr:row>10</xdr:row>
      <xdr:rowOff>99733</xdr:rowOff>
    </xdr:from>
    <xdr:ext cx="3000376" cy="21609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0CD9F6A-547C-4F40-AF81-004AA7942848}"/>
                </a:ext>
              </a:extLst>
            </xdr:cNvPr>
            <xdr:cNvSpPr txBox="1"/>
          </xdr:nvSpPr>
          <xdr:spPr>
            <a:xfrm>
              <a:off x="20808762" y="2116792"/>
              <a:ext cx="3000376" cy="2160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𝑘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1=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⁡(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h𝑖</m:t>
                        </m:r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      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ln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⁡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𝑉𝑖</m:t>
                        </m:r>
                      </m:e>
                    </m:nary>
                  </m:oMath>
                </m:oMathPara>
              </a14:m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3=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m:rPr>
                                    <m:sty m:val="p"/>
                                  </m:rPr>
                                  <a:rPr lang="pt-B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ln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⁡(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h𝑖</m:t>
                                </m:r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</m:t>
                                </m:r>
                              </m:e>
                            </m:d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 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4= </m:t>
                    </m:r>
                    <m:nary>
                      <m:naryPr>
                        <m:chr m:val="∑"/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sup>
                      <m:e>
                        <m:func>
                          <m:func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t-BR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h𝑖</m:t>
                                </m:r>
                              </m:e>
                            </m:d>
                          </m:e>
                        </m:func>
                      </m:e>
                    </m:nary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m:rPr>
                        <m:sty m:val="p"/>
                      </m:rPr>
                      <a:rPr lang="pt-B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ln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⁡(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𝑉𝑖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>
                <a:effectLst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/>
            </a:p>
            <a:p>
              <a:endParaRPr lang="pt-BR" sz="11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0CD9F6A-547C-4F40-AF81-004AA7942848}"/>
                </a:ext>
              </a:extLst>
            </xdr:cNvPr>
            <xdr:cNvSpPr txBox="1"/>
          </xdr:nvSpPr>
          <xdr:spPr>
            <a:xfrm>
              <a:off x="20808762" y="2116792"/>
              <a:ext cx="3000376" cy="21609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𝑘1=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_(𝑖=1)^𝑁▒〖ln⁡(ℎ𝑖〗)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𝐾2=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_(𝑖=1)^𝑁▒〖ln⁡𝑉𝑖〗</a:t>
              </a:r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/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𝐾3=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_(𝑖=1)^𝑁▒(ln⁡(ℎ𝑖))^2       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𝐾4= 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_(𝑖=1)^𝑁▒ln⁡(ℎ𝑖) .ln⁡(𝑉𝑖)</a:t>
              </a:r>
              <a:endParaRPr lang="pt-BR">
                <a:effectLst/>
              </a:endParaRPr>
            </a:p>
            <a:p>
              <a:pPr/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  <a:p>
              <a:endParaRPr lang="pt-BR" sz="1100"/>
            </a:p>
            <a:p>
              <a:endParaRPr lang="pt-BR" sz="1100"/>
            </a:p>
          </xdr:txBody>
        </xdr:sp>
      </mc:Fallback>
    </mc:AlternateContent>
    <xdr:clientData/>
  </xdr:oneCellAnchor>
  <xdr:twoCellAnchor>
    <xdr:from>
      <xdr:col>10</xdr:col>
      <xdr:colOff>537881</xdr:colOff>
      <xdr:row>3</xdr:row>
      <xdr:rowOff>22413</xdr:rowOff>
    </xdr:from>
    <xdr:to>
      <xdr:col>19</xdr:col>
      <xdr:colOff>578224</xdr:colOff>
      <xdr:row>20</xdr:row>
      <xdr:rowOff>89648</xdr:rowOff>
    </xdr:to>
    <xdr:graphicFrame macro="">
      <xdr:nvGraphicFramePr>
        <xdr:cNvPr id="7" name="Gráfico_Regressão">
          <a:extLst>
            <a:ext uri="{FF2B5EF4-FFF2-40B4-BE49-F238E27FC236}">
              <a16:creationId xmlns:a16="http://schemas.microsoft.com/office/drawing/2014/main" id="{2A339B6D-252C-4857-8F36-09D55D45C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235324</xdr:colOff>
      <xdr:row>22</xdr:row>
      <xdr:rowOff>44823</xdr:rowOff>
    </xdr:from>
    <xdr:to>
      <xdr:col>16</xdr:col>
      <xdr:colOff>186282</xdr:colOff>
      <xdr:row>27</xdr:row>
      <xdr:rowOff>188675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6C04B1-F0D6-46AE-9917-98BAC4072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6559" y="4515970"/>
          <a:ext cx="2371429" cy="115238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mailarizona-my.sharepoint.com/personal/marcusnobrega_arizona_edu/Documents/Review_LotscaleReservoir/Hydrographs_Analysis.xlsx" TargetMode="External"/><Relationship Id="rId1" Type="http://schemas.openxmlformats.org/officeDocument/2006/relationships/externalLinkPath" Target="Hydrographs_Analysi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0"/>
      <sheetName val="25"/>
    </sheetNames>
    <sheetDataSet>
      <sheetData sheetId="0">
        <row r="2">
          <cell r="D2" t="str">
            <v>15 mm</v>
          </cell>
          <cell r="E2" t="str">
            <v>20 mm</v>
          </cell>
          <cell r="F2" t="str">
            <v>25 mm</v>
          </cell>
          <cell r="G2" t="str">
            <v>32 mm</v>
          </cell>
          <cell r="H2" t="str">
            <v>40 mm</v>
          </cell>
          <cell r="I2" t="str">
            <v>50 mm</v>
          </cell>
          <cell r="J2" t="str">
            <v>60 mm</v>
          </cell>
          <cell r="K2" t="str">
            <v>75 mm</v>
          </cell>
          <cell r="L2" t="str">
            <v>85 mm</v>
          </cell>
          <cell r="M2" t="str">
            <v>110 mm</v>
          </cell>
          <cell r="N2" t="str">
            <v>125 mm</v>
          </cell>
          <cell r="O2" t="str">
            <v>150 mm</v>
          </cell>
          <cell r="P2" t="str">
            <v>175 mm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</row>
        <row r="5">
          <cell r="A5">
            <v>1</v>
          </cell>
          <cell r="B5">
            <v>4.0737011685531748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</row>
        <row r="6">
          <cell r="A6">
            <v>2</v>
          </cell>
          <cell r="B6">
            <v>8.1474023371063495</v>
          </cell>
          <cell r="C6">
            <v>2</v>
          </cell>
          <cell r="D6">
            <v>2.5349175825650067E-2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1</v>
          </cell>
          <cell r="T6">
            <v>20.522828195843498</v>
          </cell>
          <cell r="U6">
            <v>19.403401203342945</v>
          </cell>
          <cell r="V6">
            <v>23.47710237189612</v>
          </cell>
        </row>
        <row r="7">
          <cell r="A7">
            <v>3</v>
          </cell>
          <cell r="B7">
            <v>12.221103505659524</v>
          </cell>
          <cell r="C7">
            <v>3</v>
          </cell>
          <cell r="D7">
            <v>7.7443011350524102E-2</v>
          </cell>
          <cell r="E7">
            <v>0.11429330850407153</v>
          </cell>
          <cell r="F7">
            <v>0.16231519913866169</v>
          </cell>
          <cell r="G7">
            <v>0.18858309854386707</v>
          </cell>
          <cell r="H7">
            <v>9.1867008188747643E-2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S7">
            <v>2</v>
          </cell>
          <cell r="T7">
            <v>41.045656391686997</v>
          </cell>
          <cell r="U7">
            <v>38.80680240668589</v>
          </cell>
          <cell r="V7">
            <v>46.954204743792239</v>
          </cell>
        </row>
        <row r="8">
          <cell r="A8">
            <v>4</v>
          </cell>
          <cell r="B8">
            <v>16.294804674212699</v>
          </cell>
          <cell r="C8">
            <v>4</v>
          </cell>
          <cell r="D8">
            <v>0.11616451702578616</v>
          </cell>
          <cell r="E8">
            <v>0.18055906597303958</v>
          </cell>
          <cell r="F8">
            <v>0.282767971905176</v>
          </cell>
          <cell r="G8">
            <v>0.40320762496421625</v>
          </cell>
          <cell r="H8">
            <v>0.55120204913248572</v>
          </cell>
          <cell r="I8">
            <v>0.69444268648579111</v>
          </cell>
          <cell r="J8">
            <v>0.76667964600345972</v>
          </cell>
          <cell r="K8">
            <v>0.5660867703380964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3</v>
          </cell>
          <cell r="T8">
            <v>61.568484587530492</v>
          </cell>
          <cell r="U8">
            <v>58.210203610028827</v>
          </cell>
          <cell r="V8">
            <v>70.431307115688355</v>
          </cell>
        </row>
        <row r="9">
          <cell r="A9">
            <v>5</v>
          </cell>
          <cell r="B9">
            <v>20.368505842765874</v>
          </cell>
          <cell r="C9">
            <v>5</v>
          </cell>
          <cell r="D9">
            <v>0.15209505495390044</v>
          </cell>
          <cell r="E9">
            <v>0.24025539314940961</v>
          </cell>
          <cell r="F9">
            <v>0.38585852331855885</v>
          </cell>
          <cell r="G9">
            <v>0.57085774507200904</v>
          </cell>
          <cell r="H9">
            <v>0.82680307369872852</v>
          </cell>
          <cell r="I9">
            <v>1.0988355583903036</v>
          </cell>
          <cell r="J9">
            <v>1.5304958734634007</v>
          </cell>
          <cell r="K9">
            <v>1.7982420633458978</v>
          </cell>
          <cell r="L9">
            <v>2.1279786821508417</v>
          </cell>
          <cell r="M9">
            <v>1.6121205856189567</v>
          </cell>
          <cell r="N9">
            <v>0</v>
          </cell>
          <cell r="O9">
            <v>0</v>
          </cell>
          <cell r="P9">
            <v>0</v>
          </cell>
          <cell r="S9">
            <v>4</v>
          </cell>
          <cell r="T9">
            <v>82.091312783373994</v>
          </cell>
          <cell r="U9">
            <v>77.613604813371779</v>
          </cell>
          <cell r="V9">
            <v>93.908409487584478</v>
          </cell>
        </row>
        <row r="10">
          <cell r="A10">
            <v>6</v>
          </cell>
          <cell r="B10">
            <v>24.442207011319049</v>
          </cell>
          <cell r="C10">
            <v>6</v>
          </cell>
          <cell r="D10">
            <v>0.18396354075040344</v>
          </cell>
          <cell r="E10">
            <v>0.29263452020862807</v>
          </cell>
          <cell r="F10">
            <v>0.47484172111233647</v>
          </cell>
          <cell r="G10">
            <v>0.71226780612448137</v>
          </cell>
          <cell r="H10">
            <v>1.0514659682344625</v>
          </cell>
          <cell r="I10">
            <v>1.4539345785985662</v>
          </cell>
          <cell r="J10">
            <v>2.129716540423662</v>
          </cell>
          <cell r="K10">
            <v>2.5516753988459322</v>
          </cell>
          <cell r="L10">
            <v>3.7023325241941105</v>
          </cell>
          <cell r="M10">
            <v>4.3407675212661374</v>
          </cell>
          <cell r="N10">
            <v>5.0879103121660281</v>
          </cell>
          <cell r="O10">
            <v>3.3580574780845382</v>
          </cell>
          <cell r="P10">
            <v>0</v>
          </cell>
          <cell r="S10">
            <v>5</v>
          </cell>
          <cell r="T10">
            <v>102.6141409792175</v>
          </cell>
          <cell r="U10">
            <v>98.62912660233367</v>
          </cell>
          <cell r="V10">
            <v>117.38551185948059</v>
          </cell>
        </row>
        <row r="11">
          <cell r="A11">
            <v>7</v>
          </cell>
          <cell r="B11">
            <v>28.515908179872223</v>
          </cell>
          <cell r="C11">
            <v>7</v>
          </cell>
          <cell r="D11">
            <v>0.21608840465471488</v>
          </cell>
          <cell r="E11">
            <v>0.3451517529930303</v>
          </cell>
          <cell r="F11">
            <v>0.56336497248102169</v>
          </cell>
          <cell r="G11">
            <v>0.85150552709926763</v>
          </cell>
          <cell r="H11">
            <v>1.2528989496366274</v>
          </cell>
          <cell r="I11">
            <v>1.7638198748036646</v>
          </cell>
          <cell r="J11">
            <v>2.6359618659620874</v>
          </cell>
          <cell r="K11">
            <v>3.242950082174139</v>
          </cell>
          <cell r="L11">
            <v>4.8893890047453299</v>
          </cell>
          <cell r="M11">
            <v>6.0737473603308727</v>
          </cell>
          <cell r="N11">
            <v>7.8780759147280488</v>
          </cell>
          <cell r="O11">
            <v>9.0418464756578416</v>
          </cell>
          <cell r="P11">
            <v>10.15724017884518</v>
          </cell>
          <cell r="S11">
            <v>6</v>
          </cell>
          <cell r="T11">
            <v>123.13696917506098</v>
          </cell>
          <cell r="U11">
            <v>120.7611747413238</v>
          </cell>
          <cell r="V11">
            <v>140.86261423137671</v>
          </cell>
        </row>
        <row r="12">
          <cell r="A12">
            <v>8</v>
          </cell>
          <cell r="B12">
            <v>32.589609348425398</v>
          </cell>
          <cell r="C12">
            <v>8</v>
          </cell>
          <cell r="D12">
            <v>0.24620475378313431</v>
          </cell>
          <cell r="E12">
            <v>0.39422802236602272</v>
          </cell>
          <cell r="F12">
            <v>0.64571225041599889</v>
          </cell>
          <cell r="G12">
            <v>0.98027678946973418</v>
          </cell>
          <cell r="H12">
            <v>1.4554471290917463</v>
          </cell>
          <cell r="I12">
            <v>2.0711090211653689</v>
          </cell>
          <cell r="J12">
            <v>3.0951938335821696</v>
          </cell>
          <cell r="K12">
            <v>3.8583099494111797</v>
          </cell>
          <cell r="L12">
            <v>5.9266237801758122</v>
          </cell>
          <cell r="M12">
            <v>7.4120544601732066</v>
          </cell>
          <cell r="N12">
            <v>9.9116763915995048</v>
          </cell>
          <cell r="O12">
            <v>12.338291022366624</v>
          </cell>
          <cell r="P12">
            <v>14.632310290907569</v>
          </cell>
          <cell r="S12">
            <v>7</v>
          </cell>
          <cell r="T12">
            <v>143.6597973709045</v>
          </cell>
          <cell r="U12">
            <v>141.89755578373149</v>
          </cell>
          <cell r="V12">
            <v>164.33971660327282</v>
          </cell>
        </row>
        <row r="13">
          <cell r="A13">
            <v>9</v>
          </cell>
          <cell r="B13">
            <v>32.589609348425398</v>
          </cell>
          <cell r="C13">
            <v>9</v>
          </cell>
          <cell r="D13">
            <v>0.27497332743923958</v>
          </cell>
          <cell r="E13">
            <v>0.44101356610780645</v>
          </cell>
          <cell r="F13">
            <v>0.72399400167762418</v>
          </cell>
          <cell r="G13">
            <v>1.0939942894117765</v>
          </cell>
          <cell r="H13">
            <v>1.6330636586374241</v>
          </cell>
          <cell r="I13">
            <v>2.3383593830617073</v>
          </cell>
          <cell r="J13">
            <v>3.4945893572899016</v>
          </cell>
          <cell r="K13">
            <v>4.3882098965269813</v>
          </cell>
          <cell r="L13">
            <v>6.8076144150330906</v>
          </cell>
          <cell r="M13">
            <v>8.543225131296774</v>
          </cell>
          <cell r="N13">
            <v>11.593902607205381</v>
          </cell>
          <cell r="O13">
            <v>14.658817329434219</v>
          </cell>
          <cell r="P13">
            <v>17.640085283190118</v>
          </cell>
          <cell r="S13">
            <v>8</v>
          </cell>
          <cell r="T13">
            <v>164.18262556674799</v>
          </cell>
          <cell r="U13">
            <v>162.63926408691677</v>
          </cell>
          <cell r="V13">
            <v>187.81681897516896</v>
          </cell>
        </row>
        <row r="14">
          <cell r="A14">
            <v>10</v>
          </cell>
          <cell r="B14">
            <v>32.589609348425398</v>
          </cell>
          <cell r="C14">
            <v>10</v>
          </cell>
          <cell r="D14">
            <v>0.29922050892644586</v>
          </cell>
          <cell r="E14">
            <v>0.48039459459447303</v>
          </cell>
          <cell r="F14">
            <v>0.78976675834320276</v>
          </cell>
          <cell r="G14">
            <v>1.1969563177317983</v>
          </cell>
          <cell r="H14">
            <v>1.7931724626323846</v>
          </cell>
          <cell r="I14">
            <v>2.5780528759420132</v>
          </cell>
          <cell r="J14">
            <v>3.8528021860358486</v>
          </cell>
          <cell r="K14">
            <v>4.8606806649099461</v>
          </cell>
          <cell r="L14">
            <v>7.5869861352046257</v>
          </cell>
          <cell r="M14">
            <v>9.5412179498986447</v>
          </cell>
          <cell r="N14">
            <v>12.906437623556771</v>
          </cell>
          <cell r="O14">
            <v>16.422469002092548</v>
          </cell>
          <cell r="P14">
            <v>19.858847929756902</v>
          </cell>
          <cell r="S14">
            <v>9</v>
          </cell>
          <cell r="T14">
            <v>184.70545376259147</v>
          </cell>
          <cell r="U14">
            <v>183.17383596138325</v>
          </cell>
          <cell r="V14">
            <v>207.22022017851188</v>
          </cell>
        </row>
        <row r="15">
          <cell r="A15">
            <v>11</v>
          </cell>
          <cell r="B15">
            <v>32.589609348425398</v>
          </cell>
          <cell r="C15">
            <v>11</v>
          </cell>
          <cell r="D15">
            <v>0.32164498305024941</v>
          </cell>
          <cell r="E15">
            <v>0.51678328875850033</v>
          </cell>
          <cell r="F15">
            <v>0.85046795983310397</v>
          </cell>
          <cell r="G15">
            <v>1.2917373370196257</v>
          </cell>
          <cell r="H15">
            <v>1.9292071719637001</v>
          </cell>
          <cell r="I15">
            <v>2.7810321897645984</v>
          </cell>
          <cell r="J15">
            <v>4.1804323452678167</v>
          </cell>
          <cell r="K15">
            <v>5.2566048377852317</v>
          </cell>
          <cell r="L15">
            <v>8.2317201929977077</v>
          </cell>
          <cell r="M15">
            <v>10.357517552897056</v>
          </cell>
          <cell r="N15">
            <v>14.097293591188338</v>
          </cell>
          <cell r="O15">
            <v>17.79559252268723</v>
          </cell>
          <cell r="P15">
            <v>21.533884957117415</v>
          </cell>
          <cell r="S15">
            <v>10</v>
          </cell>
          <cell r="T15">
            <v>205.22828195843499</v>
          </cell>
          <cell r="U15">
            <v>203.57522998332809</v>
          </cell>
          <cell r="V15">
            <v>226.62362138185483</v>
          </cell>
        </row>
        <row r="16">
          <cell r="A16">
            <v>12</v>
          </cell>
          <cell r="B16">
            <v>32.589609348425398</v>
          </cell>
          <cell r="C16">
            <v>12</v>
          </cell>
          <cell r="D16">
            <v>0.34260484129765184</v>
          </cell>
          <cell r="E16">
            <v>0.5507730644871035</v>
          </cell>
          <cell r="F16">
            <v>0.9071162928872093</v>
          </cell>
          <cell r="G16">
            <v>1.3734342295464217</v>
          </cell>
          <cell r="H16">
            <v>2.0562619346691364</v>
          </cell>
          <cell r="I16">
            <v>2.9701722929589236</v>
          </cell>
          <cell r="J16">
            <v>4.4596655714990074</v>
          </cell>
          <cell r="K16">
            <v>5.6247286436791608</v>
          </cell>
          <cell r="L16">
            <v>8.8295003287742855</v>
          </cell>
          <cell r="M16">
            <v>11.114022662819847</v>
          </cell>
          <cell r="N16">
            <v>15.062255699375942</v>
          </cell>
          <cell r="O16">
            <v>19.070100637971287</v>
          </cell>
          <cell r="P16">
            <v>22.785427131078631</v>
          </cell>
          <cell r="S16">
            <v>11</v>
          </cell>
          <cell r="T16">
            <v>225.75111015427848</v>
          </cell>
          <cell r="U16">
            <v>223.79493078966945</v>
          </cell>
          <cell r="V16">
            <v>246.02702258519778</v>
          </cell>
        </row>
        <row r="17">
          <cell r="A17">
            <v>13</v>
          </cell>
          <cell r="B17">
            <v>32.589609348425398</v>
          </cell>
          <cell r="C17">
            <v>13</v>
          </cell>
          <cell r="D17">
            <v>0.36235432857878652</v>
          </cell>
          <cell r="E17">
            <v>0.58278381033534099</v>
          </cell>
          <cell r="F17">
            <v>0.95643368872653689</v>
          </cell>
          <cell r="G17">
            <v>1.4505370791293111</v>
          </cell>
          <cell r="H17">
            <v>2.1759103785731493</v>
          </cell>
          <cell r="I17">
            <v>3.1479686877754771</v>
          </cell>
          <cell r="J17">
            <v>4.7224166933748828</v>
          </cell>
          <cell r="K17">
            <v>5.9701968317152243</v>
          </cell>
          <cell r="L17">
            <v>9.3348298808195924</v>
          </cell>
          <cell r="M17">
            <v>11.745638135428445</v>
          </cell>
          <cell r="N17">
            <v>15.969013961751248</v>
          </cell>
          <cell r="O17">
            <v>20.07046152765415</v>
          </cell>
          <cell r="P17">
            <v>23.680715903350322</v>
          </cell>
          <cell r="S17">
            <v>12</v>
          </cell>
          <cell r="T17">
            <v>246.27393835012197</v>
          </cell>
          <cell r="U17">
            <v>243.95483710293516</v>
          </cell>
          <cell r="V17">
            <v>265.43042378854068</v>
          </cell>
        </row>
        <row r="18">
          <cell r="A18">
            <v>14</v>
          </cell>
          <cell r="B18">
            <v>32.589609348425398</v>
          </cell>
          <cell r="C18">
            <v>14</v>
          </cell>
          <cell r="D18">
            <v>0.38108167313448327</v>
          </cell>
          <cell r="E18">
            <v>0.61084510292332417</v>
          </cell>
          <cell r="F18">
            <v>1.0033298724949171</v>
          </cell>
          <cell r="G18">
            <v>1.5237434341017562</v>
          </cell>
          <cell r="H18">
            <v>2.2893140473066231</v>
          </cell>
          <cell r="I18">
            <v>3.3025507794919196</v>
          </cell>
          <cell r="J18">
            <v>4.9712998141449862</v>
          </cell>
          <cell r="K18">
            <v>6.2677568210617336</v>
          </cell>
          <cell r="L18">
            <v>9.8141745323720126</v>
          </cell>
          <cell r="M18">
            <v>12.344979978403725</v>
          </cell>
          <cell r="N18">
            <v>16.707111442725662</v>
          </cell>
          <cell r="O18">
            <v>21.023275518428093</v>
          </cell>
          <cell r="P18">
            <v>24.543368184596908</v>
          </cell>
          <cell r="S18">
            <v>13</v>
          </cell>
          <cell r="T18">
            <v>266.79676654596545</v>
          </cell>
          <cell r="U18">
            <v>263.9898537788867</v>
          </cell>
          <cell r="V18">
            <v>284.83382499188366</v>
          </cell>
        </row>
        <row r="19">
          <cell r="A19">
            <v>15</v>
          </cell>
          <cell r="B19">
            <v>32.589609348425398</v>
          </cell>
          <cell r="C19">
            <v>15</v>
          </cell>
          <cell r="D19">
            <v>0.39758628736385215</v>
          </cell>
          <cell r="E19">
            <v>0.63767272949518106</v>
          </cell>
          <cell r="F19">
            <v>1.0481298894460949</v>
          </cell>
          <cell r="G19">
            <v>1.5935903764792987</v>
          </cell>
          <cell r="H19">
            <v>2.3973593053208599</v>
          </cell>
          <cell r="I19">
            <v>3.4502139706155197</v>
          </cell>
          <cell r="J19">
            <v>5.2083033953841591</v>
          </cell>
          <cell r="K19">
            <v>6.5518166127043918</v>
          </cell>
          <cell r="L19">
            <v>10.271172990456177</v>
          </cell>
          <cell r="M19">
            <v>12.916541569860977</v>
          </cell>
          <cell r="N19">
            <v>17.413952412037403</v>
          </cell>
          <cell r="O19">
            <v>21.755501915522249</v>
          </cell>
          <cell r="P19">
            <v>25.376712513526616</v>
          </cell>
          <cell r="S19">
            <v>14</v>
          </cell>
          <cell r="T19">
            <v>287.319594741809</v>
          </cell>
          <cell r="U19">
            <v>283.99259682520494</v>
          </cell>
          <cell r="V19">
            <v>304.23722619522664</v>
          </cell>
        </row>
        <row r="20">
          <cell r="A20">
            <v>16</v>
          </cell>
          <cell r="B20">
            <v>32.589609348425398</v>
          </cell>
          <cell r="C20">
            <v>16</v>
          </cell>
          <cell r="D20">
            <v>0.41152732702465189</v>
          </cell>
          <cell r="E20">
            <v>0.66035915180581028</v>
          </cell>
          <cell r="F20">
            <v>1.0860639010862221</v>
          </cell>
          <cell r="G20">
            <v>1.6605018889018621</v>
          </cell>
          <cell r="H20">
            <v>2.4922894563942295</v>
          </cell>
          <cell r="I20">
            <v>3.5918116925777634</v>
          </cell>
          <cell r="J20">
            <v>5.4147667708070122</v>
          </cell>
          <cell r="K20">
            <v>6.8240623007892172</v>
          </cell>
          <cell r="L20">
            <v>10.660960631007494</v>
          </cell>
          <cell r="M20">
            <v>13.396669255914315</v>
          </cell>
          <cell r="N20">
            <v>18.093200503441949</v>
          </cell>
          <cell r="O20">
            <v>22.463873523256094</v>
          </cell>
          <cell r="P20">
            <v>25.917393427847667</v>
          </cell>
          <cell r="S20">
            <v>15</v>
          </cell>
          <cell r="T20">
            <v>307.84242293765249</v>
          </cell>
          <cell r="U20">
            <v>303.96755962000515</v>
          </cell>
          <cell r="V20">
            <v>323.64062739856956</v>
          </cell>
        </row>
        <row r="21">
          <cell r="A21">
            <v>17</v>
          </cell>
          <cell r="B21">
            <v>32.589609348425398</v>
          </cell>
          <cell r="C21">
            <v>17</v>
          </cell>
          <cell r="D21">
            <v>0.42671791625448563</v>
          </cell>
          <cell r="E21">
            <v>0.68502626467795191</v>
          </cell>
          <cell r="F21">
            <v>1.127206780682807</v>
          </cell>
          <cell r="G21">
            <v>1.7248196305949999</v>
          </cell>
          <cell r="H21">
            <v>2.5837340865691214</v>
          </cell>
          <cell r="I21">
            <v>3.7280351429199485</v>
          </cell>
          <cell r="J21">
            <v>5.6136417864075936</v>
          </cell>
          <cell r="K21">
            <v>7.085855745327871</v>
          </cell>
          <cell r="L21">
            <v>11.036990919263589</v>
          </cell>
          <cell r="M21">
            <v>13.860174897120629</v>
          </cell>
          <cell r="N21">
            <v>18.640342700675475</v>
          </cell>
          <cell r="O21">
            <v>23.150580203126665</v>
          </cell>
          <cell r="P21">
            <v>26.447023011929051</v>
          </cell>
          <cell r="S21">
            <v>16</v>
          </cell>
          <cell r="T21">
            <v>328.36525113349597</v>
          </cell>
          <cell r="U21">
            <v>323.85108850940145</v>
          </cell>
          <cell r="V21">
            <v>343.04402860191249</v>
          </cell>
        </row>
        <row r="22">
          <cell r="A22">
            <v>18</v>
          </cell>
          <cell r="B22">
            <v>32.589609348425398</v>
          </cell>
          <cell r="C22">
            <v>18</v>
          </cell>
          <cell r="D22">
            <v>0.44138602064076016</v>
          </cell>
          <cell r="E22">
            <v>0.70883549376675936</v>
          </cell>
          <cell r="F22">
            <v>1.1668999338383619</v>
          </cell>
          <cell r="G22">
            <v>1.7868237162980272</v>
          </cell>
          <cell r="H22">
            <v>2.6720510709461562</v>
          </cell>
          <cell r="I22">
            <v>3.8594534352358738</v>
          </cell>
          <cell r="J22">
            <v>5.8152729078325178</v>
          </cell>
          <cell r="K22">
            <v>7.3504051610011425</v>
          </cell>
          <cell r="L22">
            <v>11.400625225307694</v>
          </cell>
          <cell r="M22">
            <v>14.308673914978494</v>
          </cell>
          <cell r="N22">
            <v>19.171876474135214</v>
          </cell>
          <cell r="O22">
            <v>23.652530018917972</v>
          </cell>
          <cell r="P22">
            <v>26.966252433238996</v>
          </cell>
          <cell r="S22">
            <v>17</v>
          </cell>
          <cell r="T22">
            <v>348.88807932933946</v>
          </cell>
          <cell r="U22">
            <v>343.71799535395064</v>
          </cell>
          <cell r="V22">
            <v>362.44742980525541</v>
          </cell>
        </row>
        <row r="23">
          <cell r="A23">
            <v>19</v>
          </cell>
          <cell r="B23">
            <v>32.589609348425398</v>
          </cell>
          <cell r="C23">
            <v>19</v>
          </cell>
          <cell r="D23">
            <v>0.45558210937393157</v>
          </cell>
          <cell r="E23">
            <v>0.7318705699428717</v>
          </cell>
          <cell r="F23">
            <v>1.2052865986007841</v>
          </cell>
          <cell r="G23">
            <v>1.841828043523891</v>
          </cell>
          <cell r="H23">
            <v>2.7575409373914703</v>
          </cell>
          <cell r="I23">
            <v>3.9865418109762518</v>
          </cell>
          <cell r="J23">
            <v>6.001492020753604</v>
          </cell>
          <cell r="K23">
            <v>7.5707751479692789</v>
          </cell>
          <cell r="L23">
            <v>11.753014188025869</v>
          </cell>
          <cell r="M23">
            <v>14.743535879550706</v>
          </cell>
          <cell r="N23">
            <v>19.689065977856167</v>
          </cell>
          <cell r="O23">
            <v>24.144046654408026</v>
          </cell>
          <cell r="P23">
            <v>27.475671318328715</v>
          </cell>
          <cell r="S23">
            <v>18</v>
          </cell>
          <cell r="T23">
            <v>369.41090752518295</v>
          </cell>
          <cell r="U23">
            <v>363.56989557515146</v>
          </cell>
          <cell r="V23">
            <v>381.85083100859833</v>
          </cell>
        </row>
        <row r="24">
          <cell r="A24">
            <v>20</v>
          </cell>
          <cell r="B24">
            <v>32.589609348425398</v>
          </cell>
          <cell r="C24">
            <v>20</v>
          </cell>
          <cell r="D24">
            <v>0.46934901464274575</v>
          </cell>
          <cell r="E24">
            <v>0.75420242977163765</v>
          </cell>
          <cell r="F24">
            <v>1.2424878727542263</v>
          </cell>
          <cell r="G24">
            <v>1.8952366846114481</v>
          </cell>
          <cell r="H24">
            <v>2.8404589623923733</v>
          </cell>
          <cell r="I24">
            <v>4.1097019846419078</v>
          </cell>
          <cell r="J24">
            <v>6.1821043308704757</v>
          </cell>
          <cell r="K24">
            <v>7.784909546767147</v>
          </cell>
          <cell r="L24">
            <v>12.115066835095872</v>
          </cell>
          <cell r="M24">
            <v>15.165933906555578</v>
          </cell>
          <cell r="N24">
            <v>20.193013411109469</v>
          </cell>
          <cell r="O24">
            <v>24.625754839286593</v>
          </cell>
          <cell r="P24">
            <v>27.9758156001303</v>
          </cell>
          <cell r="S24">
            <v>19</v>
          </cell>
          <cell r="T24">
            <v>389.93373572102649</v>
          </cell>
          <cell r="U24">
            <v>383.40815874306668</v>
          </cell>
          <cell r="V24">
            <v>401.25423221194137</v>
          </cell>
        </row>
        <row r="25">
          <cell r="A25">
            <v>21</v>
          </cell>
          <cell r="B25">
            <v>32.589609348425398</v>
          </cell>
          <cell r="C25">
            <v>21</v>
          </cell>
          <cell r="D25">
            <v>0.48272345780025211</v>
          </cell>
          <cell r="E25">
            <v>0.77589179593444635</v>
          </cell>
          <cell r="F25">
            <v>1.2756363440853515</v>
          </cell>
          <cell r="G25">
            <v>1.947180946774836</v>
          </cell>
          <cell r="H25">
            <v>2.9210241718754202</v>
          </cell>
          <cell r="I25">
            <v>4.2185467375663022</v>
          </cell>
          <cell r="J25">
            <v>6.3575877060694808</v>
          </cell>
          <cell r="K25">
            <v>7.9933095124349647</v>
          </cell>
          <cell r="L25">
            <v>12.407158732052974</v>
          </cell>
          <cell r="M25">
            <v>15.518841382399671</v>
          </cell>
          <cell r="N25">
            <v>20.587291416161232</v>
          </cell>
          <cell r="O25">
            <v>25.098219338412484</v>
          </cell>
          <cell r="P25">
            <v>28.222564209198385</v>
          </cell>
          <cell r="S25">
            <v>20</v>
          </cell>
          <cell r="T25">
            <v>410.45656391686998</v>
          </cell>
          <cell r="U25">
            <v>403.23395797341442</v>
          </cell>
          <cell r="V25">
            <v>420.65763341528429</v>
          </cell>
        </row>
        <row r="26">
          <cell r="A26">
            <v>22</v>
          </cell>
          <cell r="B26">
            <v>32.589609348425398</v>
          </cell>
          <cell r="C26">
            <v>22</v>
          </cell>
          <cell r="D26">
            <v>0.49573720444923963</v>
          </cell>
          <cell r="E26">
            <v>0.79699112474563893</v>
          </cell>
          <cell r="F26">
            <v>1.3079449723751992</v>
          </cell>
          <cell r="G26">
            <v>1.9977750594771417</v>
          </cell>
          <cell r="H26">
            <v>2.9994261631728518</v>
          </cell>
          <cell r="I26">
            <v>4.3246529053200273</v>
          </cell>
          <cell r="J26">
            <v>6.5283557595281305</v>
          </cell>
          <cell r="K26">
            <v>8.196412463500133</v>
          </cell>
          <cell r="L26">
            <v>12.692530527277714</v>
          </cell>
          <cell r="M26">
            <v>15.890034964890159</v>
          </cell>
          <cell r="N26">
            <v>20.974158984012806</v>
          </cell>
          <cell r="O26">
            <v>25.40831535138328</v>
          </cell>
          <cell r="P26">
            <v>28.467174123754489</v>
          </cell>
          <cell r="S26">
            <v>21</v>
          </cell>
          <cell r="T26">
            <v>430.97939211271347</v>
          </cell>
          <cell r="U26">
            <v>422.99026665260152</v>
          </cell>
          <cell r="V26">
            <v>440.06103461862722</v>
          </cell>
        </row>
        <row r="27">
          <cell r="A27">
            <v>23</v>
          </cell>
          <cell r="B27">
            <v>32.589609348425398</v>
          </cell>
          <cell r="C27">
            <v>23</v>
          </cell>
          <cell r="D27">
            <v>2.5221791817110124</v>
          </cell>
          <cell r="E27">
            <v>2.3465775186307773</v>
          </cell>
          <cell r="F27">
            <v>1.7214748828849065</v>
          </cell>
          <cell r="G27">
            <v>2.0471191311340062</v>
          </cell>
          <cell r="H27">
            <v>3.0758303600769574</v>
          </cell>
          <cell r="I27">
            <v>4.4282173530614566</v>
          </cell>
          <cell r="J27">
            <v>6.6783145820860081</v>
          </cell>
          <cell r="K27">
            <v>8.3946028841188998</v>
          </cell>
          <cell r="L27">
            <v>12.971625748894976</v>
          </cell>
          <cell r="M27">
            <v>16.228302658987158</v>
          </cell>
          <cell r="N27">
            <v>21.354018879811452</v>
          </cell>
          <cell r="O27">
            <v>25.714672154853865</v>
          </cell>
          <cell r="P27">
            <v>28.709700009613282</v>
          </cell>
          <cell r="S27">
            <v>22</v>
          </cell>
          <cell r="T27">
            <v>451.50222030855696</v>
          </cell>
          <cell r="U27">
            <v>442.76486143843493</v>
          </cell>
          <cell r="V27">
            <v>459.46443582197014</v>
          </cell>
        </row>
        <row r="28">
          <cell r="A28">
            <v>24</v>
          </cell>
          <cell r="B28">
            <v>32.589609348425398</v>
          </cell>
          <cell r="C28">
            <v>24</v>
          </cell>
          <cell r="D28">
            <v>8.4878112599080193</v>
          </cell>
          <cell r="E28">
            <v>8.8022790920160876</v>
          </cell>
          <cell r="F28">
            <v>7.0665513935547937</v>
          </cell>
          <cell r="G28">
            <v>5.1898890326587495</v>
          </cell>
          <cell r="H28">
            <v>3.8568496648956847</v>
          </cell>
          <cell r="I28">
            <v>4.5294144323981085</v>
          </cell>
          <cell r="J28">
            <v>6.8249792960595181</v>
          </cell>
          <cell r="K28">
            <v>8.5882208805022202</v>
          </cell>
          <cell r="L28">
            <v>13.244841182623274</v>
          </cell>
          <cell r="M28">
            <v>16.559661928854325</v>
          </cell>
          <cell r="N28">
            <v>21.727238654556242</v>
          </cell>
          <cell r="O28">
            <v>26.017421837451408</v>
          </cell>
          <cell r="P28">
            <v>28.950194242730404</v>
          </cell>
          <cell r="S28">
            <v>23</v>
          </cell>
          <cell r="T28">
            <v>472.02504850440044</v>
          </cell>
          <cell r="U28">
            <v>462.50653033587486</v>
          </cell>
          <cell r="V28">
            <v>478.86783702531307</v>
          </cell>
        </row>
        <row r="29">
          <cell r="A29">
            <v>25</v>
          </cell>
          <cell r="B29">
            <v>32.589609348425398</v>
          </cell>
          <cell r="C29">
            <v>25</v>
          </cell>
          <cell r="D29">
            <v>14.684122606376857</v>
          </cell>
          <cell r="E29">
            <v>15.002976714132508</v>
          </cell>
          <cell r="F29">
            <v>13.659106208690776</v>
          </cell>
          <cell r="G29">
            <v>10.902593075558251</v>
          </cell>
          <cell r="H29">
            <v>8.9088873996532847</v>
          </cell>
          <cell r="I29">
            <v>7.170305001160461</v>
          </cell>
          <cell r="J29">
            <v>6.9685578942834043</v>
          </cell>
          <cell r="K29">
            <v>8.7775690371840049</v>
          </cell>
          <cell r="L29">
            <v>13.512533490668282</v>
          </cell>
          <cell r="M29">
            <v>16.884519513572343</v>
          </cell>
          <cell r="N29">
            <v>22.094154810373308</v>
          </cell>
          <cell r="O29">
            <v>26.316688889451321</v>
          </cell>
          <cell r="P29">
            <v>29.188707041279713</v>
          </cell>
          <cell r="S29">
            <v>24</v>
          </cell>
          <cell r="T29">
            <v>492.54787670024393</v>
          </cell>
          <cell r="U29">
            <v>482.24129080908494</v>
          </cell>
          <cell r="V29">
            <v>498.27123822865599</v>
          </cell>
        </row>
        <row r="30">
          <cell r="A30">
            <v>26</v>
          </cell>
          <cell r="B30">
            <v>32.589609348425398</v>
          </cell>
          <cell r="C30">
            <v>26</v>
          </cell>
          <cell r="D30">
            <v>19.782070648722495</v>
          </cell>
          <cell r="E30">
            <v>20.104021227467594</v>
          </cell>
          <cell r="F30">
            <v>18.552866477237835</v>
          </cell>
          <cell r="G30">
            <v>16.306680791475397</v>
          </cell>
          <cell r="H30">
            <v>14.616206878851262</v>
          </cell>
          <cell r="I30">
            <v>12.679593096239063</v>
          </cell>
          <cell r="J30">
            <v>7.8224092813878281</v>
          </cell>
          <cell r="K30">
            <v>8.9425133572706628</v>
          </cell>
          <cell r="L30">
            <v>13.775024672208406</v>
          </cell>
          <cell r="M30">
            <v>17.203243740947901</v>
          </cell>
          <cell r="N30">
            <v>22.455076352963957</v>
          </cell>
          <cell r="O30">
            <v>26.612590800980797</v>
          </cell>
          <cell r="P30">
            <v>29.425286588094323</v>
          </cell>
          <cell r="S30">
            <v>25</v>
          </cell>
          <cell r="T30">
            <v>492.54787670024399</v>
          </cell>
          <cell r="U30">
            <v>482.56614839380302</v>
          </cell>
          <cell r="V30">
            <v>498.2712382286561</v>
          </cell>
        </row>
        <row r="31">
          <cell r="A31">
            <v>27</v>
          </cell>
          <cell r="B31">
            <v>32.589609348425398</v>
          </cell>
          <cell r="C31">
            <v>27</v>
          </cell>
          <cell r="D31">
            <v>23.081892250116645</v>
          </cell>
          <cell r="E31">
            <v>23.405686498836531</v>
          </cell>
          <cell r="F31">
            <v>22.841643911934153</v>
          </cell>
          <cell r="G31">
            <v>21.420532790699756</v>
          </cell>
          <cell r="H31">
            <v>19.418832888361035</v>
          </cell>
          <cell r="I31">
            <v>17.971652903907604</v>
          </cell>
          <cell r="J31">
            <v>12.23926306638943</v>
          </cell>
          <cell r="K31">
            <v>9.4926715188838759</v>
          </cell>
          <cell r="L31">
            <v>14.032606604030086</v>
          </cell>
          <cell r="M31">
            <v>17.464404519355305</v>
          </cell>
          <cell r="N31">
            <v>22.722005566013866</v>
          </cell>
          <cell r="O31">
            <v>26.905238600999706</v>
          </cell>
          <cell r="P31">
            <v>29.659979144316928</v>
          </cell>
          <cell r="S31">
            <v>26</v>
          </cell>
          <cell r="T31">
            <v>492.54787670024399</v>
          </cell>
          <cell r="U31">
            <v>482.8848726211786</v>
          </cell>
          <cell r="V31">
            <v>498.2712382286561</v>
          </cell>
        </row>
        <row r="32">
          <cell r="A32">
            <v>28</v>
          </cell>
          <cell r="B32">
            <v>32.589609348425398</v>
          </cell>
          <cell r="C32">
            <v>28</v>
          </cell>
          <cell r="D32">
            <v>25.376301904443419</v>
          </cell>
          <cell r="E32">
            <v>25.701319456679975</v>
          </cell>
          <cell r="F32">
            <v>25.102119181745294</v>
          </cell>
          <cell r="G32">
            <v>24.729823100042445</v>
          </cell>
          <cell r="H32">
            <v>23.642456871637389</v>
          </cell>
          <cell r="I32">
            <v>21.95768274334953</v>
          </cell>
          <cell r="J32">
            <v>16.942938320815564</v>
          </cell>
          <cell r="K32">
            <v>12.949604480790269</v>
          </cell>
          <cell r="L32">
            <v>14.285544843896824</v>
          </cell>
          <cell r="M32">
            <v>17.721717050582114</v>
          </cell>
          <cell r="N32">
            <v>22.985835200542301</v>
          </cell>
          <cell r="O32">
            <v>27.194737344070852</v>
          </cell>
          <cell r="P32">
            <v>29.89282915501888</v>
          </cell>
          <cell r="S32">
            <v>27</v>
          </cell>
          <cell r="T32">
            <v>492.54787670024399</v>
          </cell>
          <cell r="U32">
            <v>483.14603339958597</v>
          </cell>
          <cell r="V32">
            <v>498.2712382286561</v>
          </cell>
        </row>
        <row r="33">
          <cell r="A33">
            <v>29</v>
          </cell>
          <cell r="B33">
            <v>32.589609348425398</v>
          </cell>
          <cell r="C33">
            <v>29</v>
          </cell>
          <cell r="D33">
            <v>27.743509788075688</v>
          </cell>
          <cell r="E33">
            <v>28.069746057010711</v>
          </cell>
          <cell r="F33">
            <v>27.436546146369857</v>
          </cell>
          <cell r="G33">
            <v>27.030515118501988</v>
          </cell>
          <cell r="H33">
            <v>25.872423388404457</v>
          </cell>
          <cell r="I33">
            <v>25.164913534571092</v>
          </cell>
          <cell r="J33">
            <v>20.590687250940078</v>
          </cell>
          <cell r="K33">
            <v>17.335179841246056</v>
          </cell>
          <cell r="L33">
            <v>14.498837395312673</v>
          </cell>
          <cell r="M33">
            <v>17.975346595437529</v>
          </cell>
          <cell r="N33">
            <v>23.284968434857888</v>
          </cell>
          <cell r="O33">
            <v>27.481186550971174</v>
          </cell>
          <cell r="P33">
            <v>30.123879347470808</v>
          </cell>
          <cell r="S33">
            <v>28</v>
          </cell>
          <cell r="T33">
            <v>492.54787670024399</v>
          </cell>
          <cell r="U33">
            <v>483.4033459308128</v>
          </cell>
          <cell r="V33">
            <v>498.2712382286561</v>
          </cell>
        </row>
        <row r="34">
          <cell r="A34">
            <v>30</v>
          </cell>
          <cell r="B34">
            <v>32.589609348425398</v>
          </cell>
          <cell r="C34">
            <v>30</v>
          </cell>
          <cell r="D34">
            <v>28.953725657282668</v>
          </cell>
          <cell r="E34">
            <v>29.280569580550186</v>
          </cell>
          <cell r="F34">
            <v>28.630771358630636</v>
          </cell>
          <cell r="G34">
            <v>28.208292154716791</v>
          </cell>
          <cell r="H34">
            <v>28.177537072918202</v>
          </cell>
          <cell r="I34">
            <v>27.400878049782371</v>
          </cell>
          <cell r="J34">
            <v>23.564372568163304</v>
          </cell>
          <cell r="K34">
            <v>20.806324386693774</v>
          </cell>
          <cell r="L34">
            <v>14.709037362942798</v>
          </cell>
          <cell r="M34">
            <v>18.225446914446913</v>
          </cell>
          <cell r="N34">
            <v>23.543334599267528</v>
          </cell>
          <cell r="O34">
            <v>27.764680608383664</v>
          </cell>
          <cell r="P34">
            <v>30.123879347470808</v>
          </cell>
          <cell r="S34">
            <v>29</v>
          </cell>
          <cell r="T34">
            <v>492.54787670024399</v>
          </cell>
          <cell r="U34">
            <v>483.65697547566822</v>
          </cell>
          <cell r="V34">
            <v>498.2712382286561</v>
          </cell>
        </row>
        <row r="35">
          <cell r="A35">
            <v>31</v>
          </cell>
          <cell r="B35">
            <v>32.589609348425398</v>
          </cell>
          <cell r="C35">
            <v>31</v>
          </cell>
          <cell r="D35">
            <v>30.181340216673661</v>
          </cell>
          <cell r="E35">
            <v>29.280569580550186</v>
          </cell>
          <cell r="F35">
            <v>29.842646232527294</v>
          </cell>
          <cell r="G35">
            <v>29.403981599059428</v>
          </cell>
          <cell r="H35">
            <v>29.357518564037214</v>
          </cell>
          <cell r="I35">
            <v>28.547186471179412</v>
          </cell>
          <cell r="J35">
            <v>25.65255436492653</v>
          </cell>
          <cell r="K35">
            <v>23.659996285583397</v>
          </cell>
          <cell r="L35">
            <v>14.916275489316272</v>
          </cell>
          <cell r="M35">
            <v>18.472161358014858</v>
          </cell>
          <cell r="N35">
            <v>23.798896047796138</v>
          </cell>
          <cell r="O35">
            <v>27.905347638108623</v>
          </cell>
          <cell r="P35">
            <v>30.123879347470808</v>
          </cell>
          <cell r="S35">
            <v>30</v>
          </cell>
          <cell r="T35">
            <v>492.54787670024399</v>
          </cell>
          <cell r="U35">
            <v>483.90707579467761</v>
          </cell>
          <cell r="V35">
            <v>498.2712382286561</v>
          </cell>
        </row>
        <row r="36">
          <cell r="A36">
            <v>32</v>
          </cell>
          <cell r="B36">
            <v>32.589609348425398</v>
          </cell>
          <cell r="C36">
            <v>32</v>
          </cell>
          <cell r="D36">
            <v>30.181340216673661</v>
          </cell>
          <cell r="E36">
            <v>29.280569580550186</v>
          </cell>
          <cell r="F36">
            <v>29.842646232527294</v>
          </cell>
          <cell r="G36">
            <v>29.403981599059428</v>
          </cell>
          <cell r="H36">
            <v>29.357518564037214</v>
          </cell>
          <cell r="I36">
            <v>29.711966295158938</v>
          </cell>
          <cell r="J36">
            <v>27.821400103333616</v>
          </cell>
          <cell r="K36">
            <v>25.672915967145425</v>
          </cell>
          <cell r="L36">
            <v>15.83384547650555</v>
          </cell>
          <cell r="M36">
            <v>18.715623827213246</v>
          </cell>
          <cell r="N36">
            <v>24.05174218501741</v>
          </cell>
          <cell r="O36">
            <v>28.045309132220893</v>
          </cell>
          <cell r="P36">
            <v>30.123879347470808</v>
          </cell>
          <cell r="S36">
            <v>31</v>
          </cell>
          <cell r="T36">
            <v>492.54787670024399</v>
          </cell>
          <cell r="U36">
            <v>484.15379023824551</v>
          </cell>
          <cell r="V36">
            <v>498.2712382286561</v>
          </cell>
        </row>
        <row r="37">
          <cell r="A37">
            <v>33</v>
          </cell>
          <cell r="B37">
            <v>32.589609348425398</v>
          </cell>
          <cell r="C37">
            <v>33</v>
          </cell>
          <cell r="D37">
            <v>30.181340216673661</v>
          </cell>
          <cell r="E37">
            <v>29.280569580550186</v>
          </cell>
          <cell r="F37">
            <v>29.842646232527294</v>
          </cell>
          <cell r="G37">
            <v>29.403981599059428</v>
          </cell>
          <cell r="H37">
            <v>29.357518564037214</v>
          </cell>
          <cell r="I37">
            <v>29.711966295158938</v>
          </cell>
          <cell r="J37">
            <v>28.935140531084723</v>
          </cell>
          <cell r="K37">
            <v>27.769766368615109</v>
          </cell>
          <cell r="L37">
            <v>18.394530998182503</v>
          </cell>
          <cell r="M37">
            <v>18.955959623479028</v>
          </cell>
          <cell r="N37">
            <v>24.301957764247831</v>
          </cell>
          <cell r="O37">
            <v>28.184575601558585</v>
          </cell>
          <cell r="P37">
            <v>30.123879347470808</v>
          </cell>
          <cell r="S37">
            <v>32</v>
          </cell>
          <cell r="T37">
            <v>492.54787670024399</v>
          </cell>
          <cell r="U37">
            <v>484.3972527074439</v>
          </cell>
          <cell r="V37">
            <v>498.2712382286561</v>
          </cell>
        </row>
        <row r="38">
          <cell r="A38">
            <v>34</v>
          </cell>
          <cell r="B38">
            <v>32.589609348425398</v>
          </cell>
          <cell r="C38">
            <v>34</v>
          </cell>
          <cell r="D38">
            <v>30.181340216673661</v>
          </cell>
          <cell r="E38">
            <v>29.280569580550186</v>
          </cell>
          <cell r="F38">
            <v>29.842646232527294</v>
          </cell>
          <cell r="G38">
            <v>29.403981599059428</v>
          </cell>
          <cell r="H38">
            <v>29.357518564037214</v>
          </cell>
          <cell r="I38">
            <v>29.711966295158938</v>
          </cell>
          <cell r="J38">
            <v>30.067968708526912</v>
          </cell>
          <cell r="K38">
            <v>28.848618765388686</v>
          </cell>
          <cell r="L38">
            <v>21.127567496627996</v>
          </cell>
          <cell r="M38">
            <v>19.193286202528785</v>
          </cell>
          <cell r="N38">
            <v>24.54962321943098</v>
          </cell>
          <cell r="O38">
            <v>28.323157298544771</v>
          </cell>
          <cell r="P38">
            <v>30.123879347470808</v>
          </cell>
          <cell r="S38">
            <v>33</v>
          </cell>
          <cell r="T38">
            <v>492.54787670024399</v>
          </cell>
          <cell r="U38">
            <v>484.63758850370971</v>
          </cell>
          <cell r="V38">
            <v>498.2712382286561</v>
          </cell>
        </row>
        <row r="39">
          <cell r="A39">
            <v>35</v>
          </cell>
          <cell r="B39">
            <v>32.589609348425398</v>
          </cell>
          <cell r="C39">
            <v>35</v>
          </cell>
          <cell r="D39">
            <v>30.181340216673661</v>
          </cell>
          <cell r="E39">
            <v>29.280569580550186</v>
          </cell>
          <cell r="F39">
            <v>29.842646232527294</v>
          </cell>
          <cell r="G39">
            <v>29.403981599059428</v>
          </cell>
          <cell r="H39">
            <v>29.357518564037214</v>
          </cell>
          <cell r="I39">
            <v>29.711966295158938</v>
          </cell>
          <cell r="J39">
            <v>30.067968708526912</v>
          </cell>
          <cell r="K39">
            <v>29.947245390944815</v>
          </cell>
          <cell r="L39">
            <v>23.494901226518103</v>
          </cell>
          <cell r="M39">
            <v>19.427713845365254</v>
          </cell>
          <cell r="N39">
            <v>24.79481496718142</v>
          </cell>
          <cell r="O39">
            <v>28.461064225995635</v>
          </cell>
          <cell r="P39">
            <v>30.123879347470808</v>
          </cell>
          <cell r="S39">
            <v>34</v>
          </cell>
          <cell r="T39">
            <v>492.54787670024399</v>
          </cell>
          <cell r="U39">
            <v>484.87491508275946</v>
          </cell>
          <cell r="V39">
            <v>498.2712382286561</v>
          </cell>
        </row>
        <row r="40">
          <cell r="A40">
            <v>36</v>
          </cell>
          <cell r="B40">
            <v>28.515908179872223</v>
          </cell>
          <cell r="C40">
            <v>36</v>
          </cell>
          <cell r="D40">
            <v>30.181340216673661</v>
          </cell>
          <cell r="E40">
            <v>29.280569580550186</v>
          </cell>
          <cell r="F40">
            <v>29.842646232527294</v>
          </cell>
          <cell r="G40">
            <v>29.403981599059428</v>
          </cell>
          <cell r="H40">
            <v>29.357518564037214</v>
          </cell>
          <cell r="I40">
            <v>29.711966295158938</v>
          </cell>
          <cell r="J40">
            <v>30.067968708526912</v>
          </cell>
          <cell r="K40">
            <v>29.947245390944815</v>
          </cell>
          <cell r="L40">
            <v>25.20741861374168</v>
          </cell>
          <cell r="M40">
            <v>19.613238622460308</v>
          </cell>
          <cell r="N40">
            <v>24.956937885430911</v>
          </cell>
          <cell r="O40">
            <v>28.461064225995635</v>
          </cell>
          <cell r="P40">
            <v>30.123879347470808</v>
          </cell>
          <cell r="S40">
            <v>35</v>
          </cell>
          <cell r="T40">
            <v>492.54787670024399</v>
          </cell>
          <cell r="U40">
            <v>485.10934272559592</v>
          </cell>
          <cell r="V40">
            <v>498.2712382286561</v>
          </cell>
        </row>
        <row r="41">
          <cell r="A41">
            <v>37</v>
          </cell>
          <cell r="B41">
            <v>24.442207011319049</v>
          </cell>
          <cell r="C41">
            <v>37</v>
          </cell>
          <cell r="D41">
            <v>27.743509788075688</v>
          </cell>
          <cell r="E41">
            <v>28.069746057010711</v>
          </cell>
          <cell r="F41">
            <v>27.436546146369857</v>
          </cell>
          <cell r="G41">
            <v>28.208292154716791</v>
          </cell>
          <cell r="H41">
            <v>28.177537072918202</v>
          </cell>
          <cell r="I41">
            <v>28.547186471179412</v>
          </cell>
          <cell r="J41">
            <v>27.821400103333616</v>
          </cell>
          <cell r="K41">
            <v>27.769766368615109</v>
          </cell>
          <cell r="L41">
            <v>25.20741861374168</v>
          </cell>
          <cell r="M41">
            <v>19.705346007204607</v>
          </cell>
          <cell r="N41">
            <v>24.956937885430911</v>
          </cell>
          <cell r="O41">
            <v>28.323157298544771</v>
          </cell>
          <cell r="P41">
            <v>29.659979144316928</v>
          </cell>
          <cell r="S41">
            <v>36</v>
          </cell>
          <cell r="T41">
            <v>472.0250485044005</v>
          </cell>
          <cell r="U41">
            <v>465.89146629934805</v>
          </cell>
          <cell r="V41">
            <v>474.79413585675997</v>
          </cell>
        </row>
        <row r="42">
          <cell r="A42">
            <v>38</v>
          </cell>
          <cell r="B42">
            <v>20.368505842765874</v>
          </cell>
          <cell r="C42">
            <v>38</v>
          </cell>
          <cell r="D42">
            <v>25.376301904443419</v>
          </cell>
          <cell r="E42">
            <v>25.701319456679975</v>
          </cell>
          <cell r="F42">
            <v>25.102119181745294</v>
          </cell>
          <cell r="G42">
            <v>25.870928361200445</v>
          </cell>
          <cell r="H42">
            <v>25.872423388404457</v>
          </cell>
          <cell r="I42">
            <v>26.273346639459973</v>
          </cell>
          <cell r="J42">
            <v>25.65255436492653</v>
          </cell>
          <cell r="K42">
            <v>25.672915967145425</v>
          </cell>
          <cell r="L42">
            <v>24.338324367009847</v>
          </cell>
          <cell r="M42">
            <v>19.751238626088682</v>
          </cell>
          <cell r="N42">
            <v>24.876008500903236</v>
          </cell>
          <cell r="O42">
            <v>27.905347638108623</v>
          </cell>
          <cell r="P42">
            <v>28.950194242730404</v>
          </cell>
          <cell r="S42">
            <v>37</v>
          </cell>
          <cell r="T42">
            <v>451.50222030855701</v>
          </cell>
          <cell r="U42">
            <v>446.58017248074941</v>
          </cell>
          <cell r="V42">
            <v>451.31703348486388</v>
          </cell>
        </row>
        <row r="43">
          <cell r="A43">
            <v>39</v>
          </cell>
          <cell r="B43">
            <v>16.294804674212699</v>
          </cell>
          <cell r="C43">
            <v>39</v>
          </cell>
          <cell r="D43">
            <v>21.962724332486385</v>
          </cell>
          <cell r="E43">
            <v>22.285905193123487</v>
          </cell>
          <cell r="F43">
            <v>21.739912639739032</v>
          </cell>
          <cell r="G43">
            <v>22.50429542284801</v>
          </cell>
          <cell r="H43">
            <v>22.556468316780219</v>
          </cell>
          <cell r="I43">
            <v>23.006714363069918</v>
          </cell>
          <cell r="J43">
            <v>22.551546526319076</v>
          </cell>
          <cell r="K43">
            <v>22.686160558480204</v>
          </cell>
          <cell r="L43">
            <v>22.677993824330958</v>
          </cell>
          <cell r="M43">
            <v>19.705346007204607</v>
          </cell>
          <cell r="N43">
            <v>24.631624995039829</v>
          </cell>
          <cell r="O43">
            <v>27.338337124469373</v>
          </cell>
          <cell r="P43">
            <v>27.726871198219651</v>
          </cell>
          <cell r="S43">
            <v>38</v>
          </cell>
          <cell r="T43">
            <v>430.97939211271353</v>
          </cell>
          <cell r="U43">
            <v>427.22266389629061</v>
          </cell>
          <cell r="V43">
            <v>427.8399311129678</v>
          </cell>
        </row>
        <row r="44">
          <cell r="A44">
            <v>40</v>
          </cell>
          <cell r="B44">
            <v>12.221103505659524</v>
          </cell>
          <cell r="C44">
            <v>40</v>
          </cell>
          <cell r="D44">
            <v>18.721280456520095</v>
          </cell>
          <cell r="E44">
            <v>19.042614128035073</v>
          </cell>
          <cell r="F44">
            <v>18.552866477237835</v>
          </cell>
          <cell r="G44">
            <v>19.312797086054196</v>
          </cell>
          <cell r="H44">
            <v>19.418832888361035</v>
          </cell>
          <cell r="I44">
            <v>19.921757146973938</v>
          </cell>
          <cell r="J44">
            <v>19.643653156510947</v>
          </cell>
          <cell r="K44">
            <v>19.901477043173589</v>
          </cell>
          <cell r="L44">
            <v>20.396256090218568</v>
          </cell>
          <cell r="M44">
            <v>19.567022340165238</v>
          </cell>
          <cell r="N44">
            <v>24.301957764247831</v>
          </cell>
          <cell r="O44">
            <v>26.465053402974821</v>
          </cell>
          <cell r="P44">
            <v>26.183547394187691</v>
          </cell>
          <cell r="S44">
            <v>39</v>
          </cell>
          <cell r="T44">
            <v>410.45656391686998</v>
          </cell>
          <cell r="U44">
            <v>407.77337007406345</v>
          </cell>
          <cell r="V44">
            <v>404.36282874107155</v>
          </cell>
        </row>
        <row r="45">
          <cell r="A45">
            <v>41</v>
          </cell>
          <cell r="B45">
            <v>8.1474023371063495</v>
          </cell>
          <cell r="C45">
            <v>41</v>
          </cell>
          <cell r="D45">
            <v>15.661660552345936</v>
          </cell>
          <cell r="E45">
            <v>15.98113635514698</v>
          </cell>
          <cell r="F45">
            <v>15.551228590507227</v>
          </cell>
          <cell r="G45">
            <v>16.306680791475397</v>
          </cell>
          <cell r="H45">
            <v>16.470377869292783</v>
          </cell>
          <cell r="I45">
            <v>16.111374925341611</v>
          </cell>
          <cell r="J45">
            <v>16.09166143083381</v>
          </cell>
          <cell r="K45">
            <v>16.531736419968148</v>
          </cell>
          <cell r="L45">
            <v>17.79732313509129</v>
          </cell>
          <cell r="M45">
            <v>19.381055163647662</v>
          </cell>
          <cell r="N45">
            <v>23.798896047796138</v>
          </cell>
          <cell r="O45">
            <v>25.40831535138328</v>
          </cell>
          <cell r="P45">
            <v>24.259226075760377</v>
          </cell>
          <cell r="S45">
            <v>40</v>
          </cell>
          <cell r="T45">
            <v>389.93373572102649</v>
          </cell>
          <cell r="U45">
            <v>388.23164520368118</v>
          </cell>
          <cell r="V45">
            <v>380.88572636917547</v>
          </cell>
        </row>
        <row r="46">
          <cell r="A46">
            <v>42</v>
          </cell>
          <cell r="B46">
            <v>4.0737011685531748</v>
          </cell>
          <cell r="C46">
            <v>42</v>
          </cell>
          <cell r="D46">
            <v>11.885297683971981</v>
          </cell>
          <cell r="E46">
            <v>12.202279391105058</v>
          </cell>
          <cell r="F46">
            <v>12.747291140647292</v>
          </cell>
          <cell r="G46">
            <v>12.608529643706589</v>
          </cell>
          <cell r="H46">
            <v>12.85651153956726</v>
          </cell>
          <cell r="I46">
            <v>12.679593096239063</v>
          </cell>
          <cell r="J46">
            <v>12.952561889720908</v>
          </cell>
          <cell r="K46">
            <v>13.603821450525091</v>
          </cell>
          <cell r="L46">
            <v>15.475001142554808</v>
          </cell>
          <cell r="M46">
            <v>19.146056232319459</v>
          </cell>
          <cell r="N46">
            <v>23.198206942177276</v>
          </cell>
          <cell r="O46">
            <v>24.144046654408026</v>
          </cell>
          <cell r="P46">
            <v>21.853491103167006</v>
          </cell>
          <cell r="S46">
            <v>41</v>
          </cell>
          <cell r="T46">
            <v>369.41090752518301</v>
          </cell>
          <cell r="U46">
            <v>368.64227682382068</v>
          </cell>
          <cell r="V46">
            <v>357.40862399727939</v>
          </cell>
        </row>
        <row r="47">
          <cell r="A47">
            <v>43</v>
          </cell>
          <cell r="B47">
            <v>0</v>
          </cell>
          <cell r="C47">
            <v>43</v>
          </cell>
          <cell r="D47">
            <v>8.4878112599080193</v>
          </cell>
          <cell r="E47">
            <v>8.8022790920160876</v>
          </cell>
          <cell r="F47">
            <v>9.342940470685468</v>
          </cell>
          <cell r="G47">
            <v>9.2996608116488737</v>
          </cell>
          <cell r="H47">
            <v>9.6432963141754371</v>
          </cell>
          <cell r="I47">
            <v>9.6746799532717933</v>
          </cell>
          <cell r="J47">
            <v>10.291815707750049</v>
          </cell>
          <cell r="K47">
            <v>11.20153205798881</v>
          </cell>
          <cell r="L47">
            <v>14.916275489316272</v>
          </cell>
          <cell r="M47">
            <v>18.812126600781692</v>
          </cell>
          <cell r="N47">
            <v>22.365392008844072</v>
          </cell>
          <cell r="O47">
            <v>22.637503201258408</v>
          </cell>
          <cell r="P47">
            <v>18.782258249414934</v>
          </cell>
          <cell r="S47">
            <v>42</v>
          </cell>
          <cell r="T47">
            <v>348.88807932933946</v>
          </cell>
          <cell r="U47">
            <v>349.00387668914948</v>
          </cell>
          <cell r="V47">
            <v>333.9315216253832</v>
          </cell>
        </row>
        <row r="48">
          <cell r="C48">
            <v>44</v>
          </cell>
          <cell r="D48">
            <v>6.2166067439930304</v>
          </cell>
          <cell r="E48">
            <v>6.5291759027169824</v>
          </cell>
          <cell r="F48">
            <v>6.365685825023867</v>
          </cell>
          <cell r="G48">
            <v>6.4331341475809065</v>
          </cell>
          <cell r="H48">
            <v>6.8894422243607956</v>
          </cell>
          <cell r="I48">
            <v>7.170305001160461</v>
          </cell>
          <cell r="J48">
            <v>8.2226969485429962</v>
          </cell>
          <cell r="K48">
            <v>9.4926715188838759</v>
          </cell>
          <cell r="L48">
            <v>14.709037362942798</v>
          </cell>
          <cell r="M48">
            <v>18.423082783168901</v>
          </cell>
          <cell r="N48">
            <v>21.541437067561056</v>
          </cell>
          <cell r="O48">
            <v>20.836198693754085</v>
          </cell>
          <cell r="P48">
            <v>15.55114942854909</v>
          </cell>
          <cell r="S48">
            <v>43</v>
          </cell>
          <cell r="T48">
            <v>328.36525113349603</v>
          </cell>
          <cell r="U48">
            <v>329.26654585426888</v>
          </cell>
          <cell r="V48">
            <v>310.45441925348717</v>
          </cell>
        </row>
        <row r="49">
          <cell r="C49">
            <v>45</v>
          </cell>
          <cell r="D49">
            <v>4.2138873587689085</v>
          </cell>
          <cell r="E49">
            <v>4.5245462407652441</v>
          </cell>
          <cell r="F49">
            <v>4.4556971102484875</v>
          </cell>
          <cell r="G49">
            <v>4.621852183256145</v>
          </cell>
          <cell r="H49">
            <v>5.1809030503647087</v>
          </cell>
          <cell r="I49">
            <v>5.6969276383239</v>
          </cell>
          <cell r="J49">
            <v>7.2154668915482141</v>
          </cell>
          <cell r="K49">
            <v>9.0238549753517603</v>
          </cell>
          <cell r="L49">
            <v>14.498837395312673</v>
          </cell>
          <cell r="M49">
            <v>18.07580198022189</v>
          </cell>
          <cell r="N49">
            <v>20.684686658543338</v>
          </cell>
          <cell r="O49">
            <v>19.070100637971287</v>
          </cell>
          <cell r="P49">
            <v>12.032046550784349</v>
          </cell>
          <cell r="S49">
            <v>44</v>
          </cell>
          <cell r="T49">
            <v>307.84242293765249</v>
          </cell>
          <cell r="U49">
            <v>309.47410083331312</v>
          </cell>
          <cell r="V49">
            <v>291.05101805014419</v>
          </cell>
        </row>
        <row r="50">
          <cell r="C50">
            <v>46</v>
          </cell>
          <cell r="D50">
            <v>3.0479697383905719</v>
          </cell>
          <cell r="E50">
            <v>3.3573485501913276</v>
          </cell>
          <cell r="F50">
            <v>3.361658663015072</v>
          </cell>
          <cell r="G50">
            <v>3.6057622350752547</v>
          </cell>
          <cell r="H50">
            <v>4.248382119619218</v>
          </cell>
          <cell r="I50">
            <v>4.9673760230932613</v>
          </cell>
          <cell r="J50">
            <v>7.0314295928366439</v>
          </cell>
          <cell r="K50">
            <v>8.9425133572706628</v>
          </cell>
          <cell r="L50">
            <v>14.285544843896824</v>
          </cell>
          <cell r="M50">
            <v>17.721717050582114</v>
          </cell>
          <cell r="N50">
            <v>19.790882077071448</v>
          </cell>
          <cell r="O50">
            <v>17.349963636770099</v>
          </cell>
          <cell r="P50">
            <v>8.6853775940418227</v>
          </cell>
          <cell r="S50">
            <v>45</v>
          </cell>
          <cell r="T50">
            <v>287.319594741809</v>
          </cell>
          <cell r="U50">
            <v>289.72341882702312</v>
          </cell>
          <cell r="V50">
            <v>271.64761684680121</v>
          </cell>
        </row>
        <row r="51">
          <cell r="C51">
            <v>47</v>
          </cell>
          <cell r="D51">
            <v>2.0384840951060585</v>
          </cell>
          <cell r="E51">
            <v>2.3465775186307773</v>
          </cell>
          <cell r="F51">
            <v>2.4369003351581422</v>
          </cell>
          <cell r="G51">
            <v>2.7757099005119952</v>
          </cell>
          <cell r="H51">
            <v>3.5251606643128168</v>
          </cell>
          <cell r="I51">
            <v>4.5593355823798243</v>
          </cell>
          <cell r="J51">
            <v>6.9843288778693253</v>
          </cell>
          <cell r="K51">
            <v>8.8604250278272652</v>
          </cell>
          <cell r="L51">
            <v>14.069019054584336</v>
          </cell>
          <cell r="M51">
            <v>17.36041166601737</v>
          </cell>
          <cell r="N51">
            <v>18.961051102804138</v>
          </cell>
          <cell r="O51">
            <v>15.439356788808807</v>
          </cell>
          <cell r="P51">
            <v>4.4685899064198571</v>
          </cell>
          <cell r="S51">
            <v>46</v>
          </cell>
          <cell r="T51">
            <v>266.79676654596551</v>
          </cell>
          <cell r="U51">
            <v>269.96593269404042</v>
          </cell>
          <cell r="V51">
            <v>252.24421564345829</v>
          </cell>
        </row>
        <row r="52">
          <cell r="C52">
            <v>48</v>
          </cell>
          <cell r="D52">
            <v>1.6009383540057671</v>
          </cell>
          <cell r="E52">
            <v>1.9083870682812893</v>
          </cell>
          <cell r="F52">
            <v>2.0492616799790477</v>
          </cell>
          <cell r="G52">
            <v>2.4463644383268943</v>
          </cell>
          <cell r="H52">
            <v>3.1234782784174189</v>
          </cell>
          <cell r="I52">
            <v>4.5394100627573231</v>
          </cell>
          <cell r="J52">
            <v>6.936908362481077</v>
          </cell>
          <cell r="K52">
            <v>8.7775690371840049</v>
          </cell>
          <cell r="L52">
            <v>13.849108376698013</v>
          </cell>
          <cell r="M52">
            <v>16.991425225868817</v>
          </cell>
          <cell r="N52">
            <v>18.093200503441949</v>
          </cell>
          <cell r="O52">
            <v>13.548327403231994</v>
          </cell>
          <cell r="P52">
            <v>0</v>
          </cell>
          <cell r="S52">
            <v>47</v>
          </cell>
          <cell r="T52">
            <v>246.27393835012202</v>
          </cell>
          <cell r="U52">
            <v>250.20122610613274</v>
          </cell>
          <cell r="V52">
            <v>232.84081444011537</v>
          </cell>
        </row>
        <row r="53">
          <cell r="C53">
            <v>49</v>
          </cell>
          <cell r="D53">
            <v>1.2150640104509933</v>
          </cell>
          <cell r="E53">
            <v>1.5218666607850975</v>
          </cell>
          <cell r="F53">
            <v>1.7214748828849065</v>
          </cell>
          <cell r="G53">
            <v>2.1910283300202602</v>
          </cell>
          <cell r="H53">
            <v>3.1099390804017251</v>
          </cell>
          <cell r="I53">
            <v>4.5193966945788366</v>
          </cell>
          <cell r="J53">
            <v>6.8891614427795496</v>
          </cell>
          <cell r="K53">
            <v>8.6939234371666121</v>
          </cell>
          <cell r="L53">
            <v>13.625648920355937</v>
          </cell>
          <cell r="M53">
            <v>16.614245971424353</v>
          </cell>
          <cell r="N53">
            <v>17.181570067731116</v>
          </cell>
          <cell r="O53">
            <v>11.68638311524724</v>
          </cell>
          <cell r="P53">
            <v>0</v>
          </cell>
          <cell r="S53">
            <v>48</v>
          </cell>
          <cell r="T53">
            <v>225.75111015427854</v>
          </cell>
          <cell r="U53">
            <v>230.42883846264127</v>
          </cell>
          <cell r="V53">
            <v>213.43741323677244</v>
          </cell>
        </row>
        <row r="54">
          <cell r="C54">
            <v>50</v>
          </cell>
          <cell r="D54">
            <v>0.88904526409229856</v>
          </cell>
          <cell r="E54">
            <v>1.1952004872176136</v>
          </cell>
          <cell r="F54">
            <v>1.4677007976837113</v>
          </cell>
          <cell r="G54">
            <v>2.0493844643692296</v>
          </cell>
          <cell r="H54">
            <v>3.0963406808480256</v>
          </cell>
          <cell r="I54">
            <v>4.4992943055636818</v>
          </cell>
          <cell r="J54">
            <v>6.841081284409718</v>
          </cell>
          <cell r="K54">
            <v>8.6094652133624709</v>
          </cell>
          <cell r="L54">
            <v>13.398463127242129</v>
          </cell>
          <cell r="M54">
            <v>16.228302658987158</v>
          </cell>
          <cell r="N54">
            <v>16.21877910099758</v>
          </cell>
          <cell r="O54">
            <v>9.8699981117345317</v>
          </cell>
          <cell r="P54">
            <v>0</v>
          </cell>
          <cell r="S54">
            <v>49</v>
          </cell>
          <cell r="T54">
            <v>205.22828195843499</v>
          </cell>
          <cell r="U54">
            <v>210.6482580048538</v>
          </cell>
          <cell r="V54">
            <v>194.03401203342943</v>
          </cell>
        </row>
        <row r="55">
          <cell r="C55">
            <v>51</v>
          </cell>
          <cell r="D55">
            <v>0.63704299261001962</v>
          </cell>
          <cell r="E55">
            <v>0.94254941659318103</v>
          </cell>
          <cell r="F55">
            <v>1.3276223349459815</v>
          </cell>
          <cell r="G55">
            <v>2.0515461055769912</v>
          </cell>
          <cell r="H55">
            <v>3.0826822963028313</v>
          </cell>
          <cell r="I55">
            <v>4.47910169712471</v>
          </cell>
          <cell r="J55">
            <v>6.7926608111344278</v>
          </cell>
          <cell r="K55">
            <v>8.5241702111631952</v>
          </cell>
          <cell r="L55">
            <v>13.167358119354727</v>
          </cell>
          <cell r="M55">
            <v>15.832954404797258</v>
          </cell>
          <cell r="N55">
            <v>15.326804473527174</v>
          </cell>
          <cell r="O55">
            <v>7.6329663391731666</v>
          </cell>
          <cell r="P55">
            <v>0</v>
          </cell>
          <cell r="S55">
            <v>50</v>
          </cell>
          <cell r="T55">
            <v>184.7054537625915</v>
          </cell>
          <cell r="U55">
            <v>190.85891348907367</v>
          </cell>
          <cell r="V55">
            <v>174.63061083008651</v>
          </cell>
        </row>
        <row r="56">
          <cell r="C56">
            <v>52</v>
          </cell>
          <cell r="D56">
            <v>0.49874013070210799</v>
          </cell>
          <cell r="E56">
            <v>0.8035963748515581</v>
          </cell>
          <cell r="F56">
            <v>1.330949637243277</v>
          </cell>
          <cell r="G56">
            <v>2.0471191311340062</v>
          </cell>
          <cell r="H56">
            <v>3.0689631258787364</v>
          </cell>
          <cell r="I56">
            <v>4.4588176435343394</v>
          </cell>
          <cell r="J56">
            <v>6.7438926926769769</v>
          </cell>
          <cell r="K56">
            <v>8.4380130550779295</v>
          </cell>
          <cell r="L56">
            <v>12.932123782063284</v>
          </cell>
          <cell r="M56">
            <v>15.402104044168482</v>
          </cell>
          <cell r="N56">
            <v>14.379606225919723</v>
          </cell>
          <cell r="O56">
            <v>5.1902239896170661</v>
          </cell>
          <cell r="P56">
            <v>0</v>
          </cell>
          <cell r="S56">
            <v>51</v>
          </cell>
          <cell r="T56">
            <v>164.18262556674802</v>
          </cell>
          <cell r="U56">
            <v>171.06016403154084</v>
          </cell>
          <cell r="V56">
            <v>155.22720962674359</v>
          </cell>
        </row>
        <row r="57">
          <cell r="C57">
            <v>53</v>
          </cell>
          <cell r="D57">
            <v>0.49999985559663152</v>
          </cell>
          <cell r="E57">
            <v>0.80561943583310047</v>
          </cell>
          <cell r="F57">
            <v>1.3280958459815517</v>
          </cell>
          <cell r="G57">
            <v>2.0426825624167799</v>
          </cell>
          <cell r="H57">
            <v>3.055182350706398</v>
          </cell>
          <cell r="I57">
            <v>4.4384408910563158</v>
          </cell>
          <cell r="J57">
            <v>6.6947693317665857</v>
          </cell>
          <cell r="K57">
            <v>8.3509670605534723</v>
          </cell>
          <cell r="L57">
            <v>12.732775826215786</v>
          </cell>
          <cell r="M57">
            <v>14.98636406741068</v>
          </cell>
          <cell r="N57">
            <v>13.365448554211939</v>
          </cell>
          <cell r="O57">
            <v>1.8562361132089205</v>
          </cell>
          <cell r="P57">
            <v>0</v>
          </cell>
          <cell r="S57">
            <v>52</v>
          </cell>
          <cell r="T57">
            <v>143.65979737090453</v>
          </cell>
          <cell r="U57">
            <v>151.22591246756912</v>
          </cell>
          <cell r="V57">
            <v>135.82380842340064</v>
          </cell>
        </row>
        <row r="58">
          <cell r="C58">
            <v>54</v>
          </cell>
          <cell r="D58">
            <v>0.49893760698736278</v>
          </cell>
          <cell r="E58">
            <v>0.80390118229686547</v>
          </cell>
          <cell r="F58">
            <v>1.3252359093191288</v>
          </cell>
          <cell r="G58">
            <v>2.038236336774593</v>
          </cell>
          <cell r="H58">
            <v>3.0413391333641755</v>
          </cell>
          <cell r="I58">
            <v>4.4179701570414043</v>
          </cell>
          <cell r="J58">
            <v>6.6452828503219434</v>
          </cell>
          <cell r="K58">
            <v>8.2630041374328638</v>
          </cell>
          <cell r="L58">
            <v>12.530256779760077</v>
          </cell>
          <cell r="M58">
            <v>14.620609473168674</v>
          </cell>
          <cell r="N58">
            <v>12.430488695390761</v>
          </cell>
          <cell r="O58">
            <v>0</v>
          </cell>
          <cell r="P58">
            <v>0</v>
          </cell>
          <cell r="S58">
            <v>53</v>
          </cell>
          <cell r="T58">
            <v>123.13696917506104</v>
          </cell>
          <cell r="U58">
            <v>131.40677128746839</v>
          </cell>
          <cell r="V58">
            <v>116.42040722005771</v>
          </cell>
        </row>
        <row r="59">
          <cell r="C59">
            <v>55</v>
          </cell>
          <cell r="D59">
            <v>0.49787309199825192</v>
          </cell>
          <cell r="E59">
            <v>0.80217924830087284</v>
          </cell>
          <cell r="F59">
            <v>1.3223697873833706</v>
          </cell>
          <cell r="G59">
            <v>2.0337803908718968</v>
          </cell>
          <cell r="H59">
            <v>3.0274326172842958</v>
          </cell>
          <cell r="I59">
            <v>4.3974041289852046</v>
          </cell>
          <cell r="J59">
            <v>6.5954250747016632</v>
          </cell>
          <cell r="K59">
            <v>8.1740946840623394</v>
          </cell>
          <cell r="L59">
            <v>12.324410318257895</v>
          </cell>
          <cell r="M59">
            <v>14.24546716583353</v>
          </cell>
          <cell r="N59">
            <v>11.419233045926902</v>
          </cell>
          <cell r="O59">
            <v>0</v>
          </cell>
          <cell r="P59">
            <v>0</v>
          </cell>
          <cell r="S59">
            <v>54</v>
          </cell>
          <cell r="T59">
            <v>102.6141409792175</v>
          </cell>
          <cell r="U59">
            <v>111.63761548988339</v>
          </cell>
          <cell r="V59">
            <v>97.017006016714717</v>
          </cell>
        </row>
        <row r="60">
          <cell r="C60">
            <v>56</v>
          </cell>
          <cell r="D60">
            <v>0.49680629606067145</v>
          </cell>
          <cell r="E60">
            <v>0.80045361009293259</v>
          </cell>
          <cell r="F60">
            <v>1.3194974398685981</v>
          </cell>
          <cell r="G60">
            <v>2.0293146606777808</v>
          </cell>
          <cell r="H60">
            <v>3.0134619261343469</v>
          </cell>
          <cell r="I60">
            <v>4.3767414635461144</v>
          </cell>
          <cell r="J60">
            <v>6.545187519943485</v>
          </cell>
          <cell r="K60">
            <v>8.0842074709151159</v>
          </cell>
          <cell r="L60">
            <v>12.115066835095872</v>
          </cell>
          <cell r="M60">
            <v>13.860174897120629</v>
          </cell>
          <cell r="N60">
            <v>10.502400288330055</v>
          </cell>
          <cell r="O60">
            <v>0</v>
          </cell>
          <cell r="P60">
            <v>0</v>
          </cell>
          <cell r="S60">
            <v>55</v>
          </cell>
          <cell r="T60">
            <v>82.091312783374008</v>
          </cell>
          <cell r="U60">
            <v>91.859071979205325</v>
          </cell>
          <cell r="V60">
            <v>77.613604813371794</v>
          </cell>
        </row>
        <row r="61">
          <cell r="C61">
            <v>57</v>
          </cell>
          <cell r="D61">
            <v>0.49573720444923963</v>
          </cell>
          <cell r="E61">
            <v>0.79872424366427219</v>
          </cell>
          <cell r="F61">
            <v>1.3166188260294733</v>
          </cell>
          <cell r="G61">
            <v>2.0248390814552417</v>
          </cell>
          <cell r="H61">
            <v>2.9994261631728518</v>
          </cell>
          <cell r="I61">
            <v>4.3559807855213792</v>
          </cell>
          <cell r="J61">
            <v>6.494561372906138</v>
          </cell>
          <cell r="K61">
            <v>7.9933095124349647</v>
          </cell>
          <cell r="L61">
            <v>11.882466079057115</v>
          </cell>
          <cell r="M61">
            <v>13.463861317790839</v>
          </cell>
          <cell r="N61">
            <v>9.4974702039775547</v>
          </cell>
          <cell r="O61">
            <v>0</v>
          </cell>
          <cell r="P61">
            <v>0</v>
          </cell>
          <cell r="S61">
            <v>56</v>
          </cell>
          <cell r="T61">
            <v>61.56848458753052</v>
          </cell>
          <cell r="U61">
            <v>72.070378507149485</v>
          </cell>
          <cell r="V61">
            <v>58.210203610028856</v>
          </cell>
        </row>
        <row r="62">
          <cell r="C62">
            <v>58</v>
          </cell>
          <cell r="D62">
            <v>0.49466580227944895</v>
          </cell>
          <cell r="E62">
            <v>0.79699112474563893</v>
          </cell>
          <cell r="F62">
            <v>1.3137339046742582</v>
          </cell>
          <cell r="G62">
            <v>2.020353587750233</v>
          </cell>
          <cell r="H62">
            <v>2.9853244105775674</v>
          </cell>
          <cell r="I62">
            <v>4.3351206867789873</v>
          </cell>
          <cell r="J62">
            <v>6.4435374742190303</v>
          </cell>
          <cell r="K62">
            <v>7.9013659256084861</v>
          </cell>
          <cell r="L62">
            <v>11.66591491311048</v>
          </cell>
          <cell r="M62">
            <v>13.055522777378014</v>
          </cell>
          <cell r="N62">
            <v>8.3727814216404628</v>
          </cell>
          <cell r="O62">
            <v>0</v>
          </cell>
          <cell r="P62">
            <v>0</v>
          </cell>
          <cell r="S62">
            <v>57</v>
          </cell>
          <cell r="T62">
            <v>41.045656391687032</v>
          </cell>
          <cell r="U62">
            <v>52.270663724476755</v>
          </cell>
          <cell r="V62">
            <v>38.806802406685918</v>
          </cell>
        </row>
        <row r="63">
          <cell r="C63">
            <v>59</v>
          </cell>
          <cell r="D63">
            <v>0.49359207450524839</v>
          </cell>
          <cell r="E63">
            <v>0.79525422880332663</v>
          </cell>
          <cell r="F63">
            <v>1.3108426341579358</v>
          </cell>
          <cell r="G63">
            <v>2.0158581133804958</v>
          </cell>
          <cell r="H63">
            <v>2.9711557287450936</v>
          </cell>
          <cell r="I63">
            <v>4.3141597251431003</v>
          </cell>
          <cell r="J63">
            <v>6.392106298935075</v>
          </cell>
          <cell r="K63">
            <v>7.8083397735466402</v>
          </cell>
          <cell r="L63">
            <v>11.445267205265415</v>
          </cell>
          <cell r="M63">
            <v>12.633993366967061</v>
          </cell>
          <cell r="N63">
            <v>7.3501490802478733</v>
          </cell>
          <cell r="O63">
            <v>0</v>
          </cell>
          <cell r="P63">
            <v>0</v>
          </cell>
          <cell r="S63">
            <v>58</v>
          </cell>
          <cell r="T63">
            <v>20.522828195843545</v>
          </cell>
          <cell r="U63">
            <v>32.458923980721003</v>
          </cell>
          <cell r="V63">
            <v>19.403401203342987</v>
          </cell>
        </row>
        <row r="64">
          <cell r="C64">
            <v>60</v>
          </cell>
          <cell r="D64">
            <v>0.49251600591657757</v>
          </cell>
          <cell r="E64">
            <v>0.7935135310351229</v>
          </cell>
          <cell r="F64">
            <v>1.3079449723751992</v>
          </cell>
          <cell r="G64">
            <v>2.0113525914241648</v>
          </cell>
          <cell r="H64">
            <v>2.9569191555602723</v>
          </cell>
          <cell r="I64">
            <v>4.2930964232304936</v>
          </cell>
          <cell r="J64">
            <v>6.3402579357709081</v>
          </cell>
          <cell r="K64">
            <v>7.7141918920865553</v>
          </cell>
          <cell r="L64">
            <v>11.220281281675364</v>
          </cell>
          <cell r="M64">
            <v>12.197905631808249</v>
          </cell>
          <cell r="N64">
            <v>6.1600255088083573</v>
          </cell>
          <cell r="O64">
            <v>0</v>
          </cell>
          <cell r="P64">
            <v>0</v>
          </cell>
          <cell r="S64">
            <v>59</v>
          </cell>
          <cell r="T64">
            <v>5.6843418860808015E-14</v>
          </cell>
          <cell r="U64">
            <v>12.633993366967115</v>
          </cell>
          <cell r="V64">
            <v>5.3742868741127577E-14</v>
          </cell>
        </row>
        <row r="65">
          <cell r="C65">
            <v>61</v>
          </cell>
          <cell r="D65">
            <v>0.4914375811368541</v>
          </cell>
          <cell r="E65">
            <v>0.79176900636617753</v>
          </cell>
          <cell r="F65">
            <v>1.3050408767532931</v>
          </cell>
          <cell r="G65">
            <v>2.0068369542081474</v>
          </cell>
          <cell r="H65">
            <v>2.9426137056337782</v>
          </cell>
          <cell r="I65">
            <v>4.2719292672353708</v>
          </cell>
          <cell r="J65">
            <v>6.2879820648063616</v>
          </cell>
          <cell r="K65">
            <v>7.6428199275216215</v>
          </cell>
          <cell r="L65">
            <v>10.990690728061864</v>
          </cell>
          <cell r="M65">
            <v>11.745638135428445</v>
          </cell>
          <cell r="N65">
            <v>5.0879103121660281</v>
          </cell>
          <cell r="O65">
            <v>0</v>
          </cell>
          <cell r="P65">
            <v>0</v>
          </cell>
          <cell r="S65">
            <v>60</v>
          </cell>
          <cell r="T65" t="str">
            <v/>
          </cell>
          <cell r="U65">
            <v>12.197905631808249</v>
          </cell>
          <cell r="V65">
            <v>0</v>
          </cell>
        </row>
        <row r="66">
          <cell r="C66">
            <v>62</v>
          </cell>
          <cell r="D66">
            <v>0.49035678462040855</v>
          </cell>
          <cell r="E66">
            <v>0.79002062944478813</v>
          </cell>
          <cell r="F66">
            <v>1.3021303042447203</v>
          </cell>
          <cell r="G66">
            <v>2.0023111332962635</v>
          </cell>
          <cell r="H66">
            <v>2.9282383695061855</v>
          </cell>
          <cell r="I66">
            <v>4.2506567056597024</v>
          </cell>
          <cell r="J66">
            <v>6.2352679335010937</v>
          </cell>
          <cell r="K66">
            <v>7.5707751479692789</v>
          </cell>
          <cell r="L66">
            <v>10.756200691689214</v>
          </cell>
          <cell r="M66">
            <v>11.354996391311948</v>
          </cell>
          <cell r="N66">
            <v>3.7185680604395479</v>
          </cell>
          <cell r="O66">
            <v>0</v>
          </cell>
          <cell r="P66">
            <v>0</v>
          </cell>
          <cell r="S66">
            <v>61</v>
          </cell>
          <cell r="T66" t="str">
            <v/>
          </cell>
          <cell r="U66">
            <v>11.745638135428445</v>
          </cell>
          <cell r="V66">
            <v>0</v>
          </cell>
        </row>
        <row r="67">
          <cell r="C67">
            <v>63</v>
          </cell>
          <cell r="D67">
            <v>0.48927360064987102</v>
          </cell>
          <cell r="E67">
            <v>0.78826837463810151</v>
          </cell>
          <cell r="F67">
            <v>1.2992132113197938</v>
          </cell>
          <cell r="G67">
            <v>1.9977750594771417</v>
          </cell>
          <cell r="H67">
            <v>2.9137921128166862</v>
          </cell>
          <cell r="I67">
            <v>4.2292771479861022</v>
          </cell>
          <cell r="J67">
            <v>6.1821043308704757</v>
          </cell>
          <cell r="K67">
            <v>7.4980381592585212</v>
          </cell>
          <cell r="L67">
            <v>10.516483440765073</v>
          </cell>
          <cell r="M67">
            <v>10.950427885931386</v>
          </cell>
          <cell r="N67">
            <v>2.4059010378175638</v>
          </cell>
          <cell r="O67">
            <v>0</v>
          </cell>
          <cell r="P67">
            <v>0</v>
          </cell>
          <cell r="S67">
            <v>62</v>
          </cell>
          <cell r="T67" t="str">
            <v/>
          </cell>
          <cell r="U67">
            <v>11.354996391311948</v>
          </cell>
          <cell r="V67">
            <v>0</v>
          </cell>
        </row>
        <row r="68">
          <cell r="C68">
            <v>64</v>
          </cell>
          <cell r="D68">
            <v>0.4881880133335037</v>
          </cell>
          <cell r="E68">
            <v>0.78651221602772925</v>
          </cell>
          <cell r="F68">
            <v>1.2962895539590433</v>
          </cell>
          <cell r="G68">
            <v>1.9932286627518752</v>
          </cell>
          <cell r="H68">
            <v>2.8992738754345395</v>
          </cell>
          <cell r="I68">
            <v>4.2077889632899996</v>
          </cell>
          <cell r="J68">
            <v>6.1284795596451156</v>
          </cell>
          <cell r="K68">
            <v>7.424588617175</v>
          </cell>
          <cell r="L68">
            <v>10.271172990456177</v>
          </cell>
          <cell r="M68">
            <v>10.530327569608653</v>
          </cell>
          <cell r="N68">
            <v>1.3299118375279231</v>
          </cell>
          <cell r="O68">
            <v>0</v>
          </cell>
          <cell r="P68">
            <v>0</v>
          </cell>
          <cell r="S68">
            <v>63</v>
          </cell>
          <cell r="T68" t="str">
            <v/>
          </cell>
          <cell r="U68">
            <v>10.950427885931386</v>
          </cell>
          <cell r="V68">
            <v>0</v>
          </cell>
        </row>
        <row r="69">
          <cell r="C69">
            <v>65</v>
          </cell>
          <cell r="D69">
            <v>0.48710000660248087</v>
          </cell>
          <cell r="E69">
            <v>0.78475212740527478</v>
          </cell>
          <cell r="F69">
            <v>1.2933592876454625</v>
          </cell>
          <cell r="G69">
            <v>1.9886718723214147</v>
          </cell>
          <cell r="H69">
            <v>2.8846825705511692</v>
          </cell>
          <cell r="I69">
            <v>4.1861904787877009</v>
          </cell>
          <cell r="J69">
            <v>6.0743814062181274</v>
          </cell>
          <cell r="K69">
            <v>7.3504051610011425</v>
          </cell>
          <cell r="L69">
            <v>10.019858543905048</v>
          </cell>
          <cell r="M69">
            <v>10.092756142973853</v>
          </cell>
          <cell r="N69">
            <v>0</v>
          </cell>
          <cell r="O69">
            <v>0</v>
          </cell>
          <cell r="P69">
            <v>0</v>
          </cell>
          <cell r="S69">
            <v>64</v>
          </cell>
          <cell r="T69" t="str">
            <v/>
          </cell>
          <cell r="U69">
            <v>10.530327569608653</v>
          </cell>
          <cell r="V69">
            <v>0</v>
          </cell>
        </row>
        <row r="70">
          <cell r="C70">
            <v>66</v>
          </cell>
          <cell r="D70">
            <v>0.48600956420811375</v>
          </cell>
          <cell r="E70">
            <v>0.78298808226776984</v>
          </cell>
          <cell r="F70">
            <v>1.2904223673566042</v>
          </cell>
          <cell r="G70">
            <v>1.9841046165737062</v>
          </cell>
          <cell r="H70">
            <v>2.8700170837307195</v>
          </cell>
          <cell r="I70">
            <v>4.1644799783166775</v>
          </cell>
          <cell r="J70">
            <v>6.0197971081614545</v>
          </cell>
          <cell r="K70">
            <v>7.2754653409565426</v>
          </cell>
          <cell r="L70">
            <v>9.7620764123140056</v>
          </cell>
          <cell r="M70">
            <v>9.6353336423713323</v>
          </cell>
          <cell r="N70">
            <v>0</v>
          </cell>
          <cell r="O70">
            <v>0</v>
          </cell>
          <cell r="P70">
            <v>0</v>
          </cell>
          <cell r="S70">
            <v>65</v>
          </cell>
          <cell r="T70" t="str">
            <v/>
          </cell>
          <cell r="U70">
            <v>10.092756142973853</v>
          </cell>
          <cell r="V70">
            <v>0</v>
          </cell>
        </row>
        <row r="71">
          <cell r="C71">
            <v>67</v>
          </cell>
          <cell r="D71">
            <v>0.4849166697190192</v>
          </cell>
          <cell r="E71">
            <v>0.78122005381301818</v>
          </cell>
          <cell r="F71">
            <v>1.2874787475565048</v>
          </cell>
          <cell r="G71">
            <v>1.9795268230705603</v>
          </cell>
          <cell r="H71">
            <v>2.8552762719167251</v>
          </cell>
          <cell r="I71">
            <v>4.1426557007441653</v>
          </cell>
          <cell r="J71">
            <v>5.9647133190665178</v>
          </cell>
          <cell r="K71">
            <v>7.1879038520985619</v>
          </cell>
          <cell r="L71">
            <v>9.5508424964423906</v>
          </cell>
          <cell r="M71">
            <v>9.1550850481079173</v>
          </cell>
          <cell r="N71">
            <v>0</v>
          </cell>
          <cell r="O71">
            <v>0</v>
          </cell>
          <cell r="P71">
            <v>0</v>
          </cell>
          <cell r="S71">
            <v>66</v>
          </cell>
          <cell r="T71" t="str">
            <v/>
          </cell>
          <cell r="U71">
            <v>9.6353336423713323</v>
          </cell>
          <cell r="V71">
            <v>0</v>
          </cell>
        </row>
        <row r="72">
          <cell r="C72">
            <v>68</v>
          </cell>
          <cell r="D72">
            <v>0.48382130651823108</v>
          </cell>
          <cell r="E72">
            <v>0.77944801493484484</v>
          </cell>
          <cell r="F72">
            <v>1.2845283821874507</v>
          </cell>
          <cell r="G72">
            <v>1.974938418534248</v>
          </cell>
          <cell r="H72">
            <v>2.8404589623923733</v>
          </cell>
          <cell r="I72">
            <v>4.1207158382999189</v>
          </cell>
          <cell r="J72">
            <v>5.9091160704347336</v>
          </cell>
          <cell r="K72">
            <v>7.1115050572611089</v>
          </cell>
          <cell r="L72">
            <v>9.3348298808195924</v>
          </cell>
          <cell r="M72">
            <v>8.7519326156404045</v>
          </cell>
          <cell r="N72">
            <v>0</v>
          </cell>
          <cell r="O72">
            <v>0</v>
          </cell>
          <cell r="P72">
            <v>0</v>
          </cell>
          <cell r="S72">
            <v>67</v>
          </cell>
          <cell r="T72" t="str">
            <v/>
          </cell>
          <cell r="U72">
            <v>9.1550850481079173</v>
          </cell>
          <cell r="V72">
            <v>0</v>
          </cell>
        </row>
        <row r="73">
          <cell r="C73">
            <v>69</v>
          </cell>
          <cell r="D73">
            <v>0.48272345780025211</v>
          </cell>
          <cell r="E73">
            <v>0.77767193821824721</v>
          </cell>
          <cell r="F73">
            <v>1.2815712246615691</v>
          </cell>
          <cell r="G73">
            <v>1.9703393288338149</v>
          </cell>
          <cell r="H73">
            <v>2.8255639516917048</v>
          </cell>
          <cell r="I73">
            <v>4.0986585348286182</v>
          </cell>
          <cell r="J73">
            <v>5.852990730309636</v>
          </cell>
          <cell r="K73">
            <v>7.0342765492897232</v>
          </cell>
          <cell r="L73">
            <v>9.1136987779844194</v>
          </cell>
          <cell r="M73">
            <v>8.3292896923646094</v>
          </cell>
          <cell r="N73">
            <v>0</v>
          </cell>
          <cell r="O73">
            <v>0</v>
          </cell>
          <cell r="P73">
            <v>0</v>
          </cell>
          <cell r="S73">
            <v>68</v>
          </cell>
          <cell r="T73" t="str">
            <v/>
          </cell>
          <cell r="U73">
            <v>8.7519326156404045</v>
          </cell>
          <cell r="V73">
            <v>0</v>
          </cell>
        </row>
        <row r="74">
          <cell r="C74">
            <v>70</v>
          </cell>
          <cell r="D74">
            <v>0.48162310656804619</v>
          </cell>
          <cell r="E74">
            <v>0.77589179593444635</v>
          </cell>
          <cell r="F74">
            <v>1.2786072278522429</v>
          </cell>
          <cell r="G74">
            <v>1.9657294789711071</v>
          </cell>
          <cell r="H74">
            <v>2.8105900044588732</v>
          </cell>
          <cell r="I74">
            <v>4.0764818839571877</v>
          </cell>
          <cell r="J74">
            <v>5.7963219583034755</v>
          </cell>
          <cell r="K74">
            <v>6.9561906934991589</v>
          </cell>
          <cell r="L74">
            <v>8.8870671161990842</v>
          </cell>
          <cell r="M74">
            <v>7.8840223902493092</v>
          </cell>
          <cell r="N74">
            <v>0</v>
          </cell>
          <cell r="O74">
            <v>0</v>
          </cell>
          <cell r="P74">
            <v>0</v>
          </cell>
          <cell r="S74">
            <v>69</v>
          </cell>
          <cell r="T74" t="str">
            <v/>
          </cell>
          <cell r="U74">
            <v>8.3292896923646094</v>
          </cell>
          <cell r="V74">
            <v>0</v>
          </cell>
        </row>
        <row r="75">
          <cell r="C75">
            <v>71</v>
          </cell>
          <cell r="D75">
            <v>0.48052023562996721</v>
          </cell>
          <cell r="E75">
            <v>0.77410756003583603</v>
          </cell>
          <cell r="F75">
            <v>1.2756363440853515</v>
          </cell>
          <cell r="G75">
            <v>1.9611087930665019</v>
          </cell>
          <cell r="H75">
            <v>2.795535852252411</v>
          </cell>
          <cell r="I75">
            <v>4.0541839271718807</v>
          </cell>
          <cell r="J75">
            <v>5.7390936566265882</v>
          </cell>
          <cell r="K75">
            <v>6.877218286252174</v>
          </cell>
          <cell r="L75">
            <v>8.6545027840898836</v>
          </cell>
          <cell r="M75">
            <v>7.4120544601732066</v>
          </cell>
          <cell r="N75">
            <v>0</v>
          </cell>
          <cell r="O75">
            <v>0</v>
          </cell>
          <cell r="P75">
            <v>0</v>
          </cell>
          <cell r="S75">
            <v>70</v>
          </cell>
          <cell r="T75" t="str">
            <v/>
          </cell>
          <cell r="U75">
            <v>7.8840223902493092</v>
          </cell>
          <cell r="V75">
            <v>0</v>
          </cell>
        </row>
        <row r="76">
          <cell r="C76">
            <v>72</v>
          </cell>
          <cell r="D76">
            <v>0.47941482759662635</v>
          </cell>
          <cell r="E76">
            <v>0.7723192021508275</v>
          </cell>
          <cell r="F76">
            <v>1.2726585251303215</v>
          </cell>
          <cell r="G76">
            <v>1.9564771943443355</v>
          </cell>
          <cell r="H76">
            <v>2.7804001922912285</v>
          </cell>
          <cell r="I76">
            <v>4.0317626517996414</v>
          </cell>
          <cell r="J76">
            <v>5.6812889166765714</v>
          </cell>
          <cell r="K76">
            <v>6.7973284273454286</v>
          </cell>
          <cell r="L76">
            <v>8.4155139446032603</v>
          </cell>
          <cell r="M76">
            <v>6.9079152854674328</v>
          </cell>
          <cell r="N76">
            <v>0</v>
          </cell>
          <cell r="O76">
            <v>0</v>
          </cell>
          <cell r="P76">
            <v>0</v>
          </cell>
          <cell r="S76">
            <v>71</v>
          </cell>
          <cell r="T76" t="str">
            <v/>
          </cell>
          <cell r="U76">
            <v>7.4120544601732066</v>
          </cell>
          <cell r="V76">
            <v>0</v>
          </cell>
        </row>
        <row r="77">
          <cell r="C77">
            <v>73</v>
          </cell>
          <cell r="D77">
            <v>0.47830686487769197</v>
          </cell>
          <cell r="E77">
            <v>0.77052669357858439</v>
          </cell>
          <cell r="F77">
            <v>1.2696737221909924</v>
          </cell>
          <cell r="G77">
            <v>1.9518346051180195</v>
          </cell>
          <cell r="H77">
            <v>2.7651816861388308</v>
          </cell>
          <cell r="I77">
            <v>4.0092159888878705</v>
          </cell>
          <cell r="J77">
            <v>5.6136417864075936</v>
          </cell>
          <cell r="K77">
            <v>6.7164883787314986</v>
          </cell>
          <cell r="L77">
            <v>8.1695367961595178</v>
          </cell>
          <cell r="M77">
            <v>6.3639638482486456</v>
          </cell>
          <cell r="N77">
            <v>0</v>
          </cell>
          <cell r="O77">
            <v>0</v>
          </cell>
          <cell r="P77">
            <v>0</v>
          </cell>
          <cell r="S77">
            <v>72</v>
          </cell>
          <cell r="T77" t="str">
            <v/>
          </cell>
          <cell r="U77">
            <v>6.9079152854674328</v>
          </cell>
          <cell r="V77">
            <v>0</v>
          </cell>
        </row>
        <row r="78">
          <cell r="C78">
            <v>74</v>
          </cell>
          <cell r="D78">
            <v>0.47719632967862441</v>
          </cell>
          <cell r="E78">
            <v>0.76873000528365043</v>
          </cell>
          <cell r="F78">
            <v>1.2666818858962863</v>
          </cell>
          <cell r="G78">
            <v>1.947180946774836</v>
          </cell>
          <cell r="H78">
            <v>2.7498789583219971</v>
          </cell>
          <cell r="I78">
            <v>3.9865418109762518</v>
          </cell>
          <cell r="J78">
            <v>5.5547269625915678</v>
          </cell>
          <cell r="K78">
            <v>6.6346634077451334</v>
          </cell>
          <cell r="L78">
            <v>7.9159199071110322</v>
          </cell>
          <cell r="M78">
            <v>5.9233092579048678</v>
          </cell>
          <cell r="N78">
            <v>0</v>
          </cell>
          <cell r="O78">
            <v>0</v>
          </cell>
          <cell r="P78">
            <v>0</v>
          </cell>
          <cell r="S78">
            <v>73</v>
          </cell>
          <cell r="T78" t="str">
            <v/>
          </cell>
          <cell r="U78">
            <v>6.3639638482486456</v>
          </cell>
          <cell r="V78">
            <v>0</v>
          </cell>
        </row>
        <row r="79">
          <cell r="C79">
            <v>75</v>
          </cell>
          <cell r="D79">
            <v>0.47608320399734128</v>
          </cell>
          <cell r="E79">
            <v>0.76692910789045954</v>
          </cell>
          <cell r="F79">
            <v>1.2636829662906817</v>
          </cell>
          <cell r="G79">
            <v>1.9425161397604083</v>
          </cell>
          <cell r="H79">
            <v>2.7344905948798872</v>
          </cell>
          <cell r="I79">
            <v>3.9637379297538686</v>
          </cell>
          <cell r="J79">
            <v>5.495180538597622</v>
          </cell>
          <cell r="K79">
            <v>6.5518166127043918</v>
          </cell>
          <cell r="L79">
            <v>7.6539038723901625</v>
          </cell>
          <cell r="M79">
            <v>5.447123026676314</v>
          </cell>
          <cell r="N79">
            <v>0</v>
          </cell>
          <cell r="O79">
            <v>0</v>
          </cell>
          <cell r="P79">
            <v>0</v>
          </cell>
          <cell r="S79">
            <v>74</v>
          </cell>
          <cell r="T79" t="str">
            <v/>
          </cell>
          <cell r="U79">
            <v>5.9233092579048678</v>
          </cell>
          <cell r="V79">
            <v>0</v>
          </cell>
        </row>
        <row r="80">
          <cell r="C80">
            <v>76</v>
          </cell>
          <cell r="D80">
            <v>0.47496746962081293</v>
          </cell>
          <cell r="E80">
            <v>0.76512397167773494</v>
          </cell>
          <cell r="F80">
            <v>1.2606769128244792</v>
          </cell>
          <cell r="G80">
            <v>1.9378401035628328</v>
          </cell>
          <cell r="H80">
            <v>2.719015141839237</v>
          </cell>
          <cell r="I80">
            <v>3.9408020935942916</v>
          </cell>
          <cell r="J80">
            <v>5.4349817547644417</v>
          </cell>
          <cell r="K80">
            <v>6.4679087284025778</v>
          </cell>
          <cell r="L80">
            <v>7.3825944626385596</v>
          </cell>
          <cell r="M80">
            <v>4.9251097419969385</v>
          </cell>
          <cell r="N80">
            <v>0</v>
          </cell>
          <cell r="O80">
            <v>0</v>
          </cell>
          <cell r="P80">
            <v>0</v>
          </cell>
          <cell r="S80">
            <v>75</v>
          </cell>
          <cell r="T80" t="str">
            <v/>
          </cell>
          <cell r="U80">
            <v>5.447123026676314</v>
          </cell>
          <cell r="V80">
            <v>0</v>
          </cell>
        </row>
        <row r="81">
          <cell r="C81">
            <v>77</v>
          </cell>
          <cell r="D81">
            <v>0.47384910812158498</v>
          </cell>
          <cell r="E81">
            <v>0.76331456657276398</v>
          </cell>
          <cell r="F81">
            <v>1.2576636743438621</v>
          </cell>
          <cell r="G81">
            <v>1.9331527566964648</v>
          </cell>
          <cell r="H81">
            <v>2.7034511036109992</v>
          </cell>
          <cell r="I81">
            <v>3.9177319849607906</v>
          </cell>
          <cell r="J81">
            <v>5.3741086886536511</v>
          </cell>
          <cell r="K81">
            <v>6.3828979085822155</v>
          </cell>
          <cell r="L81">
            <v>7.1009265248820821</v>
          </cell>
          <cell r="M81">
            <v>4.3407675212661374</v>
          </cell>
          <cell r="N81">
            <v>0</v>
          </cell>
          <cell r="O81">
            <v>0</v>
          </cell>
          <cell r="P81">
            <v>0</v>
          </cell>
          <cell r="S81">
            <v>76</v>
          </cell>
          <cell r="T81" t="str">
            <v/>
          </cell>
          <cell r="U81">
            <v>4.9251097419969385</v>
          </cell>
          <cell r="V81">
            <v>0</v>
          </cell>
        </row>
        <row r="82">
          <cell r="C82">
            <v>78</v>
          </cell>
          <cell r="D82">
            <v>0.47272810085422812</v>
          </cell>
          <cell r="E82">
            <v>0.76150086214555379</v>
          </cell>
          <cell r="F82">
            <v>1.2546431990807378</v>
          </cell>
          <cell r="G82">
            <v>1.9284540166853534</v>
          </cell>
          <cell r="H82">
            <v>2.6877969413034193</v>
          </cell>
          <cell r="I82">
            <v>3.8945252176731997</v>
          </cell>
          <cell r="J82">
            <v>5.3125381617738032</v>
          </cell>
          <cell r="K82">
            <v>6.2967394819716196</v>
          </cell>
          <cell r="L82">
            <v>6.8076144150330906</v>
          </cell>
          <cell r="M82">
            <v>3.9029006916637665</v>
          </cell>
          <cell r="N82">
            <v>0</v>
          </cell>
          <cell r="O82">
            <v>0</v>
          </cell>
          <cell r="P82">
            <v>0</v>
          </cell>
          <cell r="S82">
            <v>77</v>
          </cell>
          <cell r="T82" t="str">
            <v/>
          </cell>
          <cell r="U82">
            <v>4.3407675212661374</v>
          </cell>
          <cell r="V82">
            <v>0</v>
          </cell>
        </row>
        <row r="83">
          <cell r="C83">
            <v>79</v>
          </cell>
          <cell r="D83">
            <v>0.47160442895171051</v>
          </cell>
          <cell r="E83">
            <v>0.75968282760285999</v>
          </cell>
          <cell r="F83">
            <v>1.2516154346423631</v>
          </cell>
          <cell r="G83">
            <v>1.923743800046307</v>
          </cell>
          <cell r="H83">
            <v>2.6720510709461562</v>
          </cell>
          <cell r="I83">
            <v>3.8711793340273131</v>
          </cell>
          <cell r="J83">
            <v>5.2502456364577164</v>
          </cell>
          <cell r="K83">
            <v>6.2093856778474636</v>
          </cell>
          <cell r="L83">
            <v>6.57905437033018</v>
          </cell>
          <cell r="M83">
            <v>3.4092528425301705</v>
          </cell>
          <cell r="N83">
            <v>0</v>
          </cell>
          <cell r="O83">
            <v>0</v>
          </cell>
          <cell r="P83">
            <v>0</v>
          </cell>
          <cell r="S83">
            <v>78</v>
          </cell>
          <cell r="T83" t="str">
            <v/>
          </cell>
          <cell r="U83">
            <v>3.9029006916637665</v>
          </cell>
          <cell r="V83">
            <v>0</v>
          </cell>
        </row>
        <row r="84">
          <cell r="C84">
            <v>80</v>
          </cell>
          <cell r="D84">
            <v>0.47047807332169339</v>
          </cell>
          <cell r="E84">
            <v>0.7578604317820874</v>
          </cell>
          <cell r="F84">
            <v>1.2485803280007399</v>
          </cell>
          <cell r="G84">
            <v>1.9190220222715884</v>
          </cell>
          <cell r="H84">
            <v>2.6562118616196613</v>
          </cell>
          <cell r="I84">
            <v>3.847691801756973</v>
          </cell>
          <cell r="J84">
            <v>5.1872051015921476</v>
          </cell>
          <cell r="K84">
            <v>6.120785316337618</v>
          </cell>
          <cell r="L84">
            <v>6.3422629078078216</v>
          </cell>
          <cell r="M84">
            <v>2.8307907163212538</v>
          </cell>
          <cell r="N84">
            <v>0</v>
          </cell>
          <cell r="O84">
            <v>0</v>
          </cell>
          <cell r="P84">
            <v>0</v>
          </cell>
          <cell r="S84">
            <v>79</v>
          </cell>
          <cell r="T84" t="str">
            <v/>
          </cell>
          <cell r="U84">
            <v>3.4092528425301705</v>
          </cell>
          <cell r="V84">
            <v>0</v>
          </cell>
        </row>
        <row r="85">
          <cell r="C85">
            <v>81</v>
          </cell>
          <cell r="D85">
            <v>0.46934901464274575</v>
          </cell>
          <cell r="E85">
            <v>0.75603364314505672</v>
          </cell>
          <cell r="F85">
            <v>1.2455378254817793</v>
          </cell>
          <cell r="G85">
            <v>1.9142885978112256</v>
          </cell>
          <cell r="H85">
            <v>2.6402776334835458</v>
          </cell>
          <cell r="I85">
            <v>3.8240600108282155</v>
          </cell>
          <cell r="J85">
            <v>5.1233889456905288</v>
          </cell>
          <cell r="K85">
            <v>6.0308834577639772</v>
          </cell>
          <cell r="L85">
            <v>6.0962809298579108</v>
          </cell>
          <cell r="M85">
            <v>2.0985107135588175</v>
          </cell>
          <cell r="N85">
            <v>0</v>
          </cell>
          <cell r="O85">
            <v>0</v>
          </cell>
          <cell r="P85">
            <v>0</v>
          </cell>
          <cell r="S85">
            <v>80</v>
          </cell>
          <cell r="T85" t="str">
            <v/>
          </cell>
          <cell r="U85">
            <v>2.8307907163212538</v>
          </cell>
          <cell r="V85">
            <v>0</v>
          </cell>
        </row>
        <row r="86">
          <cell r="C86">
            <v>82</v>
          </cell>
          <cell r="D86">
            <v>0.46821723336047782</v>
          </cell>
          <cell r="E86">
            <v>0.75420242977163765</v>
          </cell>
          <cell r="F86">
            <v>1.2424878727542263</v>
          </cell>
          <cell r="G86">
            <v>1.909543440054926</v>
          </cell>
          <cell r="H86">
            <v>2.6242466556972039</v>
          </cell>
          <cell r="I86">
            <v>3.8002812700539881</v>
          </cell>
          <cell r="J86">
            <v>5.0587678155519464</v>
          </cell>
          <cell r="K86">
            <v>5.9396210042028921</v>
          </cell>
          <cell r="L86">
            <v>5.8399472223422988</v>
          </cell>
          <cell r="M86">
            <v>1.6121205856189567</v>
          </cell>
          <cell r="N86">
            <v>0</v>
          </cell>
          <cell r="O86">
            <v>0</v>
          </cell>
          <cell r="P86">
            <v>0</v>
          </cell>
          <cell r="S86">
            <v>81</v>
          </cell>
          <cell r="T86" t="str">
            <v/>
          </cell>
          <cell r="U86">
            <v>2.0985107135588175</v>
          </cell>
          <cell r="V86">
            <v>0</v>
          </cell>
        </row>
        <row r="87">
          <cell r="C87">
            <v>83</v>
          </cell>
          <cell r="D87">
            <v>0.46708270968358895</v>
          </cell>
          <cell r="E87">
            <v>0.75236675935324071</v>
          </cell>
          <cell r="F87">
            <v>1.2394304148183415</v>
          </cell>
          <cell r="G87">
            <v>1.9047864613135854</v>
          </cell>
          <cell r="H87">
            <v>2.6081171442253979</v>
          </cell>
          <cell r="I87">
            <v>3.7763528035170162</v>
          </cell>
          <cell r="J87">
            <v>4.9933104584538421</v>
          </cell>
          <cell r="K87">
            <v>5.8469342450557082</v>
          </cell>
          <cell r="L87">
            <v>5.571833265967121</v>
          </cell>
          <cell r="M87">
            <v>0.89113318321768431</v>
          </cell>
          <cell r="N87">
            <v>0</v>
          </cell>
          <cell r="O87">
            <v>0</v>
          </cell>
          <cell r="P87">
            <v>0</v>
          </cell>
          <cell r="S87">
            <v>82</v>
          </cell>
          <cell r="T87" t="str">
            <v/>
          </cell>
          <cell r="U87">
            <v>1.6121205856189567</v>
          </cell>
          <cell r="V87">
            <v>0</v>
          </cell>
        </row>
        <row r="88">
          <cell r="C88">
            <v>84</v>
          </cell>
          <cell r="D88">
            <v>0.46594542357983038</v>
          </cell>
          <cell r="E88">
            <v>0.75052659918616638</v>
          </cell>
          <cell r="F88">
            <v>1.2363653959943273</v>
          </cell>
          <cell r="G88">
            <v>1.9000175728003841</v>
          </cell>
          <cell r="H88">
            <v>2.5918872595209326</v>
          </cell>
          <cell r="I88">
            <v>3.7522717467873368</v>
          </cell>
          <cell r="J88">
            <v>4.9269835454712902</v>
          </cell>
          <cell r="K88">
            <v>5.7527543367018685</v>
          </cell>
          <cell r="L88">
            <v>5.290148233058515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83</v>
          </cell>
          <cell r="T88" t="str">
            <v/>
          </cell>
          <cell r="U88">
            <v>0.89113318321768431</v>
          </cell>
          <cell r="V88">
            <v>0</v>
          </cell>
        </row>
        <row r="89">
          <cell r="C89">
            <v>85</v>
          </cell>
          <cell r="D89">
            <v>0.4648053547718779</v>
          </cell>
          <cell r="E89">
            <v>0.74868191616480728</v>
          </cell>
          <cell r="F89">
            <v>1.2332927599104981</v>
          </cell>
          <cell r="G89">
            <v>1.8952366846114481</v>
          </cell>
          <cell r="H89">
            <v>2.575555104075899</v>
          </cell>
          <cell r="I89">
            <v>3.7280351429199485</v>
          </cell>
          <cell r="J89">
            <v>4.8822650350602341</v>
          </cell>
          <cell r="K89">
            <v>5.6570067041571681</v>
          </cell>
          <cell r="L89">
            <v>4.9925955886418869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84</v>
          </cell>
          <cell r="T89" t="str">
            <v/>
          </cell>
          <cell r="U89">
            <v>0</v>
          </cell>
          <cell r="V89">
            <v>0</v>
          </cell>
        </row>
        <row r="90">
          <cell r="C90">
            <v>86</v>
          </cell>
          <cell r="D90">
            <v>0.46366248273311372</v>
          </cell>
          <cell r="E90">
            <v>0.74683267677469956</v>
          </cell>
          <cell r="F90">
            <v>1.2302124494911835</v>
          </cell>
          <cell r="G90">
            <v>1.8904437057060774</v>
          </cell>
          <cell r="H90">
            <v>2.5591187198322589</v>
          </cell>
          <cell r="I90">
            <v>3.7036399382167042</v>
          </cell>
          <cell r="J90">
            <v>4.8371331269460205</v>
          </cell>
          <cell r="K90">
            <v>5.5596103499540446</v>
          </cell>
          <cell r="L90">
            <v>4.6761472491486762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85</v>
          </cell>
          <cell r="T90" t="str">
            <v/>
          </cell>
          <cell r="U90">
            <v>0</v>
          </cell>
          <cell r="V90">
            <v>0</v>
          </cell>
        </row>
        <row r="91">
          <cell r="C91">
            <v>87</v>
          </cell>
          <cell r="D91">
            <v>0.46251678668331453</v>
          </cell>
          <cell r="E91">
            <v>0.74497884708541751</v>
          </cell>
          <cell r="F91">
            <v>1.2271244069443579</v>
          </cell>
          <cell r="G91">
            <v>1.8856385438865153</v>
          </cell>
          <cell r="H91">
            <v>2.5425760854417687</v>
          </cell>
          <cell r="I91">
            <v>3.67908297773528</v>
          </cell>
          <cell r="J91">
            <v>4.7915761397504113</v>
          </cell>
          <cell r="K91">
            <v>5.4604770520306296</v>
          </cell>
          <cell r="L91">
            <v>4.3366687076274379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S91">
            <v>86</v>
          </cell>
          <cell r="T91" t="str">
            <v/>
          </cell>
          <cell r="U91">
            <v>0</v>
          </cell>
          <cell r="V91">
            <v>0</v>
          </cell>
        </row>
        <row r="92">
          <cell r="C92">
            <v>88</v>
          </cell>
          <cell r="D92">
            <v>0.46136824558424305</v>
          </cell>
          <cell r="E92">
            <v>0.74312039274331121</v>
          </cell>
          <cell r="F92">
            <v>1.2240285737489893</v>
          </cell>
          <cell r="G92">
            <v>1.8808211057772586</v>
          </cell>
          <cell r="H92">
            <v>2.5259251133643836</v>
          </cell>
          <cell r="I92">
            <v>3.6543610005265168</v>
          </cell>
          <cell r="J92">
            <v>4.7455818313724532</v>
          </cell>
          <cell r="K92">
            <v>5.3595104280325927</v>
          </cell>
          <cell r="L92">
            <v>4.0947434273359828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S92">
            <v>87</v>
          </cell>
          <cell r="T92" t="str">
            <v/>
          </cell>
          <cell r="U92">
            <v>0</v>
          </cell>
          <cell r="V92">
            <v>0</v>
          </cell>
        </row>
        <row r="93">
          <cell r="C93">
            <v>89</v>
          </cell>
          <cell r="D93">
            <v>0.46021683813514053</v>
          </cell>
          <cell r="E93">
            <v>0.74125727896407734</v>
          </cell>
          <cell r="F93">
            <v>1.2209248906421022</v>
          </cell>
          <cell r="G93">
            <v>1.8759912968038848</v>
          </cell>
          <cell r="H93">
            <v>2.5175583294845656</v>
          </cell>
          <cell r="I93">
            <v>3.6294706345797643</v>
          </cell>
          <cell r="J93">
            <v>4.6991373605672777</v>
          </cell>
          <cell r="K93">
            <v>5.2566048377852317</v>
          </cell>
          <cell r="L93">
            <v>3.8375971638132413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88</v>
          </cell>
          <cell r="T93" t="str">
            <v/>
          </cell>
          <cell r="U93">
            <v>0</v>
          </cell>
          <cell r="V93">
            <v>0</v>
          </cell>
        </row>
        <row r="94">
          <cell r="C94">
            <v>90</v>
          </cell>
          <cell r="D94">
            <v>0.45906254276811764</v>
          </cell>
          <cell r="E94">
            <v>0.73938947052516468</v>
          </cell>
          <cell r="F94">
            <v>1.2178132976055371</v>
          </cell>
          <cell r="G94">
            <v>1.8711490211713906</v>
          </cell>
          <cell r="H94">
            <v>2.5091636467933611</v>
          </cell>
          <cell r="I94">
            <v>3.6044083914540681</v>
          </cell>
          <cell r="J94">
            <v>4.6522292450723102</v>
          </cell>
          <cell r="K94">
            <v>5.1516440883531631</v>
          </cell>
          <cell r="L94">
            <v>3.5619349022271076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S94">
            <v>89</v>
          </cell>
          <cell r="T94" t="str">
            <v/>
          </cell>
          <cell r="U94">
            <v>0</v>
          </cell>
          <cell r="V94">
            <v>0</v>
          </cell>
        </row>
        <row r="95">
          <cell r="S95">
            <v>90</v>
          </cell>
          <cell r="T95" t="str">
            <v/>
          </cell>
          <cell r="U95">
            <v>0</v>
          </cell>
          <cell r="V95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J311"/>
  <sheetViews>
    <sheetView tabSelected="1" view="pageBreakPreview" topLeftCell="A7" zoomScale="85" zoomScaleNormal="85" zoomScaleSheetLayoutView="85" workbookViewId="0">
      <selection activeCell="F15" sqref="F15"/>
    </sheetView>
  </sheetViews>
  <sheetFormatPr defaultRowHeight="17.25"/>
  <cols>
    <col min="1" max="1" width="12" style="104" customWidth="1"/>
    <col min="2" max="2" width="10.5703125" style="104" bestFit="1" customWidth="1"/>
    <col min="3" max="3" width="11.28515625" style="104" customWidth="1"/>
    <col min="4" max="4" width="9.140625" style="104"/>
    <col min="5" max="5" width="10.140625" style="104" customWidth="1"/>
    <col min="6" max="6" width="9.140625" style="104"/>
    <col min="7" max="7" width="13" style="104" customWidth="1"/>
    <col min="8" max="8" width="10.5703125" style="104" bestFit="1" customWidth="1"/>
    <col min="9" max="10" width="9.140625" style="104"/>
    <col min="11" max="16384" width="9.140625" style="84"/>
  </cols>
  <sheetData>
    <row r="1" spans="1:36" ht="20.25">
      <c r="A1" s="165" t="s">
        <v>277</v>
      </c>
      <c r="B1" s="165"/>
      <c r="C1" s="165"/>
      <c r="D1" s="165"/>
      <c r="E1" s="165"/>
      <c r="F1" s="165"/>
      <c r="G1" s="165"/>
      <c r="H1" s="165"/>
      <c r="I1" s="84"/>
      <c r="J1" s="84"/>
    </row>
    <row r="2" spans="1:36" ht="16.5">
      <c r="A2" s="84" t="s">
        <v>278</v>
      </c>
      <c r="B2" s="84"/>
      <c r="C2" s="84"/>
      <c r="D2" s="84"/>
      <c r="E2" s="84"/>
      <c r="F2" s="84"/>
      <c r="G2" s="84"/>
      <c r="H2" s="84"/>
      <c r="I2" s="84"/>
      <c r="J2" s="84"/>
      <c r="AD2" s="177" t="s">
        <v>86</v>
      </c>
      <c r="AE2" s="178"/>
      <c r="AF2" s="178"/>
      <c r="AG2" s="178"/>
      <c r="AH2" s="178"/>
      <c r="AI2" s="178"/>
      <c r="AJ2" s="179"/>
    </row>
    <row r="3" spans="1:36" ht="16.5">
      <c r="A3" s="84"/>
      <c r="B3" s="84"/>
      <c r="C3" s="84"/>
      <c r="D3" s="84"/>
      <c r="E3" s="84"/>
      <c r="F3" s="84"/>
      <c r="G3" s="84"/>
      <c r="H3" s="84"/>
      <c r="I3" s="84"/>
      <c r="J3" s="84"/>
      <c r="AD3" s="85" t="s">
        <v>82</v>
      </c>
      <c r="AE3" s="86">
        <f ca="1">Simulação!AP4</f>
        <v>36.005016423372723</v>
      </c>
      <c r="AF3" s="87" t="s">
        <v>87</v>
      </c>
      <c r="AG3" s="88" t="s">
        <v>83</v>
      </c>
      <c r="AH3" s="88" t="s">
        <v>88</v>
      </c>
      <c r="AI3" s="86">
        <f>Simulação!AP5</f>
        <v>40.939289374663872</v>
      </c>
      <c r="AJ3" s="89" t="s">
        <v>38</v>
      </c>
    </row>
    <row r="4" spans="1:36" ht="15" customHeight="1">
      <c r="A4" s="90" t="s">
        <v>212</v>
      </c>
      <c r="B4" s="84"/>
      <c r="C4" s="148"/>
      <c r="D4" s="84"/>
      <c r="E4" s="84"/>
      <c r="F4" s="84"/>
      <c r="G4" s="84"/>
      <c r="H4" s="84"/>
      <c r="I4" s="84"/>
      <c r="J4" s="84"/>
      <c r="AD4" s="91" t="s">
        <v>82</v>
      </c>
      <c r="AE4" s="92">
        <f ca="1">Simulação!AP4</f>
        <v>36.005016423372723</v>
      </c>
      <c r="AF4" s="93" t="s">
        <v>87</v>
      </c>
      <c r="AG4" s="94" t="s">
        <v>99</v>
      </c>
      <c r="AH4" s="94" t="s">
        <v>88</v>
      </c>
      <c r="AI4" s="92">
        <f>Qref_i</f>
        <v>33.453486867369236</v>
      </c>
      <c r="AJ4" s="95" t="s">
        <v>38</v>
      </c>
    </row>
    <row r="5" spans="1:36" ht="15" customHeight="1">
      <c r="A5" s="96" t="s">
        <v>213</v>
      </c>
      <c r="B5" s="84"/>
      <c r="C5" s="84"/>
      <c r="D5" s="84"/>
      <c r="E5" s="96" t="s">
        <v>214</v>
      </c>
      <c r="F5" s="84"/>
      <c r="G5" s="84"/>
      <c r="H5" s="84"/>
      <c r="I5" s="84"/>
      <c r="J5" s="84"/>
      <c r="AD5" s="91" t="s">
        <v>84</v>
      </c>
      <c r="AE5" s="94">
        <f ca="1">Simulação!AP7</f>
        <v>33</v>
      </c>
      <c r="AF5" s="93" t="s">
        <v>89</v>
      </c>
      <c r="AG5" s="94" t="str">
        <f>"Tc + "&amp;F28&amp;"tclot"</f>
        <v>Tc + 0tclot</v>
      </c>
      <c r="AH5" s="94" t="s">
        <v>88</v>
      </c>
      <c r="AI5" s="94">
        <f>tc+F28*tc_lot_i</f>
        <v>32</v>
      </c>
      <c r="AJ5" s="95" t="s">
        <v>0</v>
      </c>
    </row>
    <row r="6" spans="1:36" ht="15" customHeight="1">
      <c r="A6" s="96" t="s">
        <v>27</v>
      </c>
      <c r="B6" s="97">
        <v>3</v>
      </c>
      <c r="C6" s="84" t="s">
        <v>28</v>
      </c>
      <c r="D6" s="84"/>
      <c r="E6" s="84" t="s">
        <v>18</v>
      </c>
      <c r="F6" s="97">
        <v>7680.5</v>
      </c>
      <c r="G6" s="136" t="s">
        <v>280</v>
      </c>
      <c r="H6" s="84"/>
      <c r="I6" s="84"/>
      <c r="J6" s="84"/>
      <c r="AD6" s="98" t="s">
        <v>33</v>
      </c>
      <c r="AE6" s="99">
        <f>B32</f>
        <v>2</v>
      </c>
      <c r="AF6" s="100" t="s">
        <v>89</v>
      </c>
      <c r="AG6" s="99" t="s">
        <v>90</v>
      </c>
      <c r="AH6" s="99" t="s">
        <v>88</v>
      </c>
      <c r="AI6" s="101">
        <f ca="1">hmax/100</f>
        <v>0.65749999999999997</v>
      </c>
      <c r="AJ6" s="102" t="s">
        <v>22</v>
      </c>
    </row>
    <row r="7" spans="1:36" ht="16.5">
      <c r="A7" s="84"/>
      <c r="B7" s="84"/>
      <c r="C7" s="84"/>
      <c r="D7" s="84"/>
      <c r="E7" s="84"/>
      <c r="F7" s="84"/>
      <c r="G7" s="84"/>
      <c r="H7" s="84"/>
      <c r="I7" s="84"/>
      <c r="J7" s="84"/>
    </row>
    <row r="8" spans="1:36" ht="16.5">
      <c r="A8" s="84" t="s">
        <v>23</v>
      </c>
      <c r="B8" s="97">
        <v>2000</v>
      </c>
      <c r="C8" s="84" t="s">
        <v>22</v>
      </c>
      <c r="D8" s="84"/>
      <c r="E8" s="84" t="s">
        <v>17</v>
      </c>
      <c r="F8" s="97">
        <v>0.191</v>
      </c>
      <c r="G8" s="84"/>
      <c r="H8" s="84"/>
      <c r="I8" s="84"/>
      <c r="J8" s="84"/>
    </row>
    <row r="9" spans="1:36" ht="16.5">
      <c r="A9" s="84"/>
      <c r="B9" s="84"/>
      <c r="C9" s="84"/>
      <c r="D9" s="84"/>
      <c r="E9" s="84"/>
      <c r="F9" s="84"/>
      <c r="G9" s="84"/>
      <c r="H9" s="84"/>
      <c r="I9" s="84"/>
      <c r="J9" s="84"/>
    </row>
    <row r="10" spans="1:36" ht="16.5">
      <c r="A10" s="84" t="s">
        <v>21</v>
      </c>
      <c r="B10" s="97">
        <v>1.4999999999999999E-2</v>
      </c>
      <c r="C10" s="84" t="s">
        <v>20</v>
      </c>
      <c r="D10" s="84"/>
      <c r="E10" s="84" t="s">
        <v>16</v>
      </c>
      <c r="F10" s="97">
        <v>44.042000000000002</v>
      </c>
      <c r="G10" s="84"/>
      <c r="H10" s="84"/>
      <c r="I10" s="84"/>
      <c r="J10" s="84"/>
    </row>
    <row r="11" spans="1:36" ht="16.5">
      <c r="A11" s="84"/>
      <c r="B11" s="84"/>
      <c r="C11" s="84"/>
      <c r="D11" s="84"/>
      <c r="E11" s="84"/>
      <c r="F11" s="84"/>
      <c r="G11" s="84"/>
      <c r="H11" s="84"/>
      <c r="I11" s="84"/>
      <c r="J11" s="84"/>
    </row>
    <row r="12" spans="1:36" ht="16.5">
      <c r="A12" s="84" t="s">
        <v>19</v>
      </c>
      <c r="B12" s="97">
        <v>0.02</v>
      </c>
      <c r="C12" s="84"/>
      <c r="D12" s="84"/>
      <c r="E12" s="84" t="s">
        <v>15</v>
      </c>
      <c r="F12" s="97">
        <v>1.077</v>
      </c>
      <c r="G12" s="84"/>
      <c r="H12" s="84"/>
      <c r="I12" s="84"/>
      <c r="J12" s="84"/>
    </row>
    <row r="13" spans="1:36" ht="16.5">
      <c r="A13" s="84"/>
      <c r="B13" s="84"/>
      <c r="C13" s="84"/>
      <c r="D13" s="84"/>
      <c r="E13" s="84"/>
      <c r="F13" s="84"/>
      <c r="G13" s="84"/>
      <c r="H13" s="84"/>
      <c r="I13" s="84"/>
      <c r="J13" s="84"/>
    </row>
    <row r="14" spans="1:36" ht="16.5">
      <c r="A14" s="84" t="s">
        <v>26</v>
      </c>
      <c r="B14" s="97">
        <v>0.8</v>
      </c>
      <c r="C14" s="84" t="s">
        <v>29</v>
      </c>
      <c r="D14" s="84"/>
      <c r="E14" s="84" t="s">
        <v>282</v>
      </c>
      <c r="F14" s="97">
        <v>25</v>
      </c>
      <c r="G14" s="84" t="s">
        <v>281</v>
      </c>
      <c r="H14" s="84"/>
      <c r="I14" s="84"/>
      <c r="J14" s="84"/>
    </row>
    <row r="15" spans="1:36" ht="16.5">
      <c r="A15" s="84"/>
      <c r="B15" s="84"/>
      <c r="C15" s="84"/>
      <c r="D15" s="84"/>
      <c r="E15" s="84"/>
      <c r="F15" s="84"/>
      <c r="G15" s="84"/>
      <c r="H15" s="84"/>
      <c r="I15" s="84"/>
      <c r="J15" s="84"/>
    </row>
    <row r="16" spans="1:36" ht="16.5">
      <c r="A16" s="84" t="s">
        <v>39</v>
      </c>
      <c r="B16" s="97">
        <v>2.2000000000000002</v>
      </c>
      <c r="C16" s="84" t="s">
        <v>28</v>
      </c>
      <c r="D16" s="103">
        <f>(tc_1/Ad_i)/(tc/Area)</f>
        <v>0.9375</v>
      </c>
      <c r="E16" s="84" t="s">
        <v>241</v>
      </c>
      <c r="F16" s="97">
        <v>10</v>
      </c>
      <c r="G16" s="84" t="s">
        <v>0</v>
      </c>
      <c r="H16" s="84"/>
      <c r="I16" s="84"/>
      <c r="J16" s="84"/>
    </row>
    <row r="17" spans="1:34" ht="16.5">
      <c r="A17" s="84"/>
      <c r="B17" s="84"/>
      <c r="C17" s="84"/>
      <c r="D17" s="84"/>
      <c r="E17" s="84"/>
      <c r="F17" s="84"/>
      <c r="G17" s="84"/>
      <c r="H17" s="84"/>
      <c r="I17" s="84"/>
      <c r="J17" s="84"/>
    </row>
    <row r="18" spans="1:34" ht="16.5">
      <c r="A18" s="84" t="s">
        <v>43</v>
      </c>
      <c r="B18" s="97">
        <v>1200</v>
      </c>
      <c r="C18" s="84" t="s">
        <v>40</v>
      </c>
      <c r="D18" s="84"/>
      <c r="E18" s="84" t="s">
        <v>218</v>
      </c>
      <c r="F18" s="97">
        <v>1</v>
      </c>
      <c r="G18" s="84" t="s">
        <v>0</v>
      </c>
      <c r="H18" s="84"/>
      <c r="I18" s="84"/>
      <c r="J18" s="84"/>
    </row>
    <row r="19" spans="1:34">
      <c r="D19" s="84"/>
      <c r="E19" s="84"/>
      <c r="F19" s="84"/>
      <c r="G19" s="84"/>
      <c r="H19" s="84"/>
      <c r="I19" s="84"/>
    </row>
    <row r="20" spans="1:34" ht="16.5">
      <c r="A20" s="84" t="s">
        <v>171</v>
      </c>
      <c r="B20" s="97">
        <v>1200</v>
      </c>
      <c r="C20" s="84"/>
      <c r="D20" s="84"/>
      <c r="E20" s="84" t="s">
        <v>59</v>
      </c>
      <c r="F20" s="97">
        <v>10</v>
      </c>
      <c r="G20" s="84" t="s">
        <v>22</v>
      </c>
      <c r="H20" s="84"/>
      <c r="I20" s="84"/>
      <c r="J20" s="84"/>
    </row>
    <row r="21" spans="1:34" ht="16.5">
      <c r="A21" s="84"/>
      <c r="B21" s="84"/>
      <c r="C21" s="84"/>
      <c r="D21" s="84"/>
      <c r="E21" s="84"/>
      <c r="F21" s="84"/>
      <c r="G21" s="84"/>
      <c r="H21" s="84"/>
      <c r="I21" s="84"/>
      <c r="J21" s="84"/>
    </row>
    <row r="22" spans="1:34" ht="16.5">
      <c r="A22" s="84" t="s">
        <v>279</v>
      </c>
      <c r="B22" s="97">
        <v>98</v>
      </c>
      <c r="C22" s="84"/>
      <c r="D22" s="84"/>
      <c r="E22" s="84" t="s">
        <v>218</v>
      </c>
      <c r="F22" s="105">
        <v>0.25</v>
      </c>
      <c r="G22" s="84" t="s">
        <v>60</v>
      </c>
      <c r="H22" s="84"/>
      <c r="I22" s="84"/>
      <c r="J22" s="84"/>
    </row>
    <row r="23" spans="1:34" ht="16.5">
      <c r="A23" s="84"/>
      <c r="B23" s="84"/>
      <c r="C23" s="84"/>
      <c r="D23" s="84"/>
      <c r="E23" s="84"/>
      <c r="F23" s="84"/>
      <c r="G23" s="84"/>
      <c r="H23" s="84"/>
      <c r="I23" s="84"/>
      <c r="J23" s="84"/>
    </row>
    <row r="24" spans="1:34" ht="16.5">
      <c r="A24" s="84" t="s">
        <v>46</v>
      </c>
      <c r="B24" s="97">
        <v>0.2</v>
      </c>
      <c r="C24" s="84"/>
      <c r="D24" s="84"/>
      <c r="E24" s="84" t="s">
        <v>67</v>
      </c>
      <c r="F24" s="97">
        <v>90</v>
      </c>
      <c r="G24" s="84" t="s">
        <v>0</v>
      </c>
      <c r="H24" s="84"/>
      <c r="I24" s="84"/>
      <c r="J24" s="84"/>
    </row>
    <row r="25" spans="1:34" ht="16.5">
      <c r="A25" s="84"/>
      <c r="B25" s="84"/>
      <c r="C25" s="84"/>
      <c r="D25" s="84"/>
      <c r="E25" s="84"/>
      <c r="F25" s="84"/>
      <c r="G25" s="84"/>
      <c r="H25" s="84"/>
      <c r="I25" s="84"/>
      <c r="J25" s="84"/>
      <c r="AG25" s="84">
        <f>375*0.0001041667*100</f>
        <v>3.90625125</v>
      </c>
    </row>
    <row r="26" spans="1:34" ht="16.5">
      <c r="A26" s="96" t="s">
        <v>215</v>
      </c>
      <c r="B26" s="84"/>
      <c r="C26" s="84"/>
      <c r="D26" s="84"/>
      <c r="E26" s="84" t="s">
        <v>219</v>
      </c>
      <c r="F26" s="106">
        <v>8</v>
      </c>
      <c r="G26" s="84" t="s">
        <v>0</v>
      </c>
      <c r="H26" s="84"/>
      <c r="I26" s="84"/>
      <c r="J26" s="84"/>
    </row>
    <row r="27" spans="1:34" ht="16.5">
      <c r="A27" s="84"/>
      <c r="B27" s="84"/>
      <c r="C27" s="84"/>
      <c r="D27" s="84"/>
      <c r="E27" s="84"/>
      <c r="F27" s="84"/>
      <c r="G27" s="84"/>
      <c r="H27" s="84"/>
      <c r="I27" s="84"/>
      <c r="J27" s="84"/>
    </row>
    <row r="28" spans="1:34" ht="16.5">
      <c r="A28" s="84" t="s">
        <v>16</v>
      </c>
      <c r="B28" s="97">
        <f>IF(VBA!B18=1,VBA!B21,VBA!B27)</f>
        <v>60.624551398755294</v>
      </c>
      <c r="C28" s="84" t="s">
        <v>31</v>
      </c>
      <c r="D28" s="84"/>
      <c r="E28" s="84" t="s">
        <v>220</v>
      </c>
      <c r="F28" s="97">
        <v>0</v>
      </c>
      <c r="G28" s="84"/>
      <c r="H28" s="84"/>
      <c r="I28" s="84"/>
      <c r="J28" s="84"/>
    </row>
    <row r="29" spans="1:34" ht="16.5">
      <c r="A29" s="84"/>
      <c r="B29" s="84"/>
      <c r="C29" s="84"/>
      <c r="D29" s="84"/>
      <c r="E29" s="84"/>
      <c r="F29" s="84"/>
      <c r="G29" s="84"/>
      <c r="H29" s="84"/>
      <c r="I29" s="84"/>
      <c r="J29" s="84"/>
    </row>
    <row r="30" spans="1:34" ht="16.5">
      <c r="A30" s="84" t="s">
        <v>15</v>
      </c>
      <c r="B30" s="97">
        <f>IF(VBA!B18=1,1,VBA!B29)</f>
        <v>1.1245744337714896</v>
      </c>
      <c r="C30" s="84"/>
      <c r="D30" s="84"/>
      <c r="E30" s="84" t="s">
        <v>68</v>
      </c>
      <c r="F30" s="107">
        <f ca="1">b_0*(hmax/100)^c_0</f>
        <v>37.831953064834792</v>
      </c>
      <c r="G30" s="84" t="s">
        <v>69</v>
      </c>
      <c r="H30" s="84"/>
      <c r="I30" s="84"/>
      <c r="J30" s="84"/>
      <c r="AG30" s="84">
        <v>375</v>
      </c>
      <c r="AH30" s="84">
        <v>180</v>
      </c>
    </row>
    <row r="31" spans="1:34" ht="16.5">
      <c r="A31" s="84"/>
      <c r="B31" s="84"/>
      <c r="C31" s="84"/>
      <c r="D31" s="84"/>
      <c r="E31" s="108"/>
      <c r="F31" s="108"/>
      <c r="G31" s="108"/>
      <c r="H31" s="108"/>
      <c r="I31" s="84"/>
      <c r="J31" s="84"/>
      <c r="AG31" s="84">
        <f>AG30/96</f>
        <v>3.90625</v>
      </c>
      <c r="AH31" s="84">
        <f>AH30/96</f>
        <v>1.875</v>
      </c>
    </row>
    <row r="32" spans="1:34" ht="16.5">
      <c r="A32" s="84" t="s">
        <v>242</v>
      </c>
      <c r="B32" s="105">
        <v>2</v>
      </c>
      <c r="C32" s="84" t="s">
        <v>22</v>
      </c>
      <c r="D32" s="84"/>
      <c r="E32" s="166" t="s">
        <v>221</v>
      </c>
      <c r="F32" s="166"/>
      <c r="G32" s="166"/>
      <c r="H32" s="166"/>
      <c r="I32" s="84"/>
      <c r="J32" s="84"/>
    </row>
    <row r="33" spans="1:10" ht="16.5">
      <c r="A33" s="84"/>
      <c r="B33" s="84"/>
      <c r="C33" s="84"/>
      <c r="D33" s="84"/>
      <c r="E33" s="109" t="s">
        <v>196</v>
      </c>
      <c r="F33" s="109" t="s">
        <v>197</v>
      </c>
      <c r="G33" s="109" t="s">
        <v>198</v>
      </c>
      <c r="H33" s="109" t="s">
        <v>199</v>
      </c>
      <c r="I33" s="84"/>
      <c r="J33" s="84"/>
    </row>
    <row r="34" spans="1:10" ht="16.5">
      <c r="A34" s="84" t="s">
        <v>243</v>
      </c>
      <c r="B34" s="97">
        <v>0.6</v>
      </c>
      <c r="C34" s="84" t="s">
        <v>22</v>
      </c>
      <c r="D34" s="84"/>
      <c r="E34" s="110">
        <f ca="1">F30</f>
        <v>37.831953064834792</v>
      </c>
      <c r="F34" s="110">
        <f ca="1">AE3</f>
        <v>36.005016423372723</v>
      </c>
      <c r="G34" s="110">
        <f>AI4</f>
        <v>33.453486867369236</v>
      </c>
      <c r="H34" s="110">
        <f ca="1">AI6</f>
        <v>0.65749999999999997</v>
      </c>
      <c r="I34" s="84"/>
      <c r="J34" s="84"/>
    </row>
    <row r="35" spans="1:10" ht="16.5">
      <c r="A35" s="84"/>
      <c r="B35" s="84"/>
      <c r="C35" s="84"/>
      <c r="D35" s="84"/>
      <c r="E35" s="111"/>
      <c r="F35" s="111"/>
      <c r="G35" s="111"/>
      <c r="H35" s="84"/>
      <c r="I35" s="84"/>
      <c r="J35" s="84"/>
    </row>
    <row r="36" spans="1:10" ht="16.5">
      <c r="A36" s="84" t="s">
        <v>244</v>
      </c>
      <c r="B36" s="97">
        <f ca="1">OFFSET('Base de dados'!E19:G19,VBA!D35-1,0,1,1)</f>
        <v>112.8</v>
      </c>
      <c r="C36" s="84" t="s">
        <v>44</v>
      </c>
      <c r="D36" s="84"/>
      <c r="E36" s="167" t="s">
        <v>222</v>
      </c>
      <c r="F36" s="167"/>
      <c r="G36" s="167"/>
      <c r="H36" s="84"/>
      <c r="I36" s="84"/>
      <c r="J36" s="84"/>
    </row>
    <row r="37" spans="1:10" ht="16.5">
      <c r="A37" s="84"/>
      <c r="B37" s="84"/>
      <c r="C37" s="84"/>
      <c r="D37" s="84"/>
      <c r="E37" s="83" t="s">
        <v>245</v>
      </c>
      <c r="F37" s="182" t="str">
        <f ca="1">IF(AE3&lt;=MIN(AI3,AI4),"OK","FAILED")</f>
        <v>FAILED</v>
      </c>
      <c r="G37" s="182"/>
      <c r="H37" s="84"/>
      <c r="I37" s="84"/>
      <c r="J37" s="84"/>
    </row>
    <row r="38" spans="1:10" ht="16.5">
      <c r="A38" s="84" t="s">
        <v>246</v>
      </c>
      <c r="B38" s="97">
        <v>1.83</v>
      </c>
      <c r="C38" s="84"/>
      <c r="D38" s="84"/>
      <c r="E38" s="112" t="s">
        <v>247</v>
      </c>
      <c r="F38" s="182" t="str">
        <f ca="1">IF(AE5&gt;=AI5,"OK","FAILED")</f>
        <v>OK</v>
      </c>
      <c r="G38" s="182"/>
      <c r="H38" s="84"/>
      <c r="I38" s="84"/>
      <c r="J38" s="84"/>
    </row>
    <row r="39" spans="1:10" ht="16.5">
      <c r="A39" s="84"/>
      <c r="B39" s="84"/>
      <c r="C39" s="84"/>
      <c r="D39" s="84"/>
      <c r="E39" s="113" t="s">
        <v>248</v>
      </c>
      <c r="F39" s="181" t="str">
        <f ca="1">IF(AE6&gt;=AI6,"OK","FALHOU")</f>
        <v>OK</v>
      </c>
      <c r="G39" s="181"/>
      <c r="H39" s="84"/>
      <c r="I39" s="84"/>
      <c r="J39" s="84"/>
    </row>
    <row r="40" spans="1:10" ht="16.5">
      <c r="A40" s="84" t="s">
        <v>249</v>
      </c>
      <c r="B40" s="97">
        <v>0.6</v>
      </c>
      <c r="C40" s="84" t="s">
        <v>22</v>
      </c>
      <c r="D40" s="84"/>
      <c r="E40" s="111"/>
      <c r="F40" s="111"/>
      <c r="G40" s="84"/>
      <c r="H40" s="84"/>
      <c r="I40" s="84"/>
      <c r="J40" s="84"/>
    </row>
    <row r="41" spans="1:10" ht="16.5">
      <c r="A41" s="84"/>
      <c r="B41" s="84"/>
      <c r="C41" s="84"/>
      <c r="D41" s="84"/>
      <c r="E41" s="167" t="s">
        <v>223</v>
      </c>
      <c r="F41" s="167"/>
      <c r="G41" s="84"/>
      <c r="H41" s="84"/>
      <c r="I41" s="84"/>
      <c r="J41" s="84"/>
    </row>
    <row r="42" spans="1:10" ht="16.5">
      <c r="A42" s="84" t="s">
        <v>250</v>
      </c>
      <c r="B42" s="105">
        <f ca="1">IF(OFFSET('Base de dados'!E19:E19,VBA!D37-1,0,1,1)="Diâmetro Interno","--",OFFSET('Base de dados'!E19:E19,VBA!D37-1,0,1,1))</f>
        <v>35.200000000000003</v>
      </c>
      <c r="C42" s="84" t="s">
        <v>44</v>
      </c>
      <c r="D42" s="83"/>
      <c r="E42" s="83" t="s">
        <v>251</v>
      </c>
      <c r="F42" s="114" t="str">
        <f ca="1">CONCATENATE(ROUND(Simulação!AS4*100,1),"%")</f>
        <v>82.5%</v>
      </c>
      <c r="G42" s="84"/>
      <c r="H42" s="84"/>
      <c r="I42" s="84"/>
      <c r="J42" s="84"/>
    </row>
    <row r="43" spans="1:10" ht="16.5">
      <c r="A43" s="84"/>
      <c r="B43" s="84"/>
      <c r="C43" s="84"/>
      <c r="D43" s="84"/>
      <c r="E43" s="83" t="s">
        <v>252</v>
      </c>
      <c r="F43" s="114" t="str">
        <f ca="1">CONCATENATE(ROUND(Simulação!AS5*100,1),"%")</f>
        <v>107.6%</v>
      </c>
      <c r="G43" s="84"/>
      <c r="H43" s="84"/>
      <c r="I43" s="84"/>
      <c r="J43" s="84"/>
    </row>
    <row r="44" spans="1:10" ht="16.5">
      <c r="A44" s="84" t="s">
        <v>253</v>
      </c>
      <c r="B44" s="97">
        <v>0</v>
      </c>
      <c r="C44" s="84" t="s">
        <v>22</v>
      </c>
      <c r="D44" s="84"/>
      <c r="E44" s="83" t="s">
        <v>254</v>
      </c>
      <c r="F44" s="114" t="str">
        <f ca="1">CONCATENATE(ROUND(Simulação!AS6*100,1),"%")</f>
        <v>32.9%</v>
      </c>
      <c r="G44" s="84"/>
      <c r="H44" s="84"/>
      <c r="I44" s="84"/>
      <c r="J44" s="84"/>
    </row>
    <row r="45" spans="1:10" ht="16.5">
      <c r="A45" s="84"/>
      <c r="B45" s="84"/>
      <c r="C45" s="84"/>
      <c r="D45" s="84"/>
      <c r="E45" s="83" t="s">
        <v>255</v>
      </c>
      <c r="F45" s="114" t="str">
        <f ca="1">CONCATENATE(ROUND(Simulação!AS7*100,1),"%")</f>
        <v>10.7%</v>
      </c>
      <c r="G45" s="84"/>
      <c r="H45" s="84"/>
      <c r="I45" s="84"/>
      <c r="J45" s="84"/>
    </row>
    <row r="46" spans="1:10" ht="16.5">
      <c r="A46" s="84" t="s">
        <v>216</v>
      </c>
      <c r="B46" s="115" t="str">
        <f>IF(VBA!C31=1,"Circular","Retangular")</f>
        <v>Retangular</v>
      </c>
      <c r="C46" s="84"/>
      <c r="D46" s="84"/>
      <c r="E46" s="113" t="s">
        <v>256</v>
      </c>
      <c r="F46" s="116" t="str">
        <f>CONCATENATE(ROUND(Simulação!AS8*100,1),"%")</f>
        <v>93.8%</v>
      </c>
      <c r="G46" s="84"/>
      <c r="H46" s="84"/>
      <c r="I46" s="84"/>
      <c r="J46" s="84"/>
    </row>
    <row r="47" spans="1:10" ht="16.5">
      <c r="A47" s="84"/>
      <c r="B47" s="84"/>
      <c r="C47" s="84"/>
      <c r="D47" s="84"/>
      <c r="E47" s="84"/>
      <c r="F47" s="84"/>
      <c r="G47" s="84"/>
      <c r="H47" s="84"/>
      <c r="I47" s="84"/>
      <c r="J47" s="84"/>
    </row>
    <row r="48" spans="1:10" ht="16.5">
      <c r="A48" s="84" t="s">
        <v>217</v>
      </c>
      <c r="B48" s="84" t="str">
        <f>IF(VBA!B18=1,"Primatic","Stage-Area")</f>
        <v>Stage-Area</v>
      </c>
      <c r="C48" s="84"/>
      <c r="D48" s="84"/>
      <c r="E48" s="84"/>
      <c r="F48" s="84"/>
      <c r="G48" s="84"/>
      <c r="H48" s="84"/>
      <c r="I48" s="84"/>
      <c r="J48" s="84"/>
    </row>
    <row r="49" spans="1:13" ht="16.5">
      <c r="A49" s="84" t="s">
        <v>224</v>
      </c>
      <c r="B49" s="84"/>
      <c r="C49" s="84"/>
      <c r="D49" s="84"/>
      <c r="E49" s="84"/>
      <c r="F49" s="84"/>
      <c r="G49" s="84"/>
      <c r="H49" s="84"/>
      <c r="I49" s="84"/>
      <c r="J49" s="84"/>
    </row>
    <row r="50" spans="1:13" ht="15" customHeight="1">
      <c r="A50" s="151" t="s">
        <v>225</v>
      </c>
      <c r="B50" s="151"/>
      <c r="C50" s="151"/>
      <c r="D50" s="151"/>
      <c r="E50" s="151"/>
      <c r="F50" s="151"/>
      <c r="G50" s="151"/>
      <c r="H50" s="151"/>
      <c r="I50" s="117"/>
      <c r="J50" s="84"/>
    </row>
    <row r="51" spans="1:13" ht="16.5">
      <c r="A51" s="151"/>
      <c r="B51" s="151"/>
      <c r="C51" s="151"/>
      <c r="D51" s="151"/>
      <c r="E51" s="151"/>
      <c r="F51" s="151"/>
      <c r="G51" s="151"/>
      <c r="H51" s="151"/>
      <c r="I51" s="117"/>
      <c r="J51" s="84"/>
    </row>
    <row r="52" spans="1:13" ht="16.5">
      <c r="A52" s="151"/>
      <c r="B52" s="151"/>
      <c r="C52" s="151"/>
      <c r="D52" s="151"/>
      <c r="E52" s="151"/>
      <c r="F52" s="151"/>
      <c r="G52" s="151"/>
      <c r="H52" s="151"/>
      <c r="I52" s="117"/>
      <c r="J52" s="84"/>
    </row>
    <row r="53" spans="1:13" ht="16.5">
      <c r="A53" s="151"/>
      <c r="B53" s="151"/>
      <c r="C53" s="151"/>
      <c r="D53" s="151"/>
      <c r="E53" s="151"/>
      <c r="F53" s="151"/>
      <c r="G53" s="151"/>
      <c r="H53" s="151"/>
      <c r="I53" s="117"/>
      <c r="J53" s="84"/>
    </row>
    <row r="54" spans="1:13" ht="16.5">
      <c r="A54" s="151"/>
      <c r="B54" s="151"/>
      <c r="C54" s="151"/>
      <c r="D54" s="151"/>
      <c r="E54" s="151"/>
      <c r="F54" s="151"/>
      <c r="G54" s="151"/>
      <c r="H54" s="151"/>
      <c r="I54" s="117"/>
      <c r="J54" s="84"/>
    </row>
    <row r="55" spans="1:13" ht="16.5">
      <c r="A55" s="151"/>
      <c r="B55" s="151"/>
      <c r="C55" s="151"/>
      <c r="D55" s="151"/>
      <c r="E55" s="151"/>
      <c r="F55" s="151"/>
      <c r="G55" s="151"/>
      <c r="H55" s="151"/>
      <c r="I55" s="117"/>
      <c r="J55" s="84"/>
    </row>
    <row r="56" spans="1:13" ht="16.5">
      <c r="A56" s="151"/>
      <c r="B56" s="151"/>
      <c r="C56" s="151"/>
      <c r="D56" s="151"/>
      <c r="E56" s="151"/>
      <c r="F56" s="151"/>
      <c r="G56" s="151"/>
      <c r="H56" s="151"/>
      <c r="I56" s="117"/>
      <c r="J56" s="84"/>
    </row>
    <row r="57" spans="1:13" ht="16.5">
      <c r="A57" s="151"/>
      <c r="B57" s="151"/>
      <c r="C57" s="151"/>
      <c r="D57" s="151"/>
      <c r="E57" s="151"/>
      <c r="F57" s="151"/>
      <c r="G57" s="151"/>
      <c r="H57" s="151"/>
      <c r="I57" s="117"/>
      <c r="J57" s="84"/>
    </row>
    <row r="58" spans="1:13" ht="16.5">
      <c r="A58" s="151"/>
      <c r="B58" s="151"/>
      <c r="C58" s="151"/>
      <c r="D58" s="151"/>
      <c r="E58" s="151"/>
      <c r="F58" s="151"/>
      <c r="G58" s="151"/>
      <c r="H58" s="151"/>
      <c r="I58" s="117"/>
      <c r="J58" s="84"/>
    </row>
    <row r="59" spans="1:13" ht="16.5">
      <c r="A59" s="151"/>
      <c r="B59" s="151"/>
      <c r="C59" s="151"/>
      <c r="D59" s="151"/>
      <c r="E59" s="151"/>
      <c r="F59" s="151"/>
      <c r="G59" s="151"/>
      <c r="H59" s="151"/>
      <c r="I59" s="117"/>
      <c r="J59" s="84"/>
    </row>
    <row r="60" spans="1:13" ht="16.5">
      <c r="A60" s="152" t="str">
        <f ca="1">M63</f>
        <v xml:space="preserve"> - Reservoir type  (Stage-Area) - Spillway (Retangular) - Spillway height = 0.6 m  -  Lef = 0.6m - ϕh = 110 mm</v>
      </c>
      <c r="B60" s="152"/>
      <c r="C60" s="152"/>
      <c r="D60" s="152"/>
      <c r="E60" s="152"/>
      <c r="F60" s="152"/>
      <c r="G60" s="152"/>
      <c r="H60" s="152"/>
      <c r="I60" s="84"/>
      <c r="J60" s="84"/>
    </row>
    <row r="61" spans="1:13" ht="16.5">
      <c r="A61" s="152"/>
      <c r="B61" s="152"/>
      <c r="C61" s="152"/>
      <c r="D61" s="152"/>
      <c r="E61" s="152"/>
      <c r="F61" s="152"/>
      <c r="G61" s="152"/>
      <c r="H61" s="152"/>
      <c r="I61" s="84"/>
      <c r="J61" s="84"/>
    </row>
    <row r="62" spans="1:13" ht="16.5">
      <c r="A62" s="152"/>
      <c r="B62" s="152"/>
      <c r="C62" s="152"/>
      <c r="D62" s="152"/>
      <c r="E62" s="152"/>
      <c r="F62" s="152"/>
      <c r="G62" s="152"/>
      <c r="H62" s="152"/>
      <c r="I62" s="84"/>
      <c r="J62" s="84"/>
    </row>
    <row r="63" spans="1:13" ht="16.5">
      <c r="A63" s="84" t="s">
        <v>226</v>
      </c>
      <c r="B63" s="84"/>
      <c r="C63" s="84"/>
      <c r="D63" s="84"/>
      <c r="E63" s="84"/>
      <c r="F63" s="84"/>
      <c r="G63" s="84"/>
      <c r="H63" s="84"/>
      <c r="I63" s="84"/>
      <c r="J63" s="84"/>
      <c r="M63" s="84" t="str">
        <f ca="1">CONCATENATE(" - Reservoir type  (",B48,") - Spillway (",Tipo_Vertedor,") - Spillway height = ",cota_s," m  -  ",IF(Tipo_Vertedor="Circular","φs = ","Lef = "),IF(Tipo_Vertedor="Circular",OFFSET('Base de dados'!H18,VBA!D37,0,1,1),Lef_sr),IF(Tipo_Vertedor="Circular","mm","m")," - ϕh = ",OFFSET('Base de dados'!H18:H18,VBA!D35,0,1,1)," mm")</f>
        <v xml:space="preserve"> - Reservoir type  (Stage-Area) - Spillway (Retangular) - Spillway height = 0.6 m  -  Lef = 0.6m - ϕh = 110 mm</v>
      </c>
    </row>
    <row r="64" spans="1:13" ht="16.5">
      <c r="A64" s="84"/>
      <c r="B64" s="84"/>
      <c r="C64" s="84"/>
      <c r="D64" s="84"/>
      <c r="E64" s="84"/>
      <c r="F64" s="84"/>
      <c r="G64" s="84"/>
      <c r="H64" s="84"/>
      <c r="I64" s="84"/>
      <c r="J64" s="84"/>
    </row>
    <row r="65" spans="1:14" ht="16.5">
      <c r="A65" s="118" t="s">
        <v>10</v>
      </c>
      <c r="B65" s="119">
        <f>ROUND(57*(((B8/1000)^2)/(B10*1000))^0.385,2)</f>
        <v>34.270000000000003</v>
      </c>
      <c r="C65" s="120" t="s">
        <v>0</v>
      </c>
      <c r="D65" s="84"/>
      <c r="E65" s="84"/>
      <c r="F65" s="84"/>
      <c r="G65" s="84"/>
      <c r="H65" s="84"/>
      <c r="I65" s="84"/>
      <c r="J65" s="84"/>
    </row>
    <row r="66" spans="1:14" ht="16.5">
      <c r="A66" s="121" t="s">
        <v>9</v>
      </c>
      <c r="B66" s="122">
        <f t="shared" ref="B66:B72" si="0">ROUND(447*((($B$8/1000)*$B$12)^0.6)/((($F$6*(($F$14^$F$8)))/(($F$10+B65)^$F$12))^0.4*$B$10^0.3),2)</f>
        <v>32.630000000000003</v>
      </c>
      <c r="C66" s="123" t="s">
        <v>0</v>
      </c>
      <c r="D66" s="84"/>
      <c r="E66" s="84"/>
      <c r="F66" s="84"/>
      <c r="G66" s="84"/>
      <c r="H66" s="84"/>
      <c r="I66" s="84"/>
      <c r="J66" s="84"/>
      <c r="N66" s="84" t="str">
        <f ca="1">CONCATENATE("Simulation : Reservoir type (",B48,") - Spill (",Tipo_Vertedor,") - Elevation = ",cota_s," m ; ",IF(Tipo_Vertedor="Circular","φs = ","Lef = "),IF(Tipo_Vertedor="Circular",OFFSET('Base de dados'!H19,VBA!D35,0,1,1),Lef_sr),IF(Tipo_Vertedor="Circular","mm","m"))</f>
        <v>Simulation : Reservoir type (Stage-Area) - Spill (Retangular) - Elevation = 0.6 m ; Lef = 0.6m</v>
      </c>
    </row>
    <row r="67" spans="1:14" ht="16.5">
      <c r="A67" s="121" t="s">
        <v>8</v>
      </c>
      <c r="B67" s="122">
        <f t="shared" si="0"/>
        <v>32.33</v>
      </c>
      <c r="C67" s="123" t="s">
        <v>0</v>
      </c>
      <c r="D67" s="84"/>
      <c r="E67" s="84"/>
      <c r="F67" s="84"/>
      <c r="G67" s="84"/>
      <c r="H67" s="84"/>
      <c r="I67" s="84"/>
      <c r="J67" s="84"/>
    </row>
    <row r="68" spans="1:14" ht="16.5">
      <c r="A68" s="121" t="s">
        <v>7</v>
      </c>
      <c r="B68" s="122">
        <f t="shared" si="0"/>
        <v>32.28</v>
      </c>
      <c r="C68" s="123" t="s">
        <v>0</v>
      </c>
      <c r="D68" s="84"/>
      <c r="E68" s="84"/>
      <c r="F68" s="84"/>
      <c r="G68" s="84"/>
      <c r="H68" s="84"/>
      <c r="I68" s="84"/>
      <c r="J68" s="84"/>
    </row>
    <row r="69" spans="1:14" ht="16.5">
      <c r="A69" s="121" t="s">
        <v>6</v>
      </c>
      <c r="B69" s="122">
        <f t="shared" si="0"/>
        <v>32.270000000000003</v>
      </c>
      <c r="C69" s="123" t="s">
        <v>0</v>
      </c>
      <c r="D69" s="84"/>
      <c r="E69" s="90" t="s">
        <v>227</v>
      </c>
      <c r="F69" s="84"/>
      <c r="G69" s="84"/>
      <c r="H69" s="84"/>
      <c r="I69" s="84"/>
      <c r="J69" s="84"/>
    </row>
    <row r="70" spans="1:14" ht="16.5">
      <c r="A70" s="121" t="s">
        <v>4</v>
      </c>
      <c r="B70" s="122">
        <f t="shared" si="0"/>
        <v>32.270000000000003</v>
      </c>
      <c r="C70" s="123" t="s">
        <v>0</v>
      </c>
      <c r="D70" s="84"/>
      <c r="E70" s="90" t="s">
        <v>228</v>
      </c>
      <c r="F70" s="84"/>
      <c r="G70" s="84"/>
      <c r="H70" s="84"/>
      <c r="I70" s="84"/>
      <c r="J70" s="84"/>
    </row>
    <row r="71" spans="1:14" ht="16.5">
      <c r="A71" s="121" t="s">
        <v>2</v>
      </c>
      <c r="B71" s="122">
        <f t="shared" si="0"/>
        <v>32.270000000000003</v>
      </c>
      <c r="C71" s="123" t="s">
        <v>0</v>
      </c>
      <c r="D71" s="84"/>
      <c r="E71" s="84"/>
      <c r="F71" s="84"/>
      <c r="G71" s="84"/>
      <c r="H71" s="84"/>
      <c r="I71" s="84"/>
      <c r="J71" s="84"/>
    </row>
    <row r="72" spans="1:14" ht="16.5">
      <c r="A72" s="124" t="s">
        <v>1</v>
      </c>
      <c r="B72" s="125">
        <f t="shared" si="0"/>
        <v>32.270000000000003</v>
      </c>
      <c r="C72" s="126" t="s">
        <v>0</v>
      </c>
      <c r="D72" s="84"/>
      <c r="E72" s="84"/>
      <c r="F72" s="84"/>
      <c r="G72" s="84"/>
      <c r="H72" s="84"/>
      <c r="I72" s="84"/>
      <c r="J72" s="84"/>
    </row>
    <row r="73" spans="1:14" ht="16.5">
      <c r="A73" s="84"/>
      <c r="B73" s="84"/>
      <c r="C73" s="84"/>
      <c r="D73" s="84"/>
      <c r="E73" s="84"/>
      <c r="F73" s="84"/>
      <c r="G73" s="84"/>
      <c r="H73" s="84"/>
      <c r="I73" s="84"/>
      <c r="J73" s="84"/>
    </row>
    <row r="74" spans="1:14" ht="16.5">
      <c r="A74" s="84" t="str">
        <f>"Therefore, the time of concentration is "&amp;B72&amp;" min"</f>
        <v>Therefore, the time of concentration is 32.27 min</v>
      </c>
      <c r="B74" s="84"/>
      <c r="C74" s="84"/>
      <c r="D74" s="84"/>
      <c r="E74" s="84"/>
      <c r="F74" s="84"/>
      <c r="G74" s="84"/>
      <c r="H74" s="84"/>
      <c r="I74" s="84"/>
      <c r="J74" s="84"/>
    </row>
    <row r="75" spans="1:14" ht="15" customHeight="1">
      <c r="A75" s="152" t="str">
        <f>IF(B72&gt;=F16,"Once the time of concentration is bigger than the minimum assumed, is used the calculated ")</f>
        <v xml:space="preserve">Once the time of concentration is bigger than the minimum assumed, is used the calculated </v>
      </c>
      <c r="B75" s="152"/>
      <c r="C75" s="152"/>
      <c r="D75" s="152"/>
      <c r="E75" s="152"/>
      <c r="F75" s="152"/>
      <c r="G75" s="152"/>
      <c r="H75" s="152"/>
      <c r="I75" s="127"/>
      <c r="J75" s="127"/>
    </row>
    <row r="76" spans="1:14" ht="16.5">
      <c r="A76" s="152"/>
      <c r="B76" s="152"/>
      <c r="C76" s="152"/>
      <c r="D76" s="152"/>
      <c r="E76" s="152"/>
      <c r="F76" s="152"/>
      <c r="G76" s="152"/>
      <c r="H76" s="152"/>
      <c r="I76" s="127"/>
      <c r="J76" s="127"/>
    </row>
    <row r="77" spans="1:14" ht="16.5">
      <c r="A77" s="152"/>
      <c r="B77" s="152"/>
      <c r="C77" s="152"/>
      <c r="D77" s="152"/>
      <c r="E77" s="152"/>
      <c r="F77" s="152"/>
      <c r="G77" s="152"/>
      <c r="H77" s="152"/>
      <c r="I77" s="127"/>
      <c r="J77" s="127"/>
    </row>
    <row r="78" spans="1:14" ht="16.5">
      <c r="A78" s="84" t="s">
        <v>257</v>
      </c>
      <c r="B78" s="122">
        <f>ROUND(MAX(B72,F16)/Passo,0)*Passo</f>
        <v>32</v>
      </c>
      <c r="C78" s="84" t="s">
        <v>0</v>
      </c>
      <c r="D78" s="84"/>
      <c r="E78" s="84"/>
      <c r="F78" s="84"/>
      <c r="G78" s="84"/>
      <c r="H78" s="84"/>
      <c r="I78" s="84"/>
      <c r="J78" s="84"/>
    </row>
    <row r="79" spans="1:14" ht="16.5">
      <c r="A79" s="84"/>
      <c r="B79" s="84"/>
      <c r="C79" s="84"/>
      <c r="D79" s="84"/>
      <c r="E79" s="84"/>
      <c r="F79" s="84"/>
      <c r="G79" s="84"/>
      <c r="H79" s="84"/>
      <c r="I79" s="84"/>
      <c r="J79" s="84"/>
    </row>
    <row r="80" spans="1:14" ht="16.5">
      <c r="A80" s="152" t="s">
        <v>229</v>
      </c>
      <c r="B80" s="152"/>
      <c r="C80" s="152"/>
      <c r="D80" s="152"/>
      <c r="E80" s="152"/>
      <c r="F80" s="152"/>
      <c r="G80" s="152"/>
      <c r="H80" s="152"/>
      <c r="I80" s="84"/>
      <c r="J80" s="84"/>
    </row>
    <row r="81" spans="1:10" ht="16.5">
      <c r="A81" s="152"/>
      <c r="B81" s="152"/>
      <c r="C81" s="152"/>
      <c r="D81" s="152"/>
      <c r="E81" s="152"/>
      <c r="F81" s="152"/>
      <c r="G81" s="152"/>
      <c r="H81" s="152"/>
      <c r="I81" s="84"/>
      <c r="J81" s="84"/>
    </row>
    <row r="82" spans="1:10" ht="16.5">
      <c r="A82" s="84"/>
      <c r="B82" s="84"/>
      <c r="C82" s="84"/>
      <c r="D82" s="84"/>
      <c r="E82" s="90" t="s">
        <v>5</v>
      </c>
      <c r="F82" s="84"/>
      <c r="G82" s="84"/>
      <c r="H82" s="84"/>
      <c r="I82" s="84"/>
      <c r="J82" s="84"/>
    </row>
    <row r="83" spans="1:10" ht="16.5">
      <c r="A83" s="84"/>
      <c r="B83" s="84"/>
      <c r="C83" s="84"/>
      <c r="D83" s="84"/>
      <c r="E83" s="90" t="s">
        <v>3</v>
      </c>
      <c r="F83" s="84"/>
      <c r="G83" s="84"/>
      <c r="H83" s="84"/>
      <c r="I83" s="84"/>
      <c r="J83" s="84"/>
    </row>
    <row r="84" spans="1:10" ht="16.5">
      <c r="A84" s="84"/>
      <c r="B84" s="84"/>
      <c r="C84" s="84"/>
      <c r="D84" s="84"/>
      <c r="E84" s="84"/>
      <c r="F84" s="84"/>
      <c r="G84" s="84"/>
      <c r="H84" s="84"/>
      <c r="I84" s="84"/>
      <c r="J84" s="84"/>
    </row>
    <row r="85" spans="1:10" ht="16.5">
      <c r="A85" s="181"/>
      <c r="B85" s="181"/>
      <c r="C85" s="181"/>
      <c r="D85" s="84"/>
      <c r="E85" s="84"/>
      <c r="F85" s="84"/>
      <c r="G85" s="84"/>
      <c r="H85" s="84"/>
      <c r="I85" s="84"/>
      <c r="J85" s="84"/>
    </row>
    <row r="86" spans="1:10" ht="15" customHeight="1">
      <c r="A86" s="118" t="s">
        <v>10</v>
      </c>
      <c r="B86" s="119">
        <f>ROUND(57*(((B20/1000)^2)/(B10*1000))^0.385,2)</f>
        <v>23.12</v>
      </c>
      <c r="C86" s="120" t="s">
        <v>0</v>
      </c>
      <c r="D86" s="183" t="s">
        <v>230</v>
      </c>
      <c r="E86" s="151"/>
      <c r="F86" s="151"/>
      <c r="G86" s="151"/>
      <c r="H86" s="151"/>
      <c r="I86" s="151"/>
      <c r="J86" s="151"/>
    </row>
    <row r="87" spans="1:10" ht="15" customHeight="1">
      <c r="A87" s="121" t="s">
        <v>9</v>
      </c>
      <c r="B87" s="122">
        <f t="shared" ref="B87:B92" si="1">ROUND(447*((($B$20/1000)*$B$12)^0.6)/((($F$6*(($F$14^$F$8)))/(($F$10+B86)^$F$12))^0.4*$B$10^0.3),2)</f>
        <v>22.48</v>
      </c>
      <c r="C87" s="123" t="s">
        <v>0</v>
      </c>
      <c r="D87" s="183"/>
      <c r="E87" s="151"/>
      <c r="F87" s="151"/>
      <c r="G87" s="151"/>
      <c r="H87" s="151"/>
      <c r="I87" s="151"/>
      <c r="J87" s="151"/>
    </row>
    <row r="88" spans="1:10" ht="15" customHeight="1">
      <c r="A88" s="121" t="s">
        <v>8</v>
      </c>
      <c r="B88" s="122">
        <f t="shared" si="1"/>
        <v>22.39</v>
      </c>
      <c r="C88" s="123" t="s">
        <v>0</v>
      </c>
      <c r="D88" s="183"/>
      <c r="E88" s="151"/>
      <c r="F88" s="151"/>
      <c r="G88" s="151"/>
      <c r="H88" s="151"/>
      <c r="I88" s="151"/>
      <c r="J88" s="151"/>
    </row>
    <row r="89" spans="1:10" ht="15" customHeight="1">
      <c r="A89" s="121" t="s">
        <v>7</v>
      </c>
      <c r="B89" s="122">
        <f t="shared" si="1"/>
        <v>22.37</v>
      </c>
      <c r="C89" s="123" t="s">
        <v>0</v>
      </c>
      <c r="D89" s="183"/>
      <c r="E89" s="151"/>
      <c r="F89" s="151"/>
      <c r="G89" s="151"/>
      <c r="H89" s="151"/>
      <c r="I89" s="151"/>
      <c r="J89" s="151"/>
    </row>
    <row r="90" spans="1:10" ht="15" customHeight="1">
      <c r="A90" s="121" t="s">
        <v>6</v>
      </c>
      <c r="B90" s="122">
        <f t="shared" si="1"/>
        <v>22.37</v>
      </c>
      <c r="C90" s="123" t="s">
        <v>0</v>
      </c>
      <c r="D90" s="183"/>
      <c r="E90" s="151"/>
      <c r="F90" s="151"/>
      <c r="G90" s="151"/>
      <c r="H90" s="151"/>
      <c r="I90" s="151"/>
      <c r="J90" s="151"/>
    </row>
    <row r="91" spans="1:10" ht="15" customHeight="1">
      <c r="A91" s="121" t="s">
        <v>4</v>
      </c>
      <c r="B91" s="122">
        <f t="shared" si="1"/>
        <v>22.37</v>
      </c>
      <c r="C91" s="123" t="s">
        <v>0</v>
      </c>
      <c r="D91" s="183"/>
      <c r="E91" s="151"/>
      <c r="F91" s="151"/>
      <c r="G91" s="151"/>
      <c r="H91" s="151"/>
      <c r="I91" s="151"/>
      <c r="J91" s="151"/>
    </row>
    <row r="92" spans="1:10" ht="15" customHeight="1">
      <c r="A92" s="121" t="s">
        <v>2</v>
      </c>
      <c r="B92" s="122">
        <f t="shared" si="1"/>
        <v>22.37</v>
      </c>
      <c r="C92" s="123" t="s">
        <v>0</v>
      </c>
      <c r="D92" s="183"/>
      <c r="E92" s="151"/>
      <c r="F92" s="151"/>
      <c r="G92" s="151"/>
      <c r="H92" s="151"/>
      <c r="I92" s="151"/>
      <c r="J92" s="151"/>
    </row>
    <row r="93" spans="1:10" ht="15" customHeight="1">
      <c r="A93" s="124" t="s">
        <v>258</v>
      </c>
      <c r="B93" s="125">
        <f>IF(ROUND(447*((($B$20/1000)*$B$12)^0.6)/((($F$6*(($F$14^$F$8)))/(($F$10+B92)^$F$12))^0.4*$B$10^0.3),0)&lt;$F$16,$F$16,ROUND(447*((($B$20/1000)*$B$12)^0.6)/((($F$6*(($F$14^$F$8)))/(($F$10+B92)^$F$12))^0.4*$B$10^0.3),0))</f>
        <v>22</v>
      </c>
      <c r="C93" s="126" t="s">
        <v>0</v>
      </c>
      <c r="D93" s="183"/>
      <c r="E93" s="151"/>
      <c r="F93" s="151"/>
      <c r="G93" s="151"/>
      <c r="H93" s="151"/>
      <c r="I93" s="151"/>
      <c r="J93" s="151"/>
    </row>
    <row r="94" spans="1:10" ht="16.5">
      <c r="A94" s="84"/>
      <c r="B94" s="84"/>
      <c r="C94" s="84"/>
      <c r="D94" s="84"/>
      <c r="E94" s="84"/>
      <c r="F94" s="84"/>
      <c r="G94" s="84"/>
      <c r="H94" s="84"/>
      <c r="I94" s="84"/>
      <c r="J94" s="84"/>
    </row>
    <row r="95" spans="1:10" ht="16.5">
      <c r="A95" s="84" t="s">
        <v>231</v>
      </c>
      <c r="B95" s="84"/>
      <c r="C95" s="84"/>
      <c r="D95" s="84"/>
      <c r="E95" s="84"/>
      <c r="F95" s="84"/>
      <c r="G95" s="84"/>
      <c r="H95" s="84"/>
      <c r="I95" s="84"/>
      <c r="J95" s="84"/>
    </row>
    <row r="96" spans="1:10" ht="16.5">
      <c r="A96" s="84"/>
      <c r="B96" s="84"/>
      <c r="C96" s="84"/>
      <c r="D96" s="84"/>
      <c r="E96" s="84"/>
      <c r="F96" s="84"/>
      <c r="G96" s="84"/>
      <c r="H96" s="84"/>
      <c r="I96" s="84"/>
      <c r="J96" s="84"/>
    </row>
    <row r="97" spans="1:16" ht="16.5">
      <c r="A97" s="84" t="s">
        <v>34</v>
      </c>
      <c r="B97" s="84"/>
      <c r="C97" s="84"/>
      <c r="D97" s="84"/>
      <c r="E97" s="84"/>
      <c r="F97" s="84"/>
      <c r="G97" s="84"/>
      <c r="H97" s="84"/>
      <c r="I97" s="84"/>
      <c r="J97" s="84"/>
    </row>
    <row r="98" spans="1:16" ht="16.5">
      <c r="A98" s="84"/>
      <c r="B98" s="84"/>
      <c r="C98" s="84"/>
      <c r="D98" s="84"/>
      <c r="E98" s="84"/>
      <c r="F98" s="84"/>
      <c r="G98" s="84"/>
      <c r="H98" s="84"/>
      <c r="I98" s="84"/>
      <c r="J98" s="84"/>
    </row>
    <row r="99" spans="1:16" ht="16.5">
      <c r="A99" s="84" t="s">
        <v>35</v>
      </c>
      <c r="B99" s="128">
        <f>(k*TR^a)/((tc+b)^c_)</f>
        <v>133.81394746947694</v>
      </c>
      <c r="C99" s="84" t="s">
        <v>36</v>
      </c>
      <c r="D99" s="84"/>
      <c r="E99" s="84"/>
      <c r="F99" s="84"/>
      <c r="G99" s="84"/>
      <c r="H99" s="84"/>
      <c r="I99" s="84"/>
      <c r="J99" s="84"/>
    </row>
    <row r="100" spans="1:16" ht="16.5">
      <c r="A100" s="84"/>
      <c r="B100" s="84"/>
      <c r="C100" s="84"/>
      <c r="D100" s="84"/>
      <c r="E100" s="84"/>
      <c r="F100" s="84"/>
      <c r="G100" s="84"/>
      <c r="H100" s="84"/>
      <c r="I100" s="84"/>
      <c r="J100" s="84"/>
    </row>
    <row r="101" spans="1:16" ht="16.5">
      <c r="A101" s="84" t="s">
        <v>232</v>
      </c>
      <c r="B101" s="84"/>
      <c r="C101" s="84"/>
      <c r="D101" s="84"/>
      <c r="E101" s="84"/>
      <c r="F101" s="84"/>
      <c r="G101" s="84"/>
      <c r="H101" s="84"/>
      <c r="I101" s="84"/>
      <c r="J101" s="84"/>
    </row>
    <row r="102" spans="1:16" ht="16.5">
      <c r="A102" s="84"/>
      <c r="B102" s="84"/>
      <c r="C102" s="84"/>
      <c r="D102" s="84"/>
      <c r="E102" s="84"/>
      <c r="F102" s="84"/>
      <c r="G102" s="84"/>
      <c r="H102" s="84"/>
      <c r="I102" s="84"/>
      <c r="J102" s="84"/>
    </row>
    <row r="103" spans="1:16" ht="16.5">
      <c r="A103" s="180" t="s">
        <v>259</v>
      </c>
      <c r="B103" s="180"/>
      <c r="C103" s="180"/>
      <c r="D103" s="84"/>
      <c r="E103" s="84"/>
      <c r="F103" s="84"/>
      <c r="G103" s="84"/>
      <c r="H103" s="84"/>
      <c r="I103" s="84"/>
      <c r="J103" s="84"/>
    </row>
    <row r="104" spans="1:16" ht="16.5">
      <c r="A104" s="84"/>
      <c r="B104" s="84"/>
      <c r="C104" s="84"/>
      <c r="D104" s="84"/>
      <c r="E104" s="84"/>
      <c r="F104" s="84"/>
      <c r="G104" s="84"/>
      <c r="H104" s="84"/>
      <c r="I104" s="84"/>
      <c r="J104" s="84"/>
    </row>
    <row r="105" spans="1:16" ht="16.5">
      <c r="A105" s="84" t="s">
        <v>260</v>
      </c>
      <c r="B105" s="128">
        <f>Runoff*chuva_bacia*Area*10^4/1000/3600*1000</f>
        <v>892.0929831298464</v>
      </c>
      <c r="C105" s="84" t="s">
        <v>38</v>
      </c>
      <c r="D105" s="84"/>
      <c r="E105" s="84"/>
      <c r="F105" s="84"/>
      <c r="G105" s="84"/>
      <c r="H105" s="84"/>
      <c r="I105" s="84"/>
      <c r="J105" s="84"/>
    </row>
    <row r="106" spans="1:16" ht="16.5">
      <c r="A106" s="84"/>
      <c r="B106" s="84"/>
      <c r="C106" s="84"/>
      <c r="D106" s="84"/>
      <c r="E106" s="84"/>
      <c r="F106" s="84"/>
      <c r="G106" s="84"/>
      <c r="H106" s="84"/>
      <c r="I106" s="84"/>
      <c r="J106" s="84"/>
    </row>
    <row r="107" spans="1:16" ht="16.5">
      <c r="A107" s="84" t="s">
        <v>234</v>
      </c>
      <c r="B107" s="84"/>
      <c r="C107" s="84"/>
      <c r="D107" s="84"/>
      <c r="E107" s="84"/>
      <c r="F107" s="84"/>
      <c r="G107" s="84"/>
      <c r="H107" s="84"/>
      <c r="I107" s="84"/>
      <c r="J107" s="84"/>
    </row>
    <row r="108" spans="1:16" ht="16.5">
      <c r="A108" s="180" t="s">
        <v>261</v>
      </c>
      <c r="B108" s="180"/>
      <c r="C108" s="180"/>
      <c r="D108" s="84"/>
      <c r="E108" s="84"/>
      <c r="F108" s="84"/>
      <c r="G108" s="84"/>
      <c r="H108" s="84"/>
      <c r="I108" s="84"/>
      <c r="J108" s="84"/>
      <c r="P108" s="129"/>
    </row>
    <row r="109" spans="1:16" ht="16.5">
      <c r="A109" s="84"/>
      <c r="B109" s="84"/>
      <c r="C109" s="84"/>
      <c r="D109" s="84"/>
      <c r="E109" s="84"/>
      <c r="F109" s="84"/>
      <c r="G109" s="84"/>
      <c r="H109" s="84"/>
      <c r="I109" s="84"/>
      <c r="J109" s="84"/>
    </row>
    <row r="110" spans="1:16" ht="16.5">
      <c r="A110" s="84" t="s">
        <v>262</v>
      </c>
      <c r="B110" s="128">
        <f>(tc_1/tc)*Qmax</f>
        <v>613.31392590176938</v>
      </c>
      <c r="C110" s="84" t="s">
        <v>38</v>
      </c>
      <c r="D110" s="84"/>
      <c r="E110" s="84"/>
      <c r="F110" s="84"/>
      <c r="G110" s="84"/>
      <c r="H110" s="84"/>
      <c r="I110" s="84"/>
      <c r="J110" s="84"/>
    </row>
    <row r="111" spans="1:16" ht="16.5">
      <c r="A111" s="84"/>
      <c r="B111" s="84"/>
      <c r="C111" s="84"/>
      <c r="D111" s="84"/>
      <c r="E111" s="84"/>
      <c r="F111" s="84"/>
      <c r="G111" s="84"/>
      <c r="H111" s="84"/>
      <c r="I111" s="84"/>
      <c r="J111" s="84"/>
    </row>
    <row r="112" spans="1:16" ht="16.5">
      <c r="A112" s="180" t="s">
        <v>263</v>
      </c>
      <c r="B112" s="180"/>
      <c r="C112" s="180"/>
      <c r="D112" s="84"/>
      <c r="E112" s="84"/>
      <c r="F112" s="84"/>
      <c r="G112" s="84"/>
      <c r="H112" s="84"/>
      <c r="I112" s="84"/>
      <c r="J112" s="84"/>
    </row>
    <row r="113" spans="1:10" ht="16.5">
      <c r="A113" s="84"/>
      <c r="B113" s="84"/>
      <c r="C113" s="84"/>
      <c r="D113" s="84"/>
      <c r="E113" s="84"/>
      <c r="F113" s="84"/>
      <c r="G113" s="84"/>
      <c r="H113" s="84"/>
      <c r="I113" s="84"/>
      <c r="J113" s="84"/>
    </row>
    <row r="114" spans="1:10" ht="16.5">
      <c r="A114" s="84"/>
      <c r="B114" s="84"/>
      <c r="C114" s="84"/>
      <c r="D114" s="84"/>
      <c r="E114" s="84"/>
      <c r="F114" s="84"/>
      <c r="G114" s="84"/>
      <c r="H114" s="84"/>
      <c r="I114" s="84"/>
      <c r="J114" s="84"/>
    </row>
    <row r="115" spans="1:10" ht="16.5">
      <c r="A115" s="84" t="s">
        <v>264</v>
      </c>
      <c r="B115" s="128">
        <f>Q_max_i/Ad_i</f>
        <v>278.77905722807697</v>
      </c>
      <c r="C115" s="84" t="s">
        <v>41</v>
      </c>
      <c r="D115" s="84"/>
      <c r="E115" s="84"/>
      <c r="F115" s="84"/>
      <c r="G115" s="84"/>
      <c r="H115" s="84"/>
      <c r="I115" s="84"/>
      <c r="J115" s="84"/>
    </row>
    <row r="116" spans="1:10" ht="16.5">
      <c r="A116" s="84"/>
      <c r="B116" s="84"/>
      <c r="C116" s="84"/>
      <c r="D116" s="84"/>
      <c r="E116" s="84"/>
      <c r="F116" s="84"/>
      <c r="G116" s="84"/>
      <c r="H116" s="84"/>
      <c r="I116" s="84"/>
      <c r="J116" s="84"/>
    </row>
    <row r="117" spans="1:10" ht="16.5">
      <c r="A117" s="84"/>
      <c r="B117" s="84"/>
      <c r="C117" s="84"/>
      <c r="D117" s="84"/>
      <c r="E117" s="84"/>
      <c r="F117" s="84"/>
      <c r="G117" s="84"/>
      <c r="H117" s="84"/>
      <c r="I117" s="84"/>
      <c r="J117" s="84"/>
    </row>
    <row r="118" spans="1:10" ht="16.5">
      <c r="A118" s="84" t="s">
        <v>233</v>
      </c>
      <c r="B118" s="84"/>
      <c r="C118" s="84"/>
      <c r="D118" s="84"/>
      <c r="E118" s="84"/>
      <c r="F118" s="84"/>
      <c r="G118" s="84"/>
      <c r="H118" s="84"/>
      <c r="I118" s="84"/>
      <c r="J118" s="84"/>
    </row>
    <row r="119" spans="1:10" ht="16.5">
      <c r="A119" s="84"/>
      <c r="B119" s="84"/>
      <c r="C119" s="84"/>
      <c r="D119" s="84"/>
      <c r="E119" s="84"/>
      <c r="F119" s="84"/>
      <c r="G119" s="84"/>
      <c r="H119" s="84"/>
      <c r="I119" s="84"/>
      <c r="J119" s="84"/>
    </row>
    <row r="120" spans="1:10" ht="16.5">
      <c r="A120" s="84" t="s">
        <v>265</v>
      </c>
      <c r="B120" s="84"/>
      <c r="C120" s="84"/>
      <c r="D120" s="84"/>
      <c r="E120" s="84"/>
      <c r="F120" s="84"/>
      <c r="G120" s="84"/>
      <c r="H120" s="84"/>
      <c r="I120" s="84"/>
      <c r="J120" s="84"/>
    </row>
    <row r="121" spans="1:10" ht="16.5">
      <c r="A121" s="84"/>
      <c r="B121" s="84"/>
      <c r="C121" s="84"/>
      <c r="D121" s="84"/>
      <c r="E121" s="84"/>
      <c r="F121" s="84"/>
      <c r="G121" s="84"/>
      <c r="H121" s="84"/>
      <c r="I121" s="84"/>
      <c r="J121" s="84"/>
    </row>
    <row r="122" spans="1:10" ht="16.5">
      <c r="A122" s="84" t="s">
        <v>266</v>
      </c>
      <c r="B122" s="122">
        <f>qmax_i*alot_i/10^4</f>
        <v>33.453486867369236</v>
      </c>
      <c r="C122" s="84" t="s">
        <v>38</v>
      </c>
      <c r="D122" s="84"/>
      <c r="E122" s="84"/>
      <c r="F122" s="84"/>
      <c r="G122" s="84"/>
      <c r="H122" s="84"/>
      <c r="I122" s="84"/>
      <c r="J122" s="84"/>
    </row>
    <row r="123" spans="1:10" ht="16.5">
      <c r="A123" s="84"/>
      <c r="B123" s="84"/>
      <c r="C123" s="84"/>
      <c r="D123" s="84"/>
      <c r="E123" s="84"/>
      <c r="F123" s="84"/>
      <c r="G123" s="84"/>
      <c r="H123" s="84"/>
      <c r="I123" s="84"/>
      <c r="J123" s="84"/>
    </row>
    <row r="124" spans="1:10" ht="16.5">
      <c r="A124" s="84" t="s">
        <v>235</v>
      </c>
      <c r="B124" s="84"/>
      <c r="C124" s="84"/>
      <c r="D124" s="84"/>
      <c r="E124" s="84"/>
      <c r="F124" s="84"/>
      <c r="G124" s="84"/>
      <c r="H124" s="84"/>
      <c r="I124" s="84"/>
      <c r="J124" s="84"/>
    </row>
    <row r="125" spans="1:10" ht="16.5">
      <c r="A125" s="84"/>
      <c r="B125" s="84"/>
      <c r="C125" s="84"/>
      <c r="D125" s="84"/>
      <c r="E125" s="84"/>
      <c r="F125" s="84"/>
      <c r="G125" s="84"/>
      <c r="H125" s="84"/>
      <c r="I125" s="84"/>
      <c r="J125" s="84"/>
    </row>
    <row r="126" spans="1:10" ht="16.5">
      <c r="A126" s="130"/>
      <c r="B126" s="84"/>
      <c r="C126" s="84"/>
      <c r="D126" s="84"/>
      <c r="E126" s="84"/>
      <c r="F126" s="84"/>
      <c r="G126" s="84"/>
      <c r="H126" s="84"/>
      <c r="I126" s="84"/>
      <c r="J126" s="84"/>
    </row>
    <row r="127" spans="1:10" ht="16.5">
      <c r="A127" s="84"/>
      <c r="B127" s="84"/>
      <c r="C127" s="84"/>
      <c r="D127" s="84"/>
      <c r="E127" s="84"/>
      <c r="F127" s="84"/>
      <c r="G127" s="84"/>
      <c r="H127" s="84"/>
      <c r="I127" s="84"/>
      <c r="J127" s="84"/>
    </row>
    <row r="128" spans="1:10">
      <c r="A128" s="130" t="s">
        <v>21</v>
      </c>
      <c r="B128" s="131">
        <f>25400/CN_pos-254</f>
        <v>5.1836734693877702</v>
      </c>
      <c r="C128" s="84" t="s">
        <v>44</v>
      </c>
      <c r="D128" s="84"/>
    </row>
    <row r="129" spans="1:12">
      <c r="A129" s="84"/>
      <c r="B129" s="84"/>
      <c r="C129" s="84"/>
      <c r="D129" s="84"/>
    </row>
    <row r="130" spans="1:12">
      <c r="A130" s="84" t="s">
        <v>45</v>
      </c>
      <c r="B130" s="84">
        <f>coef_IA*S_i</f>
        <v>1.0367346938775541</v>
      </c>
      <c r="C130" s="84" t="s">
        <v>44</v>
      </c>
      <c r="D130" s="84"/>
    </row>
    <row r="131" spans="1:12">
      <c r="A131" s="130"/>
      <c r="B131" s="84"/>
      <c r="C131" s="84"/>
      <c r="D131" s="84"/>
    </row>
    <row r="132" spans="1:12">
      <c r="A132" s="84" t="str">
        <f>"Pi("&amp;ROUND(tc,1)&amp;")"</f>
        <v>Pi(32)</v>
      </c>
      <c r="B132" s="131">
        <f>tc*chuva_bacia/60</f>
        <v>71.367438650387697</v>
      </c>
      <c r="C132" s="84" t="s">
        <v>44</v>
      </c>
      <c r="D132" s="84"/>
    </row>
    <row r="133" spans="1:12">
      <c r="A133" s="130"/>
      <c r="B133" s="84"/>
      <c r="C133" s="84"/>
      <c r="D133" s="84"/>
    </row>
    <row r="134" spans="1:12">
      <c r="A134" s="84" t="str">
        <f>"Pef("&amp;ROUND(tc,1)&amp;")"</f>
        <v>Pef(32)</v>
      </c>
      <c r="B134" s="84">
        <f>((Ptotal-I_a)^2)/(Ptotal+0.8*S_i)</f>
        <v>65.502862999462195</v>
      </c>
      <c r="C134" s="84" t="s">
        <v>44</v>
      </c>
      <c r="D134" s="84"/>
    </row>
    <row r="135" spans="1:12">
      <c r="A135" s="84"/>
      <c r="B135" s="84"/>
      <c r="C135" s="84"/>
      <c r="D135" s="84"/>
    </row>
    <row r="136" spans="1:12">
      <c r="A136" s="84" t="s">
        <v>267</v>
      </c>
      <c r="B136" s="122">
        <f>Pef/Ptotal</f>
        <v>0.91782561120548711</v>
      </c>
      <c r="C136" s="84"/>
      <c r="D136" s="84"/>
    </row>
    <row r="137" spans="1:12">
      <c r="A137" s="84"/>
      <c r="B137" s="84"/>
      <c r="C137" s="84"/>
      <c r="D137" s="84"/>
    </row>
    <row r="138" spans="1:12">
      <c r="A138" s="104" t="s">
        <v>236</v>
      </c>
    </row>
    <row r="140" spans="1:12">
      <c r="A140" s="104" t="s">
        <v>268</v>
      </c>
      <c r="K140" s="104"/>
      <c r="L140" s="104"/>
    </row>
    <row r="142" spans="1:12">
      <c r="A142" s="104" t="s">
        <v>269</v>
      </c>
      <c r="B142" s="132">
        <f>Runoff_pos*chuva_bacia*alot_i/3600</f>
        <v>40.939289374663872</v>
      </c>
      <c r="C142" s="104" t="s">
        <v>38</v>
      </c>
    </row>
    <row r="145" spans="1:1">
      <c r="A145" s="104" t="s">
        <v>237</v>
      </c>
    </row>
    <row r="192" spans="1:7">
      <c r="A192" s="84"/>
      <c r="B192" s="84"/>
      <c r="C192" s="84"/>
      <c r="D192" s="84"/>
      <c r="E192" s="84"/>
      <c r="F192" s="84"/>
      <c r="G192" s="84"/>
    </row>
    <row r="193" spans="1:12">
      <c r="A193" s="84"/>
      <c r="B193" s="84"/>
      <c r="C193" s="84"/>
      <c r="D193" s="84"/>
      <c r="E193" s="84"/>
      <c r="F193" s="84"/>
      <c r="G193" s="84"/>
    </row>
    <row r="194" spans="1:12">
      <c r="A194" s="84"/>
      <c r="B194" s="84"/>
      <c r="C194" s="84"/>
      <c r="D194" s="84"/>
      <c r="E194" s="84"/>
      <c r="F194" s="84"/>
      <c r="G194" s="84"/>
    </row>
    <row r="195" spans="1:12">
      <c r="A195" s="84"/>
      <c r="B195" s="84"/>
      <c r="C195" s="84"/>
      <c r="D195" s="84"/>
      <c r="E195" s="84"/>
      <c r="F195" s="84"/>
      <c r="G195" s="84"/>
    </row>
    <row r="196" spans="1:12">
      <c r="A196" s="150" t="s">
        <v>270</v>
      </c>
      <c r="B196" s="150"/>
      <c r="C196" s="134">
        <f ca="1">Simulação!AS4</f>
        <v>0.82499999999999996</v>
      </c>
      <c r="D196" s="84"/>
      <c r="E196" s="150" t="s">
        <v>271</v>
      </c>
      <c r="F196" s="150"/>
      <c r="G196" s="134">
        <f ca="1">Simulação!AS6</f>
        <v>0.32874999999999999</v>
      </c>
    </row>
    <row r="197" spans="1:12">
      <c r="A197" s="150" t="s">
        <v>272</v>
      </c>
      <c r="B197" s="150"/>
      <c r="C197" s="134">
        <f ca="1">Simulação!AS5</f>
        <v>1.0762709599187481</v>
      </c>
      <c r="D197" s="84"/>
      <c r="E197" s="150" t="s">
        <v>273</v>
      </c>
      <c r="F197" s="150"/>
      <c r="G197" s="134">
        <f ca="1">Simulação!AS7</f>
        <v>0.10653835498610664</v>
      </c>
    </row>
    <row r="198" spans="1:12">
      <c r="A198" s="84" t="s">
        <v>238</v>
      </c>
      <c r="B198" s="84"/>
      <c r="C198" s="84"/>
      <c r="D198" s="84"/>
      <c r="E198" s="84"/>
      <c r="F198" s="84"/>
      <c r="G198" s="84"/>
    </row>
    <row r="199" spans="1:12">
      <c r="A199" s="133" t="s">
        <v>274</v>
      </c>
      <c r="B199" s="135">
        <f>Simulação!AS8</f>
        <v>0.9375</v>
      </c>
      <c r="C199" s="136" t="str">
        <f>IF(B199&lt;1,"Reference catchment with lower resilience","Reference catchment with higher resilience")</f>
        <v>Reference catchment with lower resilience</v>
      </c>
      <c r="D199" s="84"/>
      <c r="E199" s="84"/>
      <c r="F199" s="84"/>
      <c r="G199" s="84"/>
    </row>
    <row r="200" spans="1:12">
      <c r="A200" s="84"/>
      <c r="B200" s="84"/>
      <c r="C200" s="84"/>
      <c r="D200" s="84"/>
      <c r="E200" s="84"/>
      <c r="F200" s="84"/>
      <c r="G200" s="84"/>
    </row>
    <row r="201" spans="1:12">
      <c r="A201" s="84"/>
      <c r="B201" s="84"/>
      <c r="C201" s="84"/>
      <c r="D201" s="84"/>
      <c r="E201" s="84"/>
      <c r="F201" s="84"/>
      <c r="G201" s="84"/>
      <c r="K201" s="104"/>
      <c r="L201" s="104"/>
    </row>
    <row r="202" spans="1:12">
      <c r="A202" s="84"/>
      <c r="B202" s="84"/>
      <c r="C202" s="84"/>
      <c r="D202" s="84"/>
      <c r="E202" s="84"/>
      <c r="F202" s="84"/>
      <c r="G202" s="84"/>
      <c r="J202" s="130"/>
      <c r="K202" s="104"/>
      <c r="L202" s="104"/>
    </row>
    <row r="203" spans="1:12">
      <c r="A203" s="84"/>
      <c r="B203" s="84"/>
      <c r="C203" s="84"/>
      <c r="D203" s="84"/>
      <c r="E203" s="84"/>
      <c r="F203" s="84"/>
      <c r="G203" s="84"/>
      <c r="J203" s="84"/>
      <c r="K203" s="104"/>
      <c r="L203" s="104"/>
    </row>
    <row r="204" spans="1:12">
      <c r="A204" s="84"/>
      <c r="B204" s="84"/>
      <c r="C204" s="84"/>
      <c r="D204" s="84"/>
      <c r="E204" s="84"/>
      <c r="F204" s="84"/>
      <c r="G204" s="84"/>
      <c r="J204" s="84"/>
      <c r="K204" s="104"/>
      <c r="L204" s="104"/>
    </row>
    <row r="205" spans="1:12">
      <c r="A205" s="84"/>
      <c r="B205" s="84"/>
      <c r="C205" s="84"/>
      <c r="D205" s="84"/>
      <c r="E205" s="84"/>
      <c r="F205" s="84"/>
      <c r="G205" s="84"/>
      <c r="J205" s="84"/>
      <c r="K205" s="104"/>
      <c r="L205" s="104"/>
    </row>
    <row r="206" spans="1:12">
      <c r="A206" s="84"/>
      <c r="B206" s="84"/>
      <c r="C206" s="84"/>
      <c r="D206" s="84"/>
      <c r="E206" s="84"/>
      <c r="F206" s="84"/>
      <c r="G206" s="84"/>
      <c r="K206" s="104"/>
      <c r="L206" s="104"/>
    </row>
    <row r="207" spans="1:12">
      <c r="A207" s="84"/>
      <c r="B207" s="84"/>
      <c r="C207" s="84"/>
      <c r="D207" s="84"/>
      <c r="E207" s="84"/>
      <c r="F207" s="84"/>
      <c r="G207" s="84"/>
      <c r="K207" s="104"/>
      <c r="L207" s="104"/>
    </row>
    <row r="208" spans="1:12">
      <c r="A208" s="84"/>
      <c r="B208" s="84"/>
      <c r="C208" s="84"/>
      <c r="D208" s="84"/>
      <c r="E208" s="84"/>
      <c r="F208" s="84"/>
      <c r="G208" s="84"/>
    </row>
    <row r="209" spans="1:7">
      <c r="A209" s="84"/>
      <c r="B209" s="84"/>
      <c r="C209" s="84"/>
      <c r="D209" s="84"/>
      <c r="E209" s="84"/>
      <c r="F209" s="84"/>
      <c r="G209" s="84"/>
    </row>
    <row r="210" spans="1:7">
      <c r="A210" s="84"/>
      <c r="B210" s="84"/>
      <c r="C210" s="84"/>
      <c r="D210" s="84"/>
      <c r="E210" s="84"/>
      <c r="F210" s="84"/>
      <c r="G210" s="84"/>
    </row>
    <row r="211" spans="1:7">
      <c r="A211" s="137"/>
    </row>
    <row r="218" spans="1:7">
      <c r="B218" s="138"/>
      <c r="C218" s="149"/>
      <c r="D218" s="149"/>
      <c r="E218" s="84"/>
    </row>
    <row r="219" spans="1:7">
      <c r="B219" s="139"/>
      <c r="C219" s="149"/>
      <c r="D219" s="149"/>
      <c r="E219" s="84"/>
    </row>
    <row r="220" spans="1:7">
      <c r="B220" s="139"/>
      <c r="C220" s="149"/>
      <c r="D220" s="149"/>
      <c r="E220" s="84"/>
    </row>
    <row r="221" spans="1:7">
      <c r="B221" s="139"/>
      <c r="C221" s="149"/>
      <c r="D221" s="149"/>
    </row>
    <row r="222" spans="1:7">
      <c r="B222" s="139"/>
      <c r="C222" s="149"/>
      <c r="D222" s="149"/>
      <c r="F222" s="140"/>
    </row>
    <row r="223" spans="1:7">
      <c r="C223" s="149"/>
      <c r="D223" s="149"/>
    </row>
    <row r="224" spans="1:7">
      <c r="C224" s="149"/>
      <c r="D224" s="149"/>
    </row>
    <row r="225" spans="1:7">
      <c r="C225" s="149"/>
      <c r="D225" s="149"/>
    </row>
    <row r="235" spans="1:7">
      <c r="A235" s="84"/>
      <c r="B235" s="84"/>
      <c r="C235" s="84"/>
      <c r="D235" s="84"/>
      <c r="E235" s="84"/>
      <c r="F235" s="84"/>
      <c r="G235" s="84"/>
    </row>
    <row r="236" spans="1:7">
      <c r="A236" s="84"/>
      <c r="B236" s="84"/>
      <c r="C236" s="84"/>
      <c r="D236" s="84"/>
      <c r="E236" s="84"/>
      <c r="F236" s="84"/>
      <c r="G236" s="84"/>
    </row>
    <row r="237" spans="1:7">
      <c r="A237" s="84"/>
      <c r="B237" s="84"/>
      <c r="C237" s="84"/>
      <c r="D237" s="84"/>
      <c r="E237" s="84"/>
      <c r="F237" s="84"/>
      <c r="G237" s="84"/>
    </row>
    <row r="238" spans="1:7">
      <c r="A238" s="84"/>
      <c r="B238" s="84"/>
      <c r="C238" s="84"/>
      <c r="D238" s="84"/>
      <c r="E238" s="84"/>
      <c r="F238" s="84"/>
      <c r="G238" s="84"/>
    </row>
    <row r="239" spans="1:7">
      <c r="A239" s="84"/>
      <c r="B239" s="84"/>
      <c r="C239" s="84"/>
      <c r="D239" s="84"/>
      <c r="E239" s="84"/>
      <c r="F239" s="84"/>
      <c r="G239" s="84"/>
    </row>
    <row r="240" spans="1:7">
      <c r="A240" s="84"/>
      <c r="B240" s="84"/>
      <c r="C240" s="84"/>
      <c r="D240" s="84"/>
      <c r="E240" s="84"/>
      <c r="F240" s="84"/>
      <c r="G240" s="84"/>
    </row>
    <row r="241" spans="1:7">
      <c r="A241" s="84"/>
      <c r="B241" s="84"/>
      <c r="C241" s="84"/>
      <c r="D241" s="84"/>
      <c r="E241" s="84"/>
      <c r="F241" s="84"/>
      <c r="G241" s="84"/>
    </row>
    <row r="242" spans="1:7">
      <c r="A242" s="84"/>
      <c r="B242" s="84"/>
      <c r="C242" s="84"/>
      <c r="D242" s="84"/>
      <c r="E242" s="84"/>
      <c r="F242" s="84"/>
      <c r="G242" s="84"/>
    </row>
    <row r="243" spans="1:7">
      <c r="A243" s="84"/>
      <c r="B243" s="84"/>
      <c r="C243" s="84"/>
      <c r="D243" s="84"/>
      <c r="E243" s="84"/>
      <c r="F243" s="84"/>
      <c r="G243" s="84"/>
    </row>
    <row r="244" spans="1:7">
      <c r="A244" s="84"/>
      <c r="B244" s="84"/>
      <c r="C244" s="84"/>
      <c r="D244" s="84"/>
      <c r="E244" s="84"/>
      <c r="F244" s="84"/>
      <c r="G244" s="84"/>
    </row>
    <row r="245" spans="1:7">
      <c r="A245" s="84"/>
      <c r="B245" s="84"/>
      <c r="C245" s="84"/>
      <c r="D245" s="84"/>
      <c r="E245" s="84"/>
      <c r="F245" s="84"/>
      <c r="G245" s="84"/>
    </row>
    <row r="246" spans="1:7">
      <c r="A246" s="84"/>
      <c r="B246" s="84"/>
      <c r="C246" s="84"/>
      <c r="D246" s="84"/>
      <c r="E246" s="84"/>
      <c r="F246" s="84"/>
      <c r="G246" s="84"/>
    </row>
    <row r="247" spans="1:7">
      <c r="A247" s="84"/>
      <c r="B247" s="84"/>
      <c r="C247" s="84"/>
      <c r="D247" s="84"/>
      <c r="E247" s="84"/>
      <c r="F247" s="84"/>
      <c r="G247" s="84"/>
    </row>
    <row r="272" spans="1:7">
      <c r="A272" s="84"/>
      <c r="B272" s="84"/>
      <c r="C272" s="84"/>
      <c r="D272" s="84"/>
      <c r="E272" s="84"/>
      <c r="F272" s="84"/>
      <c r="G272" s="84"/>
    </row>
    <row r="273" spans="1:7">
      <c r="A273" s="84"/>
      <c r="B273" s="84"/>
      <c r="C273" s="84"/>
      <c r="D273" s="84"/>
      <c r="E273" s="84"/>
      <c r="F273" s="84"/>
      <c r="G273" s="84"/>
    </row>
    <row r="274" spans="1:7">
      <c r="A274" s="84"/>
      <c r="B274" s="84"/>
      <c r="C274" s="84"/>
      <c r="D274" s="84"/>
      <c r="E274" s="84"/>
      <c r="F274" s="84"/>
      <c r="G274" s="84"/>
    </row>
    <row r="275" spans="1:7">
      <c r="A275" s="84"/>
      <c r="B275" s="84"/>
      <c r="C275" s="84"/>
      <c r="D275" s="84"/>
      <c r="E275" s="84"/>
      <c r="F275" s="84"/>
      <c r="G275" s="84"/>
    </row>
    <row r="276" spans="1:7">
      <c r="A276" s="84"/>
      <c r="B276" s="84"/>
      <c r="C276" s="84"/>
      <c r="D276" s="84"/>
      <c r="E276" s="84"/>
      <c r="F276" s="84"/>
      <c r="G276" s="84"/>
    </row>
    <row r="277" spans="1:7">
      <c r="A277" s="84"/>
      <c r="B277" s="84"/>
      <c r="C277" s="84"/>
      <c r="D277" s="84"/>
      <c r="E277" s="84"/>
      <c r="F277" s="84"/>
      <c r="G277" s="84"/>
    </row>
    <row r="278" spans="1:7">
      <c r="A278" s="84"/>
      <c r="B278" s="84"/>
      <c r="C278" s="84"/>
      <c r="D278" s="84"/>
      <c r="E278" s="84"/>
      <c r="F278" s="84"/>
      <c r="G278" s="84"/>
    </row>
    <row r="279" spans="1:7">
      <c r="A279" s="84"/>
      <c r="B279" s="84"/>
      <c r="C279" s="84"/>
      <c r="D279" s="84"/>
      <c r="E279" s="84"/>
      <c r="F279" s="84"/>
      <c r="G279" s="84"/>
    </row>
    <row r="280" spans="1:7">
      <c r="A280" s="84"/>
      <c r="B280" s="84"/>
      <c r="C280" s="84"/>
      <c r="D280" s="84"/>
      <c r="E280" s="84"/>
      <c r="F280" s="84"/>
      <c r="G280" s="84"/>
    </row>
    <row r="281" spans="1:7">
      <c r="A281" s="84"/>
      <c r="B281" s="84"/>
      <c r="C281" s="84"/>
      <c r="D281" s="84"/>
      <c r="E281" s="84"/>
      <c r="F281" s="84"/>
      <c r="G281" s="84"/>
    </row>
    <row r="282" spans="1:7">
      <c r="A282" s="84"/>
      <c r="B282" s="84"/>
      <c r="C282" s="84"/>
      <c r="D282" s="84"/>
      <c r="E282" s="84"/>
      <c r="F282" s="84"/>
      <c r="G282" s="84"/>
    </row>
    <row r="302" spans="1:7">
      <c r="A302" s="84" t="s">
        <v>239</v>
      </c>
      <c r="B302" s="84"/>
      <c r="C302" s="84"/>
      <c r="D302" s="84"/>
      <c r="E302" s="84"/>
      <c r="F302" s="84"/>
      <c r="G302" s="84"/>
    </row>
    <row r="303" spans="1:7">
      <c r="A303" s="108"/>
      <c r="B303" s="108"/>
      <c r="C303" s="108"/>
      <c r="D303" s="108"/>
      <c r="E303" s="108"/>
      <c r="F303" s="108"/>
      <c r="G303" s="108"/>
    </row>
    <row r="304" spans="1:7">
      <c r="A304" s="170" t="s">
        <v>240</v>
      </c>
      <c r="B304" s="171"/>
      <c r="C304" s="171"/>
      <c r="D304" s="171"/>
      <c r="E304" s="171"/>
      <c r="F304" s="171"/>
      <c r="G304" s="172"/>
    </row>
    <row r="305" spans="1:7">
      <c r="A305" s="141" t="s">
        <v>205</v>
      </c>
      <c r="B305" s="171" t="s">
        <v>206</v>
      </c>
      <c r="C305" s="171"/>
      <c r="D305" s="171"/>
      <c r="E305" s="142" t="s">
        <v>205</v>
      </c>
      <c r="F305" s="171" t="s">
        <v>206</v>
      </c>
      <c r="G305" s="172"/>
    </row>
    <row r="306" spans="1:7">
      <c r="A306" s="143" t="s">
        <v>257</v>
      </c>
      <c r="B306" s="173">
        <f>tc</f>
        <v>32</v>
      </c>
      <c r="C306" s="173"/>
      <c r="D306" s="174"/>
      <c r="E306" s="144" t="s">
        <v>21</v>
      </c>
      <c r="F306" s="175">
        <f>S_i</f>
        <v>5.1836734693877702</v>
      </c>
      <c r="G306" s="176"/>
    </row>
    <row r="307" spans="1:7">
      <c r="A307" s="145" t="s">
        <v>275</v>
      </c>
      <c r="B307" s="168">
        <f>tc_1</f>
        <v>22</v>
      </c>
      <c r="C307" s="168"/>
      <c r="D307" s="169"/>
      <c r="E307" s="83" t="s">
        <v>45</v>
      </c>
      <c r="F307" s="161">
        <f>I_a</f>
        <v>1.0367346938775541</v>
      </c>
      <c r="G307" s="162"/>
    </row>
    <row r="308" spans="1:7">
      <c r="A308" s="143" t="s">
        <v>260</v>
      </c>
      <c r="B308" s="155">
        <f>Qmax</f>
        <v>892.0929831298464</v>
      </c>
      <c r="C308" s="155"/>
      <c r="D308" s="156"/>
      <c r="E308" s="83" t="str">
        <f>"Pef("&amp;ROUND(tc,1)&amp;")"</f>
        <v>Pef(32)</v>
      </c>
      <c r="F308" s="161">
        <f>Pef</f>
        <v>65.502862999462195</v>
      </c>
      <c r="G308" s="162"/>
    </row>
    <row r="309" spans="1:7">
      <c r="A309" s="143" t="s">
        <v>262</v>
      </c>
      <c r="B309" s="155">
        <f>Q_max_i</f>
        <v>613.31392590176938</v>
      </c>
      <c r="C309" s="155"/>
      <c r="D309" s="156"/>
      <c r="E309" s="83" t="s">
        <v>267</v>
      </c>
      <c r="F309" s="163">
        <f>Runoff_pos</f>
        <v>0.91782561120548711</v>
      </c>
      <c r="G309" s="164"/>
    </row>
    <row r="310" spans="1:7">
      <c r="A310" s="143" t="s">
        <v>264</v>
      </c>
      <c r="B310" s="153">
        <f>qmax_i</f>
        <v>278.77905722807697</v>
      </c>
      <c r="C310" s="153"/>
      <c r="D310" s="154"/>
      <c r="E310" s="138" t="s">
        <v>269</v>
      </c>
      <c r="F310" s="155">
        <f>Qmax_lot_i</f>
        <v>40.939289374663872</v>
      </c>
      <c r="G310" s="156"/>
    </row>
    <row r="311" spans="1:7">
      <c r="A311" s="146" t="s">
        <v>266</v>
      </c>
      <c r="B311" s="157">
        <f>Qref_i</f>
        <v>33.453486867369236</v>
      </c>
      <c r="C311" s="157"/>
      <c r="D311" s="158"/>
      <c r="E311" s="147" t="s">
        <v>276</v>
      </c>
      <c r="F311" s="159">
        <f>$B$199</f>
        <v>0.9375</v>
      </c>
      <c r="G311" s="160"/>
    </row>
  </sheetData>
  <mergeCells count="44">
    <mergeCell ref="AD2:AJ2"/>
    <mergeCell ref="A196:B196"/>
    <mergeCell ref="A197:B197"/>
    <mergeCell ref="A103:C103"/>
    <mergeCell ref="A108:C108"/>
    <mergeCell ref="A112:C112"/>
    <mergeCell ref="A85:C85"/>
    <mergeCell ref="A75:H77"/>
    <mergeCell ref="A80:H81"/>
    <mergeCell ref="F37:G37"/>
    <mergeCell ref="F38:G38"/>
    <mergeCell ref="F39:G39"/>
    <mergeCell ref="E36:G36"/>
    <mergeCell ref="D86:J93"/>
    <mergeCell ref="A1:H1"/>
    <mergeCell ref="E32:H32"/>
    <mergeCell ref="E41:F41"/>
    <mergeCell ref="B307:D307"/>
    <mergeCell ref="F307:G307"/>
    <mergeCell ref="A304:G304"/>
    <mergeCell ref="B305:D305"/>
    <mergeCell ref="F305:G305"/>
    <mergeCell ref="B306:D306"/>
    <mergeCell ref="F306:G306"/>
    <mergeCell ref="C223:D223"/>
    <mergeCell ref="C224:D224"/>
    <mergeCell ref="C225:D225"/>
    <mergeCell ref="C218:D218"/>
    <mergeCell ref="C219:D219"/>
    <mergeCell ref="C220:D220"/>
    <mergeCell ref="B310:D310"/>
    <mergeCell ref="F310:G310"/>
    <mergeCell ref="B311:D311"/>
    <mergeCell ref="F311:G311"/>
    <mergeCell ref="B308:D308"/>
    <mergeCell ref="F308:G308"/>
    <mergeCell ref="B309:D309"/>
    <mergeCell ref="F309:G309"/>
    <mergeCell ref="C221:D221"/>
    <mergeCell ref="C222:D222"/>
    <mergeCell ref="E196:F196"/>
    <mergeCell ref="E197:F197"/>
    <mergeCell ref="A50:H59"/>
    <mergeCell ref="A60:H62"/>
  </mergeCells>
  <conditionalFormatting sqref="F37:G39">
    <cfRule type="containsText" dxfId="56" priority="1" operator="containsText" text="FAILED">
      <formula>NOT(ISERROR(SEARCH("FAILED",F37)))</formula>
    </cfRule>
  </conditionalFormatting>
  <pageMargins left="0.59055118110236227" right="0.78740157480314965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2:G54"/>
  <sheetViews>
    <sheetView topLeftCell="A28" zoomScale="115" zoomScaleNormal="115" workbookViewId="0">
      <selection activeCell="D36" sqref="D36"/>
    </sheetView>
  </sheetViews>
  <sheetFormatPr defaultRowHeight="15.75"/>
  <cols>
    <col min="1" max="6" width="9.140625" style="1"/>
    <col min="7" max="7" width="3.7109375" style="78" customWidth="1"/>
    <col min="8" max="16384" width="9.140625" style="1"/>
  </cols>
  <sheetData>
    <row r="2" spans="1:5">
      <c r="A2" s="1" t="s">
        <v>172</v>
      </c>
      <c r="D2" s="1" t="s">
        <v>178</v>
      </c>
      <c r="E2" s="1">
        <f>MIN(COUNT($A$4:$A$15),COUNT($B$4:$B$15))</f>
        <v>4</v>
      </c>
    </row>
    <row r="3" spans="1:5">
      <c r="A3" s="46" t="s">
        <v>173</v>
      </c>
      <c r="B3" s="46" t="s">
        <v>174</v>
      </c>
    </row>
    <row r="4" spans="1:5">
      <c r="A4" s="77">
        <v>0.2</v>
      </c>
      <c r="B4" s="77">
        <v>10</v>
      </c>
    </row>
    <row r="5" spans="1:5">
      <c r="A5" s="77">
        <v>0.4</v>
      </c>
      <c r="B5" s="77">
        <v>21.33</v>
      </c>
    </row>
    <row r="6" spans="1:5">
      <c r="A6" s="77">
        <v>0.6</v>
      </c>
      <c r="B6" s="77">
        <v>34.01</v>
      </c>
    </row>
    <row r="7" spans="1:5">
      <c r="A7" s="77">
        <v>0.8</v>
      </c>
      <c r="B7" s="77">
        <v>47.64</v>
      </c>
    </row>
    <row r="8" spans="1:5">
      <c r="A8" s="77"/>
      <c r="B8" s="77"/>
    </row>
    <row r="9" spans="1:5">
      <c r="A9" s="77"/>
      <c r="B9" s="77"/>
    </row>
    <row r="10" spans="1:5">
      <c r="A10" s="77"/>
      <c r="B10" s="77"/>
    </row>
    <row r="11" spans="1:5">
      <c r="A11" s="77"/>
      <c r="B11" s="77"/>
    </row>
    <row r="12" spans="1:5">
      <c r="A12" s="77"/>
      <c r="B12" s="77"/>
    </row>
    <row r="13" spans="1:5">
      <c r="A13" s="77"/>
      <c r="B13" s="77"/>
    </row>
    <row r="14" spans="1:5">
      <c r="A14" s="77"/>
      <c r="B14" s="77"/>
    </row>
    <row r="15" spans="1:5">
      <c r="A15" s="77"/>
      <c r="B15" s="77"/>
    </row>
    <row r="16" spans="1:5">
      <c r="A16" s="1" t="s">
        <v>184</v>
      </c>
    </row>
    <row r="17" spans="1:4">
      <c r="A17" s="1" t="s">
        <v>179</v>
      </c>
    </row>
    <row r="18" spans="1:4">
      <c r="A18" s="1" t="s">
        <v>183</v>
      </c>
      <c r="B18" s="1">
        <v>2</v>
      </c>
    </row>
    <row r="19" spans="1:4">
      <c r="A19" s="1" t="s">
        <v>180</v>
      </c>
    </row>
    <row r="21" spans="1:4">
      <c r="A21" s="1" t="s">
        <v>16</v>
      </c>
      <c r="B21" s="1">
        <v>3.75</v>
      </c>
    </row>
    <row r="23" spans="1:4">
      <c r="A23" s="1" t="s">
        <v>15</v>
      </c>
      <c r="B23" s="1">
        <v>1</v>
      </c>
    </row>
    <row r="25" spans="1:4">
      <c r="A25" s="1" t="s">
        <v>181</v>
      </c>
    </row>
    <row r="27" spans="1:4">
      <c r="A27" s="1" t="s">
        <v>16</v>
      </c>
      <c r="B27" s="1">
        <f>alfa_1_quad</f>
        <v>60.624551398755294</v>
      </c>
    </row>
    <row r="29" spans="1:4">
      <c r="A29" s="1" t="s">
        <v>15</v>
      </c>
      <c r="B29" s="1">
        <f>alfa_2_quad</f>
        <v>1.1245744337714896</v>
      </c>
    </row>
    <row r="31" spans="1:4">
      <c r="A31" s="1" t="s">
        <v>182</v>
      </c>
      <c r="C31" s="1">
        <v>2</v>
      </c>
      <c r="D31" s="1" t="str">
        <f>IF(C31=1,"Circular","Retangular")</f>
        <v>Retangular</v>
      </c>
    </row>
    <row r="33" spans="1:4">
      <c r="A33" s="1" t="s">
        <v>185</v>
      </c>
    </row>
    <row r="34" spans="1:4">
      <c r="D34" s="1" t="s">
        <v>188</v>
      </c>
    </row>
    <row r="35" spans="1:4">
      <c r="A35" s="1" t="s">
        <v>186</v>
      </c>
      <c r="D35" s="1">
        <v>10</v>
      </c>
    </row>
    <row r="37" spans="1:4">
      <c r="A37" s="1" t="s">
        <v>187</v>
      </c>
      <c r="D37" s="1">
        <v>4</v>
      </c>
    </row>
    <row r="39" spans="1:4">
      <c r="A39" s="1" t="s">
        <v>189</v>
      </c>
    </row>
    <row r="41" spans="1:4">
      <c r="A41" s="46" t="s">
        <v>190</v>
      </c>
    </row>
    <row r="42" spans="1:4">
      <c r="A42" s="46">
        <v>1</v>
      </c>
      <c r="B42" s="46">
        <v>15</v>
      </c>
    </row>
    <row r="43" spans="1:4">
      <c r="A43" s="46">
        <v>2</v>
      </c>
      <c r="B43" s="46">
        <v>20</v>
      </c>
    </row>
    <row r="44" spans="1:4">
      <c r="A44" s="46">
        <v>3</v>
      </c>
      <c r="B44" s="46">
        <v>25</v>
      </c>
    </row>
    <row r="45" spans="1:4">
      <c r="A45" s="46">
        <v>4</v>
      </c>
      <c r="B45" s="46">
        <v>32</v>
      </c>
    </row>
    <row r="46" spans="1:4">
      <c r="A46" s="46">
        <v>5</v>
      </c>
      <c r="B46" s="46">
        <v>40</v>
      </c>
    </row>
    <row r="47" spans="1:4">
      <c r="A47" s="46">
        <v>6</v>
      </c>
      <c r="B47" s="46">
        <v>50</v>
      </c>
    </row>
    <row r="48" spans="1:4">
      <c r="A48" s="46">
        <v>7</v>
      </c>
      <c r="B48" s="46">
        <v>60</v>
      </c>
    </row>
    <row r="49" spans="1:2">
      <c r="A49" s="46">
        <v>8</v>
      </c>
      <c r="B49" s="46">
        <v>75</v>
      </c>
    </row>
    <row r="50" spans="1:2">
      <c r="A50" s="46">
        <v>9</v>
      </c>
      <c r="B50" s="46">
        <v>100</v>
      </c>
    </row>
    <row r="51" spans="1:2">
      <c r="A51" s="46">
        <v>10</v>
      </c>
      <c r="B51" s="46">
        <v>110</v>
      </c>
    </row>
    <row r="52" spans="1:2">
      <c r="A52" s="46">
        <v>11</v>
      </c>
      <c r="B52" s="46">
        <v>125</v>
      </c>
    </row>
    <row r="53" spans="1:2">
      <c r="A53" s="46">
        <v>12</v>
      </c>
      <c r="B53" s="46">
        <v>150</v>
      </c>
    </row>
    <row r="54" spans="1:2">
      <c r="A54" s="46">
        <v>13</v>
      </c>
      <c r="B54" s="46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/>
  <dimension ref="A1:A5"/>
  <sheetViews>
    <sheetView zoomScale="55" zoomScaleNormal="55" workbookViewId="0">
      <selection activeCell="H14" sqref="H14"/>
    </sheetView>
  </sheetViews>
  <sheetFormatPr defaultRowHeight="15"/>
  <sheetData>
    <row r="1" ht="15" customHeight="1"/>
    <row r="2" ht="15" customHeight="1"/>
    <row r="3" ht="15" customHeight="1"/>
    <row r="4" ht="15" customHeight="1"/>
    <row r="5" ht="15" customHeight="1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L492"/>
  <sheetViews>
    <sheetView view="pageLayout" topLeftCell="A339" zoomScale="85" zoomScaleNormal="100" zoomScalePageLayoutView="85" workbookViewId="0">
      <selection activeCell="E12" sqref="E12:E375"/>
    </sheetView>
  </sheetViews>
  <sheetFormatPr defaultRowHeight="15.75"/>
  <cols>
    <col min="1" max="2" width="9.85546875" style="4" bestFit="1" customWidth="1"/>
    <col min="3" max="3" width="9.140625" style="16"/>
    <col min="4" max="4" width="9.140625" style="4"/>
    <col min="5" max="5" width="9.140625" style="5"/>
    <col min="6" max="6" width="11.85546875" style="4" customWidth="1"/>
    <col min="7" max="7" width="13.140625" style="4" customWidth="1"/>
    <col min="8" max="16384" width="9.140625" style="4"/>
  </cols>
  <sheetData>
    <row r="1" spans="1:12" s="3" customFormat="1">
      <c r="A1" s="186" t="s">
        <v>47</v>
      </c>
      <c r="B1" s="186"/>
      <c r="C1" s="186"/>
      <c r="D1" s="186"/>
      <c r="E1" s="186"/>
      <c r="F1" s="186"/>
      <c r="G1" s="186"/>
      <c r="H1" s="186"/>
      <c r="I1" s="186"/>
    </row>
    <row r="2" spans="1:12">
      <c r="C2" s="4"/>
      <c r="E2" s="4"/>
    </row>
    <row r="3" spans="1:12" ht="18.75">
      <c r="A3" s="6" t="s">
        <v>52</v>
      </c>
      <c r="B3" s="7">
        <f>chuva_bacia</f>
        <v>133.81394746947694</v>
      </c>
      <c r="C3" s="8" t="s">
        <v>36</v>
      </c>
      <c r="D3" s="6" t="s">
        <v>14</v>
      </c>
      <c r="E3" s="184">
        <f>CN_pos</f>
        <v>98</v>
      </c>
      <c r="F3" s="185"/>
      <c r="G3" s="4" t="s">
        <v>70</v>
      </c>
      <c r="H3" s="5">
        <f>MAX(C12:C1048576)</f>
        <v>78.603435599354668</v>
      </c>
      <c r="I3" s="24" t="s">
        <v>69</v>
      </c>
    </row>
    <row r="4" spans="1:12" ht="18.75">
      <c r="A4" s="9" t="s">
        <v>48</v>
      </c>
      <c r="B4" s="16">
        <f>tc_1</f>
        <v>22</v>
      </c>
      <c r="C4" s="10" t="s">
        <v>0</v>
      </c>
      <c r="D4" s="9" t="s">
        <v>21</v>
      </c>
      <c r="E4" s="16">
        <f>S_i</f>
        <v>5.1836734693877702</v>
      </c>
      <c r="F4" s="10" t="s">
        <v>44</v>
      </c>
      <c r="G4" s="9" t="s">
        <v>73</v>
      </c>
      <c r="H4" s="5">
        <f>Qmax/(tc)</f>
        <v>27.8779057228077</v>
      </c>
      <c r="I4" s="4" t="s">
        <v>51</v>
      </c>
    </row>
    <row r="5" spans="1:12">
      <c r="A5" s="9" t="s">
        <v>25</v>
      </c>
      <c r="B5" s="16">
        <f>tc</f>
        <v>32</v>
      </c>
      <c r="C5" s="10" t="s">
        <v>0</v>
      </c>
      <c r="D5" s="9" t="s">
        <v>45</v>
      </c>
      <c r="E5" s="16">
        <f>I_a</f>
        <v>1.0367346938775541</v>
      </c>
      <c r="F5" s="10" t="s">
        <v>44</v>
      </c>
      <c r="G5" s="9" t="s">
        <v>75</v>
      </c>
      <c r="H5" s="5">
        <f>Q_max_i/tc_1</f>
        <v>27.8779057228077</v>
      </c>
      <c r="I5" s="4" t="s">
        <v>51</v>
      </c>
    </row>
    <row r="6" spans="1:12" ht="18.75">
      <c r="A6" s="9" t="s">
        <v>50</v>
      </c>
      <c r="B6" s="16">
        <f>tc_lot_i</f>
        <v>8</v>
      </c>
      <c r="C6" s="10" t="s">
        <v>0</v>
      </c>
      <c r="D6" s="9" t="s">
        <v>72</v>
      </c>
      <c r="E6" s="16">
        <f>Qmax_lot_i/tc_lot_i</f>
        <v>5.117411171832984</v>
      </c>
      <c r="F6" s="10" t="s">
        <v>51</v>
      </c>
    </row>
    <row r="7" spans="1:12">
      <c r="A7" s="11" t="s">
        <v>49</v>
      </c>
      <c r="B7" s="12">
        <f>Qmax</f>
        <v>892.0929831298464</v>
      </c>
      <c r="C7" s="13" t="s">
        <v>38</v>
      </c>
      <c r="D7" s="11" t="s">
        <v>42</v>
      </c>
      <c r="E7" s="12">
        <f>Qref_i</f>
        <v>33.453486867369236</v>
      </c>
      <c r="F7" s="13" t="s">
        <v>38</v>
      </c>
    </row>
    <row r="8" spans="1:12">
      <c r="C8" s="4"/>
      <c r="E8" s="4"/>
    </row>
    <row r="9" spans="1:12">
      <c r="B9" s="5"/>
      <c r="C9" s="4"/>
      <c r="E9" s="4"/>
    </row>
    <row r="10" spans="1:12" ht="18.75">
      <c r="A10" s="14" t="s">
        <v>24</v>
      </c>
      <c r="B10" s="15" t="s">
        <v>37</v>
      </c>
      <c r="C10" s="14" t="s">
        <v>68</v>
      </c>
      <c r="D10" s="14" t="s">
        <v>76</v>
      </c>
      <c r="E10" s="14" t="s">
        <v>74</v>
      </c>
      <c r="F10" s="14" t="s">
        <v>77</v>
      </c>
      <c r="G10" s="14" t="s">
        <v>78</v>
      </c>
      <c r="H10" s="14" t="s">
        <v>80</v>
      </c>
      <c r="I10" s="14" t="s">
        <v>131</v>
      </c>
      <c r="J10" s="4" t="s">
        <v>210</v>
      </c>
      <c r="L10" s="4" t="s">
        <v>211</v>
      </c>
    </row>
    <row r="11" spans="1:12">
      <c r="A11" s="14" t="s">
        <v>11</v>
      </c>
      <c r="B11" s="14" t="s">
        <v>30</v>
      </c>
      <c r="C11" s="14" t="s">
        <v>62</v>
      </c>
      <c r="D11" s="14" t="s">
        <v>30</v>
      </c>
      <c r="E11" s="14" t="s">
        <v>30</v>
      </c>
      <c r="F11" s="14" t="s">
        <v>79</v>
      </c>
      <c r="G11" s="14" t="s">
        <v>79</v>
      </c>
      <c r="H11" s="14" t="s">
        <v>30</v>
      </c>
      <c r="I11" s="14" t="s">
        <v>30</v>
      </c>
    </row>
    <row r="12" spans="1:12">
      <c r="A12" s="4">
        <v>0</v>
      </c>
      <c r="B12" s="5">
        <f>IF(A12&lt;=tc_lot_i,declividade_afluente*A12,IF(A12&lt;=tc,Qmax_lot_i,IF(A12&lt;=tc+tc_lot_i,Qmax_lot_i-declividade_afluente*(A12-tc),"")))</f>
        <v>0</v>
      </c>
      <c r="C12" s="16">
        <v>0</v>
      </c>
      <c r="D12" s="16">
        <f t="shared" ref="D12:D75" si="0">IF(A12&lt;=tc,$H$4*A12,IF(A12&lt;=2*tc,Qmax-$H$4*(A12-tc),""))</f>
        <v>0</v>
      </c>
      <c r="E12" s="16">
        <f t="shared" ref="E12:E75" si="1">IF(A12&lt;=tc_1,$H$5*A12,IF(A12&lt;=tc,Q_max_i,IF(A12&lt;=tc_1+tc,Q_max_i-$H$5*(A12-(tc)),"")))</f>
        <v>0</v>
      </c>
      <c r="F12" s="16">
        <f t="shared" ref="F12:F75" si="2">IF(A12="","",IF(ISERROR(D12/(Area*10^2)),"",D12/(Area*10^2)))</f>
        <v>0</v>
      </c>
      <c r="G12" s="16">
        <f t="shared" ref="G12:G75" si="3">IF(A12="","",IF(ISERROR(E12/(Ad_i*10^2)),"",E12/(Ad_i*10^2)))</f>
        <v>0</v>
      </c>
      <c r="H12" s="5">
        <f t="shared" ref="H12:H75" si="4">IF(G12="","",IF(ISERROR(G12*alot_i/100),"",G12*alot_i/100))</f>
        <v>0</v>
      </c>
      <c r="I12" s="5">
        <f>IF(A12="","",IF(ISERROR(E12-H12),0,E12-H12))</f>
        <v>0</v>
      </c>
      <c r="J12" s="5">
        <f>I12+B12</f>
        <v>0</v>
      </c>
      <c r="L12" s="5">
        <f ca="1">I12+Simulação!G5</f>
        <v>0</v>
      </c>
    </row>
    <row r="13" spans="1:12">
      <c r="A13" s="4">
        <f t="shared" ref="A13:A76" si="5">IF(ISERROR(IF(A12+Passo&lt;=tc+tc,A12+Passo,"")),"",IF(A12+Passo&lt;=tc+tc,A12+Passo,""))</f>
        <v>1</v>
      </c>
      <c r="B13" s="5">
        <f>IF(A13&lt;=tc_lot_i,declividade_afluente*A13,IF(A13&lt;=tc,Qmax_lot_i,IF(A13&lt;=tc+tc_lot_i,Qmax_lot_i-declividade_afluente*(A13-tc),"")))</f>
        <v>5.117411171832984</v>
      </c>
      <c r="C13" s="16">
        <f t="shared" ref="C13:C76" si="6">IF(ISERROR(IF(A13="","",C12+AVERAGE(B12:B13)*Passo*60/1000)),C12,IF(A13="","",C12+AVERAGE(B12:B13)*Passo*60/1000))</f>
        <v>0.15352233515498953</v>
      </c>
      <c r="D13" s="16">
        <f t="shared" si="0"/>
        <v>27.8779057228077</v>
      </c>
      <c r="E13" s="16">
        <f t="shared" si="1"/>
        <v>27.8779057228077</v>
      </c>
      <c r="F13" s="16">
        <f t="shared" si="2"/>
        <v>9.2926352409358995E-2</v>
      </c>
      <c r="G13" s="16">
        <f t="shared" si="3"/>
        <v>0.12671775328548954</v>
      </c>
      <c r="H13" s="5">
        <f t="shared" si="4"/>
        <v>1.5206130394258743</v>
      </c>
      <c r="I13" s="5">
        <f t="shared" ref="I13:I76" si="7">IF(A13="","",IF(ISERROR(E13-H13),0,E13-H13))</f>
        <v>26.357292683381825</v>
      </c>
      <c r="J13" s="5">
        <f t="shared" ref="J13:J76" si="8">I13+B13</f>
        <v>31.474703855214809</v>
      </c>
      <c r="K13" s="16"/>
      <c r="L13" s="5">
        <f ca="1">I13+Simulação!G6</f>
        <v>26.357292683381825</v>
      </c>
    </row>
    <row r="14" spans="1:12">
      <c r="A14" s="4">
        <f t="shared" si="5"/>
        <v>2</v>
      </c>
      <c r="B14" s="5">
        <f t="shared" ref="B14:B45" si="9">IF(ISERROR(IF(A14&lt;=tc_lot_i,declividade_afluente*A14,IF(A14&lt;=tc,Qmax_lot_i,IF(A14&lt;=tc+tc_lot_i,Qmax_lot_i-declividade_afluente*(A14-tc),"")))),"",IF(A14&lt;=tc_lot_i,declividade_afluente*A14,IF(A14&lt;=tc,Qmax_lot_i,IF(A14&lt;=tc+tc_lot_i,Qmax_lot_i-declividade_afluente*(A14-tc),""))))</f>
        <v>10.234822343665968</v>
      </c>
      <c r="C14" s="16">
        <f t="shared" si="6"/>
        <v>0.61408934061995812</v>
      </c>
      <c r="D14" s="16">
        <f t="shared" si="0"/>
        <v>55.7558114456154</v>
      </c>
      <c r="E14" s="16">
        <f t="shared" si="1"/>
        <v>55.7558114456154</v>
      </c>
      <c r="F14" s="16">
        <f t="shared" si="2"/>
        <v>0.18585270481871799</v>
      </c>
      <c r="G14" s="16">
        <f t="shared" si="3"/>
        <v>0.25343550657097907</v>
      </c>
      <c r="H14" s="5">
        <f t="shared" si="4"/>
        <v>3.0412260788517487</v>
      </c>
      <c r="I14" s="5">
        <f t="shared" si="7"/>
        <v>52.71458536676365</v>
      </c>
      <c r="J14" s="5">
        <f t="shared" si="8"/>
        <v>62.949407710429618</v>
      </c>
      <c r="L14" s="5">
        <f ca="1">I14+Simulação!G7</f>
        <v>52.71458536676365</v>
      </c>
    </row>
    <row r="15" spans="1:12">
      <c r="A15" s="4">
        <f t="shared" si="5"/>
        <v>3</v>
      </c>
      <c r="B15" s="5">
        <f t="shared" si="9"/>
        <v>15.352233515498952</v>
      </c>
      <c r="C15" s="16">
        <f t="shared" si="6"/>
        <v>1.3817010163949057</v>
      </c>
      <c r="D15" s="16">
        <f t="shared" si="0"/>
        <v>83.633717168423104</v>
      </c>
      <c r="E15" s="16">
        <f t="shared" si="1"/>
        <v>83.633717168423104</v>
      </c>
      <c r="F15" s="16">
        <f t="shared" si="2"/>
        <v>0.278779057228077</v>
      </c>
      <c r="G15" s="16">
        <f t="shared" si="3"/>
        <v>0.38015325985646858</v>
      </c>
      <c r="H15" s="5">
        <f t="shared" si="4"/>
        <v>4.5618391182776232</v>
      </c>
      <c r="I15" s="5">
        <f t="shared" si="7"/>
        <v>79.071878050145486</v>
      </c>
      <c r="J15" s="5">
        <f t="shared" si="8"/>
        <v>94.424111565644438</v>
      </c>
      <c r="L15" s="5">
        <f ca="1">I15+Simulação!G8</f>
        <v>79.071878050145486</v>
      </c>
    </row>
    <row r="16" spans="1:12">
      <c r="A16" s="4">
        <f t="shared" si="5"/>
        <v>4</v>
      </c>
      <c r="B16" s="5">
        <f t="shared" si="9"/>
        <v>20.469644687331936</v>
      </c>
      <c r="C16" s="16">
        <f t="shared" si="6"/>
        <v>2.4563573624798325</v>
      </c>
      <c r="D16" s="16">
        <f t="shared" si="0"/>
        <v>111.5116228912308</v>
      </c>
      <c r="E16" s="16">
        <f t="shared" si="1"/>
        <v>111.5116228912308</v>
      </c>
      <c r="F16" s="16">
        <f t="shared" si="2"/>
        <v>0.37170540963743598</v>
      </c>
      <c r="G16" s="16">
        <f t="shared" si="3"/>
        <v>0.50687101314195815</v>
      </c>
      <c r="H16" s="5">
        <f t="shared" si="4"/>
        <v>6.0824521577034973</v>
      </c>
      <c r="I16" s="5">
        <f t="shared" si="7"/>
        <v>105.4291707335273</v>
      </c>
      <c r="J16" s="5">
        <f t="shared" si="8"/>
        <v>125.89881542085924</v>
      </c>
      <c r="L16" s="5">
        <f ca="1">I16+Simulação!G9</f>
        <v>105.4291707335273</v>
      </c>
    </row>
    <row r="17" spans="1:12">
      <c r="A17" s="4">
        <f t="shared" si="5"/>
        <v>5</v>
      </c>
      <c r="B17" s="5">
        <f t="shared" si="9"/>
        <v>25.58705585916492</v>
      </c>
      <c r="C17" s="16">
        <f t="shared" si="6"/>
        <v>3.838058378874738</v>
      </c>
      <c r="D17" s="16">
        <f t="shared" si="0"/>
        <v>139.38952861403851</v>
      </c>
      <c r="E17" s="16">
        <f t="shared" si="1"/>
        <v>139.38952861403851</v>
      </c>
      <c r="F17" s="16">
        <f t="shared" si="2"/>
        <v>0.46463176204679502</v>
      </c>
      <c r="G17" s="16">
        <f t="shared" si="3"/>
        <v>0.63358876642744766</v>
      </c>
      <c r="H17" s="5">
        <f t="shared" si="4"/>
        <v>7.6030651971293715</v>
      </c>
      <c r="I17" s="5">
        <f t="shared" si="7"/>
        <v>131.78646341690913</v>
      </c>
      <c r="J17" s="5">
        <f t="shared" si="8"/>
        <v>157.37351927607403</v>
      </c>
      <c r="L17" s="5">
        <f ca="1">I17+Simulação!G10</f>
        <v>135.6893641085729</v>
      </c>
    </row>
    <row r="18" spans="1:12">
      <c r="A18" s="4">
        <f t="shared" si="5"/>
        <v>6</v>
      </c>
      <c r="B18" s="5">
        <f t="shared" si="9"/>
        <v>30.704467030997904</v>
      </c>
      <c r="C18" s="16">
        <f t="shared" si="6"/>
        <v>5.5268040655796229</v>
      </c>
      <c r="D18" s="16">
        <f t="shared" si="0"/>
        <v>167.26743433684621</v>
      </c>
      <c r="E18" s="16">
        <f t="shared" si="1"/>
        <v>167.26743433684621</v>
      </c>
      <c r="F18" s="16">
        <f t="shared" si="2"/>
        <v>0.557558114456154</v>
      </c>
      <c r="G18" s="16">
        <f t="shared" si="3"/>
        <v>0.76030651971293717</v>
      </c>
      <c r="H18" s="5">
        <f t="shared" si="4"/>
        <v>9.1236782365552465</v>
      </c>
      <c r="I18" s="5">
        <f t="shared" si="7"/>
        <v>158.14375610029097</v>
      </c>
      <c r="J18" s="5">
        <f t="shared" si="8"/>
        <v>188.84822313128888</v>
      </c>
      <c r="L18" s="5">
        <f ca="1">I18+Simulação!G11</f>
        <v>164.06706535819583</v>
      </c>
    </row>
    <row r="19" spans="1:12">
      <c r="A19" s="4">
        <f t="shared" si="5"/>
        <v>7</v>
      </c>
      <c r="B19" s="5">
        <f t="shared" si="9"/>
        <v>35.821878202830888</v>
      </c>
      <c r="C19" s="16">
        <f t="shared" si="6"/>
        <v>7.5225944225944863</v>
      </c>
      <c r="D19" s="16">
        <f t="shared" si="0"/>
        <v>195.1453400596539</v>
      </c>
      <c r="E19" s="16">
        <f t="shared" si="1"/>
        <v>195.1453400596539</v>
      </c>
      <c r="F19" s="16">
        <f t="shared" si="2"/>
        <v>0.65048446686551298</v>
      </c>
      <c r="G19" s="16">
        <f t="shared" si="3"/>
        <v>0.88702427299842668</v>
      </c>
      <c r="H19" s="5">
        <f t="shared" si="4"/>
        <v>10.64429127598112</v>
      </c>
      <c r="I19" s="5">
        <f t="shared" si="7"/>
        <v>184.50104878367279</v>
      </c>
      <c r="J19" s="5">
        <f t="shared" si="8"/>
        <v>220.32292698650366</v>
      </c>
      <c r="L19" s="5">
        <f ca="1">I19+Simulação!G12</f>
        <v>192.03386802701843</v>
      </c>
    </row>
    <row r="20" spans="1:12">
      <c r="A20" s="4">
        <f t="shared" si="5"/>
        <v>8</v>
      </c>
      <c r="B20" s="5">
        <f t="shared" si="9"/>
        <v>40.939289374663872</v>
      </c>
      <c r="C20" s="16">
        <f t="shared" si="6"/>
        <v>9.82542944991933</v>
      </c>
      <c r="D20" s="16">
        <f t="shared" si="0"/>
        <v>223.0232457824616</v>
      </c>
      <c r="E20" s="16">
        <f t="shared" si="1"/>
        <v>223.0232457824616</v>
      </c>
      <c r="F20" s="16">
        <f t="shared" si="2"/>
        <v>0.74341081927487196</v>
      </c>
      <c r="G20" s="16">
        <f t="shared" si="3"/>
        <v>1.0137420262839163</v>
      </c>
      <c r="H20" s="5">
        <f t="shared" si="4"/>
        <v>12.164904315406995</v>
      </c>
      <c r="I20" s="5">
        <f t="shared" si="7"/>
        <v>210.8583414670546</v>
      </c>
      <c r="J20" s="5">
        <f t="shared" si="8"/>
        <v>251.79763084171847</v>
      </c>
      <c r="L20" s="5">
        <f ca="1">I20+Simulação!G13</f>
        <v>219.81411912024583</v>
      </c>
    </row>
    <row r="21" spans="1:12">
      <c r="A21" s="4">
        <f t="shared" si="5"/>
        <v>9</v>
      </c>
      <c r="B21" s="5">
        <f t="shared" si="9"/>
        <v>40.939289374663872</v>
      </c>
      <c r="C21" s="16">
        <f t="shared" si="6"/>
        <v>12.281786812399162</v>
      </c>
      <c r="D21" s="16">
        <f t="shared" si="0"/>
        <v>250.9011515052693</v>
      </c>
      <c r="E21" s="16">
        <f t="shared" si="1"/>
        <v>250.9011515052693</v>
      </c>
      <c r="F21" s="16">
        <f t="shared" si="2"/>
        <v>0.83633717168423094</v>
      </c>
      <c r="G21" s="16">
        <f t="shared" si="3"/>
        <v>1.1404597795694058</v>
      </c>
      <c r="H21" s="5">
        <f t="shared" si="4"/>
        <v>13.685517354832871</v>
      </c>
      <c r="I21" s="5">
        <f t="shared" si="7"/>
        <v>237.21563415043641</v>
      </c>
      <c r="J21" s="5">
        <f t="shared" si="8"/>
        <v>278.15492352510029</v>
      </c>
      <c r="L21" s="5">
        <f ca="1">I21+Simulação!G14</f>
        <v>247.39740909363178</v>
      </c>
    </row>
    <row r="22" spans="1:12">
      <c r="A22" s="4">
        <f t="shared" si="5"/>
        <v>10</v>
      </c>
      <c r="B22" s="5">
        <f t="shared" si="9"/>
        <v>40.939289374663872</v>
      </c>
      <c r="C22" s="16">
        <f t="shared" si="6"/>
        <v>14.738144174878993</v>
      </c>
      <c r="D22" s="16">
        <f t="shared" si="0"/>
        <v>278.77905722807702</v>
      </c>
      <c r="E22" s="16">
        <f t="shared" si="1"/>
        <v>278.77905722807702</v>
      </c>
      <c r="F22" s="16">
        <f t="shared" si="2"/>
        <v>0.92926352409359003</v>
      </c>
      <c r="G22" s="16">
        <f t="shared" si="3"/>
        <v>1.2671775328548953</v>
      </c>
      <c r="H22" s="5">
        <f t="shared" si="4"/>
        <v>15.206130394258743</v>
      </c>
      <c r="I22" s="5">
        <f t="shared" si="7"/>
        <v>263.57292683381826</v>
      </c>
      <c r="J22" s="5">
        <f t="shared" si="8"/>
        <v>304.51221620848213</v>
      </c>
      <c r="L22" s="5">
        <f ca="1">I22+Simulação!G15</f>
        <v>274.76785042364315</v>
      </c>
    </row>
    <row r="23" spans="1:12">
      <c r="A23" s="4">
        <f t="shared" si="5"/>
        <v>11</v>
      </c>
      <c r="B23" s="5">
        <f t="shared" si="9"/>
        <v>40.939289374663872</v>
      </c>
      <c r="C23" s="16">
        <f t="shared" si="6"/>
        <v>17.194501537358825</v>
      </c>
      <c r="D23" s="16">
        <f t="shared" si="0"/>
        <v>306.65696295088469</v>
      </c>
      <c r="E23" s="16">
        <f t="shared" si="1"/>
        <v>306.65696295088469</v>
      </c>
      <c r="F23" s="16">
        <f t="shared" si="2"/>
        <v>1.0221898765029489</v>
      </c>
      <c r="G23" s="16">
        <f t="shared" si="3"/>
        <v>1.3938952861403848</v>
      </c>
      <c r="H23" s="5">
        <f t="shared" si="4"/>
        <v>16.726743433684618</v>
      </c>
      <c r="I23" s="5">
        <f t="shared" si="7"/>
        <v>289.93021951720004</v>
      </c>
      <c r="J23" s="5">
        <f t="shared" si="8"/>
        <v>330.86950889186392</v>
      </c>
      <c r="L23" s="5">
        <f ca="1">I23+Simulação!G16</f>
        <v>302.0539189266276</v>
      </c>
    </row>
    <row r="24" spans="1:12">
      <c r="A24" s="4">
        <f t="shared" si="5"/>
        <v>12</v>
      </c>
      <c r="B24" s="5">
        <f t="shared" si="9"/>
        <v>40.939289374663872</v>
      </c>
      <c r="C24" s="16">
        <f t="shared" si="6"/>
        <v>19.650858899838656</v>
      </c>
      <c r="D24" s="16">
        <f t="shared" si="0"/>
        <v>334.53486867369242</v>
      </c>
      <c r="E24" s="16">
        <f t="shared" si="1"/>
        <v>334.53486867369242</v>
      </c>
      <c r="F24" s="16">
        <f t="shared" si="2"/>
        <v>1.115116228912308</v>
      </c>
      <c r="G24" s="16">
        <f t="shared" si="3"/>
        <v>1.5206130394258743</v>
      </c>
      <c r="H24" s="5">
        <f t="shared" si="4"/>
        <v>18.247356473110493</v>
      </c>
      <c r="I24" s="5">
        <f t="shared" si="7"/>
        <v>316.28751220058194</v>
      </c>
      <c r="J24" s="5">
        <f t="shared" si="8"/>
        <v>357.22680157524582</v>
      </c>
      <c r="L24" s="5">
        <f ca="1">I24+Simulação!G17</f>
        <v>329.2040537704429</v>
      </c>
    </row>
    <row r="25" spans="1:12">
      <c r="A25" s="4">
        <f t="shared" si="5"/>
        <v>13</v>
      </c>
      <c r="B25" s="5">
        <f t="shared" si="9"/>
        <v>40.939289374663872</v>
      </c>
      <c r="C25" s="16">
        <f t="shared" si="6"/>
        <v>22.107216262318488</v>
      </c>
      <c r="D25" s="16">
        <f t="shared" si="0"/>
        <v>362.41277439650008</v>
      </c>
      <c r="E25" s="16">
        <f t="shared" si="1"/>
        <v>362.41277439650008</v>
      </c>
      <c r="F25" s="16">
        <f t="shared" si="2"/>
        <v>1.2080425813216669</v>
      </c>
      <c r="G25" s="16">
        <f t="shared" si="3"/>
        <v>1.6473307927113638</v>
      </c>
      <c r="H25" s="5">
        <f t="shared" si="4"/>
        <v>19.767969512536364</v>
      </c>
      <c r="I25" s="5">
        <f t="shared" si="7"/>
        <v>342.64480488396373</v>
      </c>
      <c r="J25" s="5">
        <f t="shared" si="8"/>
        <v>383.5840942586276</v>
      </c>
      <c r="L25" s="5">
        <f ca="1">I25+Simulação!G18</f>
        <v>356.30825996976608</v>
      </c>
    </row>
    <row r="26" spans="1:12">
      <c r="A26" s="4">
        <f t="shared" si="5"/>
        <v>14</v>
      </c>
      <c r="B26" s="5">
        <f t="shared" si="9"/>
        <v>40.939289374663872</v>
      </c>
      <c r="C26" s="16">
        <f t="shared" si="6"/>
        <v>24.56357362479832</v>
      </c>
      <c r="D26" s="16">
        <f t="shared" si="0"/>
        <v>390.29068011930781</v>
      </c>
      <c r="E26" s="16">
        <f t="shared" si="1"/>
        <v>390.29068011930781</v>
      </c>
      <c r="F26" s="16">
        <f t="shared" si="2"/>
        <v>1.300968933731026</v>
      </c>
      <c r="G26" s="16">
        <f t="shared" si="3"/>
        <v>1.7740485459968534</v>
      </c>
      <c r="H26" s="5">
        <f t="shared" si="4"/>
        <v>21.288582551962239</v>
      </c>
      <c r="I26" s="5">
        <f t="shared" si="7"/>
        <v>369.00209756734557</v>
      </c>
      <c r="J26" s="5">
        <f t="shared" si="8"/>
        <v>409.94138694200944</v>
      </c>
      <c r="L26" s="5">
        <f ca="1">I26+Simulação!G19</f>
        <v>383.31077148232407</v>
      </c>
    </row>
    <row r="27" spans="1:12">
      <c r="A27" s="4">
        <f t="shared" si="5"/>
        <v>15</v>
      </c>
      <c r="B27" s="5">
        <f t="shared" si="9"/>
        <v>40.939289374663872</v>
      </c>
      <c r="C27" s="16">
        <f t="shared" si="6"/>
        <v>27.019930987278151</v>
      </c>
      <c r="D27" s="16">
        <f t="shared" si="0"/>
        <v>418.16858584211548</v>
      </c>
      <c r="E27" s="16">
        <f t="shared" si="1"/>
        <v>418.16858584211548</v>
      </c>
      <c r="F27" s="16">
        <f t="shared" si="2"/>
        <v>1.3938952861403848</v>
      </c>
      <c r="G27" s="16">
        <f t="shared" si="3"/>
        <v>1.9007662992823429</v>
      </c>
      <c r="H27" s="5">
        <f t="shared" si="4"/>
        <v>22.809195591388114</v>
      </c>
      <c r="I27" s="5">
        <f t="shared" si="7"/>
        <v>395.35939025072736</v>
      </c>
      <c r="J27" s="5">
        <f t="shared" si="8"/>
        <v>436.29867962539123</v>
      </c>
      <c r="L27" s="5">
        <f ca="1">I27+Simulação!G20</f>
        <v>410.28541763676122</v>
      </c>
    </row>
    <row r="28" spans="1:12">
      <c r="A28" s="4">
        <f t="shared" si="5"/>
        <v>16</v>
      </c>
      <c r="B28" s="5">
        <f t="shared" si="9"/>
        <v>40.939289374663872</v>
      </c>
      <c r="C28" s="16">
        <f t="shared" si="6"/>
        <v>29.476288349757983</v>
      </c>
      <c r="D28" s="16">
        <f t="shared" si="0"/>
        <v>446.0464915649232</v>
      </c>
      <c r="E28" s="16">
        <f t="shared" si="1"/>
        <v>446.0464915649232</v>
      </c>
      <c r="F28" s="16">
        <f t="shared" si="2"/>
        <v>1.4868216385497439</v>
      </c>
      <c r="G28" s="16">
        <f t="shared" si="3"/>
        <v>2.0274840525678326</v>
      </c>
      <c r="H28" s="5">
        <f t="shared" si="4"/>
        <v>24.329808630813989</v>
      </c>
      <c r="I28" s="5">
        <f t="shared" si="7"/>
        <v>421.7166829341092</v>
      </c>
      <c r="J28" s="5">
        <f t="shared" si="8"/>
        <v>462.65597230877307</v>
      </c>
      <c r="L28" s="5">
        <f ca="1">I28+Simulação!G21</f>
        <v>437.23552431650887</v>
      </c>
    </row>
    <row r="29" spans="1:12">
      <c r="A29" s="4">
        <f t="shared" si="5"/>
        <v>17</v>
      </c>
      <c r="B29" s="5">
        <f t="shared" si="9"/>
        <v>40.939289374663872</v>
      </c>
      <c r="C29" s="16">
        <f t="shared" si="6"/>
        <v>31.932645712237814</v>
      </c>
      <c r="D29" s="16">
        <f t="shared" si="0"/>
        <v>473.92439728773093</v>
      </c>
      <c r="E29" s="16">
        <f t="shared" si="1"/>
        <v>473.92439728773093</v>
      </c>
      <c r="F29" s="16">
        <f t="shared" si="2"/>
        <v>1.579747990959103</v>
      </c>
      <c r="G29" s="16">
        <f t="shared" si="3"/>
        <v>2.1542018058533223</v>
      </c>
      <c r="H29" s="5">
        <f t="shared" si="4"/>
        <v>25.850421670239868</v>
      </c>
      <c r="I29" s="5">
        <f t="shared" si="7"/>
        <v>448.07397561749104</v>
      </c>
      <c r="J29" s="5">
        <f t="shared" si="8"/>
        <v>489.01326499215492</v>
      </c>
      <c r="L29" s="5">
        <f ca="1">I29+Simulação!G22</f>
        <v>464.13403505662643</v>
      </c>
    </row>
    <row r="30" spans="1:12">
      <c r="A30" s="4">
        <f t="shared" si="5"/>
        <v>18</v>
      </c>
      <c r="B30" s="5">
        <f t="shared" si="9"/>
        <v>40.939289374663872</v>
      </c>
      <c r="C30" s="16">
        <f t="shared" si="6"/>
        <v>34.38900307471765</v>
      </c>
      <c r="D30" s="16">
        <f t="shared" si="0"/>
        <v>501.80230301053859</v>
      </c>
      <c r="E30" s="16">
        <f t="shared" si="1"/>
        <v>501.80230301053859</v>
      </c>
      <c r="F30" s="16">
        <f t="shared" si="2"/>
        <v>1.6726743433684619</v>
      </c>
      <c r="G30" s="16">
        <f t="shared" si="3"/>
        <v>2.2809195591388116</v>
      </c>
      <c r="H30" s="5">
        <f t="shared" si="4"/>
        <v>27.371034709665743</v>
      </c>
      <c r="I30" s="5">
        <f t="shared" si="7"/>
        <v>474.43126830087283</v>
      </c>
      <c r="J30" s="5">
        <f t="shared" si="8"/>
        <v>515.3705576755367</v>
      </c>
      <c r="L30" s="5">
        <f ca="1">I30+Simulação!G23</f>
        <v>490.99093022972716</v>
      </c>
    </row>
    <row r="31" spans="1:12">
      <c r="A31" s="4">
        <f t="shared" si="5"/>
        <v>19</v>
      </c>
      <c r="B31" s="5">
        <f t="shared" si="9"/>
        <v>40.939289374663872</v>
      </c>
      <c r="C31" s="16">
        <f t="shared" si="6"/>
        <v>36.845360437197485</v>
      </c>
      <c r="D31" s="16">
        <f t="shared" si="0"/>
        <v>529.68020873334626</v>
      </c>
      <c r="E31" s="16">
        <f t="shared" si="1"/>
        <v>529.68020873334626</v>
      </c>
      <c r="F31" s="16">
        <f t="shared" si="2"/>
        <v>1.765600695777821</v>
      </c>
      <c r="G31" s="16">
        <f t="shared" si="3"/>
        <v>2.4076373124243009</v>
      </c>
      <c r="H31" s="5">
        <f t="shared" si="4"/>
        <v>28.891647749091611</v>
      </c>
      <c r="I31" s="5">
        <f t="shared" si="7"/>
        <v>500.78856098425467</v>
      </c>
      <c r="J31" s="5">
        <f t="shared" si="8"/>
        <v>541.72785035891854</v>
      </c>
      <c r="L31" s="5">
        <f ca="1">I31+Simulação!G24</f>
        <v>517.83318762162446</v>
      </c>
    </row>
    <row r="32" spans="1:12">
      <c r="A32" s="4">
        <f t="shared" si="5"/>
        <v>20</v>
      </c>
      <c r="B32" s="5">
        <f t="shared" si="9"/>
        <v>40.939289374663872</v>
      </c>
      <c r="C32" s="16">
        <f t="shared" si="6"/>
        <v>39.30171779967732</v>
      </c>
      <c r="D32" s="16">
        <f t="shared" si="0"/>
        <v>557.55811445615404</v>
      </c>
      <c r="E32" s="16">
        <f t="shared" si="1"/>
        <v>557.55811445615404</v>
      </c>
      <c r="F32" s="16">
        <f t="shared" si="2"/>
        <v>1.8585270481871801</v>
      </c>
      <c r="G32" s="16">
        <f t="shared" si="3"/>
        <v>2.5343550657097906</v>
      </c>
      <c r="H32" s="5">
        <f t="shared" si="4"/>
        <v>30.412260788517486</v>
      </c>
      <c r="I32" s="5">
        <f t="shared" si="7"/>
        <v>527.14585366763652</v>
      </c>
      <c r="J32" s="5">
        <f t="shared" si="8"/>
        <v>568.08514304230039</v>
      </c>
      <c r="L32" s="5">
        <f ca="1">I32+Simulação!G25</f>
        <v>544.662023089537</v>
      </c>
    </row>
    <row r="33" spans="1:12">
      <c r="A33" s="4">
        <f t="shared" si="5"/>
        <v>21</v>
      </c>
      <c r="B33" s="5">
        <f t="shared" si="9"/>
        <v>40.939289374663872</v>
      </c>
      <c r="C33" s="16">
        <f t="shared" si="6"/>
        <v>41.758075162157155</v>
      </c>
      <c r="D33" s="16">
        <f t="shared" si="0"/>
        <v>585.43602017896171</v>
      </c>
      <c r="E33" s="16">
        <f t="shared" si="1"/>
        <v>585.43602017896171</v>
      </c>
      <c r="F33" s="16">
        <f t="shared" si="2"/>
        <v>1.9514534005965389</v>
      </c>
      <c r="G33" s="16">
        <f t="shared" si="3"/>
        <v>2.6610728189952804</v>
      </c>
      <c r="H33" s="5">
        <f t="shared" si="4"/>
        <v>31.932873827943364</v>
      </c>
      <c r="I33" s="5">
        <f t="shared" si="7"/>
        <v>553.50314635101836</v>
      </c>
      <c r="J33" s="5">
        <f t="shared" si="8"/>
        <v>594.44243572568223</v>
      </c>
      <c r="L33" s="5">
        <f ca="1">I33+Simulação!G26</f>
        <v>571.42805413948588</v>
      </c>
    </row>
    <row r="34" spans="1:12">
      <c r="A34" s="4">
        <f t="shared" si="5"/>
        <v>22</v>
      </c>
      <c r="B34" s="5">
        <f t="shared" si="9"/>
        <v>40.939289374663872</v>
      </c>
      <c r="C34" s="16">
        <f t="shared" si="6"/>
        <v>44.21443252463699</v>
      </c>
      <c r="D34" s="16">
        <f t="shared" si="0"/>
        <v>613.31392590176938</v>
      </c>
      <c r="E34" s="16">
        <f t="shared" si="1"/>
        <v>613.31392590176938</v>
      </c>
      <c r="F34" s="16">
        <f t="shared" si="2"/>
        <v>2.0443797530058978</v>
      </c>
      <c r="G34" s="16">
        <f t="shared" si="3"/>
        <v>2.7877905722807697</v>
      </c>
      <c r="H34" s="5">
        <f t="shared" si="4"/>
        <v>33.453486867369236</v>
      </c>
      <c r="I34" s="5">
        <f t="shared" si="7"/>
        <v>579.86043903440009</v>
      </c>
      <c r="J34" s="5">
        <f t="shared" si="8"/>
        <v>620.79972840906396</v>
      </c>
      <c r="L34" s="5">
        <f ca="1">I34+Simulação!G27</f>
        <v>598.18497033081826</v>
      </c>
    </row>
    <row r="35" spans="1:12">
      <c r="A35" s="4">
        <f t="shared" si="5"/>
        <v>23</v>
      </c>
      <c r="B35" s="5">
        <f t="shared" si="9"/>
        <v>40.939289374663872</v>
      </c>
      <c r="C35" s="16">
        <f t="shared" si="6"/>
        <v>46.670789887116825</v>
      </c>
      <c r="D35" s="16">
        <f t="shared" si="0"/>
        <v>641.19183162457705</v>
      </c>
      <c r="E35" s="16">
        <f t="shared" si="1"/>
        <v>613.31392590176938</v>
      </c>
      <c r="F35" s="16">
        <f t="shared" si="2"/>
        <v>2.1373061054152567</v>
      </c>
      <c r="G35" s="16">
        <f t="shared" si="3"/>
        <v>2.7877905722807697</v>
      </c>
      <c r="H35" s="5">
        <f t="shared" si="4"/>
        <v>33.453486867369236</v>
      </c>
      <c r="I35" s="5">
        <f t="shared" si="7"/>
        <v>579.86043903440009</v>
      </c>
      <c r="J35" s="5">
        <f t="shared" si="8"/>
        <v>620.79972840906396</v>
      </c>
      <c r="L35" s="5">
        <f ca="1">I35+Simulação!G28</f>
        <v>598.57606286161331</v>
      </c>
    </row>
    <row r="36" spans="1:12">
      <c r="A36" s="4">
        <f t="shared" si="5"/>
        <v>24</v>
      </c>
      <c r="B36" s="5">
        <f t="shared" si="9"/>
        <v>40.939289374663872</v>
      </c>
      <c r="C36" s="16">
        <f t="shared" si="6"/>
        <v>49.127147249596661</v>
      </c>
      <c r="D36" s="16">
        <f t="shared" si="0"/>
        <v>669.06973734738483</v>
      </c>
      <c r="E36" s="16">
        <f t="shared" si="1"/>
        <v>613.31392590176938</v>
      </c>
      <c r="F36" s="16">
        <f t="shared" si="2"/>
        <v>2.230232457824616</v>
      </c>
      <c r="G36" s="16">
        <f t="shared" si="3"/>
        <v>2.7877905722807697</v>
      </c>
      <c r="H36" s="5">
        <f t="shared" si="4"/>
        <v>33.453486867369236</v>
      </c>
      <c r="I36" s="5">
        <f t="shared" si="7"/>
        <v>579.86043903440009</v>
      </c>
      <c r="J36" s="5">
        <f t="shared" si="8"/>
        <v>620.79972840906396</v>
      </c>
      <c r="L36" s="5">
        <f ca="1">I36+Simulação!G29</f>
        <v>598.95914849996598</v>
      </c>
    </row>
    <row r="37" spans="1:12">
      <c r="A37" s="4">
        <f t="shared" si="5"/>
        <v>25</v>
      </c>
      <c r="B37" s="5">
        <f t="shared" si="9"/>
        <v>40.939289374663872</v>
      </c>
      <c r="C37" s="16">
        <f t="shared" si="6"/>
        <v>51.583504612076496</v>
      </c>
      <c r="D37" s="16">
        <f t="shared" si="0"/>
        <v>696.9476430701925</v>
      </c>
      <c r="E37" s="16">
        <f t="shared" si="1"/>
        <v>613.31392590176938</v>
      </c>
      <c r="F37" s="16">
        <f t="shared" si="2"/>
        <v>2.3231588102339749</v>
      </c>
      <c r="G37" s="16">
        <f t="shared" si="3"/>
        <v>2.7877905722807697</v>
      </c>
      <c r="H37" s="5">
        <f t="shared" si="4"/>
        <v>33.453486867369236</v>
      </c>
      <c r="I37" s="5">
        <f t="shared" si="7"/>
        <v>579.86043903440009</v>
      </c>
      <c r="J37" s="5">
        <f t="shared" si="8"/>
        <v>620.79972840906396</v>
      </c>
      <c r="L37" s="5">
        <f ca="1">I37+Simulação!G30</f>
        <v>599.33469977154846</v>
      </c>
    </row>
    <row r="38" spans="1:12">
      <c r="A38" s="4">
        <f t="shared" si="5"/>
        <v>26</v>
      </c>
      <c r="B38" s="5">
        <f t="shared" si="9"/>
        <v>40.939289374663872</v>
      </c>
      <c r="C38" s="16">
        <f t="shared" si="6"/>
        <v>54.039861974556331</v>
      </c>
      <c r="D38" s="16">
        <f t="shared" si="0"/>
        <v>724.82554879300017</v>
      </c>
      <c r="E38" s="16">
        <f t="shared" si="1"/>
        <v>613.31392590176938</v>
      </c>
      <c r="F38" s="16">
        <f t="shared" si="2"/>
        <v>2.4160851626433337</v>
      </c>
      <c r="G38" s="16">
        <f t="shared" si="3"/>
        <v>2.7877905722807697</v>
      </c>
      <c r="H38" s="5">
        <f t="shared" si="4"/>
        <v>33.453486867369236</v>
      </c>
      <c r="I38" s="5">
        <f t="shared" si="7"/>
        <v>579.86043903440009</v>
      </c>
      <c r="J38" s="5">
        <f t="shared" si="8"/>
        <v>620.79972840906396</v>
      </c>
      <c r="L38" s="5">
        <f ca="1">I38+Simulação!G31</f>
        <v>599.70314447662201</v>
      </c>
    </row>
    <row r="39" spans="1:12">
      <c r="A39" s="4">
        <f t="shared" si="5"/>
        <v>27</v>
      </c>
      <c r="B39" s="5">
        <f t="shared" si="9"/>
        <v>40.939289374663872</v>
      </c>
      <c r="C39" s="16">
        <f t="shared" si="6"/>
        <v>56.496219337036166</v>
      </c>
      <c r="D39" s="16">
        <f t="shared" si="0"/>
        <v>752.70345451580795</v>
      </c>
      <c r="E39" s="16">
        <f t="shared" si="1"/>
        <v>613.31392590176938</v>
      </c>
      <c r="F39" s="16">
        <f t="shared" si="2"/>
        <v>2.509011515052693</v>
      </c>
      <c r="G39" s="16">
        <f t="shared" si="3"/>
        <v>2.7877905722807697</v>
      </c>
      <c r="H39" s="5">
        <f t="shared" si="4"/>
        <v>33.453486867369236</v>
      </c>
      <c r="I39" s="5">
        <f t="shared" si="7"/>
        <v>579.86043903440009</v>
      </c>
      <c r="J39" s="5">
        <f t="shared" si="8"/>
        <v>620.79972840906396</v>
      </c>
      <c r="L39" s="5">
        <f ca="1">I39+Simulação!G32</f>
        <v>602.56191606212133</v>
      </c>
    </row>
    <row r="40" spans="1:12">
      <c r="A40" s="4">
        <f t="shared" si="5"/>
        <v>28</v>
      </c>
      <c r="B40" s="5">
        <f t="shared" si="9"/>
        <v>40.939289374663872</v>
      </c>
      <c r="C40" s="16">
        <f t="shared" si="6"/>
        <v>58.952576699516001</v>
      </c>
      <c r="D40" s="16">
        <f t="shared" si="0"/>
        <v>780.58136023861562</v>
      </c>
      <c r="E40" s="16">
        <f t="shared" si="1"/>
        <v>613.31392590176938</v>
      </c>
      <c r="F40" s="16">
        <f t="shared" si="2"/>
        <v>2.6019378674620519</v>
      </c>
      <c r="G40" s="16">
        <f t="shared" si="3"/>
        <v>2.7877905722807697</v>
      </c>
      <c r="H40" s="5">
        <f t="shared" si="4"/>
        <v>33.453486867369236</v>
      </c>
      <c r="I40" s="5">
        <f t="shared" si="7"/>
        <v>579.86043903440009</v>
      </c>
      <c r="J40" s="5">
        <f t="shared" si="8"/>
        <v>620.79972840906396</v>
      </c>
      <c r="L40" s="5">
        <f ca="1">I40+Simulação!G33</f>
        <v>606.72090306965367</v>
      </c>
    </row>
    <row r="41" spans="1:12">
      <c r="A41" s="4">
        <f t="shared" si="5"/>
        <v>29</v>
      </c>
      <c r="B41" s="5">
        <f t="shared" si="9"/>
        <v>40.939289374663872</v>
      </c>
      <c r="C41" s="16">
        <f t="shared" si="6"/>
        <v>61.408934061995836</v>
      </c>
      <c r="D41" s="16">
        <f t="shared" si="0"/>
        <v>808.45926596142328</v>
      </c>
      <c r="E41" s="16">
        <f t="shared" si="1"/>
        <v>613.31392590176938</v>
      </c>
      <c r="F41" s="16">
        <f t="shared" si="2"/>
        <v>2.6948642198714108</v>
      </c>
      <c r="G41" s="16">
        <f t="shared" si="3"/>
        <v>2.7877905722807697</v>
      </c>
      <c r="H41" s="5">
        <f t="shared" si="4"/>
        <v>33.453486867369236</v>
      </c>
      <c r="I41" s="5">
        <f t="shared" si="7"/>
        <v>579.86043903440009</v>
      </c>
      <c r="J41" s="5">
        <f t="shared" si="8"/>
        <v>620.79972840906396</v>
      </c>
      <c r="L41" s="5">
        <f ca="1">I41+Simulação!G34</f>
        <v>610.08446084104492</v>
      </c>
    </row>
    <row r="42" spans="1:12">
      <c r="A42" s="4">
        <f t="shared" si="5"/>
        <v>30</v>
      </c>
      <c r="B42" s="5">
        <f t="shared" si="9"/>
        <v>40.939289374663872</v>
      </c>
      <c r="C42" s="16">
        <f t="shared" si="6"/>
        <v>63.865291424475672</v>
      </c>
      <c r="D42" s="16">
        <f t="shared" si="0"/>
        <v>836.33717168423095</v>
      </c>
      <c r="E42" s="16">
        <f t="shared" si="1"/>
        <v>613.31392590176938</v>
      </c>
      <c r="F42" s="16">
        <f t="shared" si="2"/>
        <v>2.7877905722807697</v>
      </c>
      <c r="G42" s="16">
        <f t="shared" si="3"/>
        <v>2.7877905722807697</v>
      </c>
      <c r="H42" s="5">
        <f t="shared" si="4"/>
        <v>33.453486867369236</v>
      </c>
      <c r="I42" s="5">
        <f t="shared" si="7"/>
        <v>579.86043903440009</v>
      </c>
      <c r="J42" s="5">
        <f t="shared" si="8"/>
        <v>620.79972840906396</v>
      </c>
      <c r="L42" s="5">
        <f ca="1">I42+Simulação!G35</f>
        <v>612.87164644958443</v>
      </c>
    </row>
    <row r="43" spans="1:12">
      <c r="A43" s="4">
        <f t="shared" si="5"/>
        <v>31</v>
      </c>
      <c r="B43" s="5">
        <f t="shared" si="9"/>
        <v>40.939289374663872</v>
      </c>
      <c r="C43" s="16">
        <f t="shared" si="6"/>
        <v>66.321648786955507</v>
      </c>
      <c r="D43" s="16">
        <f t="shared" si="0"/>
        <v>864.21507740703873</v>
      </c>
      <c r="E43" s="16">
        <f t="shared" si="1"/>
        <v>613.31392590176938</v>
      </c>
      <c r="F43" s="16">
        <f t="shared" si="2"/>
        <v>2.880716924690129</v>
      </c>
      <c r="G43" s="16">
        <f t="shared" si="3"/>
        <v>2.7877905722807697</v>
      </c>
      <c r="H43" s="5">
        <f t="shared" si="4"/>
        <v>33.453486867369236</v>
      </c>
      <c r="I43" s="5">
        <f t="shared" si="7"/>
        <v>579.86043903440009</v>
      </c>
      <c r="J43" s="5">
        <f t="shared" si="8"/>
        <v>620.79972840906396</v>
      </c>
      <c r="L43" s="5">
        <f ca="1">I43+Simulação!G36</f>
        <v>614.84548865792328</v>
      </c>
    </row>
    <row r="44" spans="1:12">
      <c r="A44" s="4">
        <f t="shared" si="5"/>
        <v>32</v>
      </c>
      <c r="B44" s="5">
        <f t="shared" si="9"/>
        <v>40.939289374663872</v>
      </c>
      <c r="C44" s="16">
        <f t="shared" si="6"/>
        <v>68.778006149435342</v>
      </c>
      <c r="D44" s="16">
        <f t="shared" si="0"/>
        <v>892.0929831298464</v>
      </c>
      <c r="E44" s="16">
        <f t="shared" si="1"/>
        <v>613.31392590176938</v>
      </c>
      <c r="F44" s="16">
        <f t="shared" si="2"/>
        <v>2.9736432770994878</v>
      </c>
      <c r="G44" s="16">
        <f t="shared" si="3"/>
        <v>2.7877905722807697</v>
      </c>
      <c r="H44" s="5">
        <f t="shared" si="4"/>
        <v>33.453486867369236</v>
      </c>
      <c r="I44" s="5">
        <f t="shared" si="7"/>
        <v>579.86043903440009</v>
      </c>
      <c r="J44" s="5">
        <f t="shared" si="8"/>
        <v>620.79972840906396</v>
      </c>
      <c r="L44" s="5">
        <f ca="1">I44+Simulação!G37</f>
        <v>615.86545545777278</v>
      </c>
    </row>
    <row r="45" spans="1:12">
      <c r="A45" s="4">
        <f t="shared" si="5"/>
        <v>33</v>
      </c>
      <c r="B45" s="5">
        <f t="shared" si="9"/>
        <v>35.821878202830888</v>
      </c>
      <c r="C45" s="16">
        <f t="shared" si="6"/>
        <v>71.080841176760188</v>
      </c>
      <c r="D45" s="16">
        <f t="shared" si="0"/>
        <v>864.21507740703873</v>
      </c>
      <c r="E45" s="16">
        <f t="shared" si="1"/>
        <v>585.43602017896171</v>
      </c>
      <c r="F45" s="16">
        <f t="shared" si="2"/>
        <v>2.880716924690129</v>
      </c>
      <c r="G45" s="16">
        <f t="shared" si="3"/>
        <v>2.6610728189952804</v>
      </c>
      <c r="H45" s="5">
        <f t="shared" si="4"/>
        <v>31.932873827943364</v>
      </c>
      <c r="I45" s="5">
        <f t="shared" si="7"/>
        <v>553.50314635101836</v>
      </c>
      <c r="J45" s="5">
        <f t="shared" si="8"/>
        <v>589.32502455384929</v>
      </c>
      <c r="L45" s="5">
        <f ca="1">I45+Simulação!G38</f>
        <v>589.50816277439105</v>
      </c>
    </row>
    <row r="46" spans="1:12">
      <c r="A46" s="4">
        <f t="shared" si="5"/>
        <v>34</v>
      </c>
      <c r="B46" s="5">
        <f t="shared" ref="B46:B77" si="10">IF(ISERROR(IF(A46&lt;=tc_lot_i,declividade_afluente*A46,IF(A46&lt;=tc,Qmax_lot_i,IF(A46&lt;=tc+tc_lot_i,Qmax_lot_i-declividade_afluente*(A46-tc),"")))),"",IF(A46&lt;=tc_lot_i,declividade_afluente*A46,IF(A46&lt;=tc,Qmax_lot_i,IF(A46&lt;=tc+tc_lot_i,Qmax_lot_i-declividade_afluente*(A46-tc),""))))</f>
        <v>30.704467030997904</v>
      </c>
      <c r="C46" s="16">
        <f t="shared" si="6"/>
        <v>73.076631533775057</v>
      </c>
      <c r="D46" s="16">
        <f t="shared" si="0"/>
        <v>836.33717168423095</v>
      </c>
      <c r="E46" s="16">
        <f t="shared" si="1"/>
        <v>557.55811445615393</v>
      </c>
      <c r="F46" s="16">
        <f t="shared" si="2"/>
        <v>2.7877905722807697</v>
      </c>
      <c r="G46" s="16">
        <f t="shared" si="3"/>
        <v>2.5343550657097902</v>
      </c>
      <c r="H46" s="5">
        <f t="shared" si="4"/>
        <v>30.412260788517482</v>
      </c>
      <c r="I46" s="5">
        <f t="shared" si="7"/>
        <v>527.1458536676364</v>
      </c>
      <c r="J46" s="5">
        <f t="shared" si="8"/>
        <v>557.85032069863428</v>
      </c>
      <c r="L46" s="5">
        <f ca="1">I46+Simulação!G39</f>
        <v>562.1309032911596</v>
      </c>
    </row>
    <row r="47" spans="1:12">
      <c r="A47" s="4">
        <f t="shared" si="5"/>
        <v>35</v>
      </c>
      <c r="B47" s="5">
        <f t="shared" si="10"/>
        <v>25.58705585916492</v>
      </c>
      <c r="C47" s="16">
        <f t="shared" si="6"/>
        <v>74.765377220479948</v>
      </c>
      <c r="D47" s="16">
        <f t="shared" si="0"/>
        <v>808.45926596142328</v>
      </c>
      <c r="E47" s="16">
        <f t="shared" si="1"/>
        <v>529.68020873334626</v>
      </c>
      <c r="F47" s="16">
        <f t="shared" si="2"/>
        <v>2.6948642198714108</v>
      </c>
      <c r="G47" s="16">
        <f t="shared" si="3"/>
        <v>2.4076373124243009</v>
      </c>
      <c r="H47" s="5">
        <f t="shared" si="4"/>
        <v>28.891647749091611</v>
      </c>
      <c r="I47" s="5">
        <f t="shared" si="7"/>
        <v>500.78856098425467</v>
      </c>
      <c r="J47" s="5">
        <f t="shared" si="8"/>
        <v>526.37561684341961</v>
      </c>
      <c r="L47" s="5">
        <f ca="1">I47+Simulação!G40</f>
        <v>532.84696378073772</v>
      </c>
    </row>
    <row r="48" spans="1:12">
      <c r="A48" s="4">
        <f t="shared" si="5"/>
        <v>36</v>
      </c>
      <c r="B48" s="5">
        <f t="shared" si="10"/>
        <v>20.469644687331936</v>
      </c>
      <c r="C48" s="16">
        <f t="shared" si="6"/>
        <v>76.147078236874847</v>
      </c>
      <c r="D48" s="16">
        <f t="shared" si="0"/>
        <v>780.58136023861562</v>
      </c>
      <c r="E48" s="16">
        <f t="shared" si="1"/>
        <v>501.80230301053859</v>
      </c>
      <c r="F48" s="16">
        <f t="shared" si="2"/>
        <v>2.6019378674620519</v>
      </c>
      <c r="G48" s="16">
        <f t="shared" si="3"/>
        <v>2.2809195591388116</v>
      </c>
      <c r="H48" s="5">
        <f t="shared" si="4"/>
        <v>27.371034709665743</v>
      </c>
      <c r="I48" s="5">
        <f t="shared" si="7"/>
        <v>474.43126830087283</v>
      </c>
      <c r="J48" s="5">
        <f t="shared" si="8"/>
        <v>494.90091298820477</v>
      </c>
      <c r="L48" s="5">
        <f ca="1">I48+Simulação!G41</f>
        <v>503.7750643913858</v>
      </c>
    </row>
    <row r="49" spans="1:12">
      <c r="A49" s="4">
        <f t="shared" si="5"/>
        <v>37</v>
      </c>
      <c r="B49" s="5">
        <f t="shared" si="10"/>
        <v>15.352233515498952</v>
      </c>
      <c r="C49" s="16">
        <f t="shared" si="6"/>
        <v>77.221734582959769</v>
      </c>
      <c r="D49" s="16">
        <f t="shared" si="0"/>
        <v>752.70345451580783</v>
      </c>
      <c r="E49" s="16">
        <f t="shared" si="1"/>
        <v>473.92439728773087</v>
      </c>
      <c r="F49" s="16">
        <f t="shared" si="2"/>
        <v>2.5090115150526926</v>
      </c>
      <c r="G49" s="16">
        <f t="shared" si="3"/>
        <v>2.1542018058533219</v>
      </c>
      <c r="H49" s="5">
        <f t="shared" si="4"/>
        <v>25.850421670239861</v>
      </c>
      <c r="I49" s="5">
        <f t="shared" si="7"/>
        <v>448.07397561749099</v>
      </c>
      <c r="J49" s="5">
        <f t="shared" si="8"/>
        <v>463.42620913298992</v>
      </c>
      <c r="L49" s="5">
        <f ca="1">I49+Simulação!G42</f>
        <v>474.1622396659148</v>
      </c>
    </row>
    <row r="50" spans="1:12">
      <c r="A50" s="4">
        <f t="shared" si="5"/>
        <v>38</v>
      </c>
      <c r="B50" s="5">
        <f t="shared" si="10"/>
        <v>10.234822343665968</v>
      </c>
      <c r="C50" s="16">
        <f t="shared" si="6"/>
        <v>77.989346258734713</v>
      </c>
      <c r="D50" s="16">
        <f t="shared" si="0"/>
        <v>724.82554879300017</v>
      </c>
      <c r="E50" s="16">
        <f t="shared" si="1"/>
        <v>446.04649156492314</v>
      </c>
      <c r="F50" s="16">
        <f t="shared" si="2"/>
        <v>2.4160851626433337</v>
      </c>
      <c r="G50" s="16">
        <f t="shared" si="3"/>
        <v>2.0274840525678322</v>
      </c>
      <c r="H50" s="5">
        <f t="shared" si="4"/>
        <v>24.329808630813986</v>
      </c>
      <c r="I50" s="5">
        <f t="shared" si="7"/>
        <v>421.71668293410914</v>
      </c>
      <c r="J50" s="5">
        <f t="shared" si="8"/>
        <v>431.95150527777514</v>
      </c>
      <c r="L50" s="5">
        <f ca="1">I50+Simulação!G43</f>
        <v>444.41815996183038</v>
      </c>
    </row>
    <row r="51" spans="1:12">
      <c r="A51" s="4">
        <f t="shared" si="5"/>
        <v>39</v>
      </c>
      <c r="B51" s="5">
        <f t="shared" si="10"/>
        <v>5.117411171832984</v>
      </c>
      <c r="C51" s="16">
        <f t="shared" si="6"/>
        <v>78.449913264199679</v>
      </c>
      <c r="D51" s="16">
        <f t="shared" si="0"/>
        <v>696.9476430701925</v>
      </c>
      <c r="E51" s="16">
        <f t="shared" si="1"/>
        <v>418.16858584211548</v>
      </c>
      <c r="F51" s="16">
        <f t="shared" si="2"/>
        <v>2.3231588102339749</v>
      </c>
      <c r="G51" s="16">
        <f t="shared" si="3"/>
        <v>1.9007662992823429</v>
      </c>
      <c r="H51" s="5">
        <f t="shared" si="4"/>
        <v>22.809195591388114</v>
      </c>
      <c r="I51" s="5">
        <f t="shared" si="7"/>
        <v>395.35939025072736</v>
      </c>
      <c r="J51" s="5">
        <f t="shared" si="8"/>
        <v>400.47680142256036</v>
      </c>
      <c r="L51" s="5">
        <f ca="1">I51+Simulação!G44</f>
        <v>415.3849213546294</v>
      </c>
    </row>
    <row r="52" spans="1:12">
      <c r="A52" s="4">
        <f t="shared" si="5"/>
        <v>40</v>
      </c>
      <c r="B52" s="5">
        <f t="shared" si="10"/>
        <v>0</v>
      </c>
      <c r="C52" s="16">
        <f t="shared" si="6"/>
        <v>78.603435599354668</v>
      </c>
      <c r="D52" s="16">
        <f t="shared" si="0"/>
        <v>669.06973734738483</v>
      </c>
      <c r="E52" s="16">
        <f t="shared" si="1"/>
        <v>390.29068011930781</v>
      </c>
      <c r="F52" s="16">
        <f t="shared" si="2"/>
        <v>2.230232457824616</v>
      </c>
      <c r="G52" s="16">
        <f t="shared" si="3"/>
        <v>1.7740485459968534</v>
      </c>
      <c r="H52" s="5">
        <f t="shared" si="4"/>
        <v>21.288582551962239</v>
      </c>
      <c r="I52" s="5">
        <f t="shared" si="7"/>
        <v>369.00209756734557</v>
      </c>
      <c r="J52" s="5">
        <f t="shared" si="8"/>
        <v>369.00209756734557</v>
      </c>
      <c r="L52" s="5">
        <f ca="1">I52+Simulação!G45</f>
        <v>388.56911990751081</v>
      </c>
    </row>
    <row r="53" spans="1:12">
      <c r="A53" s="4">
        <f t="shared" si="5"/>
        <v>41</v>
      </c>
      <c r="B53" s="5" t="str">
        <f t="shared" si="10"/>
        <v/>
      </c>
      <c r="C53" s="16">
        <f t="shared" si="6"/>
        <v>78.603435599354668</v>
      </c>
      <c r="D53" s="16">
        <f t="shared" si="0"/>
        <v>641.19183162457716</v>
      </c>
      <c r="E53" s="16">
        <f t="shared" si="1"/>
        <v>362.41277439650008</v>
      </c>
      <c r="F53" s="16">
        <f t="shared" si="2"/>
        <v>2.1373061054152571</v>
      </c>
      <c r="G53" s="16">
        <f t="shared" si="3"/>
        <v>1.6473307927113638</v>
      </c>
      <c r="H53" s="5">
        <f t="shared" si="4"/>
        <v>19.767969512536364</v>
      </c>
      <c r="I53" s="5">
        <f t="shared" si="7"/>
        <v>342.64480488396373</v>
      </c>
      <c r="J53" s="5" t="e">
        <f t="shared" si="8"/>
        <v>#VALUE!</v>
      </c>
      <c r="L53" s="5">
        <f ca="1">I53+Simulação!G46</f>
        <v>361.83809108649251</v>
      </c>
    </row>
    <row r="54" spans="1:12">
      <c r="A54" s="4">
        <f t="shared" si="5"/>
        <v>42</v>
      </c>
      <c r="B54" s="5" t="str">
        <f t="shared" si="10"/>
        <v/>
      </c>
      <c r="C54" s="16">
        <f t="shared" si="6"/>
        <v>78.603435599354668</v>
      </c>
      <c r="D54" s="16">
        <f t="shared" si="0"/>
        <v>613.31392590176938</v>
      </c>
      <c r="E54" s="16">
        <f t="shared" si="1"/>
        <v>334.53486867369236</v>
      </c>
      <c r="F54" s="16">
        <f t="shared" si="2"/>
        <v>2.0443797530058978</v>
      </c>
      <c r="G54" s="16">
        <f t="shared" si="3"/>
        <v>1.5206130394258741</v>
      </c>
      <c r="H54" s="5">
        <f t="shared" si="4"/>
        <v>18.247356473110489</v>
      </c>
      <c r="I54" s="5">
        <f t="shared" si="7"/>
        <v>316.28751220058189</v>
      </c>
      <c r="J54" s="5" t="e">
        <f t="shared" si="8"/>
        <v>#VALUE!</v>
      </c>
      <c r="L54" s="5">
        <f ca="1">I54+Simulação!G47</f>
        <v>335.0996388013636</v>
      </c>
    </row>
    <row r="55" spans="1:12">
      <c r="A55" s="4">
        <f t="shared" si="5"/>
        <v>43</v>
      </c>
      <c r="B55" s="5" t="str">
        <f t="shared" si="10"/>
        <v/>
      </c>
      <c r="C55" s="16">
        <f t="shared" si="6"/>
        <v>78.603435599354668</v>
      </c>
      <c r="D55" s="16">
        <f t="shared" si="0"/>
        <v>585.43602017896171</v>
      </c>
      <c r="E55" s="16">
        <f t="shared" si="1"/>
        <v>306.65696295088469</v>
      </c>
      <c r="F55" s="16">
        <f t="shared" si="2"/>
        <v>1.9514534005965389</v>
      </c>
      <c r="G55" s="16">
        <f t="shared" si="3"/>
        <v>1.3938952861403848</v>
      </c>
      <c r="H55" s="5">
        <f t="shared" si="4"/>
        <v>16.726743433684618</v>
      </c>
      <c r="I55" s="5">
        <f t="shared" si="7"/>
        <v>289.93021951720004</v>
      </c>
      <c r="J55" s="5" t="e">
        <f t="shared" si="8"/>
        <v>#VALUE!</v>
      </c>
      <c r="L55" s="5">
        <f ca="1">I55+Simulação!G48</f>
        <v>308.35330230036897</v>
      </c>
    </row>
    <row r="56" spans="1:12">
      <c r="A56" s="4">
        <f t="shared" si="5"/>
        <v>44</v>
      </c>
      <c r="B56" s="5" t="str">
        <f t="shared" si="10"/>
        <v/>
      </c>
      <c r="C56" s="16">
        <f t="shared" si="6"/>
        <v>78.603435599354668</v>
      </c>
      <c r="D56" s="16">
        <f t="shared" si="0"/>
        <v>557.55811445615404</v>
      </c>
      <c r="E56" s="16">
        <f t="shared" si="1"/>
        <v>278.77905722807697</v>
      </c>
      <c r="F56" s="16">
        <f t="shared" si="2"/>
        <v>1.8585270481871801</v>
      </c>
      <c r="G56" s="16">
        <f t="shared" si="3"/>
        <v>1.2671775328548951</v>
      </c>
      <c r="H56" s="5">
        <f t="shared" si="4"/>
        <v>15.206130394258741</v>
      </c>
      <c r="I56" s="5">
        <f t="shared" si="7"/>
        <v>263.5729268338182</v>
      </c>
      <c r="J56" s="5" t="e">
        <f t="shared" si="8"/>
        <v>#VALUE!</v>
      </c>
      <c r="L56" s="5">
        <f ca="1">I56+Simulação!G49</f>
        <v>281.64872881404011</v>
      </c>
    </row>
    <row r="57" spans="1:12">
      <c r="A57" s="4">
        <f t="shared" si="5"/>
        <v>45</v>
      </c>
      <c r="B57" s="5" t="str">
        <f t="shared" si="10"/>
        <v/>
      </c>
      <c r="C57" s="16">
        <f t="shared" si="6"/>
        <v>78.603435599354668</v>
      </c>
      <c r="D57" s="16">
        <f t="shared" si="0"/>
        <v>529.68020873334626</v>
      </c>
      <c r="E57" s="16">
        <f t="shared" si="1"/>
        <v>250.9011515052693</v>
      </c>
      <c r="F57" s="16">
        <f t="shared" si="2"/>
        <v>1.765600695777821</v>
      </c>
      <c r="G57" s="16">
        <f t="shared" si="3"/>
        <v>1.1404597795694058</v>
      </c>
      <c r="H57" s="5">
        <f t="shared" si="4"/>
        <v>13.685517354832871</v>
      </c>
      <c r="I57" s="5">
        <f t="shared" si="7"/>
        <v>237.21563415043641</v>
      </c>
      <c r="J57" s="5" t="e">
        <f t="shared" si="8"/>
        <v>#VALUE!</v>
      </c>
      <c r="L57" s="5">
        <f ca="1">I57+Simulação!G50</f>
        <v>254.93735120101854</v>
      </c>
    </row>
    <row r="58" spans="1:12">
      <c r="A58" s="4">
        <f t="shared" si="5"/>
        <v>46</v>
      </c>
      <c r="B58" s="5" t="str">
        <f t="shared" si="10"/>
        <v/>
      </c>
      <c r="C58" s="16">
        <f t="shared" si="6"/>
        <v>78.603435599354668</v>
      </c>
      <c r="D58" s="16">
        <f t="shared" si="0"/>
        <v>501.80230301053859</v>
      </c>
      <c r="E58" s="16">
        <f t="shared" si="1"/>
        <v>223.02324578246157</v>
      </c>
      <c r="F58" s="16">
        <f t="shared" si="2"/>
        <v>1.6726743433684619</v>
      </c>
      <c r="G58" s="16">
        <f t="shared" si="3"/>
        <v>1.0137420262839161</v>
      </c>
      <c r="H58" s="5">
        <f t="shared" si="4"/>
        <v>12.164904315406993</v>
      </c>
      <c r="I58" s="5">
        <f t="shared" si="7"/>
        <v>210.85834146705457</v>
      </c>
      <c r="J58" s="5" t="e">
        <f t="shared" si="8"/>
        <v>#VALUE!</v>
      </c>
      <c r="L58" s="5">
        <f ca="1">I58+Simulação!G51</f>
        <v>228.21875313307194</v>
      </c>
    </row>
    <row r="59" spans="1:12">
      <c r="A59" s="4">
        <f t="shared" si="5"/>
        <v>47</v>
      </c>
      <c r="B59" s="5" t="str">
        <f t="shared" si="10"/>
        <v/>
      </c>
      <c r="C59" s="16">
        <f t="shared" si="6"/>
        <v>78.603435599354668</v>
      </c>
      <c r="D59" s="16">
        <f t="shared" si="0"/>
        <v>473.92439728773093</v>
      </c>
      <c r="E59" s="16">
        <f t="shared" si="1"/>
        <v>195.1453400596539</v>
      </c>
      <c r="F59" s="16">
        <f t="shared" si="2"/>
        <v>1.579747990959103</v>
      </c>
      <c r="G59" s="16">
        <f t="shared" si="3"/>
        <v>0.88702427299842668</v>
      </c>
      <c r="H59" s="5">
        <f t="shared" si="4"/>
        <v>10.64429127598112</v>
      </c>
      <c r="I59" s="5">
        <f t="shared" si="7"/>
        <v>184.50104878367279</v>
      </c>
      <c r="J59" s="5" t="e">
        <f t="shared" si="8"/>
        <v>#VALUE!</v>
      </c>
      <c r="L59" s="5">
        <f ca="1">I59+Simulação!G52</f>
        <v>201.49247400954161</v>
      </c>
    </row>
    <row r="60" spans="1:12">
      <c r="A60" s="4">
        <f t="shared" si="5"/>
        <v>48</v>
      </c>
      <c r="B60" s="5" t="str">
        <f t="shared" si="10"/>
        <v/>
      </c>
      <c r="C60" s="16">
        <f t="shared" si="6"/>
        <v>78.603435599354668</v>
      </c>
      <c r="D60" s="16">
        <f t="shared" si="0"/>
        <v>446.0464915649232</v>
      </c>
      <c r="E60" s="16">
        <f t="shared" si="1"/>
        <v>167.26743433684618</v>
      </c>
      <c r="F60" s="16">
        <f t="shared" si="2"/>
        <v>1.4868216385497439</v>
      </c>
      <c r="G60" s="16">
        <f t="shared" si="3"/>
        <v>0.76030651971293706</v>
      </c>
      <c r="H60" s="5">
        <f t="shared" si="4"/>
        <v>9.1236782365552447</v>
      </c>
      <c r="I60" s="5">
        <f t="shared" si="7"/>
        <v>158.14375610029094</v>
      </c>
      <c r="J60" s="5" t="e">
        <f t="shared" si="8"/>
        <v>#VALUE!</v>
      </c>
      <c r="L60" s="5">
        <f ca="1">I60+Simulação!G53</f>
        <v>174.75800207171528</v>
      </c>
    </row>
    <row r="61" spans="1:12">
      <c r="A61" s="4">
        <f t="shared" si="5"/>
        <v>49</v>
      </c>
      <c r="B61" s="5" t="str">
        <f t="shared" si="10"/>
        <v/>
      </c>
      <c r="C61" s="16">
        <f t="shared" si="6"/>
        <v>78.603435599354668</v>
      </c>
      <c r="D61" s="16">
        <f t="shared" si="0"/>
        <v>418.16858584211548</v>
      </c>
      <c r="E61" s="16">
        <f t="shared" si="1"/>
        <v>139.38952861403845</v>
      </c>
      <c r="F61" s="16">
        <f t="shared" si="2"/>
        <v>1.3938952861403848</v>
      </c>
      <c r="G61" s="16">
        <f t="shared" si="3"/>
        <v>0.63358876642744744</v>
      </c>
      <c r="H61" s="5">
        <f t="shared" si="4"/>
        <v>7.6030651971293697</v>
      </c>
      <c r="I61" s="5">
        <f t="shared" si="7"/>
        <v>131.78646341690907</v>
      </c>
      <c r="J61" s="5" t="e">
        <f t="shared" si="8"/>
        <v>#VALUE!</v>
      </c>
      <c r="L61" s="5">
        <f ca="1">I61+Simulação!G54</f>
        <v>148.01476607589623</v>
      </c>
    </row>
    <row r="62" spans="1:12">
      <c r="A62" s="4">
        <f t="shared" si="5"/>
        <v>50</v>
      </c>
      <c r="B62" s="5" t="str">
        <f t="shared" si="10"/>
        <v/>
      </c>
      <c r="C62" s="16">
        <f t="shared" si="6"/>
        <v>78.603435599354668</v>
      </c>
      <c r="D62" s="16">
        <f t="shared" si="0"/>
        <v>390.29068011930781</v>
      </c>
      <c r="E62" s="16">
        <f t="shared" si="1"/>
        <v>111.51162289123079</v>
      </c>
      <c r="F62" s="16">
        <f t="shared" si="2"/>
        <v>1.300968933731026</v>
      </c>
      <c r="G62" s="16">
        <f t="shared" si="3"/>
        <v>0.50687101314195804</v>
      </c>
      <c r="H62" s="5">
        <f t="shared" si="4"/>
        <v>6.0824521577034965</v>
      </c>
      <c r="I62" s="5">
        <f t="shared" si="7"/>
        <v>105.42917073352729</v>
      </c>
      <c r="J62" s="5" t="e">
        <f t="shared" si="8"/>
        <v>#VALUE!</v>
      </c>
      <c r="L62" s="5">
        <f ca="1">I62+Simulação!G55</f>
        <v>121.26212513832455</v>
      </c>
    </row>
    <row r="63" spans="1:12">
      <c r="A63" s="4">
        <f t="shared" si="5"/>
        <v>51</v>
      </c>
      <c r="B63" s="5" t="str">
        <f t="shared" si="10"/>
        <v/>
      </c>
      <c r="C63" s="16">
        <f t="shared" si="6"/>
        <v>78.603435599354668</v>
      </c>
      <c r="D63" s="16">
        <f t="shared" si="0"/>
        <v>362.41277439650014</v>
      </c>
      <c r="E63" s="16">
        <f t="shared" si="1"/>
        <v>83.633717168423118</v>
      </c>
      <c r="F63" s="16">
        <f t="shared" si="2"/>
        <v>1.2080425813216671</v>
      </c>
      <c r="G63" s="16">
        <f t="shared" si="3"/>
        <v>0.38015325985646869</v>
      </c>
      <c r="H63" s="5">
        <f t="shared" si="4"/>
        <v>4.5618391182776241</v>
      </c>
      <c r="I63" s="5">
        <f t="shared" si="7"/>
        <v>79.0718780501455</v>
      </c>
      <c r="J63" s="5" t="e">
        <f t="shared" si="8"/>
        <v>#VALUE!</v>
      </c>
      <c r="L63" s="5">
        <f ca="1">I63+Simulação!G56</f>
        <v>94.473982094313982</v>
      </c>
    </row>
    <row r="64" spans="1:12">
      <c r="A64" s="4">
        <f t="shared" si="5"/>
        <v>52</v>
      </c>
      <c r="B64" s="5" t="str">
        <f t="shared" si="10"/>
        <v/>
      </c>
      <c r="C64" s="16">
        <f t="shared" si="6"/>
        <v>78.603435599354668</v>
      </c>
      <c r="D64" s="16">
        <f t="shared" si="0"/>
        <v>334.53486867369236</v>
      </c>
      <c r="E64" s="16">
        <f t="shared" si="1"/>
        <v>55.755811445615336</v>
      </c>
      <c r="F64" s="16">
        <f t="shared" si="2"/>
        <v>1.1151162289123078</v>
      </c>
      <c r="G64" s="16">
        <f t="shared" si="3"/>
        <v>0.25343550657097874</v>
      </c>
      <c r="H64" s="5">
        <f t="shared" si="4"/>
        <v>3.0412260788517447</v>
      </c>
      <c r="I64" s="5">
        <f t="shared" si="7"/>
        <v>52.714585366763593</v>
      </c>
      <c r="J64" s="5" t="e">
        <f t="shared" si="8"/>
        <v>#VALUE!</v>
      </c>
      <c r="L64" s="5">
        <f ca="1">I64+Simulação!G57</f>
        <v>67.700949434174277</v>
      </c>
    </row>
    <row r="65" spans="1:12">
      <c r="A65" s="4">
        <f t="shared" si="5"/>
        <v>53</v>
      </c>
      <c r="B65" s="5" t="str">
        <f t="shared" si="10"/>
        <v/>
      </c>
      <c r="C65" s="16">
        <f t="shared" si="6"/>
        <v>78.603435599354668</v>
      </c>
      <c r="D65" s="16">
        <f t="shared" si="0"/>
        <v>306.65696295088469</v>
      </c>
      <c r="E65" s="16">
        <f t="shared" si="1"/>
        <v>27.877905722807668</v>
      </c>
      <c r="F65" s="16">
        <f t="shared" si="2"/>
        <v>1.0221898765029489</v>
      </c>
      <c r="G65" s="16">
        <f t="shared" si="3"/>
        <v>0.12671775328548937</v>
      </c>
      <c r="H65" s="5">
        <f t="shared" si="4"/>
        <v>1.5206130394258723</v>
      </c>
      <c r="I65" s="5">
        <f t="shared" si="7"/>
        <v>26.357292683381797</v>
      </c>
      <c r="J65" s="5" t="e">
        <f t="shared" si="8"/>
        <v>#VALUE!</v>
      </c>
      <c r="L65" s="5">
        <f ca="1">I65+Simulação!G58</f>
        <v>40.977902156550471</v>
      </c>
    </row>
    <row r="66" spans="1:12">
      <c r="A66" s="4">
        <f t="shared" si="5"/>
        <v>54</v>
      </c>
      <c r="B66" s="5" t="str">
        <f t="shared" si="10"/>
        <v/>
      </c>
      <c r="C66" s="16">
        <f t="shared" si="6"/>
        <v>78.603435599354668</v>
      </c>
      <c r="D66" s="16">
        <f t="shared" si="0"/>
        <v>278.77905722807702</v>
      </c>
      <c r="E66" s="16">
        <f t="shared" si="1"/>
        <v>0</v>
      </c>
      <c r="F66" s="16">
        <f t="shared" si="2"/>
        <v>0.92926352409359003</v>
      </c>
      <c r="G66" s="16">
        <f t="shared" si="3"/>
        <v>0</v>
      </c>
      <c r="H66" s="5">
        <f t="shared" si="4"/>
        <v>0</v>
      </c>
      <c r="I66" s="5">
        <f t="shared" si="7"/>
        <v>0</v>
      </c>
      <c r="J66" s="5" t="e">
        <f t="shared" si="8"/>
        <v>#VALUE!</v>
      </c>
      <c r="L66" s="5">
        <f ca="1">I66+Simulação!G59</f>
        <v>14.24546716583353</v>
      </c>
    </row>
    <row r="67" spans="1:12">
      <c r="A67" s="4">
        <f t="shared" si="5"/>
        <v>55</v>
      </c>
      <c r="B67" s="5" t="str">
        <f t="shared" si="10"/>
        <v/>
      </c>
      <c r="C67" s="16">
        <f t="shared" si="6"/>
        <v>78.603435599354668</v>
      </c>
      <c r="D67" s="16">
        <f t="shared" si="0"/>
        <v>250.90115150526935</v>
      </c>
      <c r="E67" s="16" t="str">
        <f t="shared" si="1"/>
        <v/>
      </c>
      <c r="F67" s="16">
        <f t="shared" si="2"/>
        <v>0.83633717168423116</v>
      </c>
      <c r="G67" s="16" t="str">
        <f t="shared" si="3"/>
        <v/>
      </c>
      <c r="H67" s="5" t="str">
        <f t="shared" si="4"/>
        <v/>
      </c>
      <c r="I67" s="5">
        <f t="shared" si="7"/>
        <v>0</v>
      </c>
      <c r="J67" s="5" t="e">
        <f t="shared" si="8"/>
        <v>#VALUE!</v>
      </c>
      <c r="L67" s="5">
        <f ca="1">I67+Simulação!G60</f>
        <v>13.860174897120629</v>
      </c>
    </row>
    <row r="68" spans="1:12">
      <c r="A68" s="4">
        <f t="shared" si="5"/>
        <v>56</v>
      </c>
      <c r="B68" s="5" t="str">
        <f t="shared" si="10"/>
        <v/>
      </c>
      <c r="C68" s="16">
        <f t="shared" si="6"/>
        <v>78.603435599354668</v>
      </c>
      <c r="D68" s="16">
        <f t="shared" si="0"/>
        <v>223.02324578246157</v>
      </c>
      <c r="E68" s="16" t="str">
        <f t="shared" si="1"/>
        <v/>
      </c>
      <c r="F68" s="16">
        <f t="shared" si="2"/>
        <v>0.74341081927487196</v>
      </c>
      <c r="G68" s="16" t="str">
        <f t="shared" si="3"/>
        <v/>
      </c>
      <c r="H68" s="5" t="str">
        <f t="shared" si="4"/>
        <v/>
      </c>
      <c r="I68" s="5">
        <f t="shared" si="7"/>
        <v>0</v>
      </c>
      <c r="J68" s="5" t="e">
        <f t="shared" si="8"/>
        <v>#VALUE!</v>
      </c>
      <c r="L68" s="5">
        <f ca="1">I68+Simulação!G61</f>
        <v>13.463861317790839</v>
      </c>
    </row>
    <row r="69" spans="1:12">
      <c r="A69" s="4">
        <f t="shared" si="5"/>
        <v>57</v>
      </c>
      <c r="B69" s="5" t="str">
        <f t="shared" si="10"/>
        <v/>
      </c>
      <c r="C69" s="16">
        <f t="shared" si="6"/>
        <v>78.603435599354668</v>
      </c>
      <c r="D69" s="16">
        <f t="shared" si="0"/>
        <v>195.1453400596539</v>
      </c>
      <c r="E69" s="16" t="str">
        <f t="shared" si="1"/>
        <v/>
      </c>
      <c r="F69" s="16">
        <f t="shared" si="2"/>
        <v>0.65048446686551298</v>
      </c>
      <c r="G69" s="16" t="str">
        <f t="shared" si="3"/>
        <v/>
      </c>
      <c r="H69" s="5" t="str">
        <f t="shared" si="4"/>
        <v/>
      </c>
      <c r="I69" s="5">
        <f t="shared" si="7"/>
        <v>0</v>
      </c>
      <c r="J69" s="5" t="e">
        <f t="shared" si="8"/>
        <v>#VALUE!</v>
      </c>
      <c r="L69" s="5">
        <f ca="1">I69+Simulação!G62</f>
        <v>13.055522777378014</v>
      </c>
    </row>
    <row r="70" spans="1:12">
      <c r="A70" s="4">
        <f t="shared" si="5"/>
        <v>58</v>
      </c>
      <c r="B70" s="5" t="str">
        <f t="shared" si="10"/>
        <v/>
      </c>
      <c r="C70" s="16">
        <f t="shared" si="6"/>
        <v>78.603435599354668</v>
      </c>
      <c r="D70" s="16">
        <f t="shared" si="0"/>
        <v>167.26743433684624</v>
      </c>
      <c r="E70" s="16" t="str">
        <f t="shared" si="1"/>
        <v/>
      </c>
      <c r="F70" s="16">
        <f t="shared" si="2"/>
        <v>0.55755811445615411</v>
      </c>
      <c r="G70" s="16" t="str">
        <f t="shared" si="3"/>
        <v/>
      </c>
      <c r="H70" s="5" t="str">
        <f t="shared" si="4"/>
        <v/>
      </c>
      <c r="I70" s="5">
        <f t="shared" si="7"/>
        <v>0</v>
      </c>
      <c r="J70" s="5" t="e">
        <f t="shared" si="8"/>
        <v>#VALUE!</v>
      </c>
      <c r="L70" s="5">
        <f ca="1">I70+Simulação!G63</f>
        <v>12.633993366967061</v>
      </c>
    </row>
    <row r="71" spans="1:12">
      <c r="A71" s="4">
        <f t="shared" si="5"/>
        <v>59</v>
      </c>
      <c r="B71" s="5" t="str">
        <f t="shared" si="10"/>
        <v/>
      </c>
      <c r="C71" s="16">
        <f t="shared" si="6"/>
        <v>78.603435599354668</v>
      </c>
      <c r="D71" s="16">
        <f t="shared" si="0"/>
        <v>139.38952861403845</v>
      </c>
      <c r="E71" s="16" t="str">
        <f t="shared" si="1"/>
        <v/>
      </c>
      <c r="F71" s="16">
        <f t="shared" si="2"/>
        <v>0.46463176204679485</v>
      </c>
      <c r="G71" s="16" t="str">
        <f t="shared" si="3"/>
        <v/>
      </c>
      <c r="H71" s="5" t="str">
        <f t="shared" si="4"/>
        <v/>
      </c>
      <c r="I71" s="5">
        <f t="shared" si="7"/>
        <v>0</v>
      </c>
      <c r="J71" s="5" t="e">
        <f t="shared" si="8"/>
        <v>#VALUE!</v>
      </c>
      <c r="L71" s="5">
        <f ca="1">I71+Simulação!G64</f>
        <v>12.197905631808249</v>
      </c>
    </row>
    <row r="72" spans="1:12">
      <c r="A72" s="4">
        <f t="shared" si="5"/>
        <v>60</v>
      </c>
      <c r="B72" s="5" t="str">
        <f t="shared" si="10"/>
        <v/>
      </c>
      <c r="C72" s="16">
        <f t="shared" si="6"/>
        <v>78.603435599354668</v>
      </c>
      <c r="D72" s="16">
        <f t="shared" si="0"/>
        <v>111.51162289123079</v>
      </c>
      <c r="E72" s="16" t="str">
        <f t="shared" si="1"/>
        <v/>
      </c>
      <c r="F72" s="16">
        <f t="shared" si="2"/>
        <v>0.37170540963743598</v>
      </c>
      <c r="G72" s="16" t="str">
        <f t="shared" si="3"/>
        <v/>
      </c>
      <c r="H72" s="5" t="str">
        <f t="shared" si="4"/>
        <v/>
      </c>
      <c r="I72" s="5">
        <f t="shared" si="7"/>
        <v>0</v>
      </c>
      <c r="J72" s="5" t="e">
        <f t="shared" si="8"/>
        <v>#VALUE!</v>
      </c>
      <c r="L72" s="5">
        <f ca="1">I72+Simulação!G65</f>
        <v>11.745638135428445</v>
      </c>
    </row>
    <row r="73" spans="1:12">
      <c r="A73" s="4">
        <f t="shared" si="5"/>
        <v>61</v>
      </c>
      <c r="B73" s="5" t="str">
        <f t="shared" si="10"/>
        <v/>
      </c>
      <c r="C73" s="16">
        <f t="shared" si="6"/>
        <v>78.603435599354668</v>
      </c>
      <c r="D73" s="16">
        <f t="shared" si="0"/>
        <v>83.633717168423118</v>
      </c>
      <c r="E73" s="16" t="str">
        <f t="shared" si="1"/>
        <v/>
      </c>
      <c r="F73" s="16">
        <f t="shared" si="2"/>
        <v>0.27877905722807705</v>
      </c>
      <c r="G73" s="16" t="str">
        <f t="shared" si="3"/>
        <v/>
      </c>
      <c r="H73" s="5" t="str">
        <f t="shared" si="4"/>
        <v/>
      </c>
      <c r="I73" s="5">
        <f t="shared" si="7"/>
        <v>0</v>
      </c>
      <c r="J73" s="5" t="e">
        <f t="shared" si="8"/>
        <v>#VALUE!</v>
      </c>
      <c r="L73" s="5">
        <f ca="1">I73+Simulação!G66</f>
        <v>11.354996391311948</v>
      </c>
    </row>
    <row r="74" spans="1:12">
      <c r="A74" s="4">
        <f t="shared" si="5"/>
        <v>62</v>
      </c>
      <c r="B74" s="5" t="str">
        <f t="shared" si="10"/>
        <v/>
      </c>
      <c r="C74" s="16">
        <f t="shared" si="6"/>
        <v>78.603435599354668</v>
      </c>
      <c r="D74" s="16">
        <f t="shared" si="0"/>
        <v>55.75581144561545</v>
      </c>
      <c r="E74" s="16" t="str">
        <f t="shared" si="1"/>
        <v/>
      </c>
      <c r="F74" s="16">
        <f t="shared" si="2"/>
        <v>0.18585270481871816</v>
      </c>
      <c r="G74" s="16" t="str">
        <f t="shared" si="3"/>
        <v/>
      </c>
      <c r="H74" s="5" t="str">
        <f t="shared" si="4"/>
        <v/>
      </c>
      <c r="I74" s="5">
        <f t="shared" si="7"/>
        <v>0</v>
      </c>
      <c r="J74" s="5" t="e">
        <f t="shared" si="8"/>
        <v>#VALUE!</v>
      </c>
      <c r="L74" s="5">
        <f ca="1">I74+Simulação!G67</f>
        <v>10.950427885931386</v>
      </c>
    </row>
    <row r="75" spans="1:12">
      <c r="A75" s="4">
        <f t="shared" si="5"/>
        <v>63</v>
      </c>
      <c r="B75" s="5" t="str">
        <f t="shared" si="10"/>
        <v/>
      </c>
      <c r="C75" s="16">
        <f t="shared" si="6"/>
        <v>78.603435599354668</v>
      </c>
      <c r="D75" s="16">
        <f t="shared" si="0"/>
        <v>27.877905722807668</v>
      </c>
      <c r="E75" s="16" t="str">
        <f t="shared" si="1"/>
        <v/>
      </c>
      <c r="F75" s="16">
        <f t="shared" si="2"/>
        <v>9.2926352409358898E-2</v>
      </c>
      <c r="G75" s="16" t="str">
        <f t="shared" si="3"/>
        <v/>
      </c>
      <c r="H75" s="5" t="str">
        <f t="shared" si="4"/>
        <v/>
      </c>
      <c r="I75" s="5">
        <f t="shared" si="7"/>
        <v>0</v>
      </c>
      <c r="J75" s="5" t="e">
        <f t="shared" si="8"/>
        <v>#VALUE!</v>
      </c>
      <c r="L75" s="5">
        <f ca="1">I75+Simulação!G68</f>
        <v>10.530327569608653</v>
      </c>
    </row>
    <row r="76" spans="1:12">
      <c r="A76" s="4">
        <f t="shared" si="5"/>
        <v>64</v>
      </c>
      <c r="B76" s="5" t="str">
        <f t="shared" si="10"/>
        <v/>
      </c>
      <c r="C76" s="16">
        <f t="shared" si="6"/>
        <v>78.603435599354668</v>
      </c>
      <c r="D76" s="16">
        <f t="shared" ref="D76:D139" si="11">IF(A76&lt;=tc,$H$4*A76,IF(A76&lt;=2*tc,Qmax-$H$4*(A76-tc),""))</f>
        <v>0</v>
      </c>
      <c r="E76" s="16" t="str">
        <f t="shared" ref="E76:E139" si="12">IF(A76&lt;=tc_1,$H$5*A76,IF(A76&lt;=tc,Q_max_i,IF(A76&lt;=tc_1+tc,Q_max_i-$H$5*(A76-(tc)),"")))</f>
        <v/>
      </c>
      <c r="F76" s="16">
        <f t="shared" ref="F76:F139" si="13">IF(A76="","",IF(ISERROR(D76/(Area*10^2)),"",D76/(Area*10^2)))</f>
        <v>0</v>
      </c>
      <c r="G76" s="16" t="str">
        <f t="shared" ref="G76:G139" si="14">IF(A76="","",IF(ISERROR(E76/(Ad_i*10^2)),"",E76/(Ad_i*10^2)))</f>
        <v/>
      </c>
      <c r="H76" s="5" t="str">
        <f t="shared" ref="H76:H139" si="15">IF(G76="","",IF(ISERROR(G76*alot_i/100),"",G76*alot_i/100))</f>
        <v/>
      </c>
      <c r="I76" s="5">
        <f t="shared" si="7"/>
        <v>0</v>
      </c>
      <c r="J76" s="5" t="e">
        <f t="shared" si="8"/>
        <v>#VALUE!</v>
      </c>
      <c r="L76" s="5">
        <f ca="1">I76+Simulação!G69</f>
        <v>10.092756142973853</v>
      </c>
    </row>
    <row r="77" spans="1:12">
      <c r="A77" s="4" t="str">
        <f t="shared" ref="A77:A140" si="16">IF(ISERROR(IF(A76+Passo&lt;=tc+tc,A76+Passo,"")),"",IF(A76+Passo&lt;=tc+tc,A76+Passo,""))</f>
        <v/>
      </c>
      <c r="B77" s="5" t="str">
        <f t="shared" si="10"/>
        <v/>
      </c>
      <c r="C77" s="16" t="str">
        <f t="shared" ref="C77:C140" si="17">IF(ISERROR(IF(A77="","",C76+AVERAGE(B76:B77)*Passo*60/1000)),C76,IF(A77="","",C76+AVERAGE(B76:B77)*Passo*60/1000))</f>
        <v/>
      </c>
      <c r="D77" s="16" t="str">
        <f t="shared" si="11"/>
        <v/>
      </c>
      <c r="E77" s="16" t="str">
        <f t="shared" si="12"/>
        <v/>
      </c>
      <c r="F77" s="16" t="str">
        <f t="shared" si="13"/>
        <v/>
      </c>
      <c r="G77" s="16" t="str">
        <f t="shared" si="14"/>
        <v/>
      </c>
      <c r="H77" s="5" t="str">
        <f t="shared" si="15"/>
        <v/>
      </c>
      <c r="I77" s="5" t="str">
        <f t="shared" ref="I77:I140" si="18">IF(A77="","",IF(ISERROR(E77-H77),0,E77-H77))</f>
        <v/>
      </c>
      <c r="J77" s="5" t="e">
        <f t="shared" ref="J77:J140" si="19">I77+B77</f>
        <v>#VALUE!</v>
      </c>
      <c r="L77" s="5" t="e">
        <f ca="1">I77+Simulação!G70</f>
        <v>#VALUE!</v>
      </c>
    </row>
    <row r="78" spans="1:12">
      <c r="A78" s="4" t="str">
        <f t="shared" si="16"/>
        <v/>
      </c>
      <c r="B78" s="5" t="str">
        <f t="shared" ref="B78:B141" si="20">IF(ISERROR(IF(A78&lt;=tc_lot_i,declividade_afluente*A78,IF(A78&lt;=tc,Qmax_lot_i,IF(A78&lt;=tc+tc_lot_i,Qmax_lot_i-declividade_afluente*(A78-tc),"")))),"",IF(A78&lt;=tc_lot_i,declividade_afluente*A78,IF(A78&lt;=tc,Qmax_lot_i,IF(A78&lt;=tc+tc_lot_i,Qmax_lot_i-declividade_afluente*(A78-tc),""))))</f>
        <v/>
      </c>
      <c r="C78" s="16" t="str">
        <f t="shared" si="17"/>
        <v/>
      </c>
      <c r="D78" s="16" t="str">
        <f t="shared" si="11"/>
        <v/>
      </c>
      <c r="E78" s="16" t="str">
        <f t="shared" si="12"/>
        <v/>
      </c>
      <c r="F78" s="16" t="str">
        <f t="shared" si="13"/>
        <v/>
      </c>
      <c r="G78" s="16" t="str">
        <f t="shared" si="14"/>
        <v/>
      </c>
      <c r="H78" s="5" t="str">
        <f t="shared" si="15"/>
        <v/>
      </c>
      <c r="I78" s="5" t="str">
        <f t="shared" si="18"/>
        <v/>
      </c>
      <c r="J78" s="5" t="e">
        <f t="shared" si="19"/>
        <v>#VALUE!</v>
      </c>
      <c r="L78" s="5" t="e">
        <f ca="1">I78+Simulação!G71</f>
        <v>#VALUE!</v>
      </c>
    </row>
    <row r="79" spans="1:12">
      <c r="A79" s="4" t="str">
        <f t="shared" si="16"/>
        <v/>
      </c>
      <c r="B79" s="5" t="str">
        <f t="shared" si="20"/>
        <v/>
      </c>
      <c r="C79" s="16" t="str">
        <f t="shared" si="17"/>
        <v/>
      </c>
      <c r="D79" s="16" t="str">
        <f t="shared" si="11"/>
        <v/>
      </c>
      <c r="E79" s="16" t="str">
        <f t="shared" si="12"/>
        <v/>
      </c>
      <c r="F79" s="16" t="str">
        <f t="shared" si="13"/>
        <v/>
      </c>
      <c r="G79" s="16" t="str">
        <f t="shared" si="14"/>
        <v/>
      </c>
      <c r="H79" s="5" t="str">
        <f t="shared" si="15"/>
        <v/>
      </c>
      <c r="I79" s="5" t="str">
        <f t="shared" si="18"/>
        <v/>
      </c>
      <c r="J79" s="5" t="e">
        <f t="shared" si="19"/>
        <v>#VALUE!</v>
      </c>
      <c r="L79" s="5" t="e">
        <f ca="1">I79+Simulação!G72</f>
        <v>#VALUE!</v>
      </c>
    </row>
    <row r="80" spans="1:12">
      <c r="A80" s="4" t="str">
        <f t="shared" si="16"/>
        <v/>
      </c>
      <c r="B80" s="5" t="str">
        <f t="shared" si="20"/>
        <v/>
      </c>
      <c r="C80" s="16" t="str">
        <f t="shared" si="17"/>
        <v/>
      </c>
      <c r="D80" s="16" t="str">
        <f t="shared" si="11"/>
        <v/>
      </c>
      <c r="E80" s="16" t="str">
        <f t="shared" si="12"/>
        <v/>
      </c>
      <c r="F80" s="16" t="str">
        <f t="shared" si="13"/>
        <v/>
      </c>
      <c r="G80" s="16" t="str">
        <f t="shared" si="14"/>
        <v/>
      </c>
      <c r="H80" s="5" t="str">
        <f t="shared" si="15"/>
        <v/>
      </c>
      <c r="I80" s="5" t="str">
        <f t="shared" si="18"/>
        <v/>
      </c>
      <c r="J80" s="5" t="e">
        <f t="shared" si="19"/>
        <v>#VALUE!</v>
      </c>
      <c r="L80" s="5" t="e">
        <f ca="1">I80+Simulação!G73</f>
        <v>#VALUE!</v>
      </c>
    </row>
    <row r="81" spans="1:12">
      <c r="A81" s="4" t="str">
        <f t="shared" si="16"/>
        <v/>
      </c>
      <c r="B81" s="5" t="str">
        <f t="shared" si="20"/>
        <v/>
      </c>
      <c r="C81" s="16" t="str">
        <f t="shared" si="17"/>
        <v/>
      </c>
      <c r="D81" s="16" t="str">
        <f t="shared" si="11"/>
        <v/>
      </c>
      <c r="E81" s="16" t="str">
        <f t="shared" si="12"/>
        <v/>
      </c>
      <c r="F81" s="16" t="str">
        <f t="shared" si="13"/>
        <v/>
      </c>
      <c r="G81" s="16" t="str">
        <f t="shared" si="14"/>
        <v/>
      </c>
      <c r="H81" s="5" t="str">
        <f t="shared" si="15"/>
        <v/>
      </c>
      <c r="I81" s="5" t="str">
        <f t="shared" si="18"/>
        <v/>
      </c>
      <c r="J81" s="5" t="e">
        <f t="shared" si="19"/>
        <v>#VALUE!</v>
      </c>
      <c r="L81" s="5" t="e">
        <f ca="1">I81+Simulação!G74</f>
        <v>#VALUE!</v>
      </c>
    </row>
    <row r="82" spans="1:12">
      <c r="A82" s="4" t="str">
        <f t="shared" si="16"/>
        <v/>
      </c>
      <c r="B82" s="5" t="str">
        <f t="shared" si="20"/>
        <v/>
      </c>
      <c r="C82" s="16" t="str">
        <f t="shared" si="17"/>
        <v/>
      </c>
      <c r="D82" s="16" t="str">
        <f t="shared" si="11"/>
        <v/>
      </c>
      <c r="E82" s="16" t="str">
        <f t="shared" si="12"/>
        <v/>
      </c>
      <c r="F82" s="16" t="str">
        <f t="shared" si="13"/>
        <v/>
      </c>
      <c r="G82" s="16" t="str">
        <f t="shared" si="14"/>
        <v/>
      </c>
      <c r="H82" s="5" t="str">
        <f t="shared" si="15"/>
        <v/>
      </c>
      <c r="I82" s="5" t="str">
        <f t="shared" si="18"/>
        <v/>
      </c>
      <c r="J82" s="5" t="e">
        <f t="shared" si="19"/>
        <v>#VALUE!</v>
      </c>
      <c r="L82" s="5" t="e">
        <f ca="1">I82+Simulação!G75</f>
        <v>#VALUE!</v>
      </c>
    </row>
    <row r="83" spans="1:12">
      <c r="A83" s="4" t="str">
        <f t="shared" si="16"/>
        <v/>
      </c>
      <c r="B83" s="5" t="str">
        <f t="shared" si="20"/>
        <v/>
      </c>
      <c r="C83" s="16" t="str">
        <f t="shared" si="17"/>
        <v/>
      </c>
      <c r="D83" s="16" t="str">
        <f t="shared" si="11"/>
        <v/>
      </c>
      <c r="E83" s="16" t="str">
        <f t="shared" si="12"/>
        <v/>
      </c>
      <c r="F83" s="16" t="str">
        <f t="shared" si="13"/>
        <v/>
      </c>
      <c r="G83" s="16" t="str">
        <f t="shared" si="14"/>
        <v/>
      </c>
      <c r="H83" s="5" t="str">
        <f t="shared" si="15"/>
        <v/>
      </c>
      <c r="I83" s="5" t="str">
        <f t="shared" si="18"/>
        <v/>
      </c>
      <c r="J83" s="5" t="e">
        <f t="shared" si="19"/>
        <v>#VALUE!</v>
      </c>
      <c r="L83" s="5" t="e">
        <f ca="1">I83+Simulação!G76</f>
        <v>#VALUE!</v>
      </c>
    </row>
    <row r="84" spans="1:12">
      <c r="A84" s="4" t="str">
        <f t="shared" si="16"/>
        <v/>
      </c>
      <c r="B84" s="5" t="str">
        <f t="shared" si="20"/>
        <v/>
      </c>
      <c r="C84" s="16" t="str">
        <f t="shared" si="17"/>
        <v/>
      </c>
      <c r="D84" s="16" t="str">
        <f t="shared" si="11"/>
        <v/>
      </c>
      <c r="E84" s="16" t="str">
        <f t="shared" si="12"/>
        <v/>
      </c>
      <c r="F84" s="16" t="str">
        <f t="shared" si="13"/>
        <v/>
      </c>
      <c r="G84" s="16" t="str">
        <f t="shared" si="14"/>
        <v/>
      </c>
      <c r="H84" s="5" t="str">
        <f t="shared" si="15"/>
        <v/>
      </c>
      <c r="I84" s="5" t="str">
        <f t="shared" si="18"/>
        <v/>
      </c>
      <c r="J84" s="5" t="e">
        <f t="shared" si="19"/>
        <v>#VALUE!</v>
      </c>
      <c r="L84" s="5" t="e">
        <f ca="1">I84+Simulação!G77</f>
        <v>#VALUE!</v>
      </c>
    </row>
    <row r="85" spans="1:12">
      <c r="A85" s="4" t="str">
        <f t="shared" si="16"/>
        <v/>
      </c>
      <c r="B85" s="5" t="str">
        <f t="shared" si="20"/>
        <v/>
      </c>
      <c r="C85" s="16" t="str">
        <f t="shared" si="17"/>
        <v/>
      </c>
      <c r="D85" s="16" t="str">
        <f t="shared" si="11"/>
        <v/>
      </c>
      <c r="E85" s="16" t="str">
        <f t="shared" si="12"/>
        <v/>
      </c>
      <c r="F85" s="16" t="str">
        <f t="shared" si="13"/>
        <v/>
      </c>
      <c r="G85" s="16" t="str">
        <f t="shared" si="14"/>
        <v/>
      </c>
      <c r="H85" s="5" t="str">
        <f t="shared" si="15"/>
        <v/>
      </c>
      <c r="I85" s="5" t="str">
        <f t="shared" si="18"/>
        <v/>
      </c>
      <c r="J85" s="5" t="e">
        <f t="shared" si="19"/>
        <v>#VALUE!</v>
      </c>
      <c r="L85" s="5" t="e">
        <f ca="1">I85+Simulação!G78</f>
        <v>#VALUE!</v>
      </c>
    </row>
    <row r="86" spans="1:12">
      <c r="A86" s="4" t="str">
        <f t="shared" si="16"/>
        <v/>
      </c>
      <c r="B86" s="5" t="str">
        <f t="shared" si="20"/>
        <v/>
      </c>
      <c r="C86" s="16" t="str">
        <f t="shared" si="17"/>
        <v/>
      </c>
      <c r="D86" s="16" t="str">
        <f t="shared" si="11"/>
        <v/>
      </c>
      <c r="E86" s="16" t="str">
        <f t="shared" si="12"/>
        <v/>
      </c>
      <c r="F86" s="16" t="str">
        <f t="shared" si="13"/>
        <v/>
      </c>
      <c r="G86" s="16" t="str">
        <f t="shared" si="14"/>
        <v/>
      </c>
      <c r="H86" s="5" t="str">
        <f t="shared" si="15"/>
        <v/>
      </c>
      <c r="I86" s="5" t="str">
        <f t="shared" si="18"/>
        <v/>
      </c>
      <c r="J86" s="5" t="e">
        <f t="shared" si="19"/>
        <v>#VALUE!</v>
      </c>
      <c r="L86" s="5" t="e">
        <f ca="1">I86+Simulação!G79</f>
        <v>#VALUE!</v>
      </c>
    </row>
    <row r="87" spans="1:12">
      <c r="A87" s="4" t="str">
        <f t="shared" si="16"/>
        <v/>
      </c>
      <c r="B87" s="5" t="str">
        <f t="shared" si="20"/>
        <v/>
      </c>
      <c r="C87" s="16" t="str">
        <f t="shared" si="17"/>
        <v/>
      </c>
      <c r="D87" s="16" t="str">
        <f t="shared" si="11"/>
        <v/>
      </c>
      <c r="E87" s="16" t="str">
        <f t="shared" si="12"/>
        <v/>
      </c>
      <c r="F87" s="16" t="str">
        <f t="shared" si="13"/>
        <v/>
      </c>
      <c r="G87" s="16" t="str">
        <f t="shared" si="14"/>
        <v/>
      </c>
      <c r="H87" s="5" t="str">
        <f t="shared" si="15"/>
        <v/>
      </c>
      <c r="I87" s="5" t="str">
        <f t="shared" si="18"/>
        <v/>
      </c>
      <c r="J87" s="5" t="e">
        <f t="shared" si="19"/>
        <v>#VALUE!</v>
      </c>
    </row>
    <row r="88" spans="1:12">
      <c r="A88" s="4" t="str">
        <f t="shared" si="16"/>
        <v/>
      </c>
      <c r="B88" s="5" t="str">
        <f t="shared" si="20"/>
        <v/>
      </c>
      <c r="C88" s="16" t="str">
        <f t="shared" si="17"/>
        <v/>
      </c>
      <c r="D88" s="16" t="str">
        <f t="shared" si="11"/>
        <v/>
      </c>
      <c r="E88" s="16" t="str">
        <f t="shared" si="12"/>
        <v/>
      </c>
      <c r="F88" s="16" t="str">
        <f t="shared" si="13"/>
        <v/>
      </c>
      <c r="G88" s="16" t="str">
        <f t="shared" si="14"/>
        <v/>
      </c>
      <c r="H88" s="5" t="str">
        <f t="shared" si="15"/>
        <v/>
      </c>
      <c r="I88" s="5" t="str">
        <f t="shared" si="18"/>
        <v/>
      </c>
      <c r="J88" s="5" t="e">
        <f t="shared" si="19"/>
        <v>#VALUE!</v>
      </c>
    </row>
    <row r="89" spans="1:12">
      <c r="A89" s="4" t="str">
        <f t="shared" si="16"/>
        <v/>
      </c>
      <c r="B89" s="5" t="str">
        <f t="shared" si="20"/>
        <v/>
      </c>
      <c r="C89" s="16" t="str">
        <f t="shared" si="17"/>
        <v/>
      </c>
      <c r="D89" s="16" t="str">
        <f t="shared" si="11"/>
        <v/>
      </c>
      <c r="E89" s="16" t="str">
        <f t="shared" si="12"/>
        <v/>
      </c>
      <c r="F89" s="16" t="str">
        <f t="shared" si="13"/>
        <v/>
      </c>
      <c r="G89" s="16" t="str">
        <f t="shared" si="14"/>
        <v/>
      </c>
      <c r="H89" s="5" t="str">
        <f t="shared" si="15"/>
        <v/>
      </c>
      <c r="I89" s="5" t="str">
        <f t="shared" si="18"/>
        <v/>
      </c>
      <c r="J89" s="5" t="e">
        <f t="shared" si="19"/>
        <v>#VALUE!</v>
      </c>
    </row>
    <row r="90" spans="1:12">
      <c r="A90" s="4" t="str">
        <f t="shared" si="16"/>
        <v/>
      </c>
      <c r="B90" s="5" t="str">
        <f t="shared" si="20"/>
        <v/>
      </c>
      <c r="C90" s="16" t="str">
        <f t="shared" si="17"/>
        <v/>
      </c>
      <c r="D90" s="16" t="str">
        <f t="shared" si="11"/>
        <v/>
      </c>
      <c r="E90" s="16" t="str">
        <f t="shared" si="12"/>
        <v/>
      </c>
      <c r="F90" s="16" t="str">
        <f t="shared" si="13"/>
        <v/>
      </c>
      <c r="G90" s="16" t="str">
        <f t="shared" si="14"/>
        <v/>
      </c>
      <c r="H90" s="5" t="str">
        <f t="shared" si="15"/>
        <v/>
      </c>
      <c r="I90" s="5" t="str">
        <f t="shared" si="18"/>
        <v/>
      </c>
      <c r="J90" s="5" t="e">
        <f t="shared" si="19"/>
        <v>#VALUE!</v>
      </c>
    </row>
    <row r="91" spans="1:12">
      <c r="A91" s="4" t="str">
        <f t="shared" si="16"/>
        <v/>
      </c>
      <c r="B91" s="5" t="str">
        <f t="shared" si="20"/>
        <v/>
      </c>
      <c r="C91" s="16" t="str">
        <f t="shared" si="17"/>
        <v/>
      </c>
      <c r="D91" s="16" t="str">
        <f t="shared" si="11"/>
        <v/>
      </c>
      <c r="E91" s="16" t="str">
        <f t="shared" si="12"/>
        <v/>
      </c>
      <c r="F91" s="16" t="str">
        <f t="shared" si="13"/>
        <v/>
      </c>
      <c r="G91" s="16" t="str">
        <f t="shared" si="14"/>
        <v/>
      </c>
      <c r="H91" s="5" t="str">
        <f t="shared" si="15"/>
        <v/>
      </c>
      <c r="I91" s="5" t="str">
        <f t="shared" si="18"/>
        <v/>
      </c>
      <c r="J91" s="5" t="e">
        <f t="shared" si="19"/>
        <v>#VALUE!</v>
      </c>
    </row>
    <row r="92" spans="1:12">
      <c r="A92" s="4" t="str">
        <f t="shared" si="16"/>
        <v/>
      </c>
      <c r="B92" s="5" t="str">
        <f t="shared" si="20"/>
        <v/>
      </c>
      <c r="C92" s="16" t="str">
        <f t="shared" si="17"/>
        <v/>
      </c>
      <c r="D92" s="16" t="str">
        <f t="shared" si="11"/>
        <v/>
      </c>
      <c r="E92" s="16" t="str">
        <f t="shared" si="12"/>
        <v/>
      </c>
      <c r="F92" s="16" t="str">
        <f t="shared" si="13"/>
        <v/>
      </c>
      <c r="G92" s="16" t="str">
        <f t="shared" si="14"/>
        <v/>
      </c>
      <c r="H92" s="5" t="str">
        <f t="shared" si="15"/>
        <v/>
      </c>
      <c r="I92" s="5" t="str">
        <f t="shared" si="18"/>
        <v/>
      </c>
      <c r="J92" s="5" t="e">
        <f t="shared" si="19"/>
        <v>#VALUE!</v>
      </c>
    </row>
    <row r="93" spans="1:12">
      <c r="A93" s="4" t="str">
        <f t="shared" si="16"/>
        <v/>
      </c>
      <c r="B93" s="5" t="str">
        <f t="shared" si="20"/>
        <v/>
      </c>
      <c r="C93" s="16" t="str">
        <f t="shared" si="17"/>
        <v/>
      </c>
      <c r="D93" s="16" t="str">
        <f t="shared" si="11"/>
        <v/>
      </c>
      <c r="E93" s="16" t="str">
        <f t="shared" si="12"/>
        <v/>
      </c>
      <c r="F93" s="16" t="str">
        <f t="shared" si="13"/>
        <v/>
      </c>
      <c r="G93" s="16" t="str">
        <f t="shared" si="14"/>
        <v/>
      </c>
      <c r="H93" s="5" t="str">
        <f t="shared" si="15"/>
        <v/>
      </c>
      <c r="I93" s="5" t="str">
        <f t="shared" si="18"/>
        <v/>
      </c>
      <c r="J93" s="5" t="e">
        <f t="shared" si="19"/>
        <v>#VALUE!</v>
      </c>
    </row>
    <row r="94" spans="1:12">
      <c r="A94" s="4" t="str">
        <f t="shared" si="16"/>
        <v/>
      </c>
      <c r="B94" s="5" t="str">
        <f t="shared" si="20"/>
        <v/>
      </c>
      <c r="C94" s="16" t="str">
        <f t="shared" si="17"/>
        <v/>
      </c>
      <c r="D94" s="16" t="str">
        <f t="shared" si="11"/>
        <v/>
      </c>
      <c r="E94" s="16" t="str">
        <f t="shared" si="12"/>
        <v/>
      </c>
      <c r="F94" s="16" t="str">
        <f t="shared" si="13"/>
        <v/>
      </c>
      <c r="G94" s="16" t="str">
        <f t="shared" si="14"/>
        <v/>
      </c>
      <c r="H94" s="5" t="str">
        <f t="shared" si="15"/>
        <v/>
      </c>
      <c r="I94" s="5" t="str">
        <f t="shared" si="18"/>
        <v/>
      </c>
      <c r="J94" s="5" t="e">
        <f t="shared" si="19"/>
        <v>#VALUE!</v>
      </c>
    </row>
    <row r="95" spans="1:12">
      <c r="A95" s="4" t="str">
        <f t="shared" si="16"/>
        <v/>
      </c>
      <c r="B95" s="5" t="str">
        <f t="shared" si="20"/>
        <v/>
      </c>
      <c r="C95" s="16" t="str">
        <f t="shared" si="17"/>
        <v/>
      </c>
      <c r="D95" s="16" t="str">
        <f t="shared" si="11"/>
        <v/>
      </c>
      <c r="E95" s="16" t="str">
        <f t="shared" si="12"/>
        <v/>
      </c>
      <c r="F95" s="16" t="str">
        <f t="shared" si="13"/>
        <v/>
      </c>
      <c r="G95" s="16" t="str">
        <f t="shared" si="14"/>
        <v/>
      </c>
      <c r="H95" s="5" t="str">
        <f t="shared" si="15"/>
        <v/>
      </c>
      <c r="I95" s="5" t="str">
        <f t="shared" si="18"/>
        <v/>
      </c>
      <c r="J95" s="5" t="e">
        <f t="shared" si="19"/>
        <v>#VALUE!</v>
      </c>
    </row>
    <row r="96" spans="1:12">
      <c r="A96" s="4" t="str">
        <f t="shared" si="16"/>
        <v/>
      </c>
      <c r="B96" s="5" t="str">
        <f t="shared" si="20"/>
        <v/>
      </c>
      <c r="C96" s="16" t="str">
        <f t="shared" si="17"/>
        <v/>
      </c>
      <c r="D96" s="16" t="str">
        <f t="shared" si="11"/>
        <v/>
      </c>
      <c r="E96" s="16" t="str">
        <f t="shared" si="12"/>
        <v/>
      </c>
      <c r="F96" s="16" t="str">
        <f t="shared" si="13"/>
        <v/>
      </c>
      <c r="G96" s="16" t="str">
        <f t="shared" si="14"/>
        <v/>
      </c>
      <c r="H96" s="5" t="str">
        <f t="shared" si="15"/>
        <v/>
      </c>
      <c r="I96" s="5" t="str">
        <f t="shared" si="18"/>
        <v/>
      </c>
      <c r="J96" s="5" t="e">
        <f t="shared" si="19"/>
        <v>#VALUE!</v>
      </c>
    </row>
    <row r="97" spans="1:10">
      <c r="A97" s="4" t="str">
        <f t="shared" si="16"/>
        <v/>
      </c>
      <c r="B97" s="5" t="str">
        <f t="shared" si="20"/>
        <v/>
      </c>
      <c r="C97" s="16" t="str">
        <f t="shared" si="17"/>
        <v/>
      </c>
      <c r="D97" s="16" t="str">
        <f t="shared" si="11"/>
        <v/>
      </c>
      <c r="E97" s="16" t="str">
        <f t="shared" si="12"/>
        <v/>
      </c>
      <c r="F97" s="16" t="str">
        <f t="shared" si="13"/>
        <v/>
      </c>
      <c r="G97" s="16" t="str">
        <f t="shared" si="14"/>
        <v/>
      </c>
      <c r="H97" s="5" t="str">
        <f t="shared" si="15"/>
        <v/>
      </c>
      <c r="I97" s="5" t="str">
        <f t="shared" si="18"/>
        <v/>
      </c>
      <c r="J97" s="5" t="e">
        <f t="shared" si="19"/>
        <v>#VALUE!</v>
      </c>
    </row>
    <row r="98" spans="1:10">
      <c r="A98" s="4" t="str">
        <f t="shared" si="16"/>
        <v/>
      </c>
      <c r="B98" s="5" t="str">
        <f t="shared" si="20"/>
        <v/>
      </c>
      <c r="C98" s="16" t="str">
        <f t="shared" si="17"/>
        <v/>
      </c>
      <c r="D98" s="16" t="str">
        <f t="shared" si="11"/>
        <v/>
      </c>
      <c r="E98" s="16" t="str">
        <f t="shared" si="12"/>
        <v/>
      </c>
      <c r="F98" s="16" t="str">
        <f t="shared" si="13"/>
        <v/>
      </c>
      <c r="G98" s="16" t="str">
        <f t="shared" si="14"/>
        <v/>
      </c>
      <c r="H98" s="5" t="str">
        <f t="shared" si="15"/>
        <v/>
      </c>
      <c r="I98" s="5" t="str">
        <f t="shared" si="18"/>
        <v/>
      </c>
      <c r="J98" s="5" t="e">
        <f t="shared" si="19"/>
        <v>#VALUE!</v>
      </c>
    </row>
    <row r="99" spans="1:10">
      <c r="A99" s="4" t="str">
        <f t="shared" si="16"/>
        <v/>
      </c>
      <c r="B99" s="5" t="str">
        <f t="shared" si="20"/>
        <v/>
      </c>
      <c r="C99" s="16" t="str">
        <f t="shared" si="17"/>
        <v/>
      </c>
      <c r="D99" s="16" t="str">
        <f t="shared" si="11"/>
        <v/>
      </c>
      <c r="E99" s="16" t="str">
        <f t="shared" si="12"/>
        <v/>
      </c>
      <c r="F99" s="16" t="str">
        <f t="shared" si="13"/>
        <v/>
      </c>
      <c r="G99" s="16" t="str">
        <f t="shared" si="14"/>
        <v/>
      </c>
      <c r="H99" s="5" t="str">
        <f t="shared" si="15"/>
        <v/>
      </c>
      <c r="I99" s="5" t="str">
        <f t="shared" si="18"/>
        <v/>
      </c>
      <c r="J99" s="5" t="e">
        <f t="shared" si="19"/>
        <v>#VALUE!</v>
      </c>
    </row>
    <row r="100" spans="1:10">
      <c r="A100" s="4" t="str">
        <f t="shared" si="16"/>
        <v/>
      </c>
      <c r="B100" s="5" t="str">
        <f t="shared" si="20"/>
        <v/>
      </c>
      <c r="C100" s="16" t="str">
        <f t="shared" si="17"/>
        <v/>
      </c>
      <c r="D100" s="16" t="str">
        <f t="shared" si="11"/>
        <v/>
      </c>
      <c r="E100" s="16" t="str">
        <f t="shared" si="12"/>
        <v/>
      </c>
      <c r="F100" s="16" t="str">
        <f t="shared" si="13"/>
        <v/>
      </c>
      <c r="G100" s="16" t="str">
        <f t="shared" si="14"/>
        <v/>
      </c>
      <c r="H100" s="5" t="str">
        <f t="shared" si="15"/>
        <v/>
      </c>
      <c r="I100" s="5" t="str">
        <f t="shared" si="18"/>
        <v/>
      </c>
      <c r="J100" s="5" t="e">
        <f t="shared" si="19"/>
        <v>#VALUE!</v>
      </c>
    </row>
    <row r="101" spans="1:10">
      <c r="A101" s="4" t="str">
        <f t="shared" si="16"/>
        <v/>
      </c>
      <c r="B101" s="5" t="str">
        <f t="shared" si="20"/>
        <v/>
      </c>
      <c r="C101" s="16" t="str">
        <f t="shared" si="17"/>
        <v/>
      </c>
      <c r="D101" s="16" t="str">
        <f t="shared" si="11"/>
        <v/>
      </c>
      <c r="E101" s="16" t="str">
        <f t="shared" si="12"/>
        <v/>
      </c>
      <c r="F101" s="16" t="str">
        <f t="shared" si="13"/>
        <v/>
      </c>
      <c r="G101" s="16" t="str">
        <f t="shared" si="14"/>
        <v/>
      </c>
      <c r="H101" s="5" t="str">
        <f t="shared" si="15"/>
        <v/>
      </c>
      <c r="I101" s="5" t="str">
        <f t="shared" si="18"/>
        <v/>
      </c>
      <c r="J101" s="5" t="e">
        <f t="shared" si="19"/>
        <v>#VALUE!</v>
      </c>
    </row>
    <row r="102" spans="1:10">
      <c r="A102" s="4" t="str">
        <f t="shared" si="16"/>
        <v/>
      </c>
      <c r="B102" s="5" t="str">
        <f t="shared" si="20"/>
        <v/>
      </c>
      <c r="C102" s="16" t="str">
        <f t="shared" si="17"/>
        <v/>
      </c>
      <c r="D102" s="16" t="str">
        <f t="shared" si="11"/>
        <v/>
      </c>
      <c r="E102" s="16" t="str">
        <f t="shared" si="12"/>
        <v/>
      </c>
      <c r="F102" s="16" t="str">
        <f t="shared" si="13"/>
        <v/>
      </c>
      <c r="G102" s="16" t="str">
        <f t="shared" si="14"/>
        <v/>
      </c>
      <c r="H102" s="5" t="str">
        <f t="shared" si="15"/>
        <v/>
      </c>
      <c r="I102" s="5" t="str">
        <f t="shared" si="18"/>
        <v/>
      </c>
      <c r="J102" s="5" t="e">
        <f t="shared" si="19"/>
        <v>#VALUE!</v>
      </c>
    </row>
    <row r="103" spans="1:10">
      <c r="A103" s="4" t="str">
        <f t="shared" si="16"/>
        <v/>
      </c>
      <c r="B103" s="5" t="str">
        <f t="shared" si="20"/>
        <v/>
      </c>
      <c r="C103" s="16" t="str">
        <f t="shared" si="17"/>
        <v/>
      </c>
      <c r="D103" s="16" t="str">
        <f t="shared" si="11"/>
        <v/>
      </c>
      <c r="E103" s="16" t="str">
        <f t="shared" si="12"/>
        <v/>
      </c>
      <c r="F103" s="16" t="str">
        <f t="shared" si="13"/>
        <v/>
      </c>
      <c r="G103" s="16" t="str">
        <f t="shared" si="14"/>
        <v/>
      </c>
      <c r="H103" s="5" t="str">
        <f t="shared" si="15"/>
        <v/>
      </c>
      <c r="I103" s="5" t="str">
        <f t="shared" si="18"/>
        <v/>
      </c>
      <c r="J103" s="5" t="e">
        <f t="shared" si="19"/>
        <v>#VALUE!</v>
      </c>
    </row>
    <row r="104" spans="1:10">
      <c r="A104" s="4" t="str">
        <f t="shared" si="16"/>
        <v/>
      </c>
      <c r="B104" s="5" t="str">
        <f t="shared" si="20"/>
        <v/>
      </c>
      <c r="C104" s="16" t="str">
        <f t="shared" si="17"/>
        <v/>
      </c>
      <c r="D104" s="16" t="str">
        <f t="shared" si="11"/>
        <v/>
      </c>
      <c r="E104" s="16" t="str">
        <f t="shared" si="12"/>
        <v/>
      </c>
      <c r="F104" s="16" t="str">
        <f t="shared" si="13"/>
        <v/>
      </c>
      <c r="G104" s="16" t="str">
        <f t="shared" si="14"/>
        <v/>
      </c>
      <c r="H104" s="5" t="str">
        <f t="shared" si="15"/>
        <v/>
      </c>
      <c r="I104" s="5" t="str">
        <f t="shared" si="18"/>
        <v/>
      </c>
      <c r="J104" s="5" t="e">
        <f t="shared" si="19"/>
        <v>#VALUE!</v>
      </c>
    </row>
    <row r="105" spans="1:10">
      <c r="A105" s="4" t="str">
        <f t="shared" si="16"/>
        <v/>
      </c>
      <c r="B105" s="5" t="str">
        <f t="shared" si="20"/>
        <v/>
      </c>
      <c r="C105" s="16" t="str">
        <f t="shared" si="17"/>
        <v/>
      </c>
      <c r="D105" s="16" t="str">
        <f t="shared" si="11"/>
        <v/>
      </c>
      <c r="E105" s="16" t="str">
        <f t="shared" si="12"/>
        <v/>
      </c>
      <c r="F105" s="16" t="str">
        <f t="shared" si="13"/>
        <v/>
      </c>
      <c r="G105" s="16" t="str">
        <f t="shared" si="14"/>
        <v/>
      </c>
      <c r="H105" s="5" t="str">
        <f t="shared" si="15"/>
        <v/>
      </c>
      <c r="I105" s="5" t="str">
        <f t="shared" si="18"/>
        <v/>
      </c>
      <c r="J105" s="5" t="e">
        <f t="shared" si="19"/>
        <v>#VALUE!</v>
      </c>
    </row>
    <row r="106" spans="1:10">
      <c r="A106" s="4" t="str">
        <f t="shared" si="16"/>
        <v/>
      </c>
      <c r="B106" s="5" t="str">
        <f t="shared" si="20"/>
        <v/>
      </c>
      <c r="C106" s="16" t="str">
        <f t="shared" si="17"/>
        <v/>
      </c>
      <c r="D106" s="16" t="str">
        <f t="shared" si="11"/>
        <v/>
      </c>
      <c r="E106" s="16" t="str">
        <f t="shared" si="12"/>
        <v/>
      </c>
      <c r="F106" s="16" t="str">
        <f t="shared" si="13"/>
        <v/>
      </c>
      <c r="G106" s="16" t="str">
        <f t="shared" si="14"/>
        <v/>
      </c>
      <c r="H106" s="5" t="str">
        <f t="shared" si="15"/>
        <v/>
      </c>
      <c r="I106" s="5" t="str">
        <f t="shared" si="18"/>
        <v/>
      </c>
      <c r="J106" s="5" t="e">
        <f t="shared" si="19"/>
        <v>#VALUE!</v>
      </c>
    </row>
    <row r="107" spans="1:10">
      <c r="A107" s="4" t="str">
        <f t="shared" si="16"/>
        <v/>
      </c>
      <c r="B107" s="5" t="str">
        <f t="shared" si="20"/>
        <v/>
      </c>
      <c r="C107" s="16" t="str">
        <f t="shared" si="17"/>
        <v/>
      </c>
      <c r="D107" s="16" t="str">
        <f t="shared" si="11"/>
        <v/>
      </c>
      <c r="E107" s="16" t="str">
        <f t="shared" si="12"/>
        <v/>
      </c>
      <c r="F107" s="16" t="str">
        <f t="shared" si="13"/>
        <v/>
      </c>
      <c r="G107" s="16" t="str">
        <f t="shared" si="14"/>
        <v/>
      </c>
      <c r="H107" s="5" t="str">
        <f t="shared" si="15"/>
        <v/>
      </c>
      <c r="I107" s="5" t="str">
        <f t="shared" si="18"/>
        <v/>
      </c>
      <c r="J107" s="5" t="e">
        <f t="shared" si="19"/>
        <v>#VALUE!</v>
      </c>
    </row>
    <row r="108" spans="1:10">
      <c r="A108" s="4" t="str">
        <f t="shared" si="16"/>
        <v/>
      </c>
      <c r="B108" s="5" t="str">
        <f t="shared" si="20"/>
        <v/>
      </c>
      <c r="C108" s="16" t="str">
        <f t="shared" si="17"/>
        <v/>
      </c>
      <c r="D108" s="16" t="str">
        <f t="shared" si="11"/>
        <v/>
      </c>
      <c r="E108" s="16" t="str">
        <f t="shared" si="12"/>
        <v/>
      </c>
      <c r="F108" s="16" t="str">
        <f t="shared" si="13"/>
        <v/>
      </c>
      <c r="G108" s="16" t="str">
        <f t="shared" si="14"/>
        <v/>
      </c>
      <c r="H108" s="5" t="str">
        <f t="shared" si="15"/>
        <v/>
      </c>
      <c r="I108" s="5" t="str">
        <f t="shared" si="18"/>
        <v/>
      </c>
      <c r="J108" s="5" t="e">
        <f t="shared" si="19"/>
        <v>#VALUE!</v>
      </c>
    </row>
    <row r="109" spans="1:10">
      <c r="A109" s="4" t="str">
        <f t="shared" si="16"/>
        <v/>
      </c>
      <c r="B109" s="5" t="str">
        <f t="shared" si="20"/>
        <v/>
      </c>
      <c r="C109" s="16" t="str">
        <f t="shared" si="17"/>
        <v/>
      </c>
      <c r="D109" s="16" t="str">
        <f t="shared" si="11"/>
        <v/>
      </c>
      <c r="E109" s="16" t="str">
        <f t="shared" si="12"/>
        <v/>
      </c>
      <c r="F109" s="16" t="str">
        <f t="shared" si="13"/>
        <v/>
      </c>
      <c r="G109" s="16" t="str">
        <f t="shared" si="14"/>
        <v/>
      </c>
      <c r="H109" s="5" t="str">
        <f t="shared" si="15"/>
        <v/>
      </c>
      <c r="I109" s="5" t="str">
        <f t="shared" si="18"/>
        <v/>
      </c>
      <c r="J109" s="5" t="e">
        <f t="shared" si="19"/>
        <v>#VALUE!</v>
      </c>
    </row>
    <row r="110" spans="1:10">
      <c r="A110" s="4" t="str">
        <f t="shared" si="16"/>
        <v/>
      </c>
      <c r="B110" s="5" t="str">
        <f t="shared" si="20"/>
        <v/>
      </c>
      <c r="C110" s="16" t="str">
        <f t="shared" si="17"/>
        <v/>
      </c>
      <c r="D110" s="16" t="str">
        <f t="shared" si="11"/>
        <v/>
      </c>
      <c r="E110" s="16" t="str">
        <f t="shared" si="12"/>
        <v/>
      </c>
      <c r="F110" s="16" t="str">
        <f t="shared" si="13"/>
        <v/>
      </c>
      <c r="G110" s="16" t="str">
        <f t="shared" si="14"/>
        <v/>
      </c>
      <c r="H110" s="5" t="str">
        <f t="shared" si="15"/>
        <v/>
      </c>
      <c r="I110" s="5" t="str">
        <f t="shared" si="18"/>
        <v/>
      </c>
      <c r="J110" s="5" t="e">
        <f t="shared" si="19"/>
        <v>#VALUE!</v>
      </c>
    </row>
    <row r="111" spans="1:10">
      <c r="A111" s="4" t="str">
        <f t="shared" si="16"/>
        <v/>
      </c>
      <c r="B111" s="5" t="str">
        <f t="shared" si="20"/>
        <v/>
      </c>
      <c r="C111" s="16" t="str">
        <f t="shared" si="17"/>
        <v/>
      </c>
      <c r="D111" s="16" t="str">
        <f t="shared" si="11"/>
        <v/>
      </c>
      <c r="E111" s="16" t="str">
        <f t="shared" si="12"/>
        <v/>
      </c>
      <c r="F111" s="16" t="str">
        <f t="shared" si="13"/>
        <v/>
      </c>
      <c r="G111" s="16" t="str">
        <f t="shared" si="14"/>
        <v/>
      </c>
      <c r="H111" s="5" t="str">
        <f t="shared" si="15"/>
        <v/>
      </c>
      <c r="I111" s="5" t="str">
        <f t="shared" si="18"/>
        <v/>
      </c>
      <c r="J111" s="5" t="e">
        <f t="shared" si="19"/>
        <v>#VALUE!</v>
      </c>
    </row>
    <row r="112" spans="1:10">
      <c r="A112" s="4" t="str">
        <f t="shared" si="16"/>
        <v/>
      </c>
      <c r="B112" s="5" t="str">
        <f t="shared" si="20"/>
        <v/>
      </c>
      <c r="C112" s="16" t="str">
        <f t="shared" si="17"/>
        <v/>
      </c>
      <c r="D112" s="16" t="str">
        <f t="shared" si="11"/>
        <v/>
      </c>
      <c r="E112" s="16" t="str">
        <f t="shared" si="12"/>
        <v/>
      </c>
      <c r="F112" s="16" t="str">
        <f t="shared" si="13"/>
        <v/>
      </c>
      <c r="G112" s="16" t="str">
        <f t="shared" si="14"/>
        <v/>
      </c>
      <c r="H112" s="5" t="str">
        <f t="shared" si="15"/>
        <v/>
      </c>
      <c r="I112" s="5" t="str">
        <f t="shared" si="18"/>
        <v/>
      </c>
      <c r="J112" s="5" t="e">
        <f t="shared" si="19"/>
        <v>#VALUE!</v>
      </c>
    </row>
    <row r="113" spans="1:10">
      <c r="A113" s="4" t="str">
        <f t="shared" si="16"/>
        <v/>
      </c>
      <c r="B113" s="5" t="str">
        <f t="shared" si="20"/>
        <v/>
      </c>
      <c r="C113" s="16" t="str">
        <f t="shared" si="17"/>
        <v/>
      </c>
      <c r="D113" s="16" t="str">
        <f t="shared" si="11"/>
        <v/>
      </c>
      <c r="E113" s="16" t="str">
        <f t="shared" si="12"/>
        <v/>
      </c>
      <c r="F113" s="16" t="str">
        <f t="shared" si="13"/>
        <v/>
      </c>
      <c r="G113" s="16" t="str">
        <f t="shared" si="14"/>
        <v/>
      </c>
      <c r="H113" s="5" t="str">
        <f t="shared" si="15"/>
        <v/>
      </c>
      <c r="I113" s="5" t="str">
        <f t="shared" si="18"/>
        <v/>
      </c>
      <c r="J113" s="5" t="e">
        <f t="shared" si="19"/>
        <v>#VALUE!</v>
      </c>
    </row>
    <row r="114" spans="1:10">
      <c r="A114" s="4" t="str">
        <f t="shared" si="16"/>
        <v/>
      </c>
      <c r="B114" s="5" t="str">
        <f t="shared" si="20"/>
        <v/>
      </c>
      <c r="C114" s="16" t="str">
        <f t="shared" si="17"/>
        <v/>
      </c>
      <c r="D114" s="16" t="str">
        <f t="shared" si="11"/>
        <v/>
      </c>
      <c r="E114" s="16" t="str">
        <f t="shared" si="12"/>
        <v/>
      </c>
      <c r="F114" s="16" t="str">
        <f t="shared" si="13"/>
        <v/>
      </c>
      <c r="G114" s="16" t="str">
        <f t="shared" si="14"/>
        <v/>
      </c>
      <c r="H114" s="5" t="str">
        <f t="shared" si="15"/>
        <v/>
      </c>
      <c r="I114" s="5" t="str">
        <f t="shared" si="18"/>
        <v/>
      </c>
      <c r="J114" s="5" t="e">
        <f t="shared" si="19"/>
        <v>#VALUE!</v>
      </c>
    </row>
    <row r="115" spans="1:10">
      <c r="A115" s="4" t="str">
        <f t="shared" si="16"/>
        <v/>
      </c>
      <c r="B115" s="5" t="str">
        <f t="shared" si="20"/>
        <v/>
      </c>
      <c r="C115" s="16" t="str">
        <f t="shared" si="17"/>
        <v/>
      </c>
      <c r="D115" s="16" t="str">
        <f t="shared" si="11"/>
        <v/>
      </c>
      <c r="E115" s="16" t="str">
        <f t="shared" si="12"/>
        <v/>
      </c>
      <c r="F115" s="16" t="str">
        <f t="shared" si="13"/>
        <v/>
      </c>
      <c r="G115" s="16" t="str">
        <f t="shared" si="14"/>
        <v/>
      </c>
      <c r="H115" s="5" t="str">
        <f t="shared" si="15"/>
        <v/>
      </c>
      <c r="I115" s="5" t="str">
        <f t="shared" si="18"/>
        <v/>
      </c>
      <c r="J115" s="5" t="e">
        <f t="shared" si="19"/>
        <v>#VALUE!</v>
      </c>
    </row>
    <row r="116" spans="1:10">
      <c r="A116" s="4" t="str">
        <f t="shared" si="16"/>
        <v/>
      </c>
      <c r="B116" s="5" t="str">
        <f t="shared" si="20"/>
        <v/>
      </c>
      <c r="C116" s="16" t="str">
        <f t="shared" si="17"/>
        <v/>
      </c>
      <c r="D116" s="16" t="str">
        <f t="shared" si="11"/>
        <v/>
      </c>
      <c r="E116" s="16" t="str">
        <f t="shared" si="12"/>
        <v/>
      </c>
      <c r="F116" s="16" t="str">
        <f t="shared" si="13"/>
        <v/>
      </c>
      <c r="G116" s="16" t="str">
        <f t="shared" si="14"/>
        <v/>
      </c>
      <c r="H116" s="5" t="str">
        <f t="shared" si="15"/>
        <v/>
      </c>
      <c r="I116" s="5" t="str">
        <f t="shared" si="18"/>
        <v/>
      </c>
      <c r="J116" s="5" t="e">
        <f t="shared" si="19"/>
        <v>#VALUE!</v>
      </c>
    </row>
    <row r="117" spans="1:10">
      <c r="A117" s="4" t="str">
        <f t="shared" si="16"/>
        <v/>
      </c>
      <c r="B117" s="5" t="str">
        <f t="shared" si="20"/>
        <v/>
      </c>
      <c r="C117" s="16" t="str">
        <f t="shared" si="17"/>
        <v/>
      </c>
      <c r="D117" s="16" t="str">
        <f t="shared" si="11"/>
        <v/>
      </c>
      <c r="E117" s="16" t="str">
        <f t="shared" si="12"/>
        <v/>
      </c>
      <c r="F117" s="16" t="str">
        <f t="shared" si="13"/>
        <v/>
      </c>
      <c r="G117" s="16" t="str">
        <f t="shared" si="14"/>
        <v/>
      </c>
      <c r="H117" s="5" t="str">
        <f t="shared" si="15"/>
        <v/>
      </c>
      <c r="I117" s="5" t="str">
        <f t="shared" si="18"/>
        <v/>
      </c>
      <c r="J117" s="5" t="e">
        <f t="shared" si="19"/>
        <v>#VALUE!</v>
      </c>
    </row>
    <row r="118" spans="1:10">
      <c r="A118" s="4" t="str">
        <f t="shared" si="16"/>
        <v/>
      </c>
      <c r="B118" s="5" t="str">
        <f t="shared" si="20"/>
        <v/>
      </c>
      <c r="C118" s="16" t="str">
        <f t="shared" si="17"/>
        <v/>
      </c>
      <c r="D118" s="16" t="str">
        <f t="shared" si="11"/>
        <v/>
      </c>
      <c r="E118" s="16" t="str">
        <f t="shared" si="12"/>
        <v/>
      </c>
      <c r="F118" s="16" t="str">
        <f t="shared" si="13"/>
        <v/>
      </c>
      <c r="G118" s="16" t="str">
        <f t="shared" si="14"/>
        <v/>
      </c>
      <c r="H118" s="5" t="str">
        <f t="shared" si="15"/>
        <v/>
      </c>
      <c r="I118" s="5" t="str">
        <f t="shared" si="18"/>
        <v/>
      </c>
      <c r="J118" s="5" t="e">
        <f t="shared" si="19"/>
        <v>#VALUE!</v>
      </c>
    </row>
    <row r="119" spans="1:10">
      <c r="A119" s="4" t="str">
        <f t="shared" si="16"/>
        <v/>
      </c>
      <c r="B119" s="5" t="str">
        <f t="shared" si="20"/>
        <v/>
      </c>
      <c r="C119" s="16" t="str">
        <f t="shared" si="17"/>
        <v/>
      </c>
      <c r="D119" s="16" t="str">
        <f t="shared" si="11"/>
        <v/>
      </c>
      <c r="E119" s="16" t="str">
        <f t="shared" si="12"/>
        <v/>
      </c>
      <c r="F119" s="16" t="str">
        <f t="shared" si="13"/>
        <v/>
      </c>
      <c r="G119" s="16" t="str">
        <f t="shared" si="14"/>
        <v/>
      </c>
      <c r="H119" s="5" t="str">
        <f t="shared" si="15"/>
        <v/>
      </c>
      <c r="I119" s="5" t="str">
        <f t="shared" si="18"/>
        <v/>
      </c>
      <c r="J119" s="5" t="e">
        <f t="shared" si="19"/>
        <v>#VALUE!</v>
      </c>
    </row>
    <row r="120" spans="1:10">
      <c r="A120" s="4" t="str">
        <f t="shared" si="16"/>
        <v/>
      </c>
      <c r="B120" s="5" t="str">
        <f t="shared" si="20"/>
        <v/>
      </c>
      <c r="C120" s="16" t="str">
        <f t="shared" si="17"/>
        <v/>
      </c>
      <c r="D120" s="16" t="str">
        <f t="shared" si="11"/>
        <v/>
      </c>
      <c r="E120" s="16" t="str">
        <f t="shared" si="12"/>
        <v/>
      </c>
      <c r="F120" s="16" t="str">
        <f t="shared" si="13"/>
        <v/>
      </c>
      <c r="G120" s="16" t="str">
        <f t="shared" si="14"/>
        <v/>
      </c>
      <c r="H120" s="5" t="str">
        <f t="shared" si="15"/>
        <v/>
      </c>
      <c r="I120" s="5" t="str">
        <f t="shared" si="18"/>
        <v/>
      </c>
      <c r="J120" s="5" t="e">
        <f t="shared" si="19"/>
        <v>#VALUE!</v>
      </c>
    </row>
    <row r="121" spans="1:10">
      <c r="A121" s="4" t="str">
        <f t="shared" si="16"/>
        <v/>
      </c>
      <c r="B121" s="5" t="str">
        <f t="shared" si="20"/>
        <v/>
      </c>
      <c r="C121" s="16" t="str">
        <f t="shared" si="17"/>
        <v/>
      </c>
      <c r="D121" s="16" t="str">
        <f t="shared" si="11"/>
        <v/>
      </c>
      <c r="E121" s="16" t="str">
        <f t="shared" si="12"/>
        <v/>
      </c>
      <c r="F121" s="16" t="str">
        <f t="shared" si="13"/>
        <v/>
      </c>
      <c r="G121" s="16" t="str">
        <f t="shared" si="14"/>
        <v/>
      </c>
      <c r="H121" s="5" t="str">
        <f t="shared" si="15"/>
        <v/>
      </c>
      <c r="I121" s="5" t="str">
        <f t="shared" si="18"/>
        <v/>
      </c>
      <c r="J121" s="5" t="e">
        <f t="shared" si="19"/>
        <v>#VALUE!</v>
      </c>
    </row>
    <row r="122" spans="1:10">
      <c r="A122" s="4" t="str">
        <f t="shared" si="16"/>
        <v/>
      </c>
      <c r="B122" s="5" t="str">
        <f t="shared" si="20"/>
        <v/>
      </c>
      <c r="C122" s="16" t="str">
        <f t="shared" si="17"/>
        <v/>
      </c>
      <c r="D122" s="16" t="str">
        <f t="shared" si="11"/>
        <v/>
      </c>
      <c r="E122" s="16" t="str">
        <f t="shared" si="12"/>
        <v/>
      </c>
      <c r="F122" s="16" t="str">
        <f t="shared" si="13"/>
        <v/>
      </c>
      <c r="G122" s="16" t="str">
        <f t="shared" si="14"/>
        <v/>
      </c>
      <c r="H122" s="5" t="str">
        <f t="shared" si="15"/>
        <v/>
      </c>
      <c r="I122" s="5" t="str">
        <f t="shared" si="18"/>
        <v/>
      </c>
      <c r="J122" s="5" t="e">
        <f t="shared" si="19"/>
        <v>#VALUE!</v>
      </c>
    </row>
    <row r="123" spans="1:10">
      <c r="A123" s="4" t="str">
        <f t="shared" si="16"/>
        <v/>
      </c>
      <c r="B123" s="5" t="str">
        <f t="shared" si="20"/>
        <v/>
      </c>
      <c r="C123" s="16" t="str">
        <f t="shared" si="17"/>
        <v/>
      </c>
      <c r="D123" s="16" t="str">
        <f t="shared" si="11"/>
        <v/>
      </c>
      <c r="E123" s="16" t="str">
        <f t="shared" si="12"/>
        <v/>
      </c>
      <c r="F123" s="16" t="str">
        <f t="shared" si="13"/>
        <v/>
      </c>
      <c r="G123" s="16" t="str">
        <f t="shared" si="14"/>
        <v/>
      </c>
      <c r="H123" s="5" t="str">
        <f t="shared" si="15"/>
        <v/>
      </c>
      <c r="I123" s="5" t="str">
        <f t="shared" si="18"/>
        <v/>
      </c>
      <c r="J123" s="5" t="e">
        <f t="shared" si="19"/>
        <v>#VALUE!</v>
      </c>
    </row>
    <row r="124" spans="1:10">
      <c r="A124" s="4" t="str">
        <f t="shared" si="16"/>
        <v/>
      </c>
      <c r="B124" s="5" t="str">
        <f t="shared" si="20"/>
        <v/>
      </c>
      <c r="C124" s="16" t="str">
        <f t="shared" si="17"/>
        <v/>
      </c>
      <c r="D124" s="16" t="str">
        <f t="shared" si="11"/>
        <v/>
      </c>
      <c r="E124" s="16" t="str">
        <f t="shared" si="12"/>
        <v/>
      </c>
      <c r="F124" s="16" t="str">
        <f t="shared" si="13"/>
        <v/>
      </c>
      <c r="G124" s="16" t="str">
        <f t="shared" si="14"/>
        <v/>
      </c>
      <c r="H124" s="5" t="str">
        <f t="shared" si="15"/>
        <v/>
      </c>
      <c r="I124" s="5" t="str">
        <f t="shared" si="18"/>
        <v/>
      </c>
      <c r="J124" s="5" t="e">
        <f t="shared" si="19"/>
        <v>#VALUE!</v>
      </c>
    </row>
    <row r="125" spans="1:10">
      <c r="A125" s="4" t="str">
        <f t="shared" si="16"/>
        <v/>
      </c>
      <c r="B125" s="5" t="str">
        <f t="shared" si="20"/>
        <v/>
      </c>
      <c r="C125" s="16" t="str">
        <f t="shared" si="17"/>
        <v/>
      </c>
      <c r="D125" s="16" t="str">
        <f t="shared" si="11"/>
        <v/>
      </c>
      <c r="E125" s="16" t="str">
        <f t="shared" si="12"/>
        <v/>
      </c>
      <c r="F125" s="16" t="str">
        <f t="shared" si="13"/>
        <v/>
      </c>
      <c r="G125" s="16" t="str">
        <f t="shared" si="14"/>
        <v/>
      </c>
      <c r="H125" s="5" t="str">
        <f t="shared" si="15"/>
        <v/>
      </c>
      <c r="I125" s="5" t="str">
        <f t="shared" si="18"/>
        <v/>
      </c>
      <c r="J125" s="5" t="e">
        <f t="shared" si="19"/>
        <v>#VALUE!</v>
      </c>
    </row>
    <row r="126" spans="1:10">
      <c r="A126" s="4" t="str">
        <f t="shared" si="16"/>
        <v/>
      </c>
      <c r="B126" s="5" t="str">
        <f t="shared" si="20"/>
        <v/>
      </c>
      <c r="C126" s="16" t="str">
        <f t="shared" si="17"/>
        <v/>
      </c>
      <c r="D126" s="16" t="str">
        <f t="shared" si="11"/>
        <v/>
      </c>
      <c r="E126" s="16" t="str">
        <f t="shared" si="12"/>
        <v/>
      </c>
      <c r="F126" s="16" t="str">
        <f t="shared" si="13"/>
        <v/>
      </c>
      <c r="G126" s="16" t="str">
        <f t="shared" si="14"/>
        <v/>
      </c>
      <c r="H126" s="5" t="str">
        <f t="shared" si="15"/>
        <v/>
      </c>
      <c r="I126" s="5" t="str">
        <f t="shared" si="18"/>
        <v/>
      </c>
      <c r="J126" s="5" t="e">
        <f t="shared" si="19"/>
        <v>#VALUE!</v>
      </c>
    </row>
    <row r="127" spans="1:10">
      <c r="A127" s="4" t="str">
        <f t="shared" si="16"/>
        <v/>
      </c>
      <c r="B127" s="5" t="str">
        <f t="shared" si="20"/>
        <v/>
      </c>
      <c r="C127" s="16" t="str">
        <f t="shared" si="17"/>
        <v/>
      </c>
      <c r="D127" s="16" t="str">
        <f t="shared" si="11"/>
        <v/>
      </c>
      <c r="E127" s="16" t="str">
        <f t="shared" si="12"/>
        <v/>
      </c>
      <c r="F127" s="16" t="str">
        <f t="shared" si="13"/>
        <v/>
      </c>
      <c r="G127" s="16" t="str">
        <f t="shared" si="14"/>
        <v/>
      </c>
      <c r="H127" s="5" t="str">
        <f t="shared" si="15"/>
        <v/>
      </c>
      <c r="I127" s="5" t="str">
        <f t="shared" si="18"/>
        <v/>
      </c>
      <c r="J127" s="5" t="e">
        <f t="shared" si="19"/>
        <v>#VALUE!</v>
      </c>
    </row>
    <row r="128" spans="1:10">
      <c r="A128" s="4" t="str">
        <f t="shared" si="16"/>
        <v/>
      </c>
      <c r="B128" s="5" t="str">
        <f t="shared" si="20"/>
        <v/>
      </c>
      <c r="C128" s="16" t="str">
        <f t="shared" si="17"/>
        <v/>
      </c>
      <c r="D128" s="16" t="str">
        <f t="shared" si="11"/>
        <v/>
      </c>
      <c r="E128" s="16" t="str">
        <f t="shared" si="12"/>
        <v/>
      </c>
      <c r="F128" s="16" t="str">
        <f t="shared" si="13"/>
        <v/>
      </c>
      <c r="G128" s="16" t="str">
        <f t="shared" si="14"/>
        <v/>
      </c>
      <c r="H128" s="5" t="str">
        <f t="shared" si="15"/>
        <v/>
      </c>
      <c r="I128" s="5" t="str">
        <f t="shared" si="18"/>
        <v/>
      </c>
      <c r="J128" s="5" t="e">
        <f t="shared" si="19"/>
        <v>#VALUE!</v>
      </c>
    </row>
    <row r="129" spans="1:10">
      <c r="A129" s="4" t="str">
        <f t="shared" si="16"/>
        <v/>
      </c>
      <c r="B129" s="5" t="str">
        <f t="shared" si="20"/>
        <v/>
      </c>
      <c r="C129" s="16" t="str">
        <f t="shared" si="17"/>
        <v/>
      </c>
      <c r="D129" s="16" t="str">
        <f t="shared" si="11"/>
        <v/>
      </c>
      <c r="E129" s="16" t="str">
        <f t="shared" si="12"/>
        <v/>
      </c>
      <c r="F129" s="16" t="str">
        <f t="shared" si="13"/>
        <v/>
      </c>
      <c r="G129" s="16" t="str">
        <f t="shared" si="14"/>
        <v/>
      </c>
      <c r="H129" s="5" t="str">
        <f t="shared" si="15"/>
        <v/>
      </c>
      <c r="I129" s="5" t="str">
        <f t="shared" si="18"/>
        <v/>
      </c>
      <c r="J129" s="5" t="e">
        <f t="shared" si="19"/>
        <v>#VALUE!</v>
      </c>
    </row>
    <row r="130" spans="1:10">
      <c r="A130" s="4" t="str">
        <f t="shared" si="16"/>
        <v/>
      </c>
      <c r="B130" s="5" t="str">
        <f t="shared" si="20"/>
        <v/>
      </c>
      <c r="C130" s="16" t="str">
        <f t="shared" si="17"/>
        <v/>
      </c>
      <c r="D130" s="16" t="str">
        <f t="shared" si="11"/>
        <v/>
      </c>
      <c r="E130" s="16" t="str">
        <f t="shared" si="12"/>
        <v/>
      </c>
      <c r="F130" s="16" t="str">
        <f t="shared" si="13"/>
        <v/>
      </c>
      <c r="G130" s="16" t="str">
        <f t="shared" si="14"/>
        <v/>
      </c>
      <c r="H130" s="5" t="str">
        <f t="shared" si="15"/>
        <v/>
      </c>
      <c r="I130" s="5" t="str">
        <f t="shared" si="18"/>
        <v/>
      </c>
      <c r="J130" s="5" t="e">
        <f t="shared" si="19"/>
        <v>#VALUE!</v>
      </c>
    </row>
    <row r="131" spans="1:10">
      <c r="A131" s="4" t="str">
        <f t="shared" si="16"/>
        <v/>
      </c>
      <c r="B131" s="5" t="str">
        <f t="shared" si="20"/>
        <v/>
      </c>
      <c r="C131" s="16" t="str">
        <f t="shared" si="17"/>
        <v/>
      </c>
      <c r="D131" s="16" t="str">
        <f t="shared" si="11"/>
        <v/>
      </c>
      <c r="E131" s="16" t="str">
        <f t="shared" si="12"/>
        <v/>
      </c>
      <c r="F131" s="16" t="str">
        <f t="shared" si="13"/>
        <v/>
      </c>
      <c r="G131" s="16" t="str">
        <f t="shared" si="14"/>
        <v/>
      </c>
      <c r="H131" s="5" t="str">
        <f t="shared" si="15"/>
        <v/>
      </c>
      <c r="I131" s="5" t="str">
        <f t="shared" si="18"/>
        <v/>
      </c>
      <c r="J131" s="5" t="e">
        <f t="shared" si="19"/>
        <v>#VALUE!</v>
      </c>
    </row>
    <row r="132" spans="1:10">
      <c r="A132" s="4" t="str">
        <f t="shared" si="16"/>
        <v/>
      </c>
      <c r="B132" s="5" t="str">
        <f t="shared" si="20"/>
        <v/>
      </c>
      <c r="C132" s="16" t="str">
        <f t="shared" si="17"/>
        <v/>
      </c>
      <c r="D132" s="16" t="str">
        <f t="shared" si="11"/>
        <v/>
      </c>
      <c r="E132" s="16" t="str">
        <f t="shared" si="12"/>
        <v/>
      </c>
      <c r="F132" s="16" t="str">
        <f t="shared" si="13"/>
        <v/>
      </c>
      <c r="G132" s="16" t="str">
        <f t="shared" si="14"/>
        <v/>
      </c>
      <c r="H132" s="5" t="str">
        <f t="shared" si="15"/>
        <v/>
      </c>
      <c r="I132" s="5" t="str">
        <f t="shared" si="18"/>
        <v/>
      </c>
      <c r="J132" s="5" t="e">
        <f t="shared" si="19"/>
        <v>#VALUE!</v>
      </c>
    </row>
    <row r="133" spans="1:10">
      <c r="A133" s="4" t="str">
        <f t="shared" si="16"/>
        <v/>
      </c>
      <c r="B133" s="5" t="str">
        <f t="shared" si="20"/>
        <v/>
      </c>
      <c r="C133" s="16" t="str">
        <f t="shared" si="17"/>
        <v/>
      </c>
      <c r="D133" s="16" t="str">
        <f t="shared" si="11"/>
        <v/>
      </c>
      <c r="E133" s="16" t="str">
        <f t="shared" si="12"/>
        <v/>
      </c>
      <c r="F133" s="16" t="str">
        <f t="shared" si="13"/>
        <v/>
      </c>
      <c r="G133" s="16" t="str">
        <f t="shared" si="14"/>
        <v/>
      </c>
      <c r="H133" s="5" t="str">
        <f t="shared" si="15"/>
        <v/>
      </c>
      <c r="I133" s="5" t="str">
        <f t="shared" si="18"/>
        <v/>
      </c>
      <c r="J133" s="5" t="e">
        <f t="shared" si="19"/>
        <v>#VALUE!</v>
      </c>
    </row>
    <row r="134" spans="1:10">
      <c r="A134" s="4" t="str">
        <f t="shared" si="16"/>
        <v/>
      </c>
      <c r="B134" s="5" t="str">
        <f t="shared" si="20"/>
        <v/>
      </c>
      <c r="C134" s="16" t="str">
        <f t="shared" si="17"/>
        <v/>
      </c>
      <c r="D134" s="16" t="str">
        <f t="shared" si="11"/>
        <v/>
      </c>
      <c r="E134" s="16" t="str">
        <f t="shared" si="12"/>
        <v/>
      </c>
      <c r="F134" s="16" t="str">
        <f t="shared" si="13"/>
        <v/>
      </c>
      <c r="G134" s="16" t="str">
        <f t="shared" si="14"/>
        <v/>
      </c>
      <c r="H134" s="5" t="str">
        <f t="shared" si="15"/>
        <v/>
      </c>
      <c r="I134" s="5" t="str">
        <f t="shared" si="18"/>
        <v/>
      </c>
      <c r="J134" s="5" t="e">
        <f t="shared" si="19"/>
        <v>#VALUE!</v>
      </c>
    </row>
    <row r="135" spans="1:10">
      <c r="A135" s="4" t="str">
        <f t="shared" si="16"/>
        <v/>
      </c>
      <c r="B135" s="5" t="str">
        <f t="shared" si="20"/>
        <v/>
      </c>
      <c r="C135" s="16" t="str">
        <f t="shared" si="17"/>
        <v/>
      </c>
      <c r="D135" s="16" t="str">
        <f t="shared" si="11"/>
        <v/>
      </c>
      <c r="E135" s="16" t="str">
        <f t="shared" si="12"/>
        <v/>
      </c>
      <c r="F135" s="16" t="str">
        <f t="shared" si="13"/>
        <v/>
      </c>
      <c r="G135" s="16" t="str">
        <f t="shared" si="14"/>
        <v/>
      </c>
      <c r="H135" s="5" t="str">
        <f t="shared" si="15"/>
        <v/>
      </c>
      <c r="I135" s="5" t="str">
        <f t="shared" si="18"/>
        <v/>
      </c>
      <c r="J135" s="5" t="e">
        <f t="shared" si="19"/>
        <v>#VALUE!</v>
      </c>
    </row>
    <row r="136" spans="1:10">
      <c r="A136" s="4" t="str">
        <f t="shared" si="16"/>
        <v/>
      </c>
      <c r="B136" s="5" t="str">
        <f t="shared" si="20"/>
        <v/>
      </c>
      <c r="C136" s="16" t="str">
        <f t="shared" si="17"/>
        <v/>
      </c>
      <c r="D136" s="16" t="str">
        <f t="shared" si="11"/>
        <v/>
      </c>
      <c r="E136" s="16" t="str">
        <f t="shared" si="12"/>
        <v/>
      </c>
      <c r="F136" s="16" t="str">
        <f t="shared" si="13"/>
        <v/>
      </c>
      <c r="G136" s="16" t="str">
        <f t="shared" si="14"/>
        <v/>
      </c>
      <c r="H136" s="5" t="str">
        <f t="shared" si="15"/>
        <v/>
      </c>
      <c r="I136" s="5" t="str">
        <f t="shared" si="18"/>
        <v/>
      </c>
      <c r="J136" s="5" t="e">
        <f t="shared" si="19"/>
        <v>#VALUE!</v>
      </c>
    </row>
    <row r="137" spans="1:10">
      <c r="A137" s="4" t="str">
        <f t="shared" si="16"/>
        <v/>
      </c>
      <c r="B137" s="5" t="str">
        <f t="shared" si="20"/>
        <v/>
      </c>
      <c r="C137" s="16" t="str">
        <f t="shared" si="17"/>
        <v/>
      </c>
      <c r="D137" s="16" t="str">
        <f t="shared" si="11"/>
        <v/>
      </c>
      <c r="E137" s="16" t="str">
        <f t="shared" si="12"/>
        <v/>
      </c>
      <c r="F137" s="16" t="str">
        <f t="shared" si="13"/>
        <v/>
      </c>
      <c r="G137" s="16" t="str">
        <f t="shared" si="14"/>
        <v/>
      </c>
      <c r="H137" s="5" t="str">
        <f t="shared" si="15"/>
        <v/>
      </c>
      <c r="I137" s="5" t="str">
        <f t="shared" si="18"/>
        <v/>
      </c>
      <c r="J137" s="5" t="e">
        <f t="shared" si="19"/>
        <v>#VALUE!</v>
      </c>
    </row>
    <row r="138" spans="1:10">
      <c r="A138" s="4" t="str">
        <f t="shared" si="16"/>
        <v/>
      </c>
      <c r="B138" s="5" t="str">
        <f t="shared" si="20"/>
        <v/>
      </c>
      <c r="C138" s="16" t="str">
        <f t="shared" si="17"/>
        <v/>
      </c>
      <c r="D138" s="16" t="str">
        <f t="shared" si="11"/>
        <v/>
      </c>
      <c r="E138" s="16" t="str">
        <f t="shared" si="12"/>
        <v/>
      </c>
      <c r="F138" s="16" t="str">
        <f t="shared" si="13"/>
        <v/>
      </c>
      <c r="G138" s="16" t="str">
        <f t="shared" si="14"/>
        <v/>
      </c>
      <c r="H138" s="5" t="str">
        <f t="shared" si="15"/>
        <v/>
      </c>
      <c r="I138" s="5" t="str">
        <f t="shared" si="18"/>
        <v/>
      </c>
      <c r="J138" s="5" t="e">
        <f t="shared" si="19"/>
        <v>#VALUE!</v>
      </c>
    </row>
    <row r="139" spans="1:10">
      <c r="A139" s="4" t="str">
        <f t="shared" si="16"/>
        <v/>
      </c>
      <c r="B139" s="5" t="str">
        <f t="shared" si="20"/>
        <v/>
      </c>
      <c r="C139" s="16" t="str">
        <f t="shared" si="17"/>
        <v/>
      </c>
      <c r="D139" s="16" t="str">
        <f t="shared" si="11"/>
        <v/>
      </c>
      <c r="E139" s="16" t="str">
        <f t="shared" si="12"/>
        <v/>
      </c>
      <c r="F139" s="16" t="str">
        <f t="shared" si="13"/>
        <v/>
      </c>
      <c r="G139" s="16" t="str">
        <f t="shared" si="14"/>
        <v/>
      </c>
      <c r="H139" s="5" t="str">
        <f t="shared" si="15"/>
        <v/>
      </c>
      <c r="I139" s="5" t="str">
        <f t="shared" si="18"/>
        <v/>
      </c>
      <c r="J139" s="5" t="e">
        <f t="shared" si="19"/>
        <v>#VALUE!</v>
      </c>
    </row>
    <row r="140" spans="1:10">
      <c r="A140" s="4" t="str">
        <f t="shared" si="16"/>
        <v/>
      </c>
      <c r="B140" s="5" t="str">
        <f t="shared" si="20"/>
        <v/>
      </c>
      <c r="C140" s="16" t="str">
        <f t="shared" si="17"/>
        <v/>
      </c>
      <c r="D140" s="16" t="str">
        <f t="shared" ref="D140:D203" si="21">IF(A140&lt;=tc,$H$4*A140,IF(A140&lt;=2*tc,Qmax-$H$4*(A140-tc),""))</f>
        <v/>
      </c>
      <c r="E140" s="16" t="str">
        <f t="shared" ref="E140:E203" si="22">IF(A140&lt;=tc_1,$H$5*A140,IF(A140&lt;=tc,Q_max_i,IF(A140&lt;=tc_1+tc,Q_max_i-$H$5*(A140-(tc)),"")))</f>
        <v/>
      </c>
      <c r="F140" s="16" t="str">
        <f t="shared" ref="F140:F203" si="23">IF(A140="","",IF(ISERROR(D140/(Area*10^2)),"",D140/(Area*10^2)))</f>
        <v/>
      </c>
      <c r="G140" s="16" t="str">
        <f t="shared" ref="G140:G203" si="24">IF(A140="","",IF(ISERROR(E140/(Ad_i*10^2)),"",E140/(Ad_i*10^2)))</f>
        <v/>
      </c>
      <c r="H140" s="5" t="str">
        <f t="shared" ref="H140:H203" si="25">IF(G140="","",IF(ISERROR(G140*alot_i/100),"",G140*alot_i/100))</f>
        <v/>
      </c>
      <c r="I140" s="5" t="str">
        <f t="shared" si="18"/>
        <v/>
      </c>
      <c r="J140" s="5" t="e">
        <f t="shared" si="19"/>
        <v>#VALUE!</v>
      </c>
    </row>
    <row r="141" spans="1:10">
      <c r="A141" s="4" t="str">
        <f t="shared" ref="A141:A204" si="26">IF(ISERROR(IF(A140+Passo&lt;=tc+tc,A140+Passo,"")),"",IF(A140+Passo&lt;=tc+tc,A140+Passo,""))</f>
        <v/>
      </c>
      <c r="B141" s="5" t="str">
        <f t="shared" si="20"/>
        <v/>
      </c>
      <c r="C141" s="16" t="str">
        <f t="shared" ref="C141:C204" si="27">IF(ISERROR(IF(A141="","",C140+AVERAGE(B140:B141)*Passo*60/1000)),C140,IF(A141="","",C140+AVERAGE(B140:B141)*Passo*60/1000))</f>
        <v/>
      </c>
      <c r="D141" s="16" t="str">
        <f t="shared" si="21"/>
        <v/>
      </c>
      <c r="E141" s="16" t="str">
        <f t="shared" si="22"/>
        <v/>
      </c>
      <c r="F141" s="16" t="str">
        <f t="shared" si="23"/>
        <v/>
      </c>
      <c r="G141" s="16" t="str">
        <f t="shared" si="24"/>
        <v/>
      </c>
      <c r="H141" s="5" t="str">
        <f t="shared" si="25"/>
        <v/>
      </c>
      <c r="I141" s="5" t="str">
        <f t="shared" ref="I141:I204" si="28">IF(A141="","",IF(ISERROR(E141-H141),0,E141-H141))</f>
        <v/>
      </c>
      <c r="J141" s="5" t="e">
        <f t="shared" ref="J141:J204" si="29">I141+B141</f>
        <v>#VALUE!</v>
      </c>
    </row>
    <row r="142" spans="1:10">
      <c r="A142" s="4" t="str">
        <f t="shared" si="26"/>
        <v/>
      </c>
      <c r="B142" s="5" t="str">
        <f t="shared" ref="B142:B205" si="30">IF(ISERROR(IF(A142&lt;=tc_lot_i,declividade_afluente*A142,IF(A142&lt;=tc,Qmax_lot_i,IF(A142&lt;=tc+tc_lot_i,Qmax_lot_i-declividade_afluente*(A142-tc),"")))),"",IF(A142&lt;=tc_lot_i,declividade_afluente*A142,IF(A142&lt;=tc,Qmax_lot_i,IF(A142&lt;=tc+tc_lot_i,Qmax_lot_i-declividade_afluente*(A142-tc),""))))</f>
        <v/>
      </c>
      <c r="C142" s="16" t="str">
        <f t="shared" si="27"/>
        <v/>
      </c>
      <c r="D142" s="16" t="str">
        <f t="shared" si="21"/>
        <v/>
      </c>
      <c r="E142" s="16" t="str">
        <f t="shared" si="22"/>
        <v/>
      </c>
      <c r="F142" s="16" t="str">
        <f t="shared" si="23"/>
        <v/>
      </c>
      <c r="G142" s="16" t="str">
        <f t="shared" si="24"/>
        <v/>
      </c>
      <c r="H142" s="5" t="str">
        <f t="shared" si="25"/>
        <v/>
      </c>
      <c r="I142" s="5" t="str">
        <f t="shared" si="28"/>
        <v/>
      </c>
      <c r="J142" s="5" t="e">
        <f t="shared" si="29"/>
        <v>#VALUE!</v>
      </c>
    </row>
    <row r="143" spans="1:10">
      <c r="A143" s="4" t="str">
        <f t="shared" si="26"/>
        <v/>
      </c>
      <c r="B143" s="5" t="str">
        <f t="shared" si="30"/>
        <v/>
      </c>
      <c r="C143" s="16" t="str">
        <f t="shared" si="27"/>
        <v/>
      </c>
      <c r="D143" s="16" t="str">
        <f t="shared" si="21"/>
        <v/>
      </c>
      <c r="E143" s="16" t="str">
        <f t="shared" si="22"/>
        <v/>
      </c>
      <c r="F143" s="16" t="str">
        <f t="shared" si="23"/>
        <v/>
      </c>
      <c r="G143" s="16" t="str">
        <f t="shared" si="24"/>
        <v/>
      </c>
      <c r="H143" s="5" t="str">
        <f t="shared" si="25"/>
        <v/>
      </c>
      <c r="I143" s="5" t="str">
        <f t="shared" si="28"/>
        <v/>
      </c>
      <c r="J143" s="5" t="e">
        <f t="shared" si="29"/>
        <v>#VALUE!</v>
      </c>
    </row>
    <row r="144" spans="1:10">
      <c r="A144" s="4" t="str">
        <f t="shared" si="26"/>
        <v/>
      </c>
      <c r="B144" s="5" t="str">
        <f t="shared" si="30"/>
        <v/>
      </c>
      <c r="C144" s="16" t="str">
        <f t="shared" si="27"/>
        <v/>
      </c>
      <c r="D144" s="16" t="str">
        <f t="shared" si="21"/>
        <v/>
      </c>
      <c r="E144" s="16" t="str">
        <f t="shared" si="22"/>
        <v/>
      </c>
      <c r="F144" s="16" t="str">
        <f t="shared" si="23"/>
        <v/>
      </c>
      <c r="G144" s="16" t="str">
        <f t="shared" si="24"/>
        <v/>
      </c>
      <c r="H144" s="5" t="str">
        <f t="shared" si="25"/>
        <v/>
      </c>
      <c r="I144" s="5" t="str">
        <f t="shared" si="28"/>
        <v/>
      </c>
      <c r="J144" s="5" t="e">
        <f t="shared" si="29"/>
        <v>#VALUE!</v>
      </c>
    </row>
    <row r="145" spans="1:10">
      <c r="A145" s="4" t="str">
        <f t="shared" si="26"/>
        <v/>
      </c>
      <c r="B145" s="5" t="str">
        <f t="shared" si="30"/>
        <v/>
      </c>
      <c r="C145" s="16" t="str">
        <f t="shared" si="27"/>
        <v/>
      </c>
      <c r="D145" s="16" t="str">
        <f t="shared" si="21"/>
        <v/>
      </c>
      <c r="E145" s="16" t="str">
        <f t="shared" si="22"/>
        <v/>
      </c>
      <c r="F145" s="16" t="str">
        <f t="shared" si="23"/>
        <v/>
      </c>
      <c r="G145" s="16" t="str">
        <f t="shared" si="24"/>
        <v/>
      </c>
      <c r="H145" s="5" t="str">
        <f t="shared" si="25"/>
        <v/>
      </c>
      <c r="I145" s="5" t="str">
        <f t="shared" si="28"/>
        <v/>
      </c>
      <c r="J145" s="5" t="e">
        <f t="shared" si="29"/>
        <v>#VALUE!</v>
      </c>
    </row>
    <row r="146" spans="1:10">
      <c r="A146" s="4" t="str">
        <f t="shared" si="26"/>
        <v/>
      </c>
      <c r="B146" s="5" t="str">
        <f t="shared" si="30"/>
        <v/>
      </c>
      <c r="C146" s="16" t="str">
        <f t="shared" si="27"/>
        <v/>
      </c>
      <c r="D146" s="16" t="str">
        <f t="shared" si="21"/>
        <v/>
      </c>
      <c r="E146" s="16" t="str">
        <f t="shared" si="22"/>
        <v/>
      </c>
      <c r="F146" s="16" t="str">
        <f t="shared" si="23"/>
        <v/>
      </c>
      <c r="G146" s="16" t="str">
        <f t="shared" si="24"/>
        <v/>
      </c>
      <c r="H146" s="5" t="str">
        <f t="shared" si="25"/>
        <v/>
      </c>
      <c r="I146" s="5" t="str">
        <f t="shared" si="28"/>
        <v/>
      </c>
      <c r="J146" s="5" t="e">
        <f t="shared" si="29"/>
        <v>#VALUE!</v>
      </c>
    </row>
    <row r="147" spans="1:10">
      <c r="A147" s="4" t="str">
        <f t="shared" si="26"/>
        <v/>
      </c>
      <c r="B147" s="5" t="str">
        <f t="shared" si="30"/>
        <v/>
      </c>
      <c r="C147" s="16" t="str">
        <f t="shared" si="27"/>
        <v/>
      </c>
      <c r="D147" s="16" t="str">
        <f t="shared" si="21"/>
        <v/>
      </c>
      <c r="E147" s="16" t="str">
        <f t="shared" si="22"/>
        <v/>
      </c>
      <c r="F147" s="16" t="str">
        <f t="shared" si="23"/>
        <v/>
      </c>
      <c r="G147" s="16" t="str">
        <f t="shared" si="24"/>
        <v/>
      </c>
      <c r="H147" s="5" t="str">
        <f t="shared" si="25"/>
        <v/>
      </c>
      <c r="I147" s="5" t="str">
        <f t="shared" si="28"/>
        <v/>
      </c>
      <c r="J147" s="5" t="e">
        <f t="shared" si="29"/>
        <v>#VALUE!</v>
      </c>
    </row>
    <row r="148" spans="1:10">
      <c r="A148" s="4" t="str">
        <f t="shared" si="26"/>
        <v/>
      </c>
      <c r="B148" s="5" t="str">
        <f t="shared" si="30"/>
        <v/>
      </c>
      <c r="C148" s="16" t="str">
        <f t="shared" si="27"/>
        <v/>
      </c>
      <c r="D148" s="16" t="str">
        <f t="shared" si="21"/>
        <v/>
      </c>
      <c r="E148" s="16" t="str">
        <f t="shared" si="22"/>
        <v/>
      </c>
      <c r="F148" s="16" t="str">
        <f t="shared" si="23"/>
        <v/>
      </c>
      <c r="G148" s="16" t="str">
        <f t="shared" si="24"/>
        <v/>
      </c>
      <c r="H148" s="5" t="str">
        <f t="shared" si="25"/>
        <v/>
      </c>
      <c r="I148" s="5" t="str">
        <f t="shared" si="28"/>
        <v/>
      </c>
      <c r="J148" s="5" t="e">
        <f t="shared" si="29"/>
        <v>#VALUE!</v>
      </c>
    </row>
    <row r="149" spans="1:10">
      <c r="A149" s="4" t="str">
        <f t="shared" si="26"/>
        <v/>
      </c>
      <c r="B149" s="5" t="str">
        <f t="shared" si="30"/>
        <v/>
      </c>
      <c r="C149" s="16" t="str">
        <f t="shared" si="27"/>
        <v/>
      </c>
      <c r="D149" s="16" t="str">
        <f t="shared" si="21"/>
        <v/>
      </c>
      <c r="E149" s="16" t="str">
        <f t="shared" si="22"/>
        <v/>
      </c>
      <c r="F149" s="16" t="str">
        <f t="shared" si="23"/>
        <v/>
      </c>
      <c r="G149" s="16" t="str">
        <f t="shared" si="24"/>
        <v/>
      </c>
      <c r="H149" s="5" t="str">
        <f t="shared" si="25"/>
        <v/>
      </c>
      <c r="I149" s="5" t="str">
        <f t="shared" si="28"/>
        <v/>
      </c>
      <c r="J149" s="5" t="e">
        <f t="shared" si="29"/>
        <v>#VALUE!</v>
      </c>
    </row>
    <row r="150" spans="1:10">
      <c r="A150" s="4" t="str">
        <f t="shared" si="26"/>
        <v/>
      </c>
      <c r="B150" s="5" t="str">
        <f t="shared" si="30"/>
        <v/>
      </c>
      <c r="C150" s="16" t="str">
        <f t="shared" si="27"/>
        <v/>
      </c>
      <c r="D150" s="16" t="str">
        <f t="shared" si="21"/>
        <v/>
      </c>
      <c r="E150" s="16" t="str">
        <f t="shared" si="22"/>
        <v/>
      </c>
      <c r="F150" s="16" t="str">
        <f t="shared" si="23"/>
        <v/>
      </c>
      <c r="G150" s="16" t="str">
        <f t="shared" si="24"/>
        <v/>
      </c>
      <c r="H150" s="5" t="str">
        <f t="shared" si="25"/>
        <v/>
      </c>
      <c r="I150" s="5" t="str">
        <f t="shared" si="28"/>
        <v/>
      </c>
      <c r="J150" s="5" t="e">
        <f t="shared" si="29"/>
        <v>#VALUE!</v>
      </c>
    </row>
    <row r="151" spans="1:10">
      <c r="A151" s="4" t="str">
        <f t="shared" si="26"/>
        <v/>
      </c>
      <c r="B151" s="5" t="str">
        <f t="shared" si="30"/>
        <v/>
      </c>
      <c r="C151" s="16" t="str">
        <f t="shared" si="27"/>
        <v/>
      </c>
      <c r="D151" s="16" t="str">
        <f t="shared" si="21"/>
        <v/>
      </c>
      <c r="E151" s="16" t="str">
        <f t="shared" si="22"/>
        <v/>
      </c>
      <c r="F151" s="16" t="str">
        <f t="shared" si="23"/>
        <v/>
      </c>
      <c r="G151" s="16" t="str">
        <f t="shared" si="24"/>
        <v/>
      </c>
      <c r="H151" s="5" t="str">
        <f t="shared" si="25"/>
        <v/>
      </c>
      <c r="I151" s="5" t="str">
        <f t="shared" si="28"/>
        <v/>
      </c>
      <c r="J151" s="5" t="e">
        <f t="shared" si="29"/>
        <v>#VALUE!</v>
      </c>
    </row>
    <row r="152" spans="1:10">
      <c r="A152" s="4" t="str">
        <f t="shared" si="26"/>
        <v/>
      </c>
      <c r="B152" s="5" t="str">
        <f t="shared" si="30"/>
        <v/>
      </c>
      <c r="C152" s="16" t="str">
        <f t="shared" si="27"/>
        <v/>
      </c>
      <c r="D152" s="16" t="str">
        <f t="shared" si="21"/>
        <v/>
      </c>
      <c r="E152" s="16" t="str">
        <f t="shared" si="22"/>
        <v/>
      </c>
      <c r="F152" s="16" t="str">
        <f t="shared" si="23"/>
        <v/>
      </c>
      <c r="G152" s="16" t="str">
        <f t="shared" si="24"/>
        <v/>
      </c>
      <c r="H152" s="5" t="str">
        <f t="shared" si="25"/>
        <v/>
      </c>
      <c r="I152" s="5" t="str">
        <f t="shared" si="28"/>
        <v/>
      </c>
      <c r="J152" s="5" t="e">
        <f t="shared" si="29"/>
        <v>#VALUE!</v>
      </c>
    </row>
    <row r="153" spans="1:10">
      <c r="A153" s="4" t="str">
        <f t="shared" si="26"/>
        <v/>
      </c>
      <c r="B153" s="5" t="str">
        <f t="shared" si="30"/>
        <v/>
      </c>
      <c r="C153" s="16" t="str">
        <f t="shared" si="27"/>
        <v/>
      </c>
      <c r="D153" s="16" t="str">
        <f t="shared" si="21"/>
        <v/>
      </c>
      <c r="E153" s="16" t="str">
        <f t="shared" si="22"/>
        <v/>
      </c>
      <c r="F153" s="16" t="str">
        <f t="shared" si="23"/>
        <v/>
      </c>
      <c r="G153" s="16" t="str">
        <f t="shared" si="24"/>
        <v/>
      </c>
      <c r="H153" s="5" t="str">
        <f t="shared" si="25"/>
        <v/>
      </c>
      <c r="I153" s="5" t="str">
        <f t="shared" si="28"/>
        <v/>
      </c>
      <c r="J153" s="5" t="e">
        <f t="shared" si="29"/>
        <v>#VALUE!</v>
      </c>
    </row>
    <row r="154" spans="1:10">
      <c r="A154" s="4" t="str">
        <f t="shared" si="26"/>
        <v/>
      </c>
      <c r="B154" s="5" t="str">
        <f t="shared" si="30"/>
        <v/>
      </c>
      <c r="C154" s="16" t="str">
        <f t="shared" si="27"/>
        <v/>
      </c>
      <c r="D154" s="16" t="str">
        <f t="shared" si="21"/>
        <v/>
      </c>
      <c r="E154" s="16" t="str">
        <f t="shared" si="22"/>
        <v/>
      </c>
      <c r="F154" s="16" t="str">
        <f t="shared" si="23"/>
        <v/>
      </c>
      <c r="G154" s="16" t="str">
        <f t="shared" si="24"/>
        <v/>
      </c>
      <c r="H154" s="5" t="str">
        <f t="shared" si="25"/>
        <v/>
      </c>
      <c r="I154" s="5" t="str">
        <f t="shared" si="28"/>
        <v/>
      </c>
      <c r="J154" s="5" t="e">
        <f t="shared" si="29"/>
        <v>#VALUE!</v>
      </c>
    </row>
    <row r="155" spans="1:10">
      <c r="A155" s="4" t="str">
        <f t="shared" si="26"/>
        <v/>
      </c>
      <c r="B155" s="5" t="str">
        <f t="shared" si="30"/>
        <v/>
      </c>
      <c r="C155" s="16" t="str">
        <f t="shared" si="27"/>
        <v/>
      </c>
      <c r="D155" s="16" t="str">
        <f t="shared" si="21"/>
        <v/>
      </c>
      <c r="E155" s="16" t="str">
        <f t="shared" si="22"/>
        <v/>
      </c>
      <c r="F155" s="16" t="str">
        <f t="shared" si="23"/>
        <v/>
      </c>
      <c r="G155" s="16" t="str">
        <f t="shared" si="24"/>
        <v/>
      </c>
      <c r="H155" s="5" t="str">
        <f t="shared" si="25"/>
        <v/>
      </c>
      <c r="I155" s="5" t="str">
        <f t="shared" si="28"/>
        <v/>
      </c>
      <c r="J155" s="5" t="e">
        <f t="shared" si="29"/>
        <v>#VALUE!</v>
      </c>
    </row>
    <row r="156" spans="1:10">
      <c r="A156" s="4" t="str">
        <f t="shared" si="26"/>
        <v/>
      </c>
      <c r="B156" s="5" t="str">
        <f t="shared" si="30"/>
        <v/>
      </c>
      <c r="C156" s="16" t="str">
        <f t="shared" si="27"/>
        <v/>
      </c>
      <c r="D156" s="16" t="str">
        <f t="shared" si="21"/>
        <v/>
      </c>
      <c r="E156" s="16" t="str">
        <f t="shared" si="22"/>
        <v/>
      </c>
      <c r="F156" s="16" t="str">
        <f t="shared" si="23"/>
        <v/>
      </c>
      <c r="G156" s="16" t="str">
        <f t="shared" si="24"/>
        <v/>
      </c>
      <c r="H156" s="5" t="str">
        <f t="shared" si="25"/>
        <v/>
      </c>
      <c r="I156" s="5" t="str">
        <f t="shared" si="28"/>
        <v/>
      </c>
      <c r="J156" s="5" t="e">
        <f t="shared" si="29"/>
        <v>#VALUE!</v>
      </c>
    </row>
    <row r="157" spans="1:10">
      <c r="A157" s="4" t="str">
        <f t="shared" si="26"/>
        <v/>
      </c>
      <c r="B157" s="5" t="str">
        <f t="shared" si="30"/>
        <v/>
      </c>
      <c r="C157" s="16" t="str">
        <f t="shared" si="27"/>
        <v/>
      </c>
      <c r="D157" s="16" t="str">
        <f t="shared" si="21"/>
        <v/>
      </c>
      <c r="E157" s="16" t="str">
        <f t="shared" si="22"/>
        <v/>
      </c>
      <c r="F157" s="16" t="str">
        <f t="shared" si="23"/>
        <v/>
      </c>
      <c r="G157" s="16" t="str">
        <f t="shared" si="24"/>
        <v/>
      </c>
      <c r="H157" s="5" t="str">
        <f t="shared" si="25"/>
        <v/>
      </c>
      <c r="I157" s="5" t="str">
        <f t="shared" si="28"/>
        <v/>
      </c>
      <c r="J157" s="5" t="e">
        <f t="shared" si="29"/>
        <v>#VALUE!</v>
      </c>
    </row>
    <row r="158" spans="1:10">
      <c r="A158" s="4" t="str">
        <f t="shared" si="26"/>
        <v/>
      </c>
      <c r="B158" s="5" t="str">
        <f t="shared" si="30"/>
        <v/>
      </c>
      <c r="C158" s="16" t="str">
        <f t="shared" si="27"/>
        <v/>
      </c>
      <c r="D158" s="16" t="str">
        <f t="shared" si="21"/>
        <v/>
      </c>
      <c r="E158" s="16" t="str">
        <f t="shared" si="22"/>
        <v/>
      </c>
      <c r="F158" s="16" t="str">
        <f t="shared" si="23"/>
        <v/>
      </c>
      <c r="G158" s="16" t="str">
        <f t="shared" si="24"/>
        <v/>
      </c>
      <c r="H158" s="5" t="str">
        <f t="shared" si="25"/>
        <v/>
      </c>
      <c r="I158" s="5" t="str">
        <f t="shared" si="28"/>
        <v/>
      </c>
      <c r="J158" s="5" t="e">
        <f t="shared" si="29"/>
        <v>#VALUE!</v>
      </c>
    </row>
    <row r="159" spans="1:10">
      <c r="A159" s="4" t="str">
        <f t="shared" si="26"/>
        <v/>
      </c>
      <c r="B159" s="5" t="str">
        <f t="shared" si="30"/>
        <v/>
      </c>
      <c r="C159" s="16" t="str">
        <f t="shared" si="27"/>
        <v/>
      </c>
      <c r="D159" s="16" t="str">
        <f t="shared" si="21"/>
        <v/>
      </c>
      <c r="E159" s="16" t="str">
        <f t="shared" si="22"/>
        <v/>
      </c>
      <c r="F159" s="16" t="str">
        <f t="shared" si="23"/>
        <v/>
      </c>
      <c r="G159" s="16" t="str">
        <f t="shared" si="24"/>
        <v/>
      </c>
      <c r="H159" s="5" t="str">
        <f t="shared" si="25"/>
        <v/>
      </c>
      <c r="I159" s="5" t="str">
        <f t="shared" si="28"/>
        <v/>
      </c>
      <c r="J159" s="5" t="e">
        <f t="shared" si="29"/>
        <v>#VALUE!</v>
      </c>
    </row>
    <row r="160" spans="1:10">
      <c r="A160" s="4" t="str">
        <f t="shared" si="26"/>
        <v/>
      </c>
      <c r="B160" s="5" t="str">
        <f t="shared" si="30"/>
        <v/>
      </c>
      <c r="C160" s="16" t="str">
        <f t="shared" si="27"/>
        <v/>
      </c>
      <c r="D160" s="16" t="str">
        <f t="shared" si="21"/>
        <v/>
      </c>
      <c r="E160" s="16" t="str">
        <f t="shared" si="22"/>
        <v/>
      </c>
      <c r="F160" s="16" t="str">
        <f t="shared" si="23"/>
        <v/>
      </c>
      <c r="G160" s="16" t="str">
        <f t="shared" si="24"/>
        <v/>
      </c>
      <c r="H160" s="5" t="str">
        <f t="shared" si="25"/>
        <v/>
      </c>
      <c r="I160" s="5" t="str">
        <f t="shared" si="28"/>
        <v/>
      </c>
      <c r="J160" s="5" t="e">
        <f t="shared" si="29"/>
        <v>#VALUE!</v>
      </c>
    </row>
    <row r="161" spans="1:10">
      <c r="A161" s="4" t="str">
        <f t="shared" si="26"/>
        <v/>
      </c>
      <c r="B161" s="5" t="str">
        <f t="shared" si="30"/>
        <v/>
      </c>
      <c r="C161" s="16" t="str">
        <f t="shared" si="27"/>
        <v/>
      </c>
      <c r="D161" s="16" t="str">
        <f t="shared" si="21"/>
        <v/>
      </c>
      <c r="E161" s="16" t="str">
        <f t="shared" si="22"/>
        <v/>
      </c>
      <c r="F161" s="16" t="str">
        <f t="shared" si="23"/>
        <v/>
      </c>
      <c r="G161" s="16" t="str">
        <f t="shared" si="24"/>
        <v/>
      </c>
      <c r="H161" s="5" t="str">
        <f t="shared" si="25"/>
        <v/>
      </c>
      <c r="I161" s="5" t="str">
        <f t="shared" si="28"/>
        <v/>
      </c>
      <c r="J161" s="5" t="e">
        <f t="shared" si="29"/>
        <v>#VALUE!</v>
      </c>
    </row>
    <row r="162" spans="1:10">
      <c r="A162" s="4" t="str">
        <f t="shared" si="26"/>
        <v/>
      </c>
      <c r="B162" s="5" t="str">
        <f t="shared" si="30"/>
        <v/>
      </c>
      <c r="C162" s="16" t="str">
        <f t="shared" si="27"/>
        <v/>
      </c>
      <c r="D162" s="16" t="str">
        <f t="shared" si="21"/>
        <v/>
      </c>
      <c r="E162" s="16" t="str">
        <f t="shared" si="22"/>
        <v/>
      </c>
      <c r="F162" s="16" t="str">
        <f t="shared" si="23"/>
        <v/>
      </c>
      <c r="G162" s="16" t="str">
        <f t="shared" si="24"/>
        <v/>
      </c>
      <c r="H162" s="5" t="str">
        <f t="shared" si="25"/>
        <v/>
      </c>
      <c r="I162" s="5" t="str">
        <f t="shared" si="28"/>
        <v/>
      </c>
      <c r="J162" s="5" t="e">
        <f t="shared" si="29"/>
        <v>#VALUE!</v>
      </c>
    </row>
    <row r="163" spans="1:10">
      <c r="A163" s="4" t="str">
        <f t="shared" si="26"/>
        <v/>
      </c>
      <c r="B163" s="5" t="str">
        <f t="shared" si="30"/>
        <v/>
      </c>
      <c r="C163" s="16" t="str">
        <f t="shared" si="27"/>
        <v/>
      </c>
      <c r="D163" s="16" t="str">
        <f t="shared" si="21"/>
        <v/>
      </c>
      <c r="E163" s="16" t="str">
        <f t="shared" si="22"/>
        <v/>
      </c>
      <c r="F163" s="16" t="str">
        <f t="shared" si="23"/>
        <v/>
      </c>
      <c r="G163" s="16" t="str">
        <f t="shared" si="24"/>
        <v/>
      </c>
      <c r="H163" s="5" t="str">
        <f t="shared" si="25"/>
        <v/>
      </c>
      <c r="I163" s="5" t="str">
        <f t="shared" si="28"/>
        <v/>
      </c>
      <c r="J163" s="5" t="e">
        <f t="shared" si="29"/>
        <v>#VALUE!</v>
      </c>
    </row>
    <row r="164" spans="1:10">
      <c r="A164" s="4" t="str">
        <f t="shared" si="26"/>
        <v/>
      </c>
      <c r="B164" s="5" t="str">
        <f t="shared" si="30"/>
        <v/>
      </c>
      <c r="C164" s="16" t="str">
        <f t="shared" si="27"/>
        <v/>
      </c>
      <c r="D164" s="16" t="str">
        <f t="shared" si="21"/>
        <v/>
      </c>
      <c r="E164" s="16" t="str">
        <f t="shared" si="22"/>
        <v/>
      </c>
      <c r="F164" s="16" t="str">
        <f t="shared" si="23"/>
        <v/>
      </c>
      <c r="G164" s="16" t="str">
        <f t="shared" si="24"/>
        <v/>
      </c>
      <c r="H164" s="5" t="str">
        <f t="shared" si="25"/>
        <v/>
      </c>
      <c r="I164" s="5" t="str">
        <f t="shared" si="28"/>
        <v/>
      </c>
      <c r="J164" s="5" t="e">
        <f t="shared" si="29"/>
        <v>#VALUE!</v>
      </c>
    </row>
    <row r="165" spans="1:10">
      <c r="A165" s="4" t="str">
        <f t="shared" si="26"/>
        <v/>
      </c>
      <c r="B165" s="5" t="str">
        <f t="shared" si="30"/>
        <v/>
      </c>
      <c r="C165" s="16" t="str">
        <f t="shared" si="27"/>
        <v/>
      </c>
      <c r="D165" s="16" t="str">
        <f t="shared" si="21"/>
        <v/>
      </c>
      <c r="E165" s="16" t="str">
        <f t="shared" si="22"/>
        <v/>
      </c>
      <c r="F165" s="16" t="str">
        <f t="shared" si="23"/>
        <v/>
      </c>
      <c r="G165" s="16" t="str">
        <f t="shared" si="24"/>
        <v/>
      </c>
      <c r="H165" s="5" t="str">
        <f t="shared" si="25"/>
        <v/>
      </c>
      <c r="I165" s="5" t="str">
        <f t="shared" si="28"/>
        <v/>
      </c>
      <c r="J165" s="5" t="e">
        <f t="shared" si="29"/>
        <v>#VALUE!</v>
      </c>
    </row>
    <row r="166" spans="1:10">
      <c r="A166" s="4" t="str">
        <f t="shared" si="26"/>
        <v/>
      </c>
      <c r="B166" s="5" t="str">
        <f t="shared" si="30"/>
        <v/>
      </c>
      <c r="C166" s="16" t="str">
        <f t="shared" si="27"/>
        <v/>
      </c>
      <c r="D166" s="16" t="str">
        <f t="shared" si="21"/>
        <v/>
      </c>
      <c r="E166" s="16" t="str">
        <f t="shared" si="22"/>
        <v/>
      </c>
      <c r="F166" s="16" t="str">
        <f t="shared" si="23"/>
        <v/>
      </c>
      <c r="G166" s="16" t="str">
        <f t="shared" si="24"/>
        <v/>
      </c>
      <c r="H166" s="5" t="str">
        <f t="shared" si="25"/>
        <v/>
      </c>
      <c r="I166" s="5" t="str">
        <f t="shared" si="28"/>
        <v/>
      </c>
      <c r="J166" s="5" t="e">
        <f t="shared" si="29"/>
        <v>#VALUE!</v>
      </c>
    </row>
    <row r="167" spans="1:10">
      <c r="A167" s="4" t="str">
        <f t="shared" si="26"/>
        <v/>
      </c>
      <c r="B167" s="5" t="str">
        <f t="shared" si="30"/>
        <v/>
      </c>
      <c r="C167" s="16" t="str">
        <f t="shared" si="27"/>
        <v/>
      </c>
      <c r="D167" s="16" t="str">
        <f t="shared" si="21"/>
        <v/>
      </c>
      <c r="E167" s="16" t="str">
        <f t="shared" si="22"/>
        <v/>
      </c>
      <c r="F167" s="16" t="str">
        <f t="shared" si="23"/>
        <v/>
      </c>
      <c r="G167" s="16" t="str">
        <f t="shared" si="24"/>
        <v/>
      </c>
      <c r="H167" s="5" t="str">
        <f t="shared" si="25"/>
        <v/>
      </c>
      <c r="I167" s="5" t="str">
        <f t="shared" si="28"/>
        <v/>
      </c>
      <c r="J167" s="5" t="e">
        <f t="shared" si="29"/>
        <v>#VALUE!</v>
      </c>
    </row>
    <row r="168" spans="1:10">
      <c r="A168" s="4" t="str">
        <f t="shared" si="26"/>
        <v/>
      </c>
      <c r="B168" s="5" t="str">
        <f t="shared" si="30"/>
        <v/>
      </c>
      <c r="C168" s="16" t="str">
        <f t="shared" si="27"/>
        <v/>
      </c>
      <c r="D168" s="16" t="str">
        <f t="shared" si="21"/>
        <v/>
      </c>
      <c r="E168" s="16" t="str">
        <f t="shared" si="22"/>
        <v/>
      </c>
      <c r="F168" s="16" t="str">
        <f t="shared" si="23"/>
        <v/>
      </c>
      <c r="G168" s="16" t="str">
        <f t="shared" si="24"/>
        <v/>
      </c>
      <c r="H168" s="5" t="str">
        <f t="shared" si="25"/>
        <v/>
      </c>
      <c r="I168" s="5" t="str">
        <f t="shared" si="28"/>
        <v/>
      </c>
      <c r="J168" s="5" t="e">
        <f t="shared" si="29"/>
        <v>#VALUE!</v>
      </c>
    </row>
    <row r="169" spans="1:10">
      <c r="A169" s="4" t="str">
        <f t="shared" si="26"/>
        <v/>
      </c>
      <c r="B169" s="5" t="str">
        <f t="shared" si="30"/>
        <v/>
      </c>
      <c r="C169" s="16" t="str">
        <f t="shared" si="27"/>
        <v/>
      </c>
      <c r="D169" s="16" t="str">
        <f t="shared" si="21"/>
        <v/>
      </c>
      <c r="E169" s="16" t="str">
        <f t="shared" si="22"/>
        <v/>
      </c>
      <c r="F169" s="16" t="str">
        <f t="shared" si="23"/>
        <v/>
      </c>
      <c r="G169" s="16" t="str">
        <f t="shared" si="24"/>
        <v/>
      </c>
      <c r="H169" s="5" t="str">
        <f t="shared" si="25"/>
        <v/>
      </c>
      <c r="I169" s="5" t="str">
        <f t="shared" si="28"/>
        <v/>
      </c>
      <c r="J169" s="5" t="e">
        <f t="shared" si="29"/>
        <v>#VALUE!</v>
      </c>
    </row>
    <row r="170" spans="1:10">
      <c r="A170" s="4" t="str">
        <f t="shared" si="26"/>
        <v/>
      </c>
      <c r="B170" s="5" t="str">
        <f t="shared" si="30"/>
        <v/>
      </c>
      <c r="C170" s="16" t="str">
        <f t="shared" si="27"/>
        <v/>
      </c>
      <c r="D170" s="16" t="str">
        <f t="shared" si="21"/>
        <v/>
      </c>
      <c r="E170" s="16" t="str">
        <f t="shared" si="22"/>
        <v/>
      </c>
      <c r="F170" s="16" t="str">
        <f t="shared" si="23"/>
        <v/>
      </c>
      <c r="G170" s="16" t="str">
        <f t="shared" si="24"/>
        <v/>
      </c>
      <c r="H170" s="5" t="str">
        <f t="shared" si="25"/>
        <v/>
      </c>
      <c r="I170" s="5" t="str">
        <f t="shared" si="28"/>
        <v/>
      </c>
      <c r="J170" s="5" t="e">
        <f t="shared" si="29"/>
        <v>#VALUE!</v>
      </c>
    </row>
    <row r="171" spans="1:10">
      <c r="A171" s="4" t="str">
        <f t="shared" si="26"/>
        <v/>
      </c>
      <c r="B171" s="5" t="str">
        <f t="shared" si="30"/>
        <v/>
      </c>
      <c r="C171" s="16" t="str">
        <f t="shared" si="27"/>
        <v/>
      </c>
      <c r="D171" s="16" t="str">
        <f t="shared" si="21"/>
        <v/>
      </c>
      <c r="E171" s="16" t="str">
        <f t="shared" si="22"/>
        <v/>
      </c>
      <c r="F171" s="16" t="str">
        <f t="shared" si="23"/>
        <v/>
      </c>
      <c r="G171" s="16" t="str">
        <f t="shared" si="24"/>
        <v/>
      </c>
      <c r="H171" s="5" t="str">
        <f t="shared" si="25"/>
        <v/>
      </c>
      <c r="I171" s="5" t="str">
        <f t="shared" si="28"/>
        <v/>
      </c>
      <c r="J171" s="5" t="e">
        <f t="shared" si="29"/>
        <v>#VALUE!</v>
      </c>
    </row>
    <row r="172" spans="1:10">
      <c r="A172" s="4" t="str">
        <f t="shared" si="26"/>
        <v/>
      </c>
      <c r="B172" s="5" t="str">
        <f t="shared" si="30"/>
        <v/>
      </c>
      <c r="C172" s="16" t="str">
        <f t="shared" si="27"/>
        <v/>
      </c>
      <c r="D172" s="16" t="str">
        <f t="shared" si="21"/>
        <v/>
      </c>
      <c r="E172" s="16" t="str">
        <f t="shared" si="22"/>
        <v/>
      </c>
      <c r="F172" s="16" t="str">
        <f t="shared" si="23"/>
        <v/>
      </c>
      <c r="G172" s="16" t="str">
        <f t="shared" si="24"/>
        <v/>
      </c>
      <c r="H172" s="5" t="str">
        <f t="shared" si="25"/>
        <v/>
      </c>
      <c r="I172" s="5" t="str">
        <f t="shared" si="28"/>
        <v/>
      </c>
      <c r="J172" s="5" t="e">
        <f t="shared" si="29"/>
        <v>#VALUE!</v>
      </c>
    </row>
    <row r="173" spans="1:10">
      <c r="A173" s="4" t="str">
        <f t="shared" si="26"/>
        <v/>
      </c>
      <c r="B173" s="5" t="str">
        <f t="shared" si="30"/>
        <v/>
      </c>
      <c r="C173" s="16" t="str">
        <f t="shared" si="27"/>
        <v/>
      </c>
      <c r="D173" s="16" t="str">
        <f t="shared" si="21"/>
        <v/>
      </c>
      <c r="E173" s="16" t="str">
        <f t="shared" si="22"/>
        <v/>
      </c>
      <c r="F173" s="16" t="str">
        <f t="shared" si="23"/>
        <v/>
      </c>
      <c r="G173" s="16" t="str">
        <f t="shared" si="24"/>
        <v/>
      </c>
      <c r="H173" s="5" t="str">
        <f t="shared" si="25"/>
        <v/>
      </c>
      <c r="I173" s="5" t="str">
        <f t="shared" si="28"/>
        <v/>
      </c>
      <c r="J173" s="5" t="e">
        <f t="shared" si="29"/>
        <v>#VALUE!</v>
      </c>
    </row>
    <row r="174" spans="1:10">
      <c r="A174" s="4" t="str">
        <f t="shared" si="26"/>
        <v/>
      </c>
      <c r="B174" s="5" t="str">
        <f t="shared" si="30"/>
        <v/>
      </c>
      <c r="C174" s="16" t="str">
        <f t="shared" si="27"/>
        <v/>
      </c>
      <c r="D174" s="16" t="str">
        <f t="shared" si="21"/>
        <v/>
      </c>
      <c r="E174" s="16" t="str">
        <f t="shared" si="22"/>
        <v/>
      </c>
      <c r="F174" s="16" t="str">
        <f t="shared" si="23"/>
        <v/>
      </c>
      <c r="G174" s="16" t="str">
        <f t="shared" si="24"/>
        <v/>
      </c>
      <c r="H174" s="5" t="str">
        <f t="shared" si="25"/>
        <v/>
      </c>
      <c r="I174" s="5" t="str">
        <f t="shared" si="28"/>
        <v/>
      </c>
      <c r="J174" s="5" t="e">
        <f t="shared" si="29"/>
        <v>#VALUE!</v>
      </c>
    </row>
    <row r="175" spans="1:10">
      <c r="A175" s="4" t="str">
        <f t="shared" si="26"/>
        <v/>
      </c>
      <c r="B175" s="5" t="str">
        <f t="shared" si="30"/>
        <v/>
      </c>
      <c r="C175" s="16" t="str">
        <f t="shared" si="27"/>
        <v/>
      </c>
      <c r="D175" s="16" t="str">
        <f t="shared" si="21"/>
        <v/>
      </c>
      <c r="E175" s="16" t="str">
        <f t="shared" si="22"/>
        <v/>
      </c>
      <c r="F175" s="16" t="str">
        <f t="shared" si="23"/>
        <v/>
      </c>
      <c r="G175" s="16" t="str">
        <f t="shared" si="24"/>
        <v/>
      </c>
      <c r="H175" s="5" t="str">
        <f t="shared" si="25"/>
        <v/>
      </c>
      <c r="I175" s="5" t="str">
        <f t="shared" si="28"/>
        <v/>
      </c>
      <c r="J175" s="5" t="e">
        <f t="shared" si="29"/>
        <v>#VALUE!</v>
      </c>
    </row>
    <row r="176" spans="1:10">
      <c r="A176" s="4" t="str">
        <f t="shared" si="26"/>
        <v/>
      </c>
      <c r="B176" s="5" t="str">
        <f t="shared" si="30"/>
        <v/>
      </c>
      <c r="C176" s="16" t="str">
        <f t="shared" si="27"/>
        <v/>
      </c>
      <c r="D176" s="16" t="str">
        <f t="shared" si="21"/>
        <v/>
      </c>
      <c r="E176" s="16" t="str">
        <f t="shared" si="22"/>
        <v/>
      </c>
      <c r="F176" s="16" t="str">
        <f t="shared" si="23"/>
        <v/>
      </c>
      <c r="G176" s="16" t="str">
        <f t="shared" si="24"/>
        <v/>
      </c>
      <c r="H176" s="5" t="str">
        <f t="shared" si="25"/>
        <v/>
      </c>
      <c r="I176" s="5" t="str">
        <f t="shared" si="28"/>
        <v/>
      </c>
      <c r="J176" s="5" t="e">
        <f t="shared" si="29"/>
        <v>#VALUE!</v>
      </c>
    </row>
    <row r="177" spans="1:10">
      <c r="A177" s="4" t="str">
        <f t="shared" si="26"/>
        <v/>
      </c>
      <c r="B177" s="5" t="str">
        <f t="shared" si="30"/>
        <v/>
      </c>
      <c r="C177" s="16" t="str">
        <f t="shared" si="27"/>
        <v/>
      </c>
      <c r="D177" s="16" t="str">
        <f t="shared" si="21"/>
        <v/>
      </c>
      <c r="E177" s="16" t="str">
        <f t="shared" si="22"/>
        <v/>
      </c>
      <c r="F177" s="16" t="str">
        <f t="shared" si="23"/>
        <v/>
      </c>
      <c r="G177" s="16" t="str">
        <f t="shared" si="24"/>
        <v/>
      </c>
      <c r="H177" s="5" t="str">
        <f t="shared" si="25"/>
        <v/>
      </c>
      <c r="I177" s="5" t="str">
        <f t="shared" si="28"/>
        <v/>
      </c>
      <c r="J177" s="5" t="e">
        <f t="shared" si="29"/>
        <v>#VALUE!</v>
      </c>
    </row>
    <row r="178" spans="1:10">
      <c r="A178" s="4" t="str">
        <f t="shared" si="26"/>
        <v/>
      </c>
      <c r="B178" s="5" t="str">
        <f t="shared" si="30"/>
        <v/>
      </c>
      <c r="C178" s="16" t="str">
        <f t="shared" si="27"/>
        <v/>
      </c>
      <c r="D178" s="16" t="str">
        <f t="shared" si="21"/>
        <v/>
      </c>
      <c r="E178" s="16" t="str">
        <f t="shared" si="22"/>
        <v/>
      </c>
      <c r="F178" s="16" t="str">
        <f t="shared" si="23"/>
        <v/>
      </c>
      <c r="G178" s="16" t="str">
        <f t="shared" si="24"/>
        <v/>
      </c>
      <c r="H178" s="5" t="str">
        <f t="shared" si="25"/>
        <v/>
      </c>
      <c r="I178" s="5" t="str">
        <f t="shared" si="28"/>
        <v/>
      </c>
      <c r="J178" s="5" t="e">
        <f t="shared" si="29"/>
        <v>#VALUE!</v>
      </c>
    </row>
    <row r="179" spans="1:10">
      <c r="A179" s="4" t="str">
        <f t="shared" si="26"/>
        <v/>
      </c>
      <c r="B179" s="5" t="str">
        <f t="shared" si="30"/>
        <v/>
      </c>
      <c r="C179" s="16" t="str">
        <f t="shared" si="27"/>
        <v/>
      </c>
      <c r="D179" s="16" t="str">
        <f t="shared" si="21"/>
        <v/>
      </c>
      <c r="E179" s="16" t="str">
        <f t="shared" si="22"/>
        <v/>
      </c>
      <c r="F179" s="16" t="str">
        <f t="shared" si="23"/>
        <v/>
      </c>
      <c r="G179" s="16" t="str">
        <f t="shared" si="24"/>
        <v/>
      </c>
      <c r="H179" s="5" t="str">
        <f t="shared" si="25"/>
        <v/>
      </c>
      <c r="I179" s="5" t="str">
        <f t="shared" si="28"/>
        <v/>
      </c>
      <c r="J179" s="5" t="e">
        <f t="shared" si="29"/>
        <v>#VALUE!</v>
      </c>
    </row>
    <row r="180" spans="1:10">
      <c r="A180" s="4" t="str">
        <f t="shared" si="26"/>
        <v/>
      </c>
      <c r="B180" s="5" t="str">
        <f t="shared" si="30"/>
        <v/>
      </c>
      <c r="C180" s="16" t="str">
        <f t="shared" si="27"/>
        <v/>
      </c>
      <c r="D180" s="16" t="str">
        <f t="shared" si="21"/>
        <v/>
      </c>
      <c r="E180" s="16" t="str">
        <f t="shared" si="22"/>
        <v/>
      </c>
      <c r="F180" s="16" t="str">
        <f t="shared" si="23"/>
        <v/>
      </c>
      <c r="G180" s="16" t="str">
        <f t="shared" si="24"/>
        <v/>
      </c>
      <c r="H180" s="5" t="str">
        <f t="shared" si="25"/>
        <v/>
      </c>
      <c r="I180" s="5" t="str">
        <f t="shared" si="28"/>
        <v/>
      </c>
      <c r="J180" s="5" t="e">
        <f t="shared" si="29"/>
        <v>#VALUE!</v>
      </c>
    </row>
    <row r="181" spans="1:10">
      <c r="A181" s="4" t="str">
        <f t="shared" si="26"/>
        <v/>
      </c>
      <c r="B181" s="5" t="str">
        <f t="shared" si="30"/>
        <v/>
      </c>
      <c r="C181" s="16" t="str">
        <f t="shared" si="27"/>
        <v/>
      </c>
      <c r="D181" s="16" t="str">
        <f t="shared" si="21"/>
        <v/>
      </c>
      <c r="E181" s="16" t="str">
        <f t="shared" si="22"/>
        <v/>
      </c>
      <c r="F181" s="16" t="str">
        <f t="shared" si="23"/>
        <v/>
      </c>
      <c r="G181" s="16" t="str">
        <f t="shared" si="24"/>
        <v/>
      </c>
      <c r="H181" s="5" t="str">
        <f t="shared" si="25"/>
        <v/>
      </c>
      <c r="I181" s="5" t="str">
        <f t="shared" si="28"/>
        <v/>
      </c>
      <c r="J181" s="5" t="e">
        <f t="shared" si="29"/>
        <v>#VALUE!</v>
      </c>
    </row>
    <row r="182" spans="1:10">
      <c r="A182" s="4" t="str">
        <f t="shared" si="26"/>
        <v/>
      </c>
      <c r="B182" s="5" t="str">
        <f t="shared" si="30"/>
        <v/>
      </c>
      <c r="C182" s="16" t="str">
        <f t="shared" si="27"/>
        <v/>
      </c>
      <c r="D182" s="16" t="str">
        <f t="shared" si="21"/>
        <v/>
      </c>
      <c r="E182" s="16" t="str">
        <f t="shared" si="22"/>
        <v/>
      </c>
      <c r="F182" s="16" t="str">
        <f t="shared" si="23"/>
        <v/>
      </c>
      <c r="G182" s="16" t="str">
        <f t="shared" si="24"/>
        <v/>
      </c>
      <c r="H182" s="5" t="str">
        <f t="shared" si="25"/>
        <v/>
      </c>
      <c r="I182" s="5" t="str">
        <f t="shared" si="28"/>
        <v/>
      </c>
      <c r="J182" s="5" t="e">
        <f t="shared" si="29"/>
        <v>#VALUE!</v>
      </c>
    </row>
    <row r="183" spans="1:10">
      <c r="A183" s="4" t="str">
        <f t="shared" si="26"/>
        <v/>
      </c>
      <c r="B183" s="5" t="str">
        <f t="shared" si="30"/>
        <v/>
      </c>
      <c r="C183" s="16" t="str">
        <f t="shared" si="27"/>
        <v/>
      </c>
      <c r="D183" s="16" t="str">
        <f t="shared" si="21"/>
        <v/>
      </c>
      <c r="E183" s="16" t="str">
        <f t="shared" si="22"/>
        <v/>
      </c>
      <c r="F183" s="16" t="str">
        <f t="shared" si="23"/>
        <v/>
      </c>
      <c r="G183" s="16" t="str">
        <f t="shared" si="24"/>
        <v/>
      </c>
      <c r="H183" s="5" t="str">
        <f t="shared" si="25"/>
        <v/>
      </c>
      <c r="I183" s="5" t="str">
        <f t="shared" si="28"/>
        <v/>
      </c>
      <c r="J183" s="5" t="e">
        <f t="shared" si="29"/>
        <v>#VALUE!</v>
      </c>
    </row>
    <row r="184" spans="1:10">
      <c r="A184" s="4" t="str">
        <f t="shared" si="26"/>
        <v/>
      </c>
      <c r="B184" s="5" t="str">
        <f t="shared" si="30"/>
        <v/>
      </c>
      <c r="C184" s="16" t="str">
        <f t="shared" si="27"/>
        <v/>
      </c>
      <c r="D184" s="16" t="str">
        <f t="shared" si="21"/>
        <v/>
      </c>
      <c r="E184" s="16" t="str">
        <f t="shared" si="22"/>
        <v/>
      </c>
      <c r="F184" s="16" t="str">
        <f t="shared" si="23"/>
        <v/>
      </c>
      <c r="G184" s="16" t="str">
        <f t="shared" si="24"/>
        <v/>
      </c>
      <c r="H184" s="5" t="str">
        <f t="shared" si="25"/>
        <v/>
      </c>
      <c r="I184" s="5" t="str">
        <f t="shared" si="28"/>
        <v/>
      </c>
      <c r="J184" s="5" t="e">
        <f t="shared" si="29"/>
        <v>#VALUE!</v>
      </c>
    </row>
    <row r="185" spans="1:10">
      <c r="A185" s="4" t="str">
        <f t="shared" si="26"/>
        <v/>
      </c>
      <c r="B185" s="5" t="str">
        <f t="shared" si="30"/>
        <v/>
      </c>
      <c r="C185" s="16" t="str">
        <f t="shared" si="27"/>
        <v/>
      </c>
      <c r="D185" s="16" t="str">
        <f t="shared" si="21"/>
        <v/>
      </c>
      <c r="E185" s="16" t="str">
        <f t="shared" si="22"/>
        <v/>
      </c>
      <c r="F185" s="16" t="str">
        <f t="shared" si="23"/>
        <v/>
      </c>
      <c r="G185" s="16" t="str">
        <f t="shared" si="24"/>
        <v/>
      </c>
      <c r="H185" s="5" t="str">
        <f t="shared" si="25"/>
        <v/>
      </c>
      <c r="I185" s="5" t="str">
        <f t="shared" si="28"/>
        <v/>
      </c>
      <c r="J185" s="5" t="e">
        <f t="shared" si="29"/>
        <v>#VALUE!</v>
      </c>
    </row>
    <row r="186" spans="1:10">
      <c r="A186" s="4" t="str">
        <f t="shared" si="26"/>
        <v/>
      </c>
      <c r="B186" s="5" t="str">
        <f t="shared" si="30"/>
        <v/>
      </c>
      <c r="C186" s="16" t="str">
        <f t="shared" si="27"/>
        <v/>
      </c>
      <c r="D186" s="16" t="str">
        <f t="shared" si="21"/>
        <v/>
      </c>
      <c r="E186" s="16" t="str">
        <f t="shared" si="22"/>
        <v/>
      </c>
      <c r="F186" s="16" t="str">
        <f t="shared" si="23"/>
        <v/>
      </c>
      <c r="G186" s="16" t="str">
        <f t="shared" si="24"/>
        <v/>
      </c>
      <c r="H186" s="5" t="str">
        <f t="shared" si="25"/>
        <v/>
      </c>
      <c r="I186" s="5" t="str">
        <f t="shared" si="28"/>
        <v/>
      </c>
      <c r="J186" s="5" t="e">
        <f t="shared" si="29"/>
        <v>#VALUE!</v>
      </c>
    </row>
    <row r="187" spans="1:10">
      <c r="A187" s="4" t="str">
        <f t="shared" si="26"/>
        <v/>
      </c>
      <c r="B187" s="5" t="str">
        <f t="shared" si="30"/>
        <v/>
      </c>
      <c r="C187" s="16" t="str">
        <f t="shared" si="27"/>
        <v/>
      </c>
      <c r="D187" s="16" t="str">
        <f t="shared" si="21"/>
        <v/>
      </c>
      <c r="E187" s="16" t="str">
        <f t="shared" si="22"/>
        <v/>
      </c>
      <c r="F187" s="16" t="str">
        <f t="shared" si="23"/>
        <v/>
      </c>
      <c r="G187" s="16" t="str">
        <f t="shared" si="24"/>
        <v/>
      </c>
      <c r="H187" s="5" t="str">
        <f t="shared" si="25"/>
        <v/>
      </c>
      <c r="I187" s="5" t="str">
        <f t="shared" si="28"/>
        <v/>
      </c>
      <c r="J187" s="5" t="e">
        <f t="shared" si="29"/>
        <v>#VALUE!</v>
      </c>
    </row>
    <row r="188" spans="1:10">
      <c r="A188" s="4" t="str">
        <f t="shared" si="26"/>
        <v/>
      </c>
      <c r="B188" s="5" t="str">
        <f t="shared" si="30"/>
        <v/>
      </c>
      <c r="C188" s="16" t="str">
        <f t="shared" si="27"/>
        <v/>
      </c>
      <c r="D188" s="16" t="str">
        <f t="shared" si="21"/>
        <v/>
      </c>
      <c r="E188" s="16" t="str">
        <f t="shared" si="22"/>
        <v/>
      </c>
      <c r="F188" s="16" t="str">
        <f t="shared" si="23"/>
        <v/>
      </c>
      <c r="G188" s="16" t="str">
        <f t="shared" si="24"/>
        <v/>
      </c>
      <c r="H188" s="5" t="str">
        <f t="shared" si="25"/>
        <v/>
      </c>
      <c r="I188" s="5" t="str">
        <f t="shared" si="28"/>
        <v/>
      </c>
      <c r="J188" s="5" t="e">
        <f t="shared" si="29"/>
        <v>#VALUE!</v>
      </c>
    </row>
    <row r="189" spans="1:10">
      <c r="A189" s="4" t="str">
        <f t="shared" si="26"/>
        <v/>
      </c>
      <c r="B189" s="5" t="str">
        <f t="shared" si="30"/>
        <v/>
      </c>
      <c r="C189" s="16" t="str">
        <f t="shared" si="27"/>
        <v/>
      </c>
      <c r="D189" s="16" t="str">
        <f t="shared" si="21"/>
        <v/>
      </c>
      <c r="E189" s="16" t="str">
        <f t="shared" si="22"/>
        <v/>
      </c>
      <c r="F189" s="16" t="str">
        <f t="shared" si="23"/>
        <v/>
      </c>
      <c r="G189" s="16" t="str">
        <f t="shared" si="24"/>
        <v/>
      </c>
      <c r="H189" s="5" t="str">
        <f t="shared" si="25"/>
        <v/>
      </c>
      <c r="I189" s="5" t="str">
        <f t="shared" si="28"/>
        <v/>
      </c>
      <c r="J189" s="5" t="e">
        <f t="shared" si="29"/>
        <v>#VALUE!</v>
      </c>
    </row>
    <row r="190" spans="1:10">
      <c r="A190" s="4" t="str">
        <f t="shared" si="26"/>
        <v/>
      </c>
      <c r="B190" s="5" t="str">
        <f t="shared" si="30"/>
        <v/>
      </c>
      <c r="C190" s="16" t="str">
        <f t="shared" si="27"/>
        <v/>
      </c>
      <c r="D190" s="16" t="str">
        <f t="shared" si="21"/>
        <v/>
      </c>
      <c r="E190" s="16" t="str">
        <f t="shared" si="22"/>
        <v/>
      </c>
      <c r="F190" s="16" t="str">
        <f t="shared" si="23"/>
        <v/>
      </c>
      <c r="G190" s="16" t="str">
        <f t="shared" si="24"/>
        <v/>
      </c>
      <c r="H190" s="5" t="str">
        <f t="shared" si="25"/>
        <v/>
      </c>
      <c r="I190" s="5" t="str">
        <f t="shared" si="28"/>
        <v/>
      </c>
      <c r="J190" s="5" t="e">
        <f t="shared" si="29"/>
        <v>#VALUE!</v>
      </c>
    </row>
    <row r="191" spans="1:10">
      <c r="A191" s="4" t="str">
        <f t="shared" si="26"/>
        <v/>
      </c>
      <c r="B191" s="5" t="str">
        <f t="shared" si="30"/>
        <v/>
      </c>
      <c r="C191" s="16" t="str">
        <f t="shared" si="27"/>
        <v/>
      </c>
      <c r="D191" s="16" t="str">
        <f t="shared" si="21"/>
        <v/>
      </c>
      <c r="E191" s="16" t="str">
        <f t="shared" si="22"/>
        <v/>
      </c>
      <c r="F191" s="16" t="str">
        <f t="shared" si="23"/>
        <v/>
      </c>
      <c r="G191" s="16" t="str">
        <f t="shared" si="24"/>
        <v/>
      </c>
      <c r="H191" s="5" t="str">
        <f t="shared" si="25"/>
        <v/>
      </c>
      <c r="I191" s="5" t="str">
        <f t="shared" si="28"/>
        <v/>
      </c>
      <c r="J191" s="5" t="e">
        <f t="shared" si="29"/>
        <v>#VALUE!</v>
      </c>
    </row>
    <row r="192" spans="1:10">
      <c r="A192" s="4" t="str">
        <f t="shared" si="26"/>
        <v/>
      </c>
      <c r="B192" s="5" t="str">
        <f t="shared" si="30"/>
        <v/>
      </c>
      <c r="C192" s="16" t="str">
        <f t="shared" si="27"/>
        <v/>
      </c>
      <c r="D192" s="16" t="str">
        <f t="shared" si="21"/>
        <v/>
      </c>
      <c r="E192" s="16" t="str">
        <f t="shared" si="22"/>
        <v/>
      </c>
      <c r="F192" s="16" t="str">
        <f t="shared" si="23"/>
        <v/>
      </c>
      <c r="G192" s="16" t="str">
        <f t="shared" si="24"/>
        <v/>
      </c>
      <c r="H192" s="5" t="str">
        <f t="shared" si="25"/>
        <v/>
      </c>
      <c r="I192" s="5" t="str">
        <f t="shared" si="28"/>
        <v/>
      </c>
      <c r="J192" s="5" t="e">
        <f t="shared" si="29"/>
        <v>#VALUE!</v>
      </c>
    </row>
    <row r="193" spans="1:10">
      <c r="A193" s="4" t="str">
        <f t="shared" si="26"/>
        <v/>
      </c>
      <c r="B193" s="5" t="str">
        <f t="shared" si="30"/>
        <v/>
      </c>
      <c r="C193" s="16" t="str">
        <f t="shared" si="27"/>
        <v/>
      </c>
      <c r="D193" s="16" t="str">
        <f t="shared" si="21"/>
        <v/>
      </c>
      <c r="E193" s="16" t="str">
        <f t="shared" si="22"/>
        <v/>
      </c>
      <c r="F193" s="16" t="str">
        <f t="shared" si="23"/>
        <v/>
      </c>
      <c r="G193" s="16" t="str">
        <f t="shared" si="24"/>
        <v/>
      </c>
      <c r="H193" s="5" t="str">
        <f t="shared" si="25"/>
        <v/>
      </c>
      <c r="I193" s="5" t="str">
        <f t="shared" si="28"/>
        <v/>
      </c>
      <c r="J193" s="5" t="e">
        <f t="shared" si="29"/>
        <v>#VALUE!</v>
      </c>
    </row>
    <row r="194" spans="1:10">
      <c r="A194" s="4" t="str">
        <f t="shared" si="26"/>
        <v/>
      </c>
      <c r="B194" s="5" t="str">
        <f t="shared" si="30"/>
        <v/>
      </c>
      <c r="C194" s="16" t="str">
        <f t="shared" si="27"/>
        <v/>
      </c>
      <c r="D194" s="16" t="str">
        <f t="shared" si="21"/>
        <v/>
      </c>
      <c r="E194" s="16" t="str">
        <f t="shared" si="22"/>
        <v/>
      </c>
      <c r="F194" s="16" t="str">
        <f t="shared" si="23"/>
        <v/>
      </c>
      <c r="G194" s="16" t="str">
        <f t="shared" si="24"/>
        <v/>
      </c>
      <c r="H194" s="5" t="str">
        <f t="shared" si="25"/>
        <v/>
      </c>
      <c r="I194" s="5" t="str">
        <f t="shared" si="28"/>
        <v/>
      </c>
      <c r="J194" s="5" t="e">
        <f t="shared" si="29"/>
        <v>#VALUE!</v>
      </c>
    </row>
    <row r="195" spans="1:10">
      <c r="A195" s="4" t="str">
        <f t="shared" si="26"/>
        <v/>
      </c>
      <c r="B195" s="5" t="str">
        <f t="shared" si="30"/>
        <v/>
      </c>
      <c r="C195" s="16" t="str">
        <f t="shared" si="27"/>
        <v/>
      </c>
      <c r="D195" s="16" t="str">
        <f t="shared" si="21"/>
        <v/>
      </c>
      <c r="E195" s="16" t="str">
        <f t="shared" si="22"/>
        <v/>
      </c>
      <c r="F195" s="16" t="str">
        <f t="shared" si="23"/>
        <v/>
      </c>
      <c r="G195" s="16" t="str">
        <f t="shared" si="24"/>
        <v/>
      </c>
      <c r="H195" s="5" t="str">
        <f t="shared" si="25"/>
        <v/>
      </c>
      <c r="I195" s="5" t="str">
        <f t="shared" si="28"/>
        <v/>
      </c>
      <c r="J195" s="5" t="e">
        <f t="shared" si="29"/>
        <v>#VALUE!</v>
      </c>
    </row>
    <row r="196" spans="1:10">
      <c r="A196" s="4" t="str">
        <f t="shared" si="26"/>
        <v/>
      </c>
      <c r="B196" s="5" t="str">
        <f t="shared" si="30"/>
        <v/>
      </c>
      <c r="C196" s="16" t="str">
        <f t="shared" si="27"/>
        <v/>
      </c>
      <c r="D196" s="16" t="str">
        <f t="shared" si="21"/>
        <v/>
      </c>
      <c r="E196" s="16" t="str">
        <f t="shared" si="22"/>
        <v/>
      </c>
      <c r="F196" s="16" t="str">
        <f t="shared" si="23"/>
        <v/>
      </c>
      <c r="G196" s="16" t="str">
        <f t="shared" si="24"/>
        <v/>
      </c>
      <c r="H196" s="5" t="str">
        <f t="shared" si="25"/>
        <v/>
      </c>
      <c r="I196" s="5" t="str">
        <f t="shared" si="28"/>
        <v/>
      </c>
      <c r="J196" s="5" t="e">
        <f t="shared" si="29"/>
        <v>#VALUE!</v>
      </c>
    </row>
    <row r="197" spans="1:10">
      <c r="A197" s="4" t="str">
        <f t="shared" si="26"/>
        <v/>
      </c>
      <c r="B197" s="5" t="str">
        <f t="shared" si="30"/>
        <v/>
      </c>
      <c r="C197" s="16" t="str">
        <f t="shared" si="27"/>
        <v/>
      </c>
      <c r="D197" s="16" t="str">
        <f t="shared" si="21"/>
        <v/>
      </c>
      <c r="E197" s="16" t="str">
        <f t="shared" si="22"/>
        <v/>
      </c>
      <c r="F197" s="16" t="str">
        <f t="shared" si="23"/>
        <v/>
      </c>
      <c r="G197" s="16" t="str">
        <f t="shared" si="24"/>
        <v/>
      </c>
      <c r="H197" s="5" t="str">
        <f t="shared" si="25"/>
        <v/>
      </c>
      <c r="I197" s="5" t="str">
        <f t="shared" si="28"/>
        <v/>
      </c>
      <c r="J197" s="5" t="e">
        <f t="shared" si="29"/>
        <v>#VALUE!</v>
      </c>
    </row>
    <row r="198" spans="1:10">
      <c r="A198" s="4" t="str">
        <f t="shared" si="26"/>
        <v/>
      </c>
      <c r="B198" s="5" t="str">
        <f t="shared" si="30"/>
        <v/>
      </c>
      <c r="C198" s="16" t="str">
        <f t="shared" si="27"/>
        <v/>
      </c>
      <c r="D198" s="16" t="str">
        <f t="shared" si="21"/>
        <v/>
      </c>
      <c r="E198" s="16" t="str">
        <f t="shared" si="22"/>
        <v/>
      </c>
      <c r="F198" s="16" t="str">
        <f t="shared" si="23"/>
        <v/>
      </c>
      <c r="G198" s="16" t="str">
        <f t="shared" si="24"/>
        <v/>
      </c>
      <c r="H198" s="5" t="str">
        <f t="shared" si="25"/>
        <v/>
      </c>
      <c r="I198" s="5" t="str">
        <f t="shared" si="28"/>
        <v/>
      </c>
      <c r="J198" s="5" t="e">
        <f t="shared" si="29"/>
        <v>#VALUE!</v>
      </c>
    </row>
    <row r="199" spans="1:10">
      <c r="A199" s="4" t="str">
        <f t="shared" si="26"/>
        <v/>
      </c>
      <c r="B199" s="5" t="str">
        <f t="shared" si="30"/>
        <v/>
      </c>
      <c r="C199" s="16" t="str">
        <f t="shared" si="27"/>
        <v/>
      </c>
      <c r="D199" s="16" t="str">
        <f t="shared" si="21"/>
        <v/>
      </c>
      <c r="E199" s="16" t="str">
        <f t="shared" si="22"/>
        <v/>
      </c>
      <c r="F199" s="16" t="str">
        <f t="shared" si="23"/>
        <v/>
      </c>
      <c r="G199" s="16" t="str">
        <f t="shared" si="24"/>
        <v/>
      </c>
      <c r="H199" s="5" t="str">
        <f t="shared" si="25"/>
        <v/>
      </c>
      <c r="I199" s="5" t="str">
        <f t="shared" si="28"/>
        <v/>
      </c>
      <c r="J199" s="5" t="e">
        <f t="shared" si="29"/>
        <v>#VALUE!</v>
      </c>
    </row>
    <row r="200" spans="1:10">
      <c r="A200" s="4" t="str">
        <f t="shared" si="26"/>
        <v/>
      </c>
      <c r="B200" s="5" t="str">
        <f t="shared" si="30"/>
        <v/>
      </c>
      <c r="C200" s="16" t="str">
        <f t="shared" si="27"/>
        <v/>
      </c>
      <c r="D200" s="16" t="str">
        <f t="shared" si="21"/>
        <v/>
      </c>
      <c r="E200" s="16" t="str">
        <f t="shared" si="22"/>
        <v/>
      </c>
      <c r="F200" s="16" t="str">
        <f t="shared" si="23"/>
        <v/>
      </c>
      <c r="G200" s="16" t="str">
        <f t="shared" si="24"/>
        <v/>
      </c>
      <c r="H200" s="5" t="str">
        <f t="shared" si="25"/>
        <v/>
      </c>
      <c r="I200" s="5" t="str">
        <f t="shared" si="28"/>
        <v/>
      </c>
      <c r="J200" s="5" t="e">
        <f t="shared" si="29"/>
        <v>#VALUE!</v>
      </c>
    </row>
    <row r="201" spans="1:10">
      <c r="A201" s="4" t="str">
        <f t="shared" si="26"/>
        <v/>
      </c>
      <c r="B201" s="5" t="str">
        <f t="shared" si="30"/>
        <v/>
      </c>
      <c r="C201" s="16" t="str">
        <f t="shared" si="27"/>
        <v/>
      </c>
      <c r="D201" s="16" t="str">
        <f t="shared" si="21"/>
        <v/>
      </c>
      <c r="E201" s="16" t="str">
        <f t="shared" si="22"/>
        <v/>
      </c>
      <c r="F201" s="16" t="str">
        <f t="shared" si="23"/>
        <v/>
      </c>
      <c r="G201" s="16" t="str">
        <f t="shared" si="24"/>
        <v/>
      </c>
      <c r="H201" s="5" t="str">
        <f t="shared" si="25"/>
        <v/>
      </c>
      <c r="I201" s="5" t="str">
        <f t="shared" si="28"/>
        <v/>
      </c>
      <c r="J201" s="5" t="e">
        <f t="shared" si="29"/>
        <v>#VALUE!</v>
      </c>
    </row>
    <row r="202" spans="1:10">
      <c r="A202" s="4" t="str">
        <f t="shared" si="26"/>
        <v/>
      </c>
      <c r="B202" s="5" t="str">
        <f t="shared" si="30"/>
        <v/>
      </c>
      <c r="C202" s="16" t="str">
        <f t="shared" si="27"/>
        <v/>
      </c>
      <c r="D202" s="16" t="str">
        <f t="shared" si="21"/>
        <v/>
      </c>
      <c r="E202" s="16" t="str">
        <f t="shared" si="22"/>
        <v/>
      </c>
      <c r="F202" s="16" t="str">
        <f t="shared" si="23"/>
        <v/>
      </c>
      <c r="G202" s="16" t="str">
        <f t="shared" si="24"/>
        <v/>
      </c>
      <c r="H202" s="5" t="str">
        <f t="shared" si="25"/>
        <v/>
      </c>
      <c r="I202" s="5" t="str">
        <f t="shared" si="28"/>
        <v/>
      </c>
      <c r="J202" s="5" t="e">
        <f t="shared" si="29"/>
        <v>#VALUE!</v>
      </c>
    </row>
    <row r="203" spans="1:10">
      <c r="A203" s="4" t="str">
        <f t="shared" si="26"/>
        <v/>
      </c>
      <c r="B203" s="5" t="str">
        <f t="shared" si="30"/>
        <v/>
      </c>
      <c r="C203" s="16" t="str">
        <f t="shared" si="27"/>
        <v/>
      </c>
      <c r="D203" s="16" t="str">
        <f t="shared" si="21"/>
        <v/>
      </c>
      <c r="E203" s="16" t="str">
        <f t="shared" si="22"/>
        <v/>
      </c>
      <c r="F203" s="16" t="str">
        <f t="shared" si="23"/>
        <v/>
      </c>
      <c r="G203" s="16" t="str">
        <f t="shared" si="24"/>
        <v/>
      </c>
      <c r="H203" s="5" t="str">
        <f t="shared" si="25"/>
        <v/>
      </c>
      <c r="I203" s="5" t="str">
        <f t="shared" si="28"/>
        <v/>
      </c>
      <c r="J203" s="5" t="e">
        <f t="shared" si="29"/>
        <v>#VALUE!</v>
      </c>
    </row>
    <row r="204" spans="1:10">
      <c r="A204" s="4" t="str">
        <f t="shared" si="26"/>
        <v/>
      </c>
      <c r="B204" s="5" t="str">
        <f t="shared" si="30"/>
        <v/>
      </c>
      <c r="C204" s="16" t="str">
        <f t="shared" si="27"/>
        <v/>
      </c>
      <c r="D204" s="16" t="str">
        <f t="shared" ref="D204:D267" si="31">IF(A204&lt;=tc,$H$4*A204,IF(A204&lt;=2*tc,Qmax-$H$4*(A204-tc),""))</f>
        <v/>
      </c>
      <c r="E204" s="16" t="str">
        <f t="shared" ref="E204:E267" si="32">IF(A204&lt;=tc_1,$H$5*A204,IF(A204&lt;=tc,Q_max_i,IF(A204&lt;=tc_1+tc,Q_max_i-$H$5*(A204-(tc)),"")))</f>
        <v/>
      </c>
      <c r="F204" s="16" t="str">
        <f t="shared" ref="F204:F267" si="33">IF(A204="","",IF(ISERROR(D204/(Area*10^2)),"",D204/(Area*10^2)))</f>
        <v/>
      </c>
      <c r="G204" s="16" t="str">
        <f t="shared" ref="G204:G267" si="34">IF(A204="","",IF(ISERROR(E204/(Ad_i*10^2)),"",E204/(Ad_i*10^2)))</f>
        <v/>
      </c>
      <c r="H204" s="5" t="str">
        <f t="shared" ref="H204:H267" si="35">IF(G204="","",IF(ISERROR(G204*alot_i/100),"",G204*alot_i/100))</f>
        <v/>
      </c>
      <c r="I204" s="5" t="str">
        <f t="shared" si="28"/>
        <v/>
      </c>
      <c r="J204" s="5" t="e">
        <f t="shared" si="29"/>
        <v>#VALUE!</v>
      </c>
    </row>
    <row r="205" spans="1:10">
      <c r="A205" s="4" t="str">
        <f t="shared" ref="A205:A268" si="36">IF(ISERROR(IF(A204+Passo&lt;=tc+tc,A204+Passo,"")),"",IF(A204+Passo&lt;=tc+tc,A204+Passo,""))</f>
        <v/>
      </c>
      <c r="B205" s="5" t="str">
        <f t="shared" si="30"/>
        <v/>
      </c>
      <c r="C205" s="16" t="str">
        <f t="shared" ref="C205:C268" si="37">IF(ISERROR(IF(A205="","",C204+AVERAGE(B204:B205)*Passo*60/1000)),C204,IF(A205="","",C204+AVERAGE(B204:B205)*Passo*60/1000))</f>
        <v/>
      </c>
      <c r="D205" s="16" t="str">
        <f t="shared" si="31"/>
        <v/>
      </c>
      <c r="E205" s="16" t="str">
        <f t="shared" si="32"/>
        <v/>
      </c>
      <c r="F205" s="16" t="str">
        <f t="shared" si="33"/>
        <v/>
      </c>
      <c r="G205" s="16" t="str">
        <f t="shared" si="34"/>
        <v/>
      </c>
      <c r="H205" s="5" t="str">
        <f t="shared" si="35"/>
        <v/>
      </c>
      <c r="I205" s="5" t="str">
        <f t="shared" ref="I205:I268" si="38">IF(A205="","",IF(ISERROR(E205-H205),0,E205-H205))</f>
        <v/>
      </c>
      <c r="J205" s="5" t="e">
        <f t="shared" ref="J205:J268" si="39">I205+B205</f>
        <v>#VALUE!</v>
      </c>
    </row>
    <row r="206" spans="1:10">
      <c r="A206" s="4" t="str">
        <f t="shared" si="36"/>
        <v/>
      </c>
      <c r="B206" s="5" t="str">
        <f t="shared" ref="B206:B269" si="40">IF(ISERROR(IF(A206&lt;=tc_lot_i,declividade_afluente*A206,IF(A206&lt;=tc,Qmax_lot_i,IF(A206&lt;=tc+tc_lot_i,Qmax_lot_i-declividade_afluente*(A206-tc),"")))),"",IF(A206&lt;=tc_lot_i,declividade_afluente*A206,IF(A206&lt;=tc,Qmax_lot_i,IF(A206&lt;=tc+tc_lot_i,Qmax_lot_i-declividade_afluente*(A206-tc),""))))</f>
        <v/>
      </c>
      <c r="C206" s="16" t="str">
        <f t="shared" si="37"/>
        <v/>
      </c>
      <c r="D206" s="16" t="str">
        <f t="shared" si="31"/>
        <v/>
      </c>
      <c r="E206" s="16" t="str">
        <f t="shared" si="32"/>
        <v/>
      </c>
      <c r="F206" s="16" t="str">
        <f t="shared" si="33"/>
        <v/>
      </c>
      <c r="G206" s="16" t="str">
        <f t="shared" si="34"/>
        <v/>
      </c>
      <c r="H206" s="5" t="str">
        <f t="shared" si="35"/>
        <v/>
      </c>
      <c r="I206" s="5" t="str">
        <f t="shared" si="38"/>
        <v/>
      </c>
      <c r="J206" s="5" t="e">
        <f t="shared" si="39"/>
        <v>#VALUE!</v>
      </c>
    </row>
    <row r="207" spans="1:10">
      <c r="A207" s="4" t="str">
        <f t="shared" si="36"/>
        <v/>
      </c>
      <c r="B207" s="5" t="str">
        <f t="shared" si="40"/>
        <v/>
      </c>
      <c r="C207" s="16" t="str">
        <f t="shared" si="37"/>
        <v/>
      </c>
      <c r="D207" s="16" t="str">
        <f t="shared" si="31"/>
        <v/>
      </c>
      <c r="E207" s="16" t="str">
        <f t="shared" si="32"/>
        <v/>
      </c>
      <c r="F207" s="16" t="str">
        <f t="shared" si="33"/>
        <v/>
      </c>
      <c r="G207" s="16" t="str">
        <f t="shared" si="34"/>
        <v/>
      </c>
      <c r="H207" s="5" t="str">
        <f t="shared" si="35"/>
        <v/>
      </c>
      <c r="I207" s="5" t="str">
        <f t="shared" si="38"/>
        <v/>
      </c>
      <c r="J207" s="5" t="e">
        <f t="shared" si="39"/>
        <v>#VALUE!</v>
      </c>
    </row>
    <row r="208" spans="1:10">
      <c r="A208" s="4" t="str">
        <f t="shared" si="36"/>
        <v/>
      </c>
      <c r="B208" s="5" t="str">
        <f t="shared" si="40"/>
        <v/>
      </c>
      <c r="C208" s="16" t="str">
        <f t="shared" si="37"/>
        <v/>
      </c>
      <c r="D208" s="16" t="str">
        <f t="shared" si="31"/>
        <v/>
      </c>
      <c r="E208" s="16" t="str">
        <f t="shared" si="32"/>
        <v/>
      </c>
      <c r="F208" s="16" t="str">
        <f t="shared" si="33"/>
        <v/>
      </c>
      <c r="G208" s="16" t="str">
        <f t="shared" si="34"/>
        <v/>
      </c>
      <c r="H208" s="5" t="str">
        <f t="shared" si="35"/>
        <v/>
      </c>
      <c r="I208" s="5" t="str">
        <f t="shared" si="38"/>
        <v/>
      </c>
      <c r="J208" s="5" t="e">
        <f t="shared" si="39"/>
        <v>#VALUE!</v>
      </c>
    </row>
    <row r="209" spans="1:10">
      <c r="A209" s="4" t="str">
        <f t="shared" si="36"/>
        <v/>
      </c>
      <c r="B209" s="5" t="str">
        <f t="shared" si="40"/>
        <v/>
      </c>
      <c r="C209" s="16" t="str">
        <f t="shared" si="37"/>
        <v/>
      </c>
      <c r="D209" s="16" t="str">
        <f t="shared" si="31"/>
        <v/>
      </c>
      <c r="E209" s="16" t="str">
        <f t="shared" si="32"/>
        <v/>
      </c>
      <c r="F209" s="16" t="str">
        <f t="shared" si="33"/>
        <v/>
      </c>
      <c r="G209" s="16" t="str">
        <f t="shared" si="34"/>
        <v/>
      </c>
      <c r="H209" s="5" t="str">
        <f t="shared" si="35"/>
        <v/>
      </c>
      <c r="I209" s="5" t="str">
        <f t="shared" si="38"/>
        <v/>
      </c>
      <c r="J209" s="5" t="e">
        <f t="shared" si="39"/>
        <v>#VALUE!</v>
      </c>
    </row>
    <row r="210" spans="1:10">
      <c r="A210" s="4" t="str">
        <f t="shared" si="36"/>
        <v/>
      </c>
      <c r="B210" s="5" t="str">
        <f t="shared" si="40"/>
        <v/>
      </c>
      <c r="C210" s="16" t="str">
        <f t="shared" si="37"/>
        <v/>
      </c>
      <c r="D210" s="16" t="str">
        <f t="shared" si="31"/>
        <v/>
      </c>
      <c r="E210" s="16" t="str">
        <f t="shared" si="32"/>
        <v/>
      </c>
      <c r="F210" s="16" t="str">
        <f t="shared" si="33"/>
        <v/>
      </c>
      <c r="G210" s="16" t="str">
        <f t="shared" si="34"/>
        <v/>
      </c>
      <c r="H210" s="5" t="str">
        <f t="shared" si="35"/>
        <v/>
      </c>
      <c r="I210" s="5" t="str">
        <f t="shared" si="38"/>
        <v/>
      </c>
      <c r="J210" s="5" t="e">
        <f t="shared" si="39"/>
        <v>#VALUE!</v>
      </c>
    </row>
    <row r="211" spans="1:10">
      <c r="A211" s="4" t="str">
        <f t="shared" si="36"/>
        <v/>
      </c>
      <c r="B211" s="5" t="str">
        <f t="shared" si="40"/>
        <v/>
      </c>
      <c r="C211" s="16" t="str">
        <f t="shared" si="37"/>
        <v/>
      </c>
      <c r="D211" s="16" t="str">
        <f t="shared" si="31"/>
        <v/>
      </c>
      <c r="E211" s="16" t="str">
        <f t="shared" si="32"/>
        <v/>
      </c>
      <c r="F211" s="16" t="str">
        <f t="shared" si="33"/>
        <v/>
      </c>
      <c r="G211" s="16" t="str">
        <f t="shared" si="34"/>
        <v/>
      </c>
      <c r="H211" s="5" t="str">
        <f t="shared" si="35"/>
        <v/>
      </c>
      <c r="I211" s="5" t="str">
        <f t="shared" si="38"/>
        <v/>
      </c>
      <c r="J211" s="5" t="e">
        <f t="shared" si="39"/>
        <v>#VALUE!</v>
      </c>
    </row>
    <row r="212" spans="1:10">
      <c r="A212" s="4" t="str">
        <f t="shared" si="36"/>
        <v/>
      </c>
      <c r="B212" s="5" t="str">
        <f t="shared" si="40"/>
        <v/>
      </c>
      <c r="C212" s="16" t="str">
        <f t="shared" si="37"/>
        <v/>
      </c>
      <c r="D212" s="16" t="str">
        <f t="shared" si="31"/>
        <v/>
      </c>
      <c r="E212" s="16" t="str">
        <f t="shared" si="32"/>
        <v/>
      </c>
      <c r="F212" s="16" t="str">
        <f t="shared" si="33"/>
        <v/>
      </c>
      <c r="G212" s="16" t="str">
        <f t="shared" si="34"/>
        <v/>
      </c>
      <c r="H212" s="5" t="str">
        <f t="shared" si="35"/>
        <v/>
      </c>
      <c r="I212" s="5" t="str">
        <f t="shared" si="38"/>
        <v/>
      </c>
      <c r="J212" s="5" t="e">
        <f t="shared" si="39"/>
        <v>#VALUE!</v>
      </c>
    </row>
    <row r="213" spans="1:10">
      <c r="A213" s="4" t="str">
        <f t="shared" si="36"/>
        <v/>
      </c>
      <c r="B213" s="5" t="str">
        <f t="shared" si="40"/>
        <v/>
      </c>
      <c r="C213" s="16" t="str">
        <f t="shared" si="37"/>
        <v/>
      </c>
      <c r="D213" s="16" t="str">
        <f t="shared" si="31"/>
        <v/>
      </c>
      <c r="E213" s="16" t="str">
        <f t="shared" si="32"/>
        <v/>
      </c>
      <c r="F213" s="16" t="str">
        <f t="shared" si="33"/>
        <v/>
      </c>
      <c r="G213" s="16" t="str">
        <f t="shared" si="34"/>
        <v/>
      </c>
      <c r="H213" s="5" t="str">
        <f t="shared" si="35"/>
        <v/>
      </c>
      <c r="I213" s="5" t="str">
        <f t="shared" si="38"/>
        <v/>
      </c>
      <c r="J213" s="5" t="e">
        <f t="shared" si="39"/>
        <v>#VALUE!</v>
      </c>
    </row>
    <row r="214" spans="1:10">
      <c r="A214" s="4" t="str">
        <f t="shared" si="36"/>
        <v/>
      </c>
      <c r="B214" s="5" t="str">
        <f t="shared" si="40"/>
        <v/>
      </c>
      <c r="C214" s="16" t="str">
        <f t="shared" si="37"/>
        <v/>
      </c>
      <c r="D214" s="16" t="str">
        <f t="shared" si="31"/>
        <v/>
      </c>
      <c r="E214" s="16" t="str">
        <f t="shared" si="32"/>
        <v/>
      </c>
      <c r="F214" s="16" t="str">
        <f t="shared" si="33"/>
        <v/>
      </c>
      <c r="G214" s="16" t="str">
        <f t="shared" si="34"/>
        <v/>
      </c>
      <c r="H214" s="5" t="str">
        <f t="shared" si="35"/>
        <v/>
      </c>
      <c r="I214" s="5" t="str">
        <f t="shared" si="38"/>
        <v/>
      </c>
      <c r="J214" s="5" t="e">
        <f t="shared" si="39"/>
        <v>#VALUE!</v>
      </c>
    </row>
    <row r="215" spans="1:10">
      <c r="A215" s="4" t="str">
        <f t="shared" si="36"/>
        <v/>
      </c>
      <c r="B215" s="5" t="str">
        <f t="shared" si="40"/>
        <v/>
      </c>
      <c r="C215" s="16" t="str">
        <f t="shared" si="37"/>
        <v/>
      </c>
      <c r="D215" s="16" t="str">
        <f t="shared" si="31"/>
        <v/>
      </c>
      <c r="E215" s="16" t="str">
        <f t="shared" si="32"/>
        <v/>
      </c>
      <c r="F215" s="16" t="str">
        <f t="shared" si="33"/>
        <v/>
      </c>
      <c r="G215" s="16" t="str">
        <f t="shared" si="34"/>
        <v/>
      </c>
      <c r="H215" s="5" t="str">
        <f t="shared" si="35"/>
        <v/>
      </c>
      <c r="I215" s="5" t="str">
        <f t="shared" si="38"/>
        <v/>
      </c>
      <c r="J215" s="5" t="e">
        <f t="shared" si="39"/>
        <v>#VALUE!</v>
      </c>
    </row>
    <row r="216" spans="1:10">
      <c r="A216" s="4" t="str">
        <f t="shared" si="36"/>
        <v/>
      </c>
      <c r="B216" s="5" t="str">
        <f t="shared" si="40"/>
        <v/>
      </c>
      <c r="C216" s="16" t="str">
        <f t="shared" si="37"/>
        <v/>
      </c>
      <c r="D216" s="16" t="str">
        <f t="shared" si="31"/>
        <v/>
      </c>
      <c r="E216" s="16" t="str">
        <f t="shared" si="32"/>
        <v/>
      </c>
      <c r="F216" s="16" t="str">
        <f t="shared" si="33"/>
        <v/>
      </c>
      <c r="G216" s="16" t="str">
        <f t="shared" si="34"/>
        <v/>
      </c>
      <c r="H216" s="5" t="str">
        <f t="shared" si="35"/>
        <v/>
      </c>
      <c r="I216" s="5" t="str">
        <f t="shared" si="38"/>
        <v/>
      </c>
      <c r="J216" s="5" t="e">
        <f t="shared" si="39"/>
        <v>#VALUE!</v>
      </c>
    </row>
    <row r="217" spans="1:10">
      <c r="A217" s="4" t="str">
        <f t="shared" si="36"/>
        <v/>
      </c>
      <c r="B217" s="5" t="str">
        <f t="shared" si="40"/>
        <v/>
      </c>
      <c r="C217" s="16" t="str">
        <f t="shared" si="37"/>
        <v/>
      </c>
      <c r="D217" s="16" t="str">
        <f t="shared" si="31"/>
        <v/>
      </c>
      <c r="E217" s="16" t="str">
        <f t="shared" si="32"/>
        <v/>
      </c>
      <c r="F217" s="16" t="str">
        <f t="shared" si="33"/>
        <v/>
      </c>
      <c r="G217" s="16" t="str">
        <f t="shared" si="34"/>
        <v/>
      </c>
      <c r="H217" s="5" t="str">
        <f t="shared" si="35"/>
        <v/>
      </c>
      <c r="I217" s="5" t="str">
        <f t="shared" si="38"/>
        <v/>
      </c>
      <c r="J217" s="5" t="e">
        <f t="shared" si="39"/>
        <v>#VALUE!</v>
      </c>
    </row>
    <row r="218" spans="1:10">
      <c r="A218" s="4" t="str">
        <f t="shared" si="36"/>
        <v/>
      </c>
      <c r="B218" s="5" t="str">
        <f t="shared" si="40"/>
        <v/>
      </c>
      <c r="C218" s="16" t="str">
        <f t="shared" si="37"/>
        <v/>
      </c>
      <c r="D218" s="16" t="str">
        <f t="shared" si="31"/>
        <v/>
      </c>
      <c r="E218" s="16" t="str">
        <f t="shared" si="32"/>
        <v/>
      </c>
      <c r="F218" s="16" t="str">
        <f t="shared" si="33"/>
        <v/>
      </c>
      <c r="G218" s="16" t="str">
        <f t="shared" si="34"/>
        <v/>
      </c>
      <c r="H218" s="5" t="str">
        <f t="shared" si="35"/>
        <v/>
      </c>
      <c r="I218" s="5" t="str">
        <f t="shared" si="38"/>
        <v/>
      </c>
      <c r="J218" s="5" t="e">
        <f t="shared" si="39"/>
        <v>#VALUE!</v>
      </c>
    </row>
    <row r="219" spans="1:10">
      <c r="A219" s="4" t="str">
        <f t="shared" si="36"/>
        <v/>
      </c>
      <c r="B219" s="5" t="str">
        <f t="shared" si="40"/>
        <v/>
      </c>
      <c r="C219" s="16" t="str">
        <f t="shared" si="37"/>
        <v/>
      </c>
      <c r="D219" s="16" t="str">
        <f t="shared" si="31"/>
        <v/>
      </c>
      <c r="E219" s="16" t="str">
        <f t="shared" si="32"/>
        <v/>
      </c>
      <c r="F219" s="16" t="str">
        <f t="shared" si="33"/>
        <v/>
      </c>
      <c r="G219" s="16" t="str">
        <f t="shared" si="34"/>
        <v/>
      </c>
      <c r="H219" s="5" t="str">
        <f t="shared" si="35"/>
        <v/>
      </c>
      <c r="I219" s="5" t="str">
        <f t="shared" si="38"/>
        <v/>
      </c>
      <c r="J219" s="5" t="e">
        <f t="shared" si="39"/>
        <v>#VALUE!</v>
      </c>
    </row>
    <row r="220" spans="1:10">
      <c r="A220" s="4" t="str">
        <f t="shared" si="36"/>
        <v/>
      </c>
      <c r="B220" s="5" t="str">
        <f t="shared" si="40"/>
        <v/>
      </c>
      <c r="C220" s="16" t="str">
        <f t="shared" si="37"/>
        <v/>
      </c>
      <c r="D220" s="16" t="str">
        <f t="shared" si="31"/>
        <v/>
      </c>
      <c r="E220" s="16" t="str">
        <f t="shared" si="32"/>
        <v/>
      </c>
      <c r="F220" s="16" t="str">
        <f t="shared" si="33"/>
        <v/>
      </c>
      <c r="G220" s="16" t="str">
        <f t="shared" si="34"/>
        <v/>
      </c>
      <c r="H220" s="5" t="str">
        <f t="shared" si="35"/>
        <v/>
      </c>
      <c r="I220" s="5" t="str">
        <f t="shared" si="38"/>
        <v/>
      </c>
      <c r="J220" s="5" t="e">
        <f t="shared" si="39"/>
        <v>#VALUE!</v>
      </c>
    </row>
    <row r="221" spans="1:10">
      <c r="A221" s="4" t="str">
        <f t="shared" si="36"/>
        <v/>
      </c>
      <c r="B221" s="5" t="str">
        <f t="shared" si="40"/>
        <v/>
      </c>
      <c r="C221" s="16" t="str">
        <f t="shared" si="37"/>
        <v/>
      </c>
      <c r="D221" s="16" t="str">
        <f t="shared" si="31"/>
        <v/>
      </c>
      <c r="E221" s="16" t="str">
        <f t="shared" si="32"/>
        <v/>
      </c>
      <c r="F221" s="16" t="str">
        <f t="shared" si="33"/>
        <v/>
      </c>
      <c r="G221" s="16" t="str">
        <f t="shared" si="34"/>
        <v/>
      </c>
      <c r="H221" s="5" t="str">
        <f t="shared" si="35"/>
        <v/>
      </c>
      <c r="I221" s="5" t="str">
        <f t="shared" si="38"/>
        <v/>
      </c>
      <c r="J221" s="5" t="e">
        <f t="shared" si="39"/>
        <v>#VALUE!</v>
      </c>
    </row>
    <row r="222" spans="1:10">
      <c r="A222" s="4" t="str">
        <f t="shared" si="36"/>
        <v/>
      </c>
      <c r="B222" s="5" t="str">
        <f t="shared" si="40"/>
        <v/>
      </c>
      <c r="C222" s="16" t="str">
        <f t="shared" si="37"/>
        <v/>
      </c>
      <c r="D222" s="16" t="str">
        <f t="shared" si="31"/>
        <v/>
      </c>
      <c r="E222" s="16" t="str">
        <f t="shared" si="32"/>
        <v/>
      </c>
      <c r="F222" s="16" t="str">
        <f t="shared" si="33"/>
        <v/>
      </c>
      <c r="G222" s="16" t="str">
        <f t="shared" si="34"/>
        <v/>
      </c>
      <c r="H222" s="5" t="str">
        <f t="shared" si="35"/>
        <v/>
      </c>
      <c r="I222" s="5" t="str">
        <f t="shared" si="38"/>
        <v/>
      </c>
      <c r="J222" s="5" t="e">
        <f t="shared" si="39"/>
        <v>#VALUE!</v>
      </c>
    </row>
    <row r="223" spans="1:10">
      <c r="A223" s="4" t="str">
        <f t="shared" si="36"/>
        <v/>
      </c>
      <c r="B223" s="5" t="str">
        <f t="shared" si="40"/>
        <v/>
      </c>
      <c r="C223" s="16" t="str">
        <f t="shared" si="37"/>
        <v/>
      </c>
      <c r="D223" s="16" t="str">
        <f t="shared" si="31"/>
        <v/>
      </c>
      <c r="E223" s="16" t="str">
        <f t="shared" si="32"/>
        <v/>
      </c>
      <c r="F223" s="16" t="str">
        <f t="shared" si="33"/>
        <v/>
      </c>
      <c r="G223" s="16" t="str">
        <f t="shared" si="34"/>
        <v/>
      </c>
      <c r="H223" s="5" t="str">
        <f t="shared" si="35"/>
        <v/>
      </c>
      <c r="I223" s="5" t="str">
        <f t="shared" si="38"/>
        <v/>
      </c>
      <c r="J223" s="5" t="e">
        <f t="shared" si="39"/>
        <v>#VALUE!</v>
      </c>
    </row>
    <row r="224" spans="1:10">
      <c r="A224" s="4" t="str">
        <f t="shared" si="36"/>
        <v/>
      </c>
      <c r="B224" s="5" t="str">
        <f t="shared" si="40"/>
        <v/>
      </c>
      <c r="C224" s="16" t="str">
        <f t="shared" si="37"/>
        <v/>
      </c>
      <c r="D224" s="16" t="str">
        <f t="shared" si="31"/>
        <v/>
      </c>
      <c r="E224" s="16" t="str">
        <f t="shared" si="32"/>
        <v/>
      </c>
      <c r="F224" s="16" t="str">
        <f t="shared" si="33"/>
        <v/>
      </c>
      <c r="G224" s="16" t="str">
        <f t="shared" si="34"/>
        <v/>
      </c>
      <c r="H224" s="5" t="str">
        <f t="shared" si="35"/>
        <v/>
      </c>
      <c r="I224" s="5" t="str">
        <f t="shared" si="38"/>
        <v/>
      </c>
      <c r="J224" s="5" t="e">
        <f t="shared" si="39"/>
        <v>#VALUE!</v>
      </c>
    </row>
    <row r="225" spans="1:10">
      <c r="A225" s="4" t="str">
        <f t="shared" si="36"/>
        <v/>
      </c>
      <c r="B225" s="5" t="str">
        <f t="shared" si="40"/>
        <v/>
      </c>
      <c r="C225" s="16" t="str">
        <f t="shared" si="37"/>
        <v/>
      </c>
      <c r="D225" s="16" t="str">
        <f t="shared" si="31"/>
        <v/>
      </c>
      <c r="E225" s="16" t="str">
        <f t="shared" si="32"/>
        <v/>
      </c>
      <c r="F225" s="16" t="str">
        <f t="shared" si="33"/>
        <v/>
      </c>
      <c r="G225" s="16" t="str">
        <f t="shared" si="34"/>
        <v/>
      </c>
      <c r="H225" s="5" t="str">
        <f t="shared" si="35"/>
        <v/>
      </c>
      <c r="I225" s="5" t="str">
        <f t="shared" si="38"/>
        <v/>
      </c>
      <c r="J225" s="5" t="e">
        <f t="shared" si="39"/>
        <v>#VALUE!</v>
      </c>
    </row>
    <row r="226" spans="1:10">
      <c r="A226" s="4" t="str">
        <f t="shared" si="36"/>
        <v/>
      </c>
      <c r="B226" s="5" t="str">
        <f t="shared" si="40"/>
        <v/>
      </c>
      <c r="C226" s="16" t="str">
        <f t="shared" si="37"/>
        <v/>
      </c>
      <c r="D226" s="16" t="str">
        <f t="shared" si="31"/>
        <v/>
      </c>
      <c r="E226" s="16" t="str">
        <f t="shared" si="32"/>
        <v/>
      </c>
      <c r="F226" s="16" t="str">
        <f t="shared" si="33"/>
        <v/>
      </c>
      <c r="G226" s="16" t="str">
        <f t="shared" si="34"/>
        <v/>
      </c>
      <c r="H226" s="5" t="str">
        <f t="shared" si="35"/>
        <v/>
      </c>
      <c r="I226" s="5" t="str">
        <f t="shared" si="38"/>
        <v/>
      </c>
      <c r="J226" s="5" t="e">
        <f t="shared" si="39"/>
        <v>#VALUE!</v>
      </c>
    </row>
    <row r="227" spans="1:10">
      <c r="A227" s="4" t="str">
        <f t="shared" si="36"/>
        <v/>
      </c>
      <c r="B227" s="5" t="str">
        <f t="shared" si="40"/>
        <v/>
      </c>
      <c r="C227" s="16" t="str">
        <f t="shared" si="37"/>
        <v/>
      </c>
      <c r="D227" s="16" t="str">
        <f t="shared" si="31"/>
        <v/>
      </c>
      <c r="E227" s="16" t="str">
        <f t="shared" si="32"/>
        <v/>
      </c>
      <c r="F227" s="16" t="str">
        <f t="shared" si="33"/>
        <v/>
      </c>
      <c r="G227" s="16" t="str">
        <f t="shared" si="34"/>
        <v/>
      </c>
      <c r="H227" s="5" t="str">
        <f t="shared" si="35"/>
        <v/>
      </c>
      <c r="I227" s="5" t="str">
        <f t="shared" si="38"/>
        <v/>
      </c>
      <c r="J227" s="5" t="e">
        <f t="shared" si="39"/>
        <v>#VALUE!</v>
      </c>
    </row>
    <row r="228" spans="1:10">
      <c r="A228" s="4" t="str">
        <f t="shared" si="36"/>
        <v/>
      </c>
      <c r="B228" s="5" t="str">
        <f t="shared" si="40"/>
        <v/>
      </c>
      <c r="C228" s="16" t="str">
        <f t="shared" si="37"/>
        <v/>
      </c>
      <c r="D228" s="16" t="str">
        <f t="shared" si="31"/>
        <v/>
      </c>
      <c r="E228" s="16" t="str">
        <f t="shared" si="32"/>
        <v/>
      </c>
      <c r="F228" s="16" t="str">
        <f t="shared" si="33"/>
        <v/>
      </c>
      <c r="G228" s="16" t="str">
        <f t="shared" si="34"/>
        <v/>
      </c>
      <c r="H228" s="5" t="str">
        <f t="shared" si="35"/>
        <v/>
      </c>
      <c r="I228" s="5" t="str">
        <f t="shared" si="38"/>
        <v/>
      </c>
      <c r="J228" s="5" t="e">
        <f t="shared" si="39"/>
        <v>#VALUE!</v>
      </c>
    </row>
    <row r="229" spans="1:10">
      <c r="A229" s="4" t="str">
        <f t="shared" si="36"/>
        <v/>
      </c>
      <c r="B229" s="5" t="str">
        <f t="shared" si="40"/>
        <v/>
      </c>
      <c r="C229" s="16" t="str">
        <f t="shared" si="37"/>
        <v/>
      </c>
      <c r="D229" s="16" t="str">
        <f t="shared" si="31"/>
        <v/>
      </c>
      <c r="E229" s="16" t="str">
        <f t="shared" si="32"/>
        <v/>
      </c>
      <c r="F229" s="16" t="str">
        <f t="shared" si="33"/>
        <v/>
      </c>
      <c r="G229" s="16" t="str">
        <f t="shared" si="34"/>
        <v/>
      </c>
      <c r="H229" s="5" t="str">
        <f t="shared" si="35"/>
        <v/>
      </c>
      <c r="I229" s="5" t="str">
        <f t="shared" si="38"/>
        <v/>
      </c>
      <c r="J229" s="5" t="e">
        <f t="shared" si="39"/>
        <v>#VALUE!</v>
      </c>
    </row>
    <row r="230" spans="1:10">
      <c r="A230" s="4" t="str">
        <f t="shared" si="36"/>
        <v/>
      </c>
      <c r="B230" s="5" t="str">
        <f t="shared" si="40"/>
        <v/>
      </c>
      <c r="C230" s="16" t="str">
        <f t="shared" si="37"/>
        <v/>
      </c>
      <c r="D230" s="16" t="str">
        <f t="shared" si="31"/>
        <v/>
      </c>
      <c r="E230" s="16" t="str">
        <f t="shared" si="32"/>
        <v/>
      </c>
      <c r="F230" s="16" t="str">
        <f t="shared" si="33"/>
        <v/>
      </c>
      <c r="G230" s="16" t="str">
        <f t="shared" si="34"/>
        <v/>
      </c>
      <c r="H230" s="5" t="str">
        <f t="shared" si="35"/>
        <v/>
      </c>
      <c r="I230" s="5" t="str">
        <f t="shared" si="38"/>
        <v/>
      </c>
      <c r="J230" s="5" t="e">
        <f t="shared" si="39"/>
        <v>#VALUE!</v>
      </c>
    </row>
    <row r="231" spans="1:10">
      <c r="A231" s="4" t="str">
        <f t="shared" si="36"/>
        <v/>
      </c>
      <c r="B231" s="5" t="str">
        <f t="shared" si="40"/>
        <v/>
      </c>
      <c r="C231" s="16" t="str">
        <f t="shared" si="37"/>
        <v/>
      </c>
      <c r="D231" s="16" t="str">
        <f t="shared" si="31"/>
        <v/>
      </c>
      <c r="E231" s="16" t="str">
        <f t="shared" si="32"/>
        <v/>
      </c>
      <c r="F231" s="16" t="str">
        <f t="shared" si="33"/>
        <v/>
      </c>
      <c r="G231" s="16" t="str">
        <f t="shared" si="34"/>
        <v/>
      </c>
      <c r="H231" s="5" t="str">
        <f t="shared" si="35"/>
        <v/>
      </c>
      <c r="I231" s="5" t="str">
        <f t="shared" si="38"/>
        <v/>
      </c>
      <c r="J231" s="5" t="e">
        <f t="shared" si="39"/>
        <v>#VALUE!</v>
      </c>
    </row>
    <row r="232" spans="1:10">
      <c r="A232" s="4" t="str">
        <f t="shared" si="36"/>
        <v/>
      </c>
      <c r="B232" s="5" t="str">
        <f t="shared" si="40"/>
        <v/>
      </c>
      <c r="C232" s="16" t="str">
        <f t="shared" si="37"/>
        <v/>
      </c>
      <c r="D232" s="16" t="str">
        <f t="shared" si="31"/>
        <v/>
      </c>
      <c r="E232" s="16" t="str">
        <f t="shared" si="32"/>
        <v/>
      </c>
      <c r="F232" s="16" t="str">
        <f t="shared" si="33"/>
        <v/>
      </c>
      <c r="G232" s="16" t="str">
        <f t="shared" si="34"/>
        <v/>
      </c>
      <c r="H232" s="5" t="str">
        <f t="shared" si="35"/>
        <v/>
      </c>
      <c r="I232" s="5" t="str">
        <f t="shared" si="38"/>
        <v/>
      </c>
      <c r="J232" s="5" t="e">
        <f t="shared" si="39"/>
        <v>#VALUE!</v>
      </c>
    </row>
    <row r="233" spans="1:10">
      <c r="A233" s="4" t="str">
        <f t="shared" si="36"/>
        <v/>
      </c>
      <c r="B233" s="5" t="str">
        <f t="shared" si="40"/>
        <v/>
      </c>
      <c r="C233" s="16" t="str">
        <f t="shared" si="37"/>
        <v/>
      </c>
      <c r="D233" s="16" t="str">
        <f t="shared" si="31"/>
        <v/>
      </c>
      <c r="E233" s="16" t="str">
        <f t="shared" si="32"/>
        <v/>
      </c>
      <c r="F233" s="16" t="str">
        <f t="shared" si="33"/>
        <v/>
      </c>
      <c r="G233" s="16" t="str">
        <f t="shared" si="34"/>
        <v/>
      </c>
      <c r="H233" s="5" t="str">
        <f t="shared" si="35"/>
        <v/>
      </c>
      <c r="I233" s="5" t="str">
        <f t="shared" si="38"/>
        <v/>
      </c>
      <c r="J233" s="5" t="e">
        <f t="shared" si="39"/>
        <v>#VALUE!</v>
      </c>
    </row>
    <row r="234" spans="1:10">
      <c r="A234" s="4" t="str">
        <f t="shared" si="36"/>
        <v/>
      </c>
      <c r="B234" s="5" t="str">
        <f t="shared" si="40"/>
        <v/>
      </c>
      <c r="C234" s="16" t="str">
        <f t="shared" si="37"/>
        <v/>
      </c>
      <c r="D234" s="16" t="str">
        <f t="shared" si="31"/>
        <v/>
      </c>
      <c r="E234" s="16" t="str">
        <f t="shared" si="32"/>
        <v/>
      </c>
      <c r="F234" s="16" t="str">
        <f t="shared" si="33"/>
        <v/>
      </c>
      <c r="G234" s="16" t="str">
        <f t="shared" si="34"/>
        <v/>
      </c>
      <c r="H234" s="5" t="str">
        <f t="shared" si="35"/>
        <v/>
      </c>
      <c r="I234" s="5" t="str">
        <f t="shared" si="38"/>
        <v/>
      </c>
      <c r="J234" s="5" t="e">
        <f t="shared" si="39"/>
        <v>#VALUE!</v>
      </c>
    </row>
    <row r="235" spans="1:10">
      <c r="A235" s="4" t="str">
        <f t="shared" si="36"/>
        <v/>
      </c>
      <c r="B235" s="5" t="str">
        <f t="shared" si="40"/>
        <v/>
      </c>
      <c r="C235" s="16" t="str">
        <f t="shared" si="37"/>
        <v/>
      </c>
      <c r="D235" s="16" t="str">
        <f t="shared" si="31"/>
        <v/>
      </c>
      <c r="E235" s="16" t="str">
        <f t="shared" si="32"/>
        <v/>
      </c>
      <c r="F235" s="16" t="str">
        <f t="shared" si="33"/>
        <v/>
      </c>
      <c r="G235" s="16" t="str">
        <f t="shared" si="34"/>
        <v/>
      </c>
      <c r="H235" s="5" t="str">
        <f t="shared" si="35"/>
        <v/>
      </c>
      <c r="I235" s="5" t="str">
        <f t="shared" si="38"/>
        <v/>
      </c>
      <c r="J235" s="5" t="e">
        <f t="shared" si="39"/>
        <v>#VALUE!</v>
      </c>
    </row>
    <row r="236" spans="1:10">
      <c r="A236" s="4" t="str">
        <f t="shared" si="36"/>
        <v/>
      </c>
      <c r="B236" s="5" t="str">
        <f t="shared" si="40"/>
        <v/>
      </c>
      <c r="C236" s="16" t="str">
        <f t="shared" si="37"/>
        <v/>
      </c>
      <c r="D236" s="16" t="str">
        <f t="shared" si="31"/>
        <v/>
      </c>
      <c r="E236" s="16" t="str">
        <f t="shared" si="32"/>
        <v/>
      </c>
      <c r="F236" s="16" t="str">
        <f t="shared" si="33"/>
        <v/>
      </c>
      <c r="G236" s="16" t="str">
        <f t="shared" si="34"/>
        <v/>
      </c>
      <c r="H236" s="5" t="str">
        <f t="shared" si="35"/>
        <v/>
      </c>
      <c r="I236" s="5" t="str">
        <f t="shared" si="38"/>
        <v/>
      </c>
      <c r="J236" s="5" t="e">
        <f t="shared" si="39"/>
        <v>#VALUE!</v>
      </c>
    </row>
    <row r="237" spans="1:10">
      <c r="A237" s="4" t="str">
        <f t="shared" si="36"/>
        <v/>
      </c>
      <c r="B237" s="5" t="str">
        <f t="shared" si="40"/>
        <v/>
      </c>
      <c r="C237" s="16" t="str">
        <f t="shared" si="37"/>
        <v/>
      </c>
      <c r="D237" s="16" t="str">
        <f t="shared" si="31"/>
        <v/>
      </c>
      <c r="E237" s="16" t="str">
        <f t="shared" si="32"/>
        <v/>
      </c>
      <c r="F237" s="16" t="str">
        <f t="shared" si="33"/>
        <v/>
      </c>
      <c r="G237" s="16" t="str">
        <f t="shared" si="34"/>
        <v/>
      </c>
      <c r="H237" s="5" t="str">
        <f t="shared" si="35"/>
        <v/>
      </c>
      <c r="I237" s="5" t="str">
        <f t="shared" si="38"/>
        <v/>
      </c>
      <c r="J237" s="5" t="e">
        <f t="shared" si="39"/>
        <v>#VALUE!</v>
      </c>
    </row>
    <row r="238" spans="1:10">
      <c r="A238" s="4" t="str">
        <f t="shared" si="36"/>
        <v/>
      </c>
      <c r="B238" s="5" t="str">
        <f t="shared" si="40"/>
        <v/>
      </c>
      <c r="C238" s="16" t="str">
        <f t="shared" si="37"/>
        <v/>
      </c>
      <c r="D238" s="16" t="str">
        <f t="shared" si="31"/>
        <v/>
      </c>
      <c r="E238" s="16" t="str">
        <f t="shared" si="32"/>
        <v/>
      </c>
      <c r="F238" s="16" t="str">
        <f t="shared" si="33"/>
        <v/>
      </c>
      <c r="G238" s="16" t="str">
        <f t="shared" si="34"/>
        <v/>
      </c>
      <c r="H238" s="5" t="str">
        <f t="shared" si="35"/>
        <v/>
      </c>
      <c r="I238" s="5" t="str">
        <f t="shared" si="38"/>
        <v/>
      </c>
      <c r="J238" s="5" t="e">
        <f t="shared" si="39"/>
        <v>#VALUE!</v>
      </c>
    </row>
    <row r="239" spans="1:10">
      <c r="A239" s="4" t="str">
        <f t="shared" si="36"/>
        <v/>
      </c>
      <c r="B239" s="5" t="str">
        <f t="shared" si="40"/>
        <v/>
      </c>
      <c r="C239" s="16" t="str">
        <f t="shared" si="37"/>
        <v/>
      </c>
      <c r="D239" s="16" t="str">
        <f t="shared" si="31"/>
        <v/>
      </c>
      <c r="E239" s="16" t="str">
        <f t="shared" si="32"/>
        <v/>
      </c>
      <c r="F239" s="16" t="str">
        <f t="shared" si="33"/>
        <v/>
      </c>
      <c r="G239" s="16" t="str">
        <f t="shared" si="34"/>
        <v/>
      </c>
      <c r="H239" s="5" t="str">
        <f t="shared" si="35"/>
        <v/>
      </c>
      <c r="I239" s="5" t="str">
        <f t="shared" si="38"/>
        <v/>
      </c>
      <c r="J239" s="5" t="e">
        <f t="shared" si="39"/>
        <v>#VALUE!</v>
      </c>
    </row>
    <row r="240" spans="1:10">
      <c r="A240" s="4" t="str">
        <f t="shared" si="36"/>
        <v/>
      </c>
      <c r="B240" s="5" t="str">
        <f t="shared" si="40"/>
        <v/>
      </c>
      <c r="C240" s="16" t="str">
        <f t="shared" si="37"/>
        <v/>
      </c>
      <c r="D240" s="16" t="str">
        <f t="shared" si="31"/>
        <v/>
      </c>
      <c r="E240" s="16" t="str">
        <f t="shared" si="32"/>
        <v/>
      </c>
      <c r="F240" s="16" t="str">
        <f t="shared" si="33"/>
        <v/>
      </c>
      <c r="G240" s="16" t="str">
        <f t="shared" si="34"/>
        <v/>
      </c>
      <c r="H240" s="5" t="str">
        <f t="shared" si="35"/>
        <v/>
      </c>
      <c r="I240" s="5" t="str">
        <f t="shared" si="38"/>
        <v/>
      </c>
      <c r="J240" s="5" t="e">
        <f t="shared" si="39"/>
        <v>#VALUE!</v>
      </c>
    </row>
    <row r="241" spans="1:10">
      <c r="A241" s="4" t="str">
        <f t="shared" si="36"/>
        <v/>
      </c>
      <c r="B241" s="5" t="str">
        <f t="shared" si="40"/>
        <v/>
      </c>
      <c r="C241" s="16" t="str">
        <f t="shared" si="37"/>
        <v/>
      </c>
      <c r="D241" s="16" t="str">
        <f t="shared" si="31"/>
        <v/>
      </c>
      <c r="E241" s="16" t="str">
        <f t="shared" si="32"/>
        <v/>
      </c>
      <c r="F241" s="16" t="str">
        <f t="shared" si="33"/>
        <v/>
      </c>
      <c r="G241" s="16" t="str">
        <f t="shared" si="34"/>
        <v/>
      </c>
      <c r="H241" s="5" t="str">
        <f t="shared" si="35"/>
        <v/>
      </c>
      <c r="I241" s="5" t="str">
        <f t="shared" si="38"/>
        <v/>
      </c>
      <c r="J241" s="5" t="e">
        <f t="shared" si="39"/>
        <v>#VALUE!</v>
      </c>
    </row>
    <row r="242" spans="1:10">
      <c r="A242" s="4" t="str">
        <f t="shared" si="36"/>
        <v/>
      </c>
      <c r="B242" s="5" t="str">
        <f t="shared" si="40"/>
        <v/>
      </c>
      <c r="C242" s="16" t="str">
        <f t="shared" si="37"/>
        <v/>
      </c>
      <c r="D242" s="16" t="str">
        <f t="shared" si="31"/>
        <v/>
      </c>
      <c r="E242" s="16" t="str">
        <f t="shared" si="32"/>
        <v/>
      </c>
      <c r="F242" s="16" t="str">
        <f t="shared" si="33"/>
        <v/>
      </c>
      <c r="G242" s="16" t="str">
        <f t="shared" si="34"/>
        <v/>
      </c>
      <c r="H242" s="5" t="str">
        <f t="shared" si="35"/>
        <v/>
      </c>
      <c r="I242" s="5" t="str">
        <f t="shared" si="38"/>
        <v/>
      </c>
      <c r="J242" s="5" t="e">
        <f t="shared" si="39"/>
        <v>#VALUE!</v>
      </c>
    </row>
    <row r="243" spans="1:10">
      <c r="A243" s="4" t="str">
        <f t="shared" si="36"/>
        <v/>
      </c>
      <c r="B243" s="5" t="str">
        <f t="shared" si="40"/>
        <v/>
      </c>
      <c r="C243" s="16" t="str">
        <f t="shared" si="37"/>
        <v/>
      </c>
      <c r="D243" s="16" t="str">
        <f t="shared" si="31"/>
        <v/>
      </c>
      <c r="E243" s="16" t="str">
        <f t="shared" si="32"/>
        <v/>
      </c>
      <c r="F243" s="16" t="str">
        <f t="shared" si="33"/>
        <v/>
      </c>
      <c r="G243" s="16" t="str">
        <f t="shared" si="34"/>
        <v/>
      </c>
      <c r="H243" s="5" t="str">
        <f t="shared" si="35"/>
        <v/>
      </c>
      <c r="I243" s="5" t="str">
        <f t="shared" si="38"/>
        <v/>
      </c>
      <c r="J243" s="5" t="e">
        <f t="shared" si="39"/>
        <v>#VALUE!</v>
      </c>
    </row>
    <row r="244" spans="1:10">
      <c r="A244" s="4" t="str">
        <f t="shared" si="36"/>
        <v/>
      </c>
      <c r="B244" s="5" t="str">
        <f t="shared" si="40"/>
        <v/>
      </c>
      <c r="C244" s="16" t="str">
        <f t="shared" si="37"/>
        <v/>
      </c>
      <c r="D244" s="16" t="str">
        <f t="shared" si="31"/>
        <v/>
      </c>
      <c r="E244" s="16" t="str">
        <f t="shared" si="32"/>
        <v/>
      </c>
      <c r="F244" s="16" t="str">
        <f t="shared" si="33"/>
        <v/>
      </c>
      <c r="G244" s="16" t="str">
        <f t="shared" si="34"/>
        <v/>
      </c>
      <c r="H244" s="5" t="str">
        <f t="shared" si="35"/>
        <v/>
      </c>
      <c r="I244" s="5" t="str">
        <f t="shared" si="38"/>
        <v/>
      </c>
      <c r="J244" s="5" t="e">
        <f t="shared" si="39"/>
        <v>#VALUE!</v>
      </c>
    </row>
    <row r="245" spans="1:10">
      <c r="A245" s="4" t="str">
        <f t="shared" si="36"/>
        <v/>
      </c>
      <c r="B245" s="5" t="str">
        <f t="shared" si="40"/>
        <v/>
      </c>
      <c r="C245" s="16" t="str">
        <f t="shared" si="37"/>
        <v/>
      </c>
      <c r="D245" s="16" t="str">
        <f t="shared" si="31"/>
        <v/>
      </c>
      <c r="E245" s="16" t="str">
        <f t="shared" si="32"/>
        <v/>
      </c>
      <c r="F245" s="16" t="str">
        <f t="shared" si="33"/>
        <v/>
      </c>
      <c r="G245" s="16" t="str">
        <f t="shared" si="34"/>
        <v/>
      </c>
      <c r="H245" s="5" t="str">
        <f t="shared" si="35"/>
        <v/>
      </c>
      <c r="I245" s="5" t="str">
        <f t="shared" si="38"/>
        <v/>
      </c>
      <c r="J245" s="5" t="e">
        <f t="shared" si="39"/>
        <v>#VALUE!</v>
      </c>
    </row>
    <row r="246" spans="1:10">
      <c r="A246" s="4" t="str">
        <f t="shared" si="36"/>
        <v/>
      </c>
      <c r="B246" s="5" t="str">
        <f t="shared" si="40"/>
        <v/>
      </c>
      <c r="C246" s="16" t="str">
        <f t="shared" si="37"/>
        <v/>
      </c>
      <c r="D246" s="16" t="str">
        <f t="shared" si="31"/>
        <v/>
      </c>
      <c r="E246" s="16" t="str">
        <f t="shared" si="32"/>
        <v/>
      </c>
      <c r="F246" s="16" t="str">
        <f t="shared" si="33"/>
        <v/>
      </c>
      <c r="G246" s="16" t="str">
        <f t="shared" si="34"/>
        <v/>
      </c>
      <c r="H246" s="5" t="str">
        <f t="shared" si="35"/>
        <v/>
      </c>
      <c r="I246" s="5" t="str">
        <f t="shared" si="38"/>
        <v/>
      </c>
      <c r="J246" s="5" t="e">
        <f t="shared" si="39"/>
        <v>#VALUE!</v>
      </c>
    </row>
    <row r="247" spans="1:10">
      <c r="A247" s="4" t="str">
        <f t="shared" si="36"/>
        <v/>
      </c>
      <c r="B247" s="5" t="str">
        <f t="shared" si="40"/>
        <v/>
      </c>
      <c r="C247" s="16" t="str">
        <f t="shared" si="37"/>
        <v/>
      </c>
      <c r="D247" s="16" t="str">
        <f t="shared" si="31"/>
        <v/>
      </c>
      <c r="E247" s="16" t="str">
        <f t="shared" si="32"/>
        <v/>
      </c>
      <c r="F247" s="16" t="str">
        <f t="shared" si="33"/>
        <v/>
      </c>
      <c r="G247" s="16" t="str">
        <f t="shared" si="34"/>
        <v/>
      </c>
      <c r="H247" s="5" t="str">
        <f t="shared" si="35"/>
        <v/>
      </c>
      <c r="I247" s="5" t="str">
        <f t="shared" si="38"/>
        <v/>
      </c>
      <c r="J247" s="5" t="e">
        <f t="shared" si="39"/>
        <v>#VALUE!</v>
      </c>
    </row>
    <row r="248" spans="1:10">
      <c r="A248" s="4" t="str">
        <f t="shared" si="36"/>
        <v/>
      </c>
      <c r="B248" s="5" t="str">
        <f t="shared" si="40"/>
        <v/>
      </c>
      <c r="C248" s="16" t="str">
        <f t="shared" si="37"/>
        <v/>
      </c>
      <c r="D248" s="16" t="str">
        <f t="shared" si="31"/>
        <v/>
      </c>
      <c r="E248" s="16" t="str">
        <f t="shared" si="32"/>
        <v/>
      </c>
      <c r="F248" s="16" t="str">
        <f t="shared" si="33"/>
        <v/>
      </c>
      <c r="G248" s="16" t="str">
        <f t="shared" si="34"/>
        <v/>
      </c>
      <c r="H248" s="5" t="str">
        <f t="shared" si="35"/>
        <v/>
      </c>
      <c r="I248" s="5" t="str">
        <f t="shared" si="38"/>
        <v/>
      </c>
      <c r="J248" s="5" t="e">
        <f t="shared" si="39"/>
        <v>#VALUE!</v>
      </c>
    </row>
    <row r="249" spans="1:10">
      <c r="A249" s="4" t="str">
        <f t="shared" si="36"/>
        <v/>
      </c>
      <c r="B249" s="5" t="str">
        <f t="shared" si="40"/>
        <v/>
      </c>
      <c r="C249" s="16" t="str">
        <f t="shared" si="37"/>
        <v/>
      </c>
      <c r="D249" s="16" t="str">
        <f t="shared" si="31"/>
        <v/>
      </c>
      <c r="E249" s="16" t="str">
        <f t="shared" si="32"/>
        <v/>
      </c>
      <c r="F249" s="16" t="str">
        <f t="shared" si="33"/>
        <v/>
      </c>
      <c r="G249" s="16" t="str">
        <f t="shared" si="34"/>
        <v/>
      </c>
      <c r="H249" s="5" t="str">
        <f t="shared" si="35"/>
        <v/>
      </c>
      <c r="I249" s="5" t="str">
        <f t="shared" si="38"/>
        <v/>
      </c>
      <c r="J249" s="5" t="e">
        <f t="shared" si="39"/>
        <v>#VALUE!</v>
      </c>
    </row>
    <row r="250" spans="1:10">
      <c r="A250" s="4" t="str">
        <f t="shared" si="36"/>
        <v/>
      </c>
      <c r="B250" s="5" t="str">
        <f t="shared" si="40"/>
        <v/>
      </c>
      <c r="C250" s="16" t="str">
        <f t="shared" si="37"/>
        <v/>
      </c>
      <c r="D250" s="16" t="str">
        <f t="shared" si="31"/>
        <v/>
      </c>
      <c r="E250" s="16" t="str">
        <f t="shared" si="32"/>
        <v/>
      </c>
      <c r="F250" s="16" t="str">
        <f t="shared" si="33"/>
        <v/>
      </c>
      <c r="G250" s="16" t="str">
        <f t="shared" si="34"/>
        <v/>
      </c>
      <c r="H250" s="5" t="str">
        <f t="shared" si="35"/>
        <v/>
      </c>
      <c r="I250" s="5" t="str">
        <f t="shared" si="38"/>
        <v/>
      </c>
      <c r="J250" s="5" t="e">
        <f t="shared" si="39"/>
        <v>#VALUE!</v>
      </c>
    </row>
    <row r="251" spans="1:10">
      <c r="A251" s="4" t="str">
        <f t="shared" si="36"/>
        <v/>
      </c>
      <c r="B251" s="5" t="str">
        <f t="shared" si="40"/>
        <v/>
      </c>
      <c r="C251" s="16" t="str">
        <f t="shared" si="37"/>
        <v/>
      </c>
      <c r="D251" s="16" t="str">
        <f t="shared" si="31"/>
        <v/>
      </c>
      <c r="E251" s="16" t="str">
        <f t="shared" si="32"/>
        <v/>
      </c>
      <c r="F251" s="16" t="str">
        <f t="shared" si="33"/>
        <v/>
      </c>
      <c r="G251" s="16" t="str">
        <f t="shared" si="34"/>
        <v/>
      </c>
      <c r="H251" s="5" t="str">
        <f t="shared" si="35"/>
        <v/>
      </c>
      <c r="I251" s="5" t="str">
        <f t="shared" si="38"/>
        <v/>
      </c>
      <c r="J251" s="5" t="e">
        <f t="shared" si="39"/>
        <v>#VALUE!</v>
      </c>
    </row>
    <row r="252" spans="1:10">
      <c r="A252" s="4" t="str">
        <f t="shared" si="36"/>
        <v/>
      </c>
      <c r="B252" s="5" t="str">
        <f t="shared" si="40"/>
        <v/>
      </c>
      <c r="C252" s="16" t="str">
        <f t="shared" si="37"/>
        <v/>
      </c>
      <c r="D252" s="16" t="str">
        <f t="shared" si="31"/>
        <v/>
      </c>
      <c r="E252" s="16" t="str">
        <f t="shared" si="32"/>
        <v/>
      </c>
      <c r="F252" s="16" t="str">
        <f t="shared" si="33"/>
        <v/>
      </c>
      <c r="G252" s="16" t="str">
        <f t="shared" si="34"/>
        <v/>
      </c>
      <c r="H252" s="5" t="str">
        <f t="shared" si="35"/>
        <v/>
      </c>
      <c r="I252" s="5" t="str">
        <f t="shared" si="38"/>
        <v/>
      </c>
      <c r="J252" s="5" t="e">
        <f t="shared" si="39"/>
        <v>#VALUE!</v>
      </c>
    </row>
    <row r="253" spans="1:10">
      <c r="A253" s="4" t="str">
        <f t="shared" si="36"/>
        <v/>
      </c>
      <c r="B253" s="5" t="str">
        <f t="shared" si="40"/>
        <v/>
      </c>
      <c r="C253" s="16" t="str">
        <f t="shared" si="37"/>
        <v/>
      </c>
      <c r="D253" s="16" t="str">
        <f t="shared" si="31"/>
        <v/>
      </c>
      <c r="E253" s="16" t="str">
        <f t="shared" si="32"/>
        <v/>
      </c>
      <c r="F253" s="16" t="str">
        <f t="shared" si="33"/>
        <v/>
      </c>
      <c r="G253" s="16" t="str">
        <f t="shared" si="34"/>
        <v/>
      </c>
      <c r="H253" s="5" t="str">
        <f t="shared" si="35"/>
        <v/>
      </c>
      <c r="I253" s="5" t="str">
        <f t="shared" si="38"/>
        <v/>
      </c>
      <c r="J253" s="5" t="e">
        <f t="shared" si="39"/>
        <v>#VALUE!</v>
      </c>
    </row>
    <row r="254" spans="1:10">
      <c r="A254" s="4" t="str">
        <f t="shared" si="36"/>
        <v/>
      </c>
      <c r="B254" s="5" t="str">
        <f t="shared" si="40"/>
        <v/>
      </c>
      <c r="C254" s="16" t="str">
        <f t="shared" si="37"/>
        <v/>
      </c>
      <c r="D254" s="16" t="str">
        <f t="shared" si="31"/>
        <v/>
      </c>
      <c r="E254" s="16" t="str">
        <f t="shared" si="32"/>
        <v/>
      </c>
      <c r="F254" s="16" t="str">
        <f t="shared" si="33"/>
        <v/>
      </c>
      <c r="G254" s="16" t="str">
        <f t="shared" si="34"/>
        <v/>
      </c>
      <c r="H254" s="5" t="str">
        <f t="shared" si="35"/>
        <v/>
      </c>
      <c r="I254" s="5" t="str">
        <f t="shared" si="38"/>
        <v/>
      </c>
      <c r="J254" s="5" t="e">
        <f t="shared" si="39"/>
        <v>#VALUE!</v>
      </c>
    </row>
    <row r="255" spans="1:10">
      <c r="A255" s="4" t="str">
        <f t="shared" si="36"/>
        <v/>
      </c>
      <c r="B255" s="5" t="str">
        <f t="shared" si="40"/>
        <v/>
      </c>
      <c r="C255" s="16" t="str">
        <f t="shared" si="37"/>
        <v/>
      </c>
      <c r="D255" s="16" t="str">
        <f t="shared" si="31"/>
        <v/>
      </c>
      <c r="E255" s="16" t="str">
        <f t="shared" si="32"/>
        <v/>
      </c>
      <c r="F255" s="16" t="str">
        <f t="shared" si="33"/>
        <v/>
      </c>
      <c r="G255" s="16" t="str">
        <f t="shared" si="34"/>
        <v/>
      </c>
      <c r="H255" s="5" t="str">
        <f t="shared" si="35"/>
        <v/>
      </c>
      <c r="I255" s="5" t="str">
        <f t="shared" si="38"/>
        <v/>
      </c>
      <c r="J255" s="5" t="e">
        <f t="shared" si="39"/>
        <v>#VALUE!</v>
      </c>
    </row>
    <row r="256" spans="1:10">
      <c r="A256" s="4" t="str">
        <f t="shared" si="36"/>
        <v/>
      </c>
      <c r="B256" s="5" t="str">
        <f t="shared" si="40"/>
        <v/>
      </c>
      <c r="C256" s="16" t="str">
        <f t="shared" si="37"/>
        <v/>
      </c>
      <c r="D256" s="16" t="str">
        <f t="shared" si="31"/>
        <v/>
      </c>
      <c r="E256" s="16" t="str">
        <f t="shared" si="32"/>
        <v/>
      </c>
      <c r="F256" s="16" t="str">
        <f t="shared" si="33"/>
        <v/>
      </c>
      <c r="G256" s="16" t="str">
        <f t="shared" si="34"/>
        <v/>
      </c>
      <c r="H256" s="5" t="str">
        <f t="shared" si="35"/>
        <v/>
      </c>
      <c r="I256" s="5" t="str">
        <f t="shared" si="38"/>
        <v/>
      </c>
      <c r="J256" s="5" t="e">
        <f t="shared" si="39"/>
        <v>#VALUE!</v>
      </c>
    </row>
    <row r="257" spans="1:10">
      <c r="A257" s="4" t="str">
        <f t="shared" si="36"/>
        <v/>
      </c>
      <c r="B257" s="5" t="str">
        <f t="shared" si="40"/>
        <v/>
      </c>
      <c r="C257" s="16" t="str">
        <f t="shared" si="37"/>
        <v/>
      </c>
      <c r="D257" s="16" t="str">
        <f t="shared" si="31"/>
        <v/>
      </c>
      <c r="E257" s="16" t="str">
        <f t="shared" si="32"/>
        <v/>
      </c>
      <c r="F257" s="16" t="str">
        <f t="shared" si="33"/>
        <v/>
      </c>
      <c r="G257" s="16" t="str">
        <f t="shared" si="34"/>
        <v/>
      </c>
      <c r="H257" s="5" t="str">
        <f t="shared" si="35"/>
        <v/>
      </c>
      <c r="I257" s="5" t="str">
        <f t="shared" si="38"/>
        <v/>
      </c>
      <c r="J257" s="5" t="e">
        <f t="shared" si="39"/>
        <v>#VALUE!</v>
      </c>
    </row>
    <row r="258" spans="1:10">
      <c r="A258" s="4" t="str">
        <f t="shared" si="36"/>
        <v/>
      </c>
      <c r="B258" s="5" t="str">
        <f t="shared" si="40"/>
        <v/>
      </c>
      <c r="C258" s="16" t="str">
        <f t="shared" si="37"/>
        <v/>
      </c>
      <c r="D258" s="16" t="str">
        <f t="shared" si="31"/>
        <v/>
      </c>
      <c r="E258" s="16" t="str">
        <f t="shared" si="32"/>
        <v/>
      </c>
      <c r="F258" s="16" t="str">
        <f t="shared" si="33"/>
        <v/>
      </c>
      <c r="G258" s="16" t="str">
        <f t="shared" si="34"/>
        <v/>
      </c>
      <c r="H258" s="5" t="str">
        <f t="shared" si="35"/>
        <v/>
      </c>
      <c r="I258" s="5" t="str">
        <f t="shared" si="38"/>
        <v/>
      </c>
      <c r="J258" s="5" t="e">
        <f t="shared" si="39"/>
        <v>#VALUE!</v>
      </c>
    </row>
    <row r="259" spans="1:10">
      <c r="A259" s="4" t="str">
        <f t="shared" si="36"/>
        <v/>
      </c>
      <c r="B259" s="5" t="str">
        <f t="shared" si="40"/>
        <v/>
      </c>
      <c r="C259" s="16" t="str">
        <f t="shared" si="37"/>
        <v/>
      </c>
      <c r="D259" s="16" t="str">
        <f t="shared" si="31"/>
        <v/>
      </c>
      <c r="E259" s="16" t="str">
        <f t="shared" si="32"/>
        <v/>
      </c>
      <c r="F259" s="16" t="str">
        <f t="shared" si="33"/>
        <v/>
      </c>
      <c r="G259" s="16" t="str">
        <f t="shared" si="34"/>
        <v/>
      </c>
      <c r="H259" s="5" t="str">
        <f t="shared" si="35"/>
        <v/>
      </c>
      <c r="I259" s="5" t="str">
        <f t="shared" si="38"/>
        <v/>
      </c>
      <c r="J259" s="5" t="e">
        <f t="shared" si="39"/>
        <v>#VALUE!</v>
      </c>
    </row>
    <row r="260" spans="1:10">
      <c r="A260" s="4" t="str">
        <f t="shared" si="36"/>
        <v/>
      </c>
      <c r="B260" s="5" t="str">
        <f t="shared" si="40"/>
        <v/>
      </c>
      <c r="C260" s="16" t="str">
        <f t="shared" si="37"/>
        <v/>
      </c>
      <c r="D260" s="16" t="str">
        <f t="shared" si="31"/>
        <v/>
      </c>
      <c r="E260" s="16" t="str">
        <f t="shared" si="32"/>
        <v/>
      </c>
      <c r="F260" s="16" t="str">
        <f t="shared" si="33"/>
        <v/>
      </c>
      <c r="G260" s="16" t="str">
        <f t="shared" si="34"/>
        <v/>
      </c>
      <c r="H260" s="5" t="str">
        <f t="shared" si="35"/>
        <v/>
      </c>
      <c r="I260" s="5" t="str">
        <f t="shared" si="38"/>
        <v/>
      </c>
      <c r="J260" s="5" t="e">
        <f t="shared" si="39"/>
        <v>#VALUE!</v>
      </c>
    </row>
    <row r="261" spans="1:10">
      <c r="A261" s="4" t="str">
        <f t="shared" si="36"/>
        <v/>
      </c>
      <c r="B261" s="5" t="str">
        <f t="shared" si="40"/>
        <v/>
      </c>
      <c r="C261" s="16" t="str">
        <f t="shared" si="37"/>
        <v/>
      </c>
      <c r="D261" s="16" t="str">
        <f t="shared" si="31"/>
        <v/>
      </c>
      <c r="E261" s="16" t="str">
        <f t="shared" si="32"/>
        <v/>
      </c>
      <c r="F261" s="16" t="str">
        <f t="shared" si="33"/>
        <v/>
      </c>
      <c r="G261" s="16" t="str">
        <f t="shared" si="34"/>
        <v/>
      </c>
      <c r="H261" s="5" t="str">
        <f t="shared" si="35"/>
        <v/>
      </c>
      <c r="I261" s="5" t="str">
        <f t="shared" si="38"/>
        <v/>
      </c>
      <c r="J261" s="5" t="e">
        <f t="shared" si="39"/>
        <v>#VALUE!</v>
      </c>
    </row>
    <row r="262" spans="1:10">
      <c r="A262" s="4" t="str">
        <f t="shared" si="36"/>
        <v/>
      </c>
      <c r="B262" s="5" t="str">
        <f t="shared" si="40"/>
        <v/>
      </c>
      <c r="C262" s="16" t="str">
        <f t="shared" si="37"/>
        <v/>
      </c>
      <c r="D262" s="16" t="str">
        <f t="shared" si="31"/>
        <v/>
      </c>
      <c r="E262" s="16" t="str">
        <f t="shared" si="32"/>
        <v/>
      </c>
      <c r="F262" s="16" t="str">
        <f t="shared" si="33"/>
        <v/>
      </c>
      <c r="G262" s="16" t="str">
        <f t="shared" si="34"/>
        <v/>
      </c>
      <c r="H262" s="5" t="str">
        <f t="shared" si="35"/>
        <v/>
      </c>
      <c r="I262" s="5" t="str">
        <f t="shared" si="38"/>
        <v/>
      </c>
      <c r="J262" s="5" t="e">
        <f t="shared" si="39"/>
        <v>#VALUE!</v>
      </c>
    </row>
    <row r="263" spans="1:10">
      <c r="A263" s="4" t="str">
        <f t="shared" si="36"/>
        <v/>
      </c>
      <c r="B263" s="5" t="str">
        <f t="shared" si="40"/>
        <v/>
      </c>
      <c r="C263" s="16" t="str">
        <f t="shared" si="37"/>
        <v/>
      </c>
      <c r="D263" s="16" t="str">
        <f t="shared" si="31"/>
        <v/>
      </c>
      <c r="E263" s="16" t="str">
        <f t="shared" si="32"/>
        <v/>
      </c>
      <c r="F263" s="16" t="str">
        <f t="shared" si="33"/>
        <v/>
      </c>
      <c r="G263" s="16" t="str">
        <f t="shared" si="34"/>
        <v/>
      </c>
      <c r="H263" s="5" t="str">
        <f t="shared" si="35"/>
        <v/>
      </c>
      <c r="I263" s="5" t="str">
        <f t="shared" si="38"/>
        <v/>
      </c>
      <c r="J263" s="5" t="e">
        <f t="shared" si="39"/>
        <v>#VALUE!</v>
      </c>
    </row>
    <row r="264" spans="1:10">
      <c r="A264" s="4" t="str">
        <f t="shared" si="36"/>
        <v/>
      </c>
      <c r="B264" s="5" t="str">
        <f t="shared" si="40"/>
        <v/>
      </c>
      <c r="C264" s="16" t="str">
        <f t="shared" si="37"/>
        <v/>
      </c>
      <c r="D264" s="16" t="str">
        <f t="shared" si="31"/>
        <v/>
      </c>
      <c r="E264" s="16" t="str">
        <f t="shared" si="32"/>
        <v/>
      </c>
      <c r="F264" s="16" t="str">
        <f t="shared" si="33"/>
        <v/>
      </c>
      <c r="G264" s="16" t="str">
        <f t="shared" si="34"/>
        <v/>
      </c>
      <c r="H264" s="5" t="str">
        <f t="shared" si="35"/>
        <v/>
      </c>
      <c r="I264" s="5" t="str">
        <f t="shared" si="38"/>
        <v/>
      </c>
      <c r="J264" s="5" t="e">
        <f t="shared" si="39"/>
        <v>#VALUE!</v>
      </c>
    </row>
    <row r="265" spans="1:10">
      <c r="A265" s="4" t="str">
        <f t="shared" si="36"/>
        <v/>
      </c>
      <c r="B265" s="5" t="str">
        <f t="shared" si="40"/>
        <v/>
      </c>
      <c r="C265" s="16" t="str">
        <f t="shared" si="37"/>
        <v/>
      </c>
      <c r="D265" s="16" t="str">
        <f t="shared" si="31"/>
        <v/>
      </c>
      <c r="E265" s="16" t="str">
        <f t="shared" si="32"/>
        <v/>
      </c>
      <c r="F265" s="16" t="str">
        <f t="shared" si="33"/>
        <v/>
      </c>
      <c r="G265" s="16" t="str">
        <f t="shared" si="34"/>
        <v/>
      </c>
      <c r="H265" s="5" t="str">
        <f t="shared" si="35"/>
        <v/>
      </c>
      <c r="I265" s="5" t="str">
        <f t="shared" si="38"/>
        <v/>
      </c>
      <c r="J265" s="5" t="e">
        <f t="shared" si="39"/>
        <v>#VALUE!</v>
      </c>
    </row>
    <row r="266" spans="1:10">
      <c r="A266" s="4" t="str">
        <f t="shared" si="36"/>
        <v/>
      </c>
      <c r="B266" s="5" t="str">
        <f t="shared" si="40"/>
        <v/>
      </c>
      <c r="C266" s="16" t="str">
        <f t="shared" si="37"/>
        <v/>
      </c>
      <c r="D266" s="16" t="str">
        <f t="shared" si="31"/>
        <v/>
      </c>
      <c r="E266" s="16" t="str">
        <f t="shared" si="32"/>
        <v/>
      </c>
      <c r="F266" s="16" t="str">
        <f t="shared" si="33"/>
        <v/>
      </c>
      <c r="G266" s="16" t="str">
        <f t="shared" si="34"/>
        <v/>
      </c>
      <c r="H266" s="5" t="str">
        <f t="shared" si="35"/>
        <v/>
      </c>
      <c r="I266" s="5" t="str">
        <f t="shared" si="38"/>
        <v/>
      </c>
      <c r="J266" s="5" t="e">
        <f t="shared" si="39"/>
        <v>#VALUE!</v>
      </c>
    </row>
    <row r="267" spans="1:10">
      <c r="A267" s="4" t="str">
        <f t="shared" si="36"/>
        <v/>
      </c>
      <c r="B267" s="5" t="str">
        <f t="shared" si="40"/>
        <v/>
      </c>
      <c r="C267" s="16" t="str">
        <f t="shared" si="37"/>
        <v/>
      </c>
      <c r="D267" s="16" t="str">
        <f t="shared" si="31"/>
        <v/>
      </c>
      <c r="E267" s="16" t="str">
        <f t="shared" si="32"/>
        <v/>
      </c>
      <c r="F267" s="16" t="str">
        <f t="shared" si="33"/>
        <v/>
      </c>
      <c r="G267" s="16" t="str">
        <f t="shared" si="34"/>
        <v/>
      </c>
      <c r="H267" s="5" t="str">
        <f t="shared" si="35"/>
        <v/>
      </c>
      <c r="I267" s="5" t="str">
        <f t="shared" si="38"/>
        <v/>
      </c>
      <c r="J267" s="5" t="e">
        <f t="shared" si="39"/>
        <v>#VALUE!</v>
      </c>
    </row>
    <row r="268" spans="1:10">
      <c r="A268" s="4" t="str">
        <f t="shared" si="36"/>
        <v/>
      </c>
      <c r="B268" s="5" t="str">
        <f t="shared" si="40"/>
        <v/>
      </c>
      <c r="C268" s="16" t="str">
        <f t="shared" si="37"/>
        <v/>
      </c>
      <c r="D268" s="16" t="str">
        <f t="shared" ref="D268:D331" si="41">IF(A268&lt;=tc,$H$4*A268,IF(A268&lt;=2*tc,Qmax-$H$4*(A268-tc),""))</f>
        <v/>
      </c>
      <c r="E268" s="16" t="str">
        <f t="shared" ref="E268:E331" si="42">IF(A268&lt;=tc_1,$H$5*A268,IF(A268&lt;=tc,Q_max_i,IF(A268&lt;=tc_1+tc,Q_max_i-$H$5*(A268-(tc)),"")))</f>
        <v/>
      </c>
      <c r="F268" s="16" t="str">
        <f t="shared" ref="F268:F331" si="43">IF(A268="","",IF(ISERROR(D268/(Area*10^2)),"",D268/(Area*10^2)))</f>
        <v/>
      </c>
      <c r="G268" s="16" t="str">
        <f t="shared" ref="G268:G331" si="44">IF(A268="","",IF(ISERROR(E268/(Ad_i*10^2)),"",E268/(Ad_i*10^2)))</f>
        <v/>
      </c>
      <c r="H268" s="5" t="str">
        <f t="shared" ref="H268:H331" si="45">IF(G268="","",IF(ISERROR(G268*alot_i/100),"",G268*alot_i/100))</f>
        <v/>
      </c>
      <c r="I268" s="5" t="str">
        <f t="shared" si="38"/>
        <v/>
      </c>
      <c r="J268" s="5" t="e">
        <f t="shared" si="39"/>
        <v>#VALUE!</v>
      </c>
    </row>
    <row r="269" spans="1:10">
      <c r="A269" s="4" t="str">
        <f t="shared" ref="A269:A332" si="46">IF(ISERROR(IF(A268+Passo&lt;=tc+tc,A268+Passo,"")),"",IF(A268+Passo&lt;=tc+tc,A268+Passo,""))</f>
        <v/>
      </c>
      <c r="B269" s="5" t="str">
        <f t="shared" si="40"/>
        <v/>
      </c>
      <c r="C269" s="16" t="str">
        <f t="shared" ref="C269:C332" si="47">IF(ISERROR(IF(A269="","",C268+AVERAGE(B268:B269)*Passo*60/1000)),C268,IF(A269="","",C268+AVERAGE(B268:B269)*Passo*60/1000))</f>
        <v/>
      </c>
      <c r="D269" s="16" t="str">
        <f t="shared" si="41"/>
        <v/>
      </c>
      <c r="E269" s="16" t="str">
        <f t="shared" si="42"/>
        <v/>
      </c>
      <c r="F269" s="16" t="str">
        <f t="shared" si="43"/>
        <v/>
      </c>
      <c r="G269" s="16" t="str">
        <f t="shared" si="44"/>
        <v/>
      </c>
      <c r="H269" s="5" t="str">
        <f t="shared" si="45"/>
        <v/>
      </c>
      <c r="I269" s="5" t="str">
        <f t="shared" ref="I269:I332" si="48">IF(A269="","",IF(ISERROR(E269-H269),0,E269-H269))</f>
        <v/>
      </c>
      <c r="J269" s="5" t="e">
        <f t="shared" ref="J269:J332" si="49">I269+B269</f>
        <v>#VALUE!</v>
      </c>
    </row>
    <row r="270" spans="1:10">
      <c r="A270" s="4" t="str">
        <f t="shared" si="46"/>
        <v/>
      </c>
      <c r="B270" s="5" t="str">
        <f t="shared" ref="B270:B333" si="50">IF(ISERROR(IF(A270&lt;=tc_lot_i,declividade_afluente*A270,IF(A270&lt;=tc,Qmax_lot_i,IF(A270&lt;=tc+tc_lot_i,Qmax_lot_i-declividade_afluente*(A270-tc),"")))),"",IF(A270&lt;=tc_lot_i,declividade_afluente*A270,IF(A270&lt;=tc,Qmax_lot_i,IF(A270&lt;=tc+tc_lot_i,Qmax_lot_i-declividade_afluente*(A270-tc),""))))</f>
        <v/>
      </c>
      <c r="C270" s="16" t="str">
        <f t="shared" si="47"/>
        <v/>
      </c>
      <c r="D270" s="16" t="str">
        <f t="shared" si="41"/>
        <v/>
      </c>
      <c r="E270" s="16" t="str">
        <f t="shared" si="42"/>
        <v/>
      </c>
      <c r="F270" s="16" t="str">
        <f t="shared" si="43"/>
        <v/>
      </c>
      <c r="G270" s="16" t="str">
        <f t="shared" si="44"/>
        <v/>
      </c>
      <c r="H270" s="5" t="str">
        <f t="shared" si="45"/>
        <v/>
      </c>
      <c r="I270" s="5" t="str">
        <f t="shared" si="48"/>
        <v/>
      </c>
      <c r="J270" s="5" t="e">
        <f t="shared" si="49"/>
        <v>#VALUE!</v>
      </c>
    </row>
    <row r="271" spans="1:10">
      <c r="A271" s="4" t="str">
        <f t="shared" si="46"/>
        <v/>
      </c>
      <c r="B271" s="5" t="str">
        <f t="shared" si="50"/>
        <v/>
      </c>
      <c r="C271" s="16" t="str">
        <f t="shared" si="47"/>
        <v/>
      </c>
      <c r="D271" s="16" t="str">
        <f t="shared" si="41"/>
        <v/>
      </c>
      <c r="E271" s="16" t="str">
        <f t="shared" si="42"/>
        <v/>
      </c>
      <c r="F271" s="16" t="str">
        <f t="shared" si="43"/>
        <v/>
      </c>
      <c r="G271" s="16" t="str">
        <f t="shared" si="44"/>
        <v/>
      </c>
      <c r="H271" s="5" t="str">
        <f t="shared" si="45"/>
        <v/>
      </c>
      <c r="I271" s="5" t="str">
        <f t="shared" si="48"/>
        <v/>
      </c>
      <c r="J271" s="5" t="e">
        <f t="shared" si="49"/>
        <v>#VALUE!</v>
      </c>
    </row>
    <row r="272" spans="1:10">
      <c r="A272" s="4" t="str">
        <f t="shared" si="46"/>
        <v/>
      </c>
      <c r="B272" s="5" t="str">
        <f t="shared" si="50"/>
        <v/>
      </c>
      <c r="C272" s="16" t="str">
        <f t="shared" si="47"/>
        <v/>
      </c>
      <c r="D272" s="16" t="str">
        <f t="shared" si="41"/>
        <v/>
      </c>
      <c r="E272" s="16" t="str">
        <f t="shared" si="42"/>
        <v/>
      </c>
      <c r="F272" s="16" t="str">
        <f t="shared" si="43"/>
        <v/>
      </c>
      <c r="G272" s="16" t="str">
        <f t="shared" si="44"/>
        <v/>
      </c>
      <c r="H272" s="5" t="str">
        <f t="shared" si="45"/>
        <v/>
      </c>
      <c r="I272" s="5" t="str">
        <f t="shared" si="48"/>
        <v/>
      </c>
      <c r="J272" s="5" t="e">
        <f t="shared" si="49"/>
        <v>#VALUE!</v>
      </c>
    </row>
    <row r="273" spans="1:10">
      <c r="A273" s="4" t="str">
        <f t="shared" si="46"/>
        <v/>
      </c>
      <c r="B273" s="5" t="str">
        <f t="shared" si="50"/>
        <v/>
      </c>
      <c r="C273" s="16" t="str">
        <f t="shared" si="47"/>
        <v/>
      </c>
      <c r="D273" s="16" t="str">
        <f t="shared" si="41"/>
        <v/>
      </c>
      <c r="E273" s="16" t="str">
        <f t="shared" si="42"/>
        <v/>
      </c>
      <c r="F273" s="16" t="str">
        <f t="shared" si="43"/>
        <v/>
      </c>
      <c r="G273" s="16" t="str">
        <f t="shared" si="44"/>
        <v/>
      </c>
      <c r="H273" s="5" t="str">
        <f t="shared" si="45"/>
        <v/>
      </c>
      <c r="I273" s="5" t="str">
        <f t="shared" si="48"/>
        <v/>
      </c>
      <c r="J273" s="5" t="e">
        <f t="shared" si="49"/>
        <v>#VALUE!</v>
      </c>
    </row>
    <row r="274" spans="1:10">
      <c r="A274" s="4" t="str">
        <f t="shared" si="46"/>
        <v/>
      </c>
      <c r="B274" s="5" t="str">
        <f t="shared" si="50"/>
        <v/>
      </c>
      <c r="C274" s="16" t="str">
        <f t="shared" si="47"/>
        <v/>
      </c>
      <c r="D274" s="16" t="str">
        <f t="shared" si="41"/>
        <v/>
      </c>
      <c r="E274" s="16" t="str">
        <f t="shared" si="42"/>
        <v/>
      </c>
      <c r="F274" s="16" t="str">
        <f t="shared" si="43"/>
        <v/>
      </c>
      <c r="G274" s="16" t="str">
        <f t="shared" si="44"/>
        <v/>
      </c>
      <c r="H274" s="5" t="str">
        <f t="shared" si="45"/>
        <v/>
      </c>
      <c r="I274" s="5" t="str">
        <f t="shared" si="48"/>
        <v/>
      </c>
      <c r="J274" s="5" t="e">
        <f t="shared" si="49"/>
        <v>#VALUE!</v>
      </c>
    </row>
    <row r="275" spans="1:10">
      <c r="A275" s="4" t="str">
        <f t="shared" si="46"/>
        <v/>
      </c>
      <c r="B275" s="5" t="str">
        <f t="shared" si="50"/>
        <v/>
      </c>
      <c r="C275" s="16" t="str">
        <f t="shared" si="47"/>
        <v/>
      </c>
      <c r="D275" s="16" t="str">
        <f t="shared" si="41"/>
        <v/>
      </c>
      <c r="E275" s="16" t="str">
        <f t="shared" si="42"/>
        <v/>
      </c>
      <c r="F275" s="16" t="str">
        <f t="shared" si="43"/>
        <v/>
      </c>
      <c r="G275" s="16" t="str">
        <f t="shared" si="44"/>
        <v/>
      </c>
      <c r="H275" s="5" t="str">
        <f t="shared" si="45"/>
        <v/>
      </c>
      <c r="I275" s="5" t="str">
        <f t="shared" si="48"/>
        <v/>
      </c>
      <c r="J275" s="5" t="e">
        <f t="shared" si="49"/>
        <v>#VALUE!</v>
      </c>
    </row>
    <row r="276" spans="1:10">
      <c r="A276" s="4" t="str">
        <f t="shared" si="46"/>
        <v/>
      </c>
      <c r="B276" s="5" t="str">
        <f t="shared" si="50"/>
        <v/>
      </c>
      <c r="C276" s="16" t="str">
        <f t="shared" si="47"/>
        <v/>
      </c>
      <c r="D276" s="16" t="str">
        <f t="shared" si="41"/>
        <v/>
      </c>
      <c r="E276" s="16" t="str">
        <f t="shared" si="42"/>
        <v/>
      </c>
      <c r="F276" s="16" t="str">
        <f t="shared" si="43"/>
        <v/>
      </c>
      <c r="G276" s="16" t="str">
        <f t="shared" si="44"/>
        <v/>
      </c>
      <c r="H276" s="5" t="str">
        <f t="shared" si="45"/>
        <v/>
      </c>
      <c r="I276" s="5" t="str">
        <f t="shared" si="48"/>
        <v/>
      </c>
      <c r="J276" s="5" t="e">
        <f t="shared" si="49"/>
        <v>#VALUE!</v>
      </c>
    </row>
    <row r="277" spans="1:10">
      <c r="A277" s="4" t="str">
        <f t="shared" si="46"/>
        <v/>
      </c>
      <c r="B277" s="5" t="str">
        <f t="shared" si="50"/>
        <v/>
      </c>
      <c r="C277" s="16" t="str">
        <f t="shared" si="47"/>
        <v/>
      </c>
      <c r="D277" s="16" t="str">
        <f t="shared" si="41"/>
        <v/>
      </c>
      <c r="E277" s="16" t="str">
        <f t="shared" si="42"/>
        <v/>
      </c>
      <c r="F277" s="16" t="str">
        <f t="shared" si="43"/>
        <v/>
      </c>
      <c r="G277" s="16" t="str">
        <f t="shared" si="44"/>
        <v/>
      </c>
      <c r="H277" s="5" t="str">
        <f t="shared" si="45"/>
        <v/>
      </c>
      <c r="I277" s="5" t="str">
        <f t="shared" si="48"/>
        <v/>
      </c>
      <c r="J277" s="5" t="e">
        <f t="shared" si="49"/>
        <v>#VALUE!</v>
      </c>
    </row>
    <row r="278" spans="1:10">
      <c r="A278" s="4" t="str">
        <f t="shared" si="46"/>
        <v/>
      </c>
      <c r="B278" s="5" t="str">
        <f t="shared" si="50"/>
        <v/>
      </c>
      <c r="C278" s="16" t="str">
        <f t="shared" si="47"/>
        <v/>
      </c>
      <c r="D278" s="16" t="str">
        <f t="shared" si="41"/>
        <v/>
      </c>
      <c r="E278" s="16" t="str">
        <f t="shared" si="42"/>
        <v/>
      </c>
      <c r="F278" s="16" t="str">
        <f t="shared" si="43"/>
        <v/>
      </c>
      <c r="G278" s="16" t="str">
        <f t="shared" si="44"/>
        <v/>
      </c>
      <c r="H278" s="5" t="str">
        <f t="shared" si="45"/>
        <v/>
      </c>
      <c r="I278" s="5" t="str">
        <f t="shared" si="48"/>
        <v/>
      </c>
      <c r="J278" s="5" t="e">
        <f t="shared" si="49"/>
        <v>#VALUE!</v>
      </c>
    </row>
    <row r="279" spans="1:10">
      <c r="A279" s="4" t="str">
        <f t="shared" si="46"/>
        <v/>
      </c>
      <c r="B279" s="5" t="str">
        <f t="shared" si="50"/>
        <v/>
      </c>
      <c r="C279" s="16" t="str">
        <f t="shared" si="47"/>
        <v/>
      </c>
      <c r="D279" s="16" t="str">
        <f t="shared" si="41"/>
        <v/>
      </c>
      <c r="E279" s="16" t="str">
        <f t="shared" si="42"/>
        <v/>
      </c>
      <c r="F279" s="16" t="str">
        <f t="shared" si="43"/>
        <v/>
      </c>
      <c r="G279" s="16" t="str">
        <f t="shared" si="44"/>
        <v/>
      </c>
      <c r="H279" s="5" t="str">
        <f t="shared" si="45"/>
        <v/>
      </c>
      <c r="I279" s="5" t="str">
        <f t="shared" si="48"/>
        <v/>
      </c>
      <c r="J279" s="5" t="e">
        <f t="shared" si="49"/>
        <v>#VALUE!</v>
      </c>
    </row>
    <row r="280" spans="1:10">
      <c r="A280" s="4" t="str">
        <f t="shared" si="46"/>
        <v/>
      </c>
      <c r="B280" s="5" t="str">
        <f t="shared" si="50"/>
        <v/>
      </c>
      <c r="C280" s="16" t="str">
        <f t="shared" si="47"/>
        <v/>
      </c>
      <c r="D280" s="16" t="str">
        <f t="shared" si="41"/>
        <v/>
      </c>
      <c r="E280" s="16" t="str">
        <f t="shared" si="42"/>
        <v/>
      </c>
      <c r="F280" s="16" t="str">
        <f t="shared" si="43"/>
        <v/>
      </c>
      <c r="G280" s="16" t="str">
        <f t="shared" si="44"/>
        <v/>
      </c>
      <c r="H280" s="5" t="str">
        <f t="shared" si="45"/>
        <v/>
      </c>
      <c r="I280" s="5" t="str">
        <f t="shared" si="48"/>
        <v/>
      </c>
      <c r="J280" s="5" t="e">
        <f t="shared" si="49"/>
        <v>#VALUE!</v>
      </c>
    </row>
    <row r="281" spans="1:10">
      <c r="A281" s="4" t="str">
        <f t="shared" si="46"/>
        <v/>
      </c>
      <c r="B281" s="5" t="str">
        <f t="shared" si="50"/>
        <v/>
      </c>
      <c r="C281" s="16" t="str">
        <f t="shared" si="47"/>
        <v/>
      </c>
      <c r="D281" s="16" t="str">
        <f t="shared" si="41"/>
        <v/>
      </c>
      <c r="E281" s="16" t="str">
        <f t="shared" si="42"/>
        <v/>
      </c>
      <c r="F281" s="16" t="str">
        <f t="shared" si="43"/>
        <v/>
      </c>
      <c r="G281" s="16" t="str">
        <f t="shared" si="44"/>
        <v/>
      </c>
      <c r="H281" s="5" t="str">
        <f t="shared" si="45"/>
        <v/>
      </c>
      <c r="I281" s="5" t="str">
        <f t="shared" si="48"/>
        <v/>
      </c>
      <c r="J281" s="5" t="e">
        <f t="shared" si="49"/>
        <v>#VALUE!</v>
      </c>
    </row>
    <row r="282" spans="1:10">
      <c r="A282" s="4" t="str">
        <f t="shared" si="46"/>
        <v/>
      </c>
      <c r="B282" s="5" t="str">
        <f t="shared" si="50"/>
        <v/>
      </c>
      <c r="C282" s="16" t="str">
        <f t="shared" si="47"/>
        <v/>
      </c>
      <c r="D282" s="16" t="str">
        <f t="shared" si="41"/>
        <v/>
      </c>
      <c r="E282" s="16" t="str">
        <f t="shared" si="42"/>
        <v/>
      </c>
      <c r="F282" s="16" t="str">
        <f t="shared" si="43"/>
        <v/>
      </c>
      <c r="G282" s="16" t="str">
        <f t="shared" si="44"/>
        <v/>
      </c>
      <c r="H282" s="5" t="str">
        <f t="shared" si="45"/>
        <v/>
      </c>
      <c r="I282" s="5" t="str">
        <f t="shared" si="48"/>
        <v/>
      </c>
      <c r="J282" s="5" t="e">
        <f t="shared" si="49"/>
        <v>#VALUE!</v>
      </c>
    </row>
    <row r="283" spans="1:10">
      <c r="A283" s="4" t="str">
        <f t="shared" si="46"/>
        <v/>
      </c>
      <c r="B283" s="5" t="str">
        <f t="shared" si="50"/>
        <v/>
      </c>
      <c r="C283" s="16" t="str">
        <f t="shared" si="47"/>
        <v/>
      </c>
      <c r="D283" s="16" t="str">
        <f t="shared" si="41"/>
        <v/>
      </c>
      <c r="E283" s="16" t="str">
        <f t="shared" si="42"/>
        <v/>
      </c>
      <c r="F283" s="16" t="str">
        <f t="shared" si="43"/>
        <v/>
      </c>
      <c r="G283" s="16" t="str">
        <f t="shared" si="44"/>
        <v/>
      </c>
      <c r="H283" s="5" t="str">
        <f t="shared" si="45"/>
        <v/>
      </c>
      <c r="I283" s="5" t="str">
        <f t="shared" si="48"/>
        <v/>
      </c>
      <c r="J283" s="5" t="e">
        <f t="shared" si="49"/>
        <v>#VALUE!</v>
      </c>
    </row>
    <row r="284" spans="1:10">
      <c r="A284" s="4" t="str">
        <f t="shared" si="46"/>
        <v/>
      </c>
      <c r="B284" s="5" t="str">
        <f t="shared" si="50"/>
        <v/>
      </c>
      <c r="C284" s="16" t="str">
        <f t="shared" si="47"/>
        <v/>
      </c>
      <c r="D284" s="16" t="str">
        <f t="shared" si="41"/>
        <v/>
      </c>
      <c r="E284" s="16" t="str">
        <f t="shared" si="42"/>
        <v/>
      </c>
      <c r="F284" s="16" t="str">
        <f t="shared" si="43"/>
        <v/>
      </c>
      <c r="G284" s="16" t="str">
        <f t="shared" si="44"/>
        <v/>
      </c>
      <c r="H284" s="5" t="str">
        <f t="shared" si="45"/>
        <v/>
      </c>
      <c r="I284" s="5" t="str">
        <f t="shared" si="48"/>
        <v/>
      </c>
      <c r="J284" s="5" t="e">
        <f t="shared" si="49"/>
        <v>#VALUE!</v>
      </c>
    </row>
    <row r="285" spans="1:10">
      <c r="A285" s="4" t="str">
        <f t="shared" si="46"/>
        <v/>
      </c>
      <c r="B285" s="5" t="str">
        <f t="shared" si="50"/>
        <v/>
      </c>
      <c r="C285" s="16" t="str">
        <f t="shared" si="47"/>
        <v/>
      </c>
      <c r="D285" s="16" t="str">
        <f t="shared" si="41"/>
        <v/>
      </c>
      <c r="E285" s="16" t="str">
        <f t="shared" si="42"/>
        <v/>
      </c>
      <c r="F285" s="16" t="str">
        <f t="shared" si="43"/>
        <v/>
      </c>
      <c r="G285" s="16" t="str">
        <f t="shared" si="44"/>
        <v/>
      </c>
      <c r="H285" s="5" t="str">
        <f t="shared" si="45"/>
        <v/>
      </c>
      <c r="I285" s="5" t="str">
        <f t="shared" si="48"/>
        <v/>
      </c>
      <c r="J285" s="5" t="e">
        <f t="shared" si="49"/>
        <v>#VALUE!</v>
      </c>
    </row>
    <row r="286" spans="1:10">
      <c r="A286" s="4" t="str">
        <f t="shared" si="46"/>
        <v/>
      </c>
      <c r="B286" s="5" t="str">
        <f t="shared" si="50"/>
        <v/>
      </c>
      <c r="C286" s="16" t="str">
        <f t="shared" si="47"/>
        <v/>
      </c>
      <c r="D286" s="16" t="str">
        <f t="shared" si="41"/>
        <v/>
      </c>
      <c r="E286" s="16" t="str">
        <f t="shared" si="42"/>
        <v/>
      </c>
      <c r="F286" s="16" t="str">
        <f t="shared" si="43"/>
        <v/>
      </c>
      <c r="G286" s="16" t="str">
        <f t="shared" si="44"/>
        <v/>
      </c>
      <c r="H286" s="5" t="str">
        <f t="shared" si="45"/>
        <v/>
      </c>
      <c r="I286" s="5" t="str">
        <f t="shared" si="48"/>
        <v/>
      </c>
      <c r="J286" s="5" t="e">
        <f t="shared" si="49"/>
        <v>#VALUE!</v>
      </c>
    </row>
    <row r="287" spans="1:10">
      <c r="A287" s="4" t="str">
        <f t="shared" si="46"/>
        <v/>
      </c>
      <c r="B287" s="5" t="str">
        <f t="shared" si="50"/>
        <v/>
      </c>
      <c r="C287" s="16" t="str">
        <f t="shared" si="47"/>
        <v/>
      </c>
      <c r="D287" s="16" t="str">
        <f t="shared" si="41"/>
        <v/>
      </c>
      <c r="E287" s="16" t="str">
        <f t="shared" si="42"/>
        <v/>
      </c>
      <c r="F287" s="16" t="str">
        <f t="shared" si="43"/>
        <v/>
      </c>
      <c r="G287" s="16" t="str">
        <f t="shared" si="44"/>
        <v/>
      </c>
      <c r="H287" s="5" t="str">
        <f t="shared" si="45"/>
        <v/>
      </c>
      <c r="I287" s="5" t="str">
        <f t="shared" si="48"/>
        <v/>
      </c>
      <c r="J287" s="5" t="e">
        <f t="shared" si="49"/>
        <v>#VALUE!</v>
      </c>
    </row>
    <row r="288" spans="1:10">
      <c r="A288" s="4" t="str">
        <f t="shared" si="46"/>
        <v/>
      </c>
      <c r="B288" s="5" t="str">
        <f t="shared" si="50"/>
        <v/>
      </c>
      <c r="C288" s="16" t="str">
        <f t="shared" si="47"/>
        <v/>
      </c>
      <c r="D288" s="16" t="str">
        <f t="shared" si="41"/>
        <v/>
      </c>
      <c r="E288" s="16" t="str">
        <f t="shared" si="42"/>
        <v/>
      </c>
      <c r="F288" s="16" t="str">
        <f t="shared" si="43"/>
        <v/>
      </c>
      <c r="G288" s="16" t="str">
        <f t="shared" si="44"/>
        <v/>
      </c>
      <c r="H288" s="5" t="str">
        <f t="shared" si="45"/>
        <v/>
      </c>
      <c r="I288" s="5" t="str">
        <f t="shared" si="48"/>
        <v/>
      </c>
      <c r="J288" s="5" t="e">
        <f t="shared" si="49"/>
        <v>#VALUE!</v>
      </c>
    </row>
    <row r="289" spans="1:10">
      <c r="A289" s="4" t="str">
        <f t="shared" si="46"/>
        <v/>
      </c>
      <c r="B289" s="5" t="str">
        <f t="shared" si="50"/>
        <v/>
      </c>
      <c r="C289" s="16" t="str">
        <f t="shared" si="47"/>
        <v/>
      </c>
      <c r="D289" s="16" t="str">
        <f t="shared" si="41"/>
        <v/>
      </c>
      <c r="E289" s="16" t="str">
        <f t="shared" si="42"/>
        <v/>
      </c>
      <c r="F289" s="16" t="str">
        <f t="shared" si="43"/>
        <v/>
      </c>
      <c r="G289" s="16" t="str">
        <f t="shared" si="44"/>
        <v/>
      </c>
      <c r="H289" s="5" t="str">
        <f t="shared" si="45"/>
        <v/>
      </c>
      <c r="I289" s="5" t="str">
        <f t="shared" si="48"/>
        <v/>
      </c>
      <c r="J289" s="5" t="e">
        <f t="shared" si="49"/>
        <v>#VALUE!</v>
      </c>
    </row>
    <row r="290" spans="1:10">
      <c r="A290" s="4" t="str">
        <f t="shared" si="46"/>
        <v/>
      </c>
      <c r="B290" s="5" t="str">
        <f t="shared" si="50"/>
        <v/>
      </c>
      <c r="C290" s="16" t="str">
        <f t="shared" si="47"/>
        <v/>
      </c>
      <c r="D290" s="16" t="str">
        <f t="shared" si="41"/>
        <v/>
      </c>
      <c r="E290" s="16" t="str">
        <f t="shared" si="42"/>
        <v/>
      </c>
      <c r="F290" s="16" t="str">
        <f t="shared" si="43"/>
        <v/>
      </c>
      <c r="G290" s="16" t="str">
        <f t="shared" si="44"/>
        <v/>
      </c>
      <c r="H290" s="5" t="str">
        <f t="shared" si="45"/>
        <v/>
      </c>
      <c r="I290" s="5" t="str">
        <f t="shared" si="48"/>
        <v/>
      </c>
      <c r="J290" s="5" t="e">
        <f t="shared" si="49"/>
        <v>#VALUE!</v>
      </c>
    </row>
    <row r="291" spans="1:10">
      <c r="A291" s="4" t="str">
        <f t="shared" si="46"/>
        <v/>
      </c>
      <c r="B291" s="5" t="str">
        <f t="shared" si="50"/>
        <v/>
      </c>
      <c r="C291" s="16" t="str">
        <f t="shared" si="47"/>
        <v/>
      </c>
      <c r="D291" s="16" t="str">
        <f t="shared" si="41"/>
        <v/>
      </c>
      <c r="E291" s="16" t="str">
        <f t="shared" si="42"/>
        <v/>
      </c>
      <c r="F291" s="16" t="str">
        <f t="shared" si="43"/>
        <v/>
      </c>
      <c r="G291" s="16" t="str">
        <f t="shared" si="44"/>
        <v/>
      </c>
      <c r="H291" s="5" t="str">
        <f t="shared" si="45"/>
        <v/>
      </c>
      <c r="I291" s="5" t="str">
        <f t="shared" si="48"/>
        <v/>
      </c>
      <c r="J291" s="5" t="e">
        <f t="shared" si="49"/>
        <v>#VALUE!</v>
      </c>
    </row>
    <row r="292" spans="1:10">
      <c r="A292" s="4" t="str">
        <f t="shared" si="46"/>
        <v/>
      </c>
      <c r="B292" s="5" t="str">
        <f t="shared" si="50"/>
        <v/>
      </c>
      <c r="C292" s="16" t="str">
        <f t="shared" si="47"/>
        <v/>
      </c>
      <c r="D292" s="16" t="str">
        <f t="shared" si="41"/>
        <v/>
      </c>
      <c r="E292" s="16" t="str">
        <f t="shared" si="42"/>
        <v/>
      </c>
      <c r="F292" s="16" t="str">
        <f t="shared" si="43"/>
        <v/>
      </c>
      <c r="G292" s="16" t="str">
        <f t="shared" si="44"/>
        <v/>
      </c>
      <c r="H292" s="5" t="str">
        <f t="shared" si="45"/>
        <v/>
      </c>
      <c r="I292" s="5" t="str">
        <f t="shared" si="48"/>
        <v/>
      </c>
      <c r="J292" s="5" t="e">
        <f t="shared" si="49"/>
        <v>#VALUE!</v>
      </c>
    </row>
    <row r="293" spans="1:10">
      <c r="A293" s="4" t="str">
        <f t="shared" si="46"/>
        <v/>
      </c>
      <c r="B293" s="5" t="str">
        <f t="shared" si="50"/>
        <v/>
      </c>
      <c r="C293" s="16" t="str">
        <f t="shared" si="47"/>
        <v/>
      </c>
      <c r="D293" s="16" t="str">
        <f t="shared" si="41"/>
        <v/>
      </c>
      <c r="E293" s="16" t="str">
        <f t="shared" si="42"/>
        <v/>
      </c>
      <c r="F293" s="16" t="str">
        <f t="shared" si="43"/>
        <v/>
      </c>
      <c r="G293" s="16" t="str">
        <f t="shared" si="44"/>
        <v/>
      </c>
      <c r="H293" s="5" t="str">
        <f t="shared" si="45"/>
        <v/>
      </c>
      <c r="I293" s="5" t="str">
        <f t="shared" si="48"/>
        <v/>
      </c>
      <c r="J293" s="5" t="e">
        <f t="shared" si="49"/>
        <v>#VALUE!</v>
      </c>
    </row>
    <row r="294" spans="1:10">
      <c r="A294" s="4" t="str">
        <f t="shared" si="46"/>
        <v/>
      </c>
      <c r="B294" s="5" t="str">
        <f t="shared" si="50"/>
        <v/>
      </c>
      <c r="C294" s="16" t="str">
        <f t="shared" si="47"/>
        <v/>
      </c>
      <c r="D294" s="16" t="str">
        <f t="shared" si="41"/>
        <v/>
      </c>
      <c r="E294" s="16" t="str">
        <f t="shared" si="42"/>
        <v/>
      </c>
      <c r="F294" s="16" t="str">
        <f t="shared" si="43"/>
        <v/>
      </c>
      <c r="G294" s="16" t="str">
        <f t="shared" si="44"/>
        <v/>
      </c>
      <c r="H294" s="5" t="str">
        <f t="shared" si="45"/>
        <v/>
      </c>
      <c r="I294" s="5" t="str">
        <f t="shared" si="48"/>
        <v/>
      </c>
      <c r="J294" s="5" t="e">
        <f t="shared" si="49"/>
        <v>#VALUE!</v>
      </c>
    </row>
    <row r="295" spans="1:10">
      <c r="A295" s="4" t="str">
        <f t="shared" si="46"/>
        <v/>
      </c>
      <c r="B295" s="5" t="str">
        <f t="shared" si="50"/>
        <v/>
      </c>
      <c r="C295" s="16" t="str">
        <f t="shared" si="47"/>
        <v/>
      </c>
      <c r="D295" s="16" t="str">
        <f t="shared" si="41"/>
        <v/>
      </c>
      <c r="E295" s="16" t="str">
        <f t="shared" si="42"/>
        <v/>
      </c>
      <c r="F295" s="16" t="str">
        <f t="shared" si="43"/>
        <v/>
      </c>
      <c r="G295" s="16" t="str">
        <f t="shared" si="44"/>
        <v/>
      </c>
      <c r="H295" s="5" t="str">
        <f t="shared" si="45"/>
        <v/>
      </c>
      <c r="I295" s="5" t="str">
        <f t="shared" si="48"/>
        <v/>
      </c>
      <c r="J295" s="5" t="e">
        <f t="shared" si="49"/>
        <v>#VALUE!</v>
      </c>
    </row>
    <row r="296" spans="1:10">
      <c r="A296" s="4" t="str">
        <f t="shared" si="46"/>
        <v/>
      </c>
      <c r="B296" s="5" t="str">
        <f t="shared" si="50"/>
        <v/>
      </c>
      <c r="C296" s="16" t="str">
        <f t="shared" si="47"/>
        <v/>
      </c>
      <c r="D296" s="16" t="str">
        <f t="shared" si="41"/>
        <v/>
      </c>
      <c r="E296" s="16" t="str">
        <f t="shared" si="42"/>
        <v/>
      </c>
      <c r="F296" s="16" t="str">
        <f t="shared" si="43"/>
        <v/>
      </c>
      <c r="G296" s="16" t="str">
        <f t="shared" si="44"/>
        <v/>
      </c>
      <c r="H296" s="5" t="str">
        <f t="shared" si="45"/>
        <v/>
      </c>
      <c r="I296" s="5" t="str">
        <f t="shared" si="48"/>
        <v/>
      </c>
      <c r="J296" s="5" t="e">
        <f t="shared" si="49"/>
        <v>#VALUE!</v>
      </c>
    </row>
    <row r="297" spans="1:10">
      <c r="A297" s="4" t="str">
        <f t="shared" si="46"/>
        <v/>
      </c>
      <c r="B297" s="5" t="str">
        <f t="shared" si="50"/>
        <v/>
      </c>
      <c r="C297" s="16" t="str">
        <f t="shared" si="47"/>
        <v/>
      </c>
      <c r="D297" s="16" t="str">
        <f t="shared" si="41"/>
        <v/>
      </c>
      <c r="E297" s="16" t="str">
        <f t="shared" si="42"/>
        <v/>
      </c>
      <c r="F297" s="16" t="str">
        <f t="shared" si="43"/>
        <v/>
      </c>
      <c r="G297" s="16" t="str">
        <f t="shared" si="44"/>
        <v/>
      </c>
      <c r="H297" s="5" t="str">
        <f t="shared" si="45"/>
        <v/>
      </c>
      <c r="I297" s="5" t="str">
        <f t="shared" si="48"/>
        <v/>
      </c>
      <c r="J297" s="5" t="e">
        <f t="shared" si="49"/>
        <v>#VALUE!</v>
      </c>
    </row>
    <row r="298" spans="1:10">
      <c r="A298" s="4" t="str">
        <f t="shared" si="46"/>
        <v/>
      </c>
      <c r="B298" s="5" t="str">
        <f t="shared" si="50"/>
        <v/>
      </c>
      <c r="C298" s="16" t="str">
        <f t="shared" si="47"/>
        <v/>
      </c>
      <c r="D298" s="16" t="str">
        <f t="shared" si="41"/>
        <v/>
      </c>
      <c r="E298" s="16" t="str">
        <f t="shared" si="42"/>
        <v/>
      </c>
      <c r="F298" s="16" t="str">
        <f t="shared" si="43"/>
        <v/>
      </c>
      <c r="G298" s="16" t="str">
        <f t="shared" si="44"/>
        <v/>
      </c>
      <c r="H298" s="5" t="str">
        <f t="shared" si="45"/>
        <v/>
      </c>
      <c r="I298" s="5" t="str">
        <f t="shared" si="48"/>
        <v/>
      </c>
      <c r="J298" s="5" t="e">
        <f t="shared" si="49"/>
        <v>#VALUE!</v>
      </c>
    </row>
    <row r="299" spans="1:10">
      <c r="A299" s="4" t="str">
        <f t="shared" si="46"/>
        <v/>
      </c>
      <c r="B299" s="5" t="str">
        <f t="shared" si="50"/>
        <v/>
      </c>
      <c r="C299" s="16" t="str">
        <f t="shared" si="47"/>
        <v/>
      </c>
      <c r="D299" s="16" t="str">
        <f t="shared" si="41"/>
        <v/>
      </c>
      <c r="E299" s="16" t="str">
        <f t="shared" si="42"/>
        <v/>
      </c>
      <c r="F299" s="16" t="str">
        <f t="shared" si="43"/>
        <v/>
      </c>
      <c r="G299" s="16" t="str">
        <f t="shared" si="44"/>
        <v/>
      </c>
      <c r="H299" s="5" t="str">
        <f t="shared" si="45"/>
        <v/>
      </c>
      <c r="I299" s="5" t="str">
        <f t="shared" si="48"/>
        <v/>
      </c>
      <c r="J299" s="5" t="e">
        <f t="shared" si="49"/>
        <v>#VALUE!</v>
      </c>
    </row>
    <row r="300" spans="1:10">
      <c r="A300" s="4" t="str">
        <f t="shared" si="46"/>
        <v/>
      </c>
      <c r="B300" s="5" t="str">
        <f t="shared" si="50"/>
        <v/>
      </c>
      <c r="C300" s="16" t="str">
        <f t="shared" si="47"/>
        <v/>
      </c>
      <c r="D300" s="16" t="str">
        <f t="shared" si="41"/>
        <v/>
      </c>
      <c r="E300" s="16" t="str">
        <f t="shared" si="42"/>
        <v/>
      </c>
      <c r="F300" s="16" t="str">
        <f t="shared" si="43"/>
        <v/>
      </c>
      <c r="G300" s="16" t="str">
        <f t="shared" si="44"/>
        <v/>
      </c>
      <c r="H300" s="5" t="str">
        <f t="shared" si="45"/>
        <v/>
      </c>
      <c r="I300" s="5" t="str">
        <f t="shared" si="48"/>
        <v/>
      </c>
      <c r="J300" s="5" t="e">
        <f t="shared" si="49"/>
        <v>#VALUE!</v>
      </c>
    </row>
    <row r="301" spans="1:10">
      <c r="A301" s="4" t="str">
        <f t="shared" si="46"/>
        <v/>
      </c>
      <c r="B301" s="5" t="str">
        <f t="shared" si="50"/>
        <v/>
      </c>
      <c r="C301" s="16" t="str">
        <f t="shared" si="47"/>
        <v/>
      </c>
      <c r="D301" s="16" t="str">
        <f t="shared" si="41"/>
        <v/>
      </c>
      <c r="E301" s="16" t="str">
        <f t="shared" si="42"/>
        <v/>
      </c>
      <c r="F301" s="16" t="str">
        <f t="shared" si="43"/>
        <v/>
      </c>
      <c r="G301" s="16" t="str">
        <f t="shared" si="44"/>
        <v/>
      </c>
      <c r="H301" s="5" t="str">
        <f t="shared" si="45"/>
        <v/>
      </c>
      <c r="I301" s="5" t="str">
        <f t="shared" si="48"/>
        <v/>
      </c>
      <c r="J301" s="5" t="e">
        <f t="shared" si="49"/>
        <v>#VALUE!</v>
      </c>
    </row>
    <row r="302" spans="1:10">
      <c r="A302" s="4" t="str">
        <f t="shared" si="46"/>
        <v/>
      </c>
      <c r="B302" s="5" t="str">
        <f t="shared" si="50"/>
        <v/>
      </c>
      <c r="C302" s="16" t="str">
        <f t="shared" si="47"/>
        <v/>
      </c>
      <c r="D302" s="16" t="str">
        <f t="shared" si="41"/>
        <v/>
      </c>
      <c r="E302" s="16" t="str">
        <f t="shared" si="42"/>
        <v/>
      </c>
      <c r="F302" s="16" t="str">
        <f t="shared" si="43"/>
        <v/>
      </c>
      <c r="G302" s="16" t="str">
        <f t="shared" si="44"/>
        <v/>
      </c>
      <c r="H302" s="5" t="str">
        <f t="shared" si="45"/>
        <v/>
      </c>
      <c r="I302" s="5" t="str">
        <f t="shared" si="48"/>
        <v/>
      </c>
      <c r="J302" s="5" t="e">
        <f t="shared" si="49"/>
        <v>#VALUE!</v>
      </c>
    </row>
    <row r="303" spans="1:10">
      <c r="A303" s="4" t="str">
        <f t="shared" si="46"/>
        <v/>
      </c>
      <c r="B303" s="5" t="str">
        <f t="shared" si="50"/>
        <v/>
      </c>
      <c r="C303" s="16" t="str">
        <f t="shared" si="47"/>
        <v/>
      </c>
      <c r="D303" s="16" t="str">
        <f t="shared" si="41"/>
        <v/>
      </c>
      <c r="E303" s="16" t="str">
        <f t="shared" si="42"/>
        <v/>
      </c>
      <c r="F303" s="16" t="str">
        <f t="shared" si="43"/>
        <v/>
      </c>
      <c r="G303" s="16" t="str">
        <f t="shared" si="44"/>
        <v/>
      </c>
      <c r="H303" s="5" t="str">
        <f t="shared" si="45"/>
        <v/>
      </c>
      <c r="I303" s="5" t="str">
        <f t="shared" si="48"/>
        <v/>
      </c>
      <c r="J303" s="5" t="e">
        <f t="shared" si="49"/>
        <v>#VALUE!</v>
      </c>
    </row>
    <row r="304" spans="1:10">
      <c r="A304" s="4" t="str">
        <f t="shared" si="46"/>
        <v/>
      </c>
      <c r="B304" s="5" t="str">
        <f t="shared" si="50"/>
        <v/>
      </c>
      <c r="C304" s="16" t="str">
        <f t="shared" si="47"/>
        <v/>
      </c>
      <c r="D304" s="16" t="str">
        <f t="shared" si="41"/>
        <v/>
      </c>
      <c r="E304" s="16" t="str">
        <f t="shared" si="42"/>
        <v/>
      </c>
      <c r="F304" s="16" t="str">
        <f t="shared" si="43"/>
        <v/>
      </c>
      <c r="G304" s="16" t="str">
        <f t="shared" si="44"/>
        <v/>
      </c>
      <c r="H304" s="5" t="str">
        <f t="shared" si="45"/>
        <v/>
      </c>
      <c r="I304" s="5" t="str">
        <f t="shared" si="48"/>
        <v/>
      </c>
      <c r="J304" s="5" t="e">
        <f t="shared" si="49"/>
        <v>#VALUE!</v>
      </c>
    </row>
    <row r="305" spans="1:10">
      <c r="A305" s="4" t="str">
        <f t="shared" si="46"/>
        <v/>
      </c>
      <c r="B305" s="5" t="str">
        <f t="shared" si="50"/>
        <v/>
      </c>
      <c r="C305" s="16" t="str">
        <f t="shared" si="47"/>
        <v/>
      </c>
      <c r="D305" s="16" t="str">
        <f t="shared" si="41"/>
        <v/>
      </c>
      <c r="E305" s="16" t="str">
        <f t="shared" si="42"/>
        <v/>
      </c>
      <c r="F305" s="16" t="str">
        <f t="shared" si="43"/>
        <v/>
      </c>
      <c r="G305" s="16" t="str">
        <f t="shared" si="44"/>
        <v/>
      </c>
      <c r="H305" s="5" t="str">
        <f t="shared" si="45"/>
        <v/>
      </c>
      <c r="I305" s="5" t="str">
        <f t="shared" si="48"/>
        <v/>
      </c>
      <c r="J305" s="5" t="e">
        <f t="shared" si="49"/>
        <v>#VALUE!</v>
      </c>
    </row>
    <row r="306" spans="1:10">
      <c r="A306" s="4" t="str">
        <f t="shared" si="46"/>
        <v/>
      </c>
      <c r="B306" s="5" t="str">
        <f t="shared" si="50"/>
        <v/>
      </c>
      <c r="C306" s="16" t="str">
        <f t="shared" si="47"/>
        <v/>
      </c>
      <c r="D306" s="16" t="str">
        <f t="shared" si="41"/>
        <v/>
      </c>
      <c r="E306" s="16" t="str">
        <f t="shared" si="42"/>
        <v/>
      </c>
      <c r="F306" s="16" t="str">
        <f t="shared" si="43"/>
        <v/>
      </c>
      <c r="G306" s="16" t="str">
        <f t="shared" si="44"/>
        <v/>
      </c>
      <c r="H306" s="5" t="str">
        <f t="shared" si="45"/>
        <v/>
      </c>
      <c r="I306" s="5" t="str">
        <f t="shared" si="48"/>
        <v/>
      </c>
      <c r="J306" s="5" t="e">
        <f t="shared" si="49"/>
        <v>#VALUE!</v>
      </c>
    </row>
    <row r="307" spans="1:10">
      <c r="A307" s="4" t="str">
        <f t="shared" si="46"/>
        <v/>
      </c>
      <c r="B307" s="5" t="str">
        <f t="shared" si="50"/>
        <v/>
      </c>
      <c r="C307" s="16" t="str">
        <f t="shared" si="47"/>
        <v/>
      </c>
      <c r="D307" s="16" t="str">
        <f t="shared" si="41"/>
        <v/>
      </c>
      <c r="E307" s="16" t="str">
        <f t="shared" si="42"/>
        <v/>
      </c>
      <c r="F307" s="16" t="str">
        <f t="shared" si="43"/>
        <v/>
      </c>
      <c r="G307" s="16" t="str">
        <f t="shared" si="44"/>
        <v/>
      </c>
      <c r="H307" s="5" t="str">
        <f t="shared" si="45"/>
        <v/>
      </c>
      <c r="I307" s="5" t="str">
        <f t="shared" si="48"/>
        <v/>
      </c>
      <c r="J307" s="5" t="e">
        <f t="shared" si="49"/>
        <v>#VALUE!</v>
      </c>
    </row>
    <row r="308" spans="1:10">
      <c r="A308" s="4" t="str">
        <f t="shared" si="46"/>
        <v/>
      </c>
      <c r="B308" s="5" t="str">
        <f t="shared" si="50"/>
        <v/>
      </c>
      <c r="C308" s="16" t="str">
        <f t="shared" si="47"/>
        <v/>
      </c>
      <c r="D308" s="16" t="str">
        <f t="shared" si="41"/>
        <v/>
      </c>
      <c r="E308" s="16" t="str">
        <f t="shared" si="42"/>
        <v/>
      </c>
      <c r="F308" s="16" t="str">
        <f t="shared" si="43"/>
        <v/>
      </c>
      <c r="G308" s="16" t="str">
        <f t="shared" si="44"/>
        <v/>
      </c>
      <c r="H308" s="5" t="str">
        <f t="shared" si="45"/>
        <v/>
      </c>
      <c r="I308" s="5" t="str">
        <f t="shared" si="48"/>
        <v/>
      </c>
      <c r="J308" s="5" t="e">
        <f t="shared" si="49"/>
        <v>#VALUE!</v>
      </c>
    </row>
    <row r="309" spans="1:10">
      <c r="A309" s="4" t="str">
        <f t="shared" si="46"/>
        <v/>
      </c>
      <c r="B309" s="5" t="str">
        <f t="shared" si="50"/>
        <v/>
      </c>
      <c r="C309" s="16" t="str">
        <f t="shared" si="47"/>
        <v/>
      </c>
      <c r="D309" s="16" t="str">
        <f t="shared" si="41"/>
        <v/>
      </c>
      <c r="E309" s="16" t="str">
        <f t="shared" si="42"/>
        <v/>
      </c>
      <c r="F309" s="16" t="str">
        <f t="shared" si="43"/>
        <v/>
      </c>
      <c r="G309" s="16" t="str">
        <f t="shared" si="44"/>
        <v/>
      </c>
      <c r="H309" s="5" t="str">
        <f t="shared" si="45"/>
        <v/>
      </c>
      <c r="I309" s="5" t="str">
        <f t="shared" si="48"/>
        <v/>
      </c>
      <c r="J309" s="5" t="e">
        <f t="shared" si="49"/>
        <v>#VALUE!</v>
      </c>
    </row>
    <row r="310" spans="1:10">
      <c r="A310" s="4" t="str">
        <f t="shared" si="46"/>
        <v/>
      </c>
      <c r="B310" s="5" t="str">
        <f t="shared" si="50"/>
        <v/>
      </c>
      <c r="C310" s="16" t="str">
        <f t="shared" si="47"/>
        <v/>
      </c>
      <c r="D310" s="16" t="str">
        <f t="shared" si="41"/>
        <v/>
      </c>
      <c r="E310" s="16" t="str">
        <f t="shared" si="42"/>
        <v/>
      </c>
      <c r="F310" s="16" t="str">
        <f t="shared" si="43"/>
        <v/>
      </c>
      <c r="G310" s="16" t="str">
        <f t="shared" si="44"/>
        <v/>
      </c>
      <c r="H310" s="5" t="str">
        <f t="shared" si="45"/>
        <v/>
      </c>
      <c r="I310" s="5" t="str">
        <f t="shared" si="48"/>
        <v/>
      </c>
      <c r="J310" s="5" t="e">
        <f t="shared" si="49"/>
        <v>#VALUE!</v>
      </c>
    </row>
    <row r="311" spans="1:10">
      <c r="A311" s="4" t="str">
        <f t="shared" si="46"/>
        <v/>
      </c>
      <c r="B311" s="5" t="str">
        <f t="shared" si="50"/>
        <v/>
      </c>
      <c r="C311" s="16" t="str">
        <f t="shared" si="47"/>
        <v/>
      </c>
      <c r="D311" s="16" t="str">
        <f t="shared" si="41"/>
        <v/>
      </c>
      <c r="E311" s="16" t="str">
        <f t="shared" si="42"/>
        <v/>
      </c>
      <c r="F311" s="16" t="str">
        <f t="shared" si="43"/>
        <v/>
      </c>
      <c r="G311" s="16" t="str">
        <f t="shared" si="44"/>
        <v/>
      </c>
      <c r="H311" s="5" t="str">
        <f t="shared" si="45"/>
        <v/>
      </c>
      <c r="I311" s="5" t="str">
        <f t="shared" si="48"/>
        <v/>
      </c>
      <c r="J311" s="5" t="e">
        <f t="shared" si="49"/>
        <v>#VALUE!</v>
      </c>
    </row>
    <row r="312" spans="1:10">
      <c r="A312" s="4" t="str">
        <f t="shared" si="46"/>
        <v/>
      </c>
      <c r="B312" s="5" t="str">
        <f t="shared" si="50"/>
        <v/>
      </c>
      <c r="C312" s="16" t="str">
        <f t="shared" si="47"/>
        <v/>
      </c>
      <c r="D312" s="16" t="str">
        <f t="shared" si="41"/>
        <v/>
      </c>
      <c r="E312" s="16" t="str">
        <f t="shared" si="42"/>
        <v/>
      </c>
      <c r="F312" s="16" t="str">
        <f t="shared" si="43"/>
        <v/>
      </c>
      <c r="G312" s="16" t="str">
        <f t="shared" si="44"/>
        <v/>
      </c>
      <c r="H312" s="5" t="str">
        <f t="shared" si="45"/>
        <v/>
      </c>
      <c r="I312" s="5" t="str">
        <f t="shared" si="48"/>
        <v/>
      </c>
      <c r="J312" s="5" t="e">
        <f t="shared" si="49"/>
        <v>#VALUE!</v>
      </c>
    </row>
    <row r="313" spans="1:10">
      <c r="A313" s="4" t="str">
        <f t="shared" si="46"/>
        <v/>
      </c>
      <c r="B313" s="5" t="str">
        <f t="shared" si="50"/>
        <v/>
      </c>
      <c r="C313" s="16" t="str">
        <f t="shared" si="47"/>
        <v/>
      </c>
      <c r="D313" s="16" t="str">
        <f t="shared" si="41"/>
        <v/>
      </c>
      <c r="E313" s="16" t="str">
        <f t="shared" si="42"/>
        <v/>
      </c>
      <c r="F313" s="16" t="str">
        <f t="shared" si="43"/>
        <v/>
      </c>
      <c r="G313" s="16" t="str">
        <f t="shared" si="44"/>
        <v/>
      </c>
      <c r="H313" s="5" t="str">
        <f t="shared" si="45"/>
        <v/>
      </c>
      <c r="I313" s="5" t="str">
        <f t="shared" si="48"/>
        <v/>
      </c>
      <c r="J313" s="5" t="e">
        <f t="shared" si="49"/>
        <v>#VALUE!</v>
      </c>
    </row>
    <row r="314" spans="1:10">
      <c r="A314" s="4" t="str">
        <f t="shared" si="46"/>
        <v/>
      </c>
      <c r="B314" s="5" t="str">
        <f t="shared" si="50"/>
        <v/>
      </c>
      <c r="C314" s="16" t="str">
        <f t="shared" si="47"/>
        <v/>
      </c>
      <c r="D314" s="16" t="str">
        <f t="shared" si="41"/>
        <v/>
      </c>
      <c r="E314" s="16" t="str">
        <f t="shared" si="42"/>
        <v/>
      </c>
      <c r="F314" s="16" t="str">
        <f t="shared" si="43"/>
        <v/>
      </c>
      <c r="G314" s="16" t="str">
        <f t="shared" si="44"/>
        <v/>
      </c>
      <c r="H314" s="5" t="str">
        <f t="shared" si="45"/>
        <v/>
      </c>
      <c r="I314" s="5" t="str">
        <f t="shared" si="48"/>
        <v/>
      </c>
      <c r="J314" s="5" t="e">
        <f t="shared" si="49"/>
        <v>#VALUE!</v>
      </c>
    </row>
    <row r="315" spans="1:10">
      <c r="A315" s="4" t="str">
        <f t="shared" si="46"/>
        <v/>
      </c>
      <c r="B315" s="5" t="str">
        <f t="shared" si="50"/>
        <v/>
      </c>
      <c r="C315" s="16" t="str">
        <f t="shared" si="47"/>
        <v/>
      </c>
      <c r="D315" s="16" t="str">
        <f t="shared" si="41"/>
        <v/>
      </c>
      <c r="E315" s="16" t="str">
        <f t="shared" si="42"/>
        <v/>
      </c>
      <c r="F315" s="16" t="str">
        <f t="shared" si="43"/>
        <v/>
      </c>
      <c r="G315" s="16" t="str">
        <f t="shared" si="44"/>
        <v/>
      </c>
      <c r="H315" s="5" t="str">
        <f t="shared" si="45"/>
        <v/>
      </c>
      <c r="I315" s="5" t="str">
        <f t="shared" si="48"/>
        <v/>
      </c>
      <c r="J315" s="5" t="e">
        <f t="shared" si="49"/>
        <v>#VALUE!</v>
      </c>
    </row>
    <row r="316" spans="1:10">
      <c r="A316" s="4" t="str">
        <f t="shared" si="46"/>
        <v/>
      </c>
      <c r="B316" s="5" t="str">
        <f t="shared" si="50"/>
        <v/>
      </c>
      <c r="C316" s="16" t="str">
        <f t="shared" si="47"/>
        <v/>
      </c>
      <c r="D316" s="16" t="str">
        <f t="shared" si="41"/>
        <v/>
      </c>
      <c r="E316" s="16" t="str">
        <f t="shared" si="42"/>
        <v/>
      </c>
      <c r="F316" s="16" t="str">
        <f t="shared" si="43"/>
        <v/>
      </c>
      <c r="G316" s="16" t="str">
        <f t="shared" si="44"/>
        <v/>
      </c>
      <c r="H316" s="5" t="str">
        <f t="shared" si="45"/>
        <v/>
      </c>
      <c r="I316" s="5" t="str">
        <f t="shared" si="48"/>
        <v/>
      </c>
      <c r="J316" s="5" t="e">
        <f t="shared" si="49"/>
        <v>#VALUE!</v>
      </c>
    </row>
    <row r="317" spans="1:10">
      <c r="A317" s="4" t="str">
        <f t="shared" si="46"/>
        <v/>
      </c>
      <c r="B317" s="5" t="str">
        <f t="shared" si="50"/>
        <v/>
      </c>
      <c r="C317" s="16" t="str">
        <f t="shared" si="47"/>
        <v/>
      </c>
      <c r="D317" s="16" t="str">
        <f t="shared" si="41"/>
        <v/>
      </c>
      <c r="E317" s="16" t="str">
        <f t="shared" si="42"/>
        <v/>
      </c>
      <c r="F317" s="16" t="str">
        <f t="shared" si="43"/>
        <v/>
      </c>
      <c r="G317" s="16" t="str">
        <f t="shared" si="44"/>
        <v/>
      </c>
      <c r="H317" s="5" t="str">
        <f t="shared" si="45"/>
        <v/>
      </c>
      <c r="I317" s="5" t="str">
        <f t="shared" si="48"/>
        <v/>
      </c>
      <c r="J317" s="5" t="e">
        <f t="shared" si="49"/>
        <v>#VALUE!</v>
      </c>
    </row>
    <row r="318" spans="1:10">
      <c r="A318" s="4" t="str">
        <f t="shared" si="46"/>
        <v/>
      </c>
      <c r="B318" s="5" t="str">
        <f t="shared" si="50"/>
        <v/>
      </c>
      <c r="C318" s="16" t="str">
        <f t="shared" si="47"/>
        <v/>
      </c>
      <c r="D318" s="16" t="str">
        <f t="shared" si="41"/>
        <v/>
      </c>
      <c r="E318" s="16" t="str">
        <f t="shared" si="42"/>
        <v/>
      </c>
      <c r="F318" s="16" t="str">
        <f t="shared" si="43"/>
        <v/>
      </c>
      <c r="G318" s="16" t="str">
        <f t="shared" si="44"/>
        <v/>
      </c>
      <c r="H318" s="5" t="str">
        <f t="shared" si="45"/>
        <v/>
      </c>
      <c r="I318" s="5" t="str">
        <f t="shared" si="48"/>
        <v/>
      </c>
      <c r="J318" s="5" t="e">
        <f t="shared" si="49"/>
        <v>#VALUE!</v>
      </c>
    </row>
    <row r="319" spans="1:10">
      <c r="A319" s="4" t="str">
        <f t="shared" si="46"/>
        <v/>
      </c>
      <c r="B319" s="5" t="str">
        <f t="shared" si="50"/>
        <v/>
      </c>
      <c r="C319" s="16" t="str">
        <f t="shared" si="47"/>
        <v/>
      </c>
      <c r="D319" s="16" t="str">
        <f t="shared" si="41"/>
        <v/>
      </c>
      <c r="E319" s="16" t="str">
        <f t="shared" si="42"/>
        <v/>
      </c>
      <c r="F319" s="16" t="str">
        <f t="shared" si="43"/>
        <v/>
      </c>
      <c r="G319" s="16" t="str">
        <f t="shared" si="44"/>
        <v/>
      </c>
      <c r="H319" s="5" t="str">
        <f t="shared" si="45"/>
        <v/>
      </c>
      <c r="I319" s="5" t="str">
        <f t="shared" si="48"/>
        <v/>
      </c>
      <c r="J319" s="5" t="e">
        <f t="shared" si="49"/>
        <v>#VALUE!</v>
      </c>
    </row>
    <row r="320" spans="1:10">
      <c r="A320" s="4" t="str">
        <f t="shared" si="46"/>
        <v/>
      </c>
      <c r="B320" s="5" t="str">
        <f t="shared" si="50"/>
        <v/>
      </c>
      <c r="C320" s="16" t="str">
        <f t="shared" si="47"/>
        <v/>
      </c>
      <c r="D320" s="16" t="str">
        <f t="shared" si="41"/>
        <v/>
      </c>
      <c r="E320" s="16" t="str">
        <f t="shared" si="42"/>
        <v/>
      </c>
      <c r="F320" s="16" t="str">
        <f t="shared" si="43"/>
        <v/>
      </c>
      <c r="G320" s="16" t="str">
        <f t="shared" si="44"/>
        <v/>
      </c>
      <c r="H320" s="5" t="str">
        <f t="shared" si="45"/>
        <v/>
      </c>
      <c r="I320" s="5" t="str">
        <f t="shared" si="48"/>
        <v/>
      </c>
      <c r="J320" s="5" t="e">
        <f t="shared" si="49"/>
        <v>#VALUE!</v>
      </c>
    </row>
    <row r="321" spans="1:10">
      <c r="A321" s="4" t="str">
        <f t="shared" si="46"/>
        <v/>
      </c>
      <c r="B321" s="5" t="str">
        <f t="shared" si="50"/>
        <v/>
      </c>
      <c r="C321" s="16" t="str">
        <f t="shared" si="47"/>
        <v/>
      </c>
      <c r="D321" s="16" t="str">
        <f t="shared" si="41"/>
        <v/>
      </c>
      <c r="E321" s="16" t="str">
        <f t="shared" si="42"/>
        <v/>
      </c>
      <c r="F321" s="16" t="str">
        <f t="shared" si="43"/>
        <v/>
      </c>
      <c r="G321" s="16" t="str">
        <f t="shared" si="44"/>
        <v/>
      </c>
      <c r="H321" s="5" t="str">
        <f t="shared" si="45"/>
        <v/>
      </c>
      <c r="I321" s="5" t="str">
        <f t="shared" si="48"/>
        <v/>
      </c>
      <c r="J321" s="5" t="e">
        <f t="shared" si="49"/>
        <v>#VALUE!</v>
      </c>
    </row>
    <row r="322" spans="1:10">
      <c r="A322" s="4" t="str">
        <f t="shared" si="46"/>
        <v/>
      </c>
      <c r="B322" s="5" t="str">
        <f t="shared" si="50"/>
        <v/>
      </c>
      <c r="C322" s="16" t="str">
        <f t="shared" si="47"/>
        <v/>
      </c>
      <c r="D322" s="16" t="str">
        <f t="shared" si="41"/>
        <v/>
      </c>
      <c r="E322" s="16" t="str">
        <f t="shared" si="42"/>
        <v/>
      </c>
      <c r="F322" s="16" t="str">
        <f t="shared" si="43"/>
        <v/>
      </c>
      <c r="G322" s="16" t="str">
        <f t="shared" si="44"/>
        <v/>
      </c>
      <c r="H322" s="5" t="str">
        <f t="shared" si="45"/>
        <v/>
      </c>
      <c r="I322" s="5" t="str">
        <f t="shared" si="48"/>
        <v/>
      </c>
      <c r="J322" s="5" t="e">
        <f t="shared" si="49"/>
        <v>#VALUE!</v>
      </c>
    </row>
    <row r="323" spans="1:10">
      <c r="A323" s="4" t="str">
        <f t="shared" si="46"/>
        <v/>
      </c>
      <c r="B323" s="5" t="str">
        <f t="shared" si="50"/>
        <v/>
      </c>
      <c r="C323" s="16" t="str">
        <f t="shared" si="47"/>
        <v/>
      </c>
      <c r="D323" s="16" t="str">
        <f t="shared" si="41"/>
        <v/>
      </c>
      <c r="E323" s="16" t="str">
        <f t="shared" si="42"/>
        <v/>
      </c>
      <c r="F323" s="16" t="str">
        <f t="shared" si="43"/>
        <v/>
      </c>
      <c r="G323" s="16" t="str">
        <f t="shared" si="44"/>
        <v/>
      </c>
      <c r="H323" s="5" t="str">
        <f t="shared" si="45"/>
        <v/>
      </c>
      <c r="I323" s="5" t="str">
        <f t="shared" si="48"/>
        <v/>
      </c>
      <c r="J323" s="5" t="e">
        <f t="shared" si="49"/>
        <v>#VALUE!</v>
      </c>
    </row>
    <row r="324" spans="1:10">
      <c r="A324" s="4" t="str">
        <f t="shared" si="46"/>
        <v/>
      </c>
      <c r="B324" s="5" t="str">
        <f t="shared" si="50"/>
        <v/>
      </c>
      <c r="C324" s="16" t="str">
        <f t="shared" si="47"/>
        <v/>
      </c>
      <c r="D324" s="16" t="str">
        <f t="shared" si="41"/>
        <v/>
      </c>
      <c r="E324" s="16" t="str">
        <f t="shared" si="42"/>
        <v/>
      </c>
      <c r="F324" s="16" t="str">
        <f t="shared" si="43"/>
        <v/>
      </c>
      <c r="G324" s="16" t="str">
        <f t="shared" si="44"/>
        <v/>
      </c>
      <c r="H324" s="5" t="str">
        <f t="shared" si="45"/>
        <v/>
      </c>
      <c r="I324" s="5" t="str">
        <f t="shared" si="48"/>
        <v/>
      </c>
      <c r="J324" s="5" t="e">
        <f t="shared" si="49"/>
        <v>#VALUE!</v>
      </c>
    </row>
    <row r="325" spans="1:10">
      <c r="A325" s="4" t="str">
        <f t="shared" si="46"/>
        <v/>
      </c>
      <c r="B325" s="5" t="str">
        <f t="shared" si="50"/>
        <v/>
      </c>
      <c r="C325" s="16" t="str">
        <f t="shared" si="47"/>
        <v/>
      </c>
      <c r="D325" s="16" t="str">
        <f t="shared" si="41"/>
        <v/>
      </c>
      <c r="E325" s="16" t="str">
        <f t="shared" si="42"/>
        <v/>
      </c>
      <c r="F325" s="16" t="str">
        <f t="shared" si="43"/>
        <v/>
      </c>
      <c r="G325" s="16" t="str">
        <f t="shared" si="44"/>
        <v/>
      </c>
      <c r="H325" s="5" t="str">
        <f t="shared" si="45"/>
        <v/>
      </c>
      <c r="I325" s="5" t="str">
        <f t="shared" si="48"/>
        <v/>
      </c>
      <c r="J325" s="5" t="e">
        <f t="shared" si="49"/>
        <v>#VALUE!</v>
      </c>
    </row>
    <row r="326" spans="1:10">
      <c r="A326" s="4" t="str">
        <f t="shared" si="46"/>
        <v/>
      </c>
      <c r="B326" s="5" t="str">
        <f t="shared" si="50"/>
        <v/>
      </c>
      <c r="C326" s="16" t="str">
        <f t="shared" si="47"/>
        <v/>
      </c>
      <c r="D326" s="16" t="str">
        <f t="shared" si="41"/>
        <v/>
      </c>
      <c r="E326" s="16" t="str">
        <f t="shared" si="42"/>
        <v/>
      </c>
      <c r="F326" s="16" t="str">
        <f t="shared" si="43"/>
        <v/>
      </c>
      <c r="G326" s="16" t="str">
        <f t="shared" si="44"/>
        <v/>
      </c>
      <c r="H326" s="5" t="str">
        <f t="shared" si="45"/>
        <v/>
      </c>
      <c r="I326" s="5" t="str">
        <f t="shared" si="48"/>
        <v/>
      </c>
      <c r="J326" s="5" t="e">
        <f t="shared" si="49"/>
        <v>#VALUE!</v>
      </c>
    </row>
    <row r="327" spans="1:10">
      <c r="A327" s="4" t="str">
        <f t="shared" si="46"/>
        <v/>
      </c>
      <c r="B327" s="5" t="str">
        <f t="shared" si="50"/>
        <v/>
      </c>
      <c r="C327" s="16" t="str">
        <f t="shared" si="47"/>
        <v/>
      </c>
      <c r="D327" s="16" t="str">
        <f t="shared" si="41"/>
        <v/>
      </c>
      <c r="E327" s="16" t="str">
        <f t="shared" si="42"/>
        <v/>
      </c>
      <c r="F327" s="16" t="str">
        <f t="shared" si="43"/>
        <v/>
      </c>
      <c r="G327" s="16" t="str">
        <f t="shared" si="44"/>
        <v/>
      </c>
      <c r="H327" s="5" t="str">
        <f t="shared" si="45"/>
        <v/>
      </c>
      <c r="I327" s="5" t="str">
        <f t="shared" si="48"/>
        <v/>
      </c>
      <c r="J327" s="5" t="e">
        <f t="shared" si="49"/>
        <v>#VALUE!</v>
      </c>
    </row>
    <row r="328" spans="1:10">
      <c r="A328" s="4" t="str">
        <f t="shared" si="46"/>
        <v/>
      </c>
      <c r="B328" s="5" t="str">
        <f t="shared" si="50"/>
        <v/>
      </c>
      <c r="C328" s="16" t="str">
        <f t="shared" si="47"/>
        <v/>
      </c>
      <c r="D328" s="16" t="str">
        <f t="shared" si="41"/>
        <v/>
      </c>
      <c r="E328" s="16" t="str">
        <f t="shared" si="42"/>
        <v/>
      </c>
      <c r="F328" s="16" t="str">
        <f t="shared" si="43"/>
        <v/>
      </c>
      <c r="G328" s="16" t="str">
        <f t="shared" si="44"/>
        <v/>
      </c>
      <c r="H328" s="5" t="str">
        <f t="shared" si="45"/>
        <v/>
      </c>
      <c r="I328" s="5" t="str">
        <f t="shared" si="48"/>
        <v/>
      </c>
      <c r="J328" s="5" t="e">
        <f t="shared" si="49"/>
        <v>#VALUE!</v>
      </c>
    </row>
    <row r="329" spans="1:10">
      <c r="A329" s="4" t="str">
        <f t="shared" si="46"/>
        <v/>
      </c>
      <c r="B329" s="5" t="str">
        <f t="shared" si="50"/>
        <v/>
      </c>
      <c r="C329" s="16" t="str">
        <f t="shared" si="47"/>
        <v/>
      </c>
      <c r="D329" s="16" t="str">
        <f t="shared" si="41"/>
        <v/>
      </c>
      <c r="E329" s="16" t="str">
        <f t="shared" si="42"/>
        <v/>
      </c>
      <c r="F329" s="16" t="str">
        <f t="shared" si="43"/>
        <v/>
      </c>
      <c r="G329" s="16" t="str">
        <f t="shared" si="44"/>
        <v/>
      </c>
      <c r="H329" s="5" t="str">
        <f t="shared" si="45"/>
        <v/>
      </c>
      <c r="I329" s="5" t="str">
        <f t="shared" si="48"/>
        <v/>
      </c>
      <c r="J329" s="5" t="e">
        <f t="shared" si="49"/>
        <v>#VALUE!</v>
      </c>
    </row>
    <row r="330" spans="1:10">
      <c r="A330" s="4" t="str">
        <f t="shared" si="46"/>
        <v/>
      </c>
      <c r="B330" s="5" t="str">
        <f t="shared" si="50"/>
        <v/>
      </c>
      <c r="C330" s="16" t="str">
        <f t="shared" si="47"/>
        <v/>
      </c>
      <c r="D330" s="16" t="str">
        <f t="shared" si="41"/>
        <v/>
      </c>
      <c r="E330" s="16" t="str">
        <f t="shared" si="42"/>
        <v/>
      </c>
      <c r="F330" s="16" t="str">
        <f t="shared" si="43"/>
        <v/>
      </c>
      <c r="G330" s="16" t="str">
        <f t="shared" si="44"/>
        <v/>
      </c>
      <c r="H330" s="5" t="str">
        <f t="shared" si="45"/>
        <v/>
      </c>
      <c r="I330" s="5" t="str">
        <f t="shared" si="48"/>
        <v/>
      </c>
      <c r="J330" s="5" t="e">
        <f t="shared" si="49"/>
        <v>#VALUE!</v>
      </c>
    </row>
    <row r="331" spans="1:10">
      <c r="A331" s="4" t="str">
        <f t="shared" si="46"/>
        <v/>
      </c>
      <c r="B331" s="5" t="str">
        <f t="shared" si="50"/>
        <v/>
      </c>
      <c r="C331" s="16" t="str">
        <f t="shared" si="47"/>
        <v/>
      </c>
      <c r="D331" s="16" t="str">
        <f t="shared" si="41"/>
        <v/>
      </c>
      <c r="E331" s="16" t="str">
        <f t="shared" si="42"/>
        <v/>
      </c>
      <c r="F331" s="16" t="str">
        <f t="shared" si="43"/>
        <v/>
      </c>
      <c r="G331" s="16" t="str">
        <f t="shared" si="44"/>
        <v/>
      </c>
      <c r="H331" s="5" t="str">
        <f t="shared" si="45"/>
        <v/>
      </c>
      <c r="I331" s="5" t="str">
        <f t="shared" si="48"/>
        <v/>
      </c>
      <c r="J331" s="5" t="e">
        <f t="shared" si="49"/>
        <v>#VALUE!</v>
      </c>
    </row>
    <row r="332" spans="1:10">
      <c r="A332" s="4" t="str">
        <f t="shared" si="46"/>
        <v/>
      </c>
      <c r="B332" s="5" t="str">
        <f t="shared" si="50"/>
        <v/>
      </c>
      <c r="C332" s="16" t="str">
        <f t="shared" si="47"/>
        <v/>
      </c>
      <c r="D332" s="16" t="str">
        <f t="shared" ref="D332:D375" si="51">IF(A332&lt;=tc,$H$4*A332,IF(A332&lt;=2*tc,Qmax-$H$4*(A332-tc),""))</f>
        <v/>
      </c>
      <c r="E332" s="16" t="str">
        <f t="shared" ref="E332:E375" si="52">IF(A332&lt;=tc_1,$H$5*A332,IF(A332&lt;=tc,Q_max_i,IF(A332&lt;=tc_1+tc,Q_max_i-$H$5*(A332-(tc)),"")))</f>
        <v/>
      </c>
      <c r="F332" s="16" t="str">
        <f t="shared" ref="F332:F375" si="53">IF(A332="","",IF(ISERROR(D332/(Area*10^2)),"",D332/(Area*10^2)))</f>
        <v/>
      </c>
      <c r="G332" s="16" t="str">
        <f t="shared" ref="G332:G375" si="54">IF(A332="","",IF(ISERROR(E332/(Ad_i*10^2)),"",E332/(Ad_i*10^2)))</f>
        <v/>
      </c>
      <c r="H332" s="5" t="str">
        <f t="shared" ref="H332:H375" si="55">IF(G332="","",IF(ISERROR(G332*alot_i/100),"",G332*alot_i/100))</f>
        <v/>
      </c>
      <c r="I332" s="5" t="str">
        <f t="shared" si="48"/>
        <v/>
      </c>
      <c r="J332" s="5" t="e">
        <f t="shared" si="49"/>
        <v>#VALUE!</v>
      </c>
    </row>
    <row r="333" spans="1:10">
      <c r="A333" s="4" t="str">
        <f t="shared" ref="A333:A375" si="56">IF(ISERROR(IF(A332+Passo&lt;=tc+tc,A332+Passo,"")),"",IF(A332+Passo&lt;=tc+tc,A332+Passo,""))</f>
        <v/>
      </c>
      <c r="B333" s="5" t="str">
        <f t="shared" si="50"/>
        <v/>
      </c>
      <c r="C333" s="16" t="str">
        <f t="shared" ref="C333:C375" si="57">IF(ISERROR(IF(A333="","",C332+AVERAGE(B332:B333)*Passo*60/1000)),C332,IF(A333="","",C332+AVERAGE(B332:B333)*Passo*60/1000))</f>
        <v/>
      </c>
      <c r="D333" s="16" t="str">
        <f t="shared" si="51"/>
        <v/>
      </c>
      <c r="E333" s="16" t="str">
        <f t="shared" si="52"/>
        <v/>
      </c>
      <c r="F333" s="16" t="str">
        <f t="shared" si="53"/>
        <v/>
      </c>
      <c r="G333" s="16" t="str">
        <f t="shared" si="54"/>
        <v/>
      </c>
      <c r="H333" s="5" t="str">
        <f t="shared" si="55"/>
        <v/>
      </c>
      <c r="I333" s="5" t="str">
        <f t="shared" ref="I333:I375" si="58">IF(A333="","",IF(ISERROR(E333-H333),0,E333-H333))</f>
        <v/>
      </c>
      <c r="J333" s="5" t="e">
        <f t="shared" ref="J333:J396" si="59">I333+B333</f>
        <v>#VALUE!</v>
      </c>
    </row>
    <row r="334" spans="1:10">
      <c r="A334" s="4" t="str">
        <f t="shared" si="56"/>
        <v/>
      </c>
      <c r="B334" s="5" t="str">
        <f t="shared" ref="B334:B375" si="60">IF(ISERROR(IF(A334&lt;=tc_lot_i,declividade_afluente*A334,IF(A334&lt;=tc,Qmax_lot_i,IF(A334&lt;=tc+tc_lot_i,Qmax_lot_i-declividade_afluente*(A334-tc),"")))),"",IF(A334&lt;=tc_lot_i,declividade_afluente*A334,IF(A334&lt;=tc,Qmax_lot_i,IF(A334&lt;=tc+tc_lot_i,Qmax_lot_i-declividade_afluente*(A334-tc),""))))</f>
        <v/>
      </c>
      <c r="C334" s="16" t="str">
        <f t="shared" si="57"/>
        <v/>
      </c>
      <c r="D334" s="16" t="str">
        <f t="shared" si="51"/>
        <v/>
      </c>
      <c r="E334" s="16" t="str">
        <f t="shared" si="52"/>
        <v/>
      </c>
      <c r="F334" s="16" t="str">
        <f t="shared" si="53"/>
        <v/>
      </c>
      <c r="G334" s="16" t="str">
        <f t="shared" si="54"/>
        <v/>
      </c>
      <c r="H334" s="5" t="str">
        <f t="shared" si="55"/>
        <v/>
      </c>
      <c r="I334" s="5" t="str">
        <f t="shared" si="58"/>
        <v/>
      </c>
      <c r="J334" s="5" t="e">
        <f t="shared" si="59"/>
        <v>#VALUE!</v>
      </c>
    </row>
    <row r="335" spans="1:10">
      <c r="A335" s="4" t="str">
        <f t="shared" si="56"/>
        <v/>
      </c>
      <c r="B335" s="5" t="str">
        <f t="shared" si="60"/>
        <v/>
      </c>
      <c r="C335" s="16" t="str">
        <f t="shared" si="57"/>
        <v/>
      </c>
      <c r="D335" s="16" t="str">
        <f t="shared" si="51"/>
        <v/>
      </c>
      <c r="E335" s="16" t="str">
        <f t="shared" si="52"/>
        <v/>
      </c>
      <c r="F335" s="16" t="str">
        <f t="shared" si="53"/>
        <v/>
      </c>
      <c r="G335" s="16" t="str">
        <f t="shared" si="54"/>
        <v/>
      </c>
      <c r="H335" s="5" t="str">
        <f t="shared" si="55"/>
        <v/>
      </c>
      <c r="I335" s="5" t="str">
        <f t="shared" si="58"/>
        <v/>
      </c>
      <c r="J335" s="5" t="e">
        <f t="shared" si="59"/>
        <v>#VALUE!</v>
      </c>
    </row>
    <row r="336" spans="1:10">
      <c r="A336" s="4" t="str">
        <f t="shared" si="56"/>
        <v/>
      </c>
      <c r="B336" s="5" t="str">
        <f t="shared" si="60"/>
        <v/>
      </c>
      <c r="C336" s="16" t="str">
        <f t="shared" si="57"/>
        <v/>
      </c>
      <c r="D336" s="16" t="str">
        <f t="shared" si="51"/>
        <v/>
      </c>
      <c r="E336" s="16" t="str">
        <f t="shared" si="52"/>
        <v/>
      </c>
      <c r="F336" s="16" t="str">
        <f t="shared" si="53"/>
        <v/>
      </c>
      <c r="G336" s="16" t="str">
        <f t="shared" si="54"/>
        <v/>
      </c>
      <c r="H336" s="5" t="str">
        <f t="shared" si="55"/>
        <v/>
      </c>
      <c r="I336" s="5" t="str">
        <f t="shared" si="58"/>
        <v/>
      </c>
      <c r="J336" s="5" t="e">
        <f t="shared" si="59"/>
        <v>#VALUE!</v>
      </c>
    </row>
    <row r="337" spans="1:10">
      <c r="A337" s="4" t="str">
        <f t="shared" si="56"/>
        <v/>
      </c>
      <c r="B337" s="5" t="str">
        <f t="shared" si="60"/>
        <v/>
      </c>
      <c r="C337" s="16" t="str">
        <f t="shared" si="57"/>
        <v/>
      </c>
      <c r="D337" s="16" t="str">
        <f t="shared" si="51"/>
        <v/>
      </c>
      <c r="E337" s="16" t="str">
        <f t="shared" si="52"/>
        <v/>
      </c>
      <c r="F337" s="16" t="str">
        <f t="shared" si="53"/>
        <v/>
      </c>
      <c r="G337" s="16" t="str">
        <f t="shared" si="54"/>
        <v/>
      </c>
      <c r="H337" s="5" t="str">
        <f t="shared" si="55"/>
        <v/>
      </c>
      <c r="I337" s="5" t="str">
        <f t="shared" si="58"/>
        <v/>
      </c>
      <c r="J337" s="5" t="e">
        <f t="shared" si="59"/>
        <v>#VALUE!</v>
      </c>
    </row>
    <row r="338" spans="1:10">
      <c r="A338" s="4" t="str">
        <f t="shared" si="56"/>
        <v/>
      </c>
      <c r="B338" s="5" t="str">
        <f t="shared" si="60"/>
        <v/>
      </c>
      <c r="C338" s="16" t="str">
        <f t="shared" si="57"/>
        <v/>
      </c>
      <c r="D338" s="16" t="str">
        <f t="shared" si="51"/>
        <v/>
      </c>
      <c r="E338" s="16" t="str">
        <f t="shared" si="52"/>
        <v/>
      </c>
      <c r="F338" s="16" t="str">
        <f t="shared" si="53"/>
        <v/>
      </c>
      <c r="G338" s="16" t="str">
        <f t="shared" si="54"/>
        <v/>
      </c>
      <c r="H338" s="5" t="str">
        <f t="shared" si="55"/>
        <v/>
      </c>
      <c r="I338" s="5" t="str">
        <f t="shared" si="58"/>
        <v/>
      </c>
      <c r="J338" s="5" t="e">
        <f t="shared" si="59"/>
        <v>#VALUE!</v>
      </c>
    </row>
    <row r="339" spans="1:10">
      <c r="A339" s="4" t="str">
        <f t="shared" si="56"/>
        <v/>
      </c>
      <c r="B339" s="5" t="str">
        <f t="shared" si="60"/>
        <v/>
      </c>
      <c r="C339" s="16" t="str">
        <f t="shared" si="57"/>
        <v/>
      </c>
      <c r="D339" s="16" t="str">
        <f t="shared" si="51"/>
        <v/>
      </c>
      <c r="E339" s="16" t="str">
        <f t="shared" si="52"/>
        <v/>
      </c>
      <c r="F339" s="16" t="str">
        <f t="shared" si="53"/>
        <v/>
      </c>
      <c r="G339" s="16" t="str">
        <f t="shared" si="54"/>
        <v/>
      </c>
      <c r="H339" s="5" t="str">
        <f t="shared" si="55"/>
        <v/>
      </c>
      <c r="I339" s="5" t="str">
        <f t="shared" si="58"/>
        <v/>
      </c>
      <c r="J339" s="5" t="e">
        <f t="shared" si="59"/>
        <v>#VALUE!</v>
      </c>
    </row>
    <row r="340" spans="1:10">
      <c r="A340" s="4" t="str">
        <f t="shared" si="56"/>
        <v/>
      </c>
      <c r="B340" s="5" t="str">
        <f t="shared" si="60"/>
        <v/>
      </c>
      <c r="C340" s="16" t="str">
        <f t="shared" si="57"/>
        <v/>
      </c>
      <c r="D340" s="16" t="str">
        <f t="shared" si="51"/>
        <v/>
      </c>
      <c r="E340" s="16" t="str">
        <f t="shared" si="52"/>
        <v/>
      </c>
      <c r="F340" s="16" t="str">
        <f t="shared" si="53"/>
        <v/>
      </c>
      <c r="G340" s="16" t="str">
        <f t="shared" si="54"/>
        <v/>
      </c>
      <c r="H340" s="5" t="str">
        <f t="shared" si="55"/>
        <v/>
      </c>
      <c r="I340" s="5" t="str">
        <f t="shared" si="58"/>
        <v/>
      </c>
      <c r="J340" s="5" t="e">
        <f t="shared" si="59"/>
        <v>#VALUE!</v>
      </c>
    </row>
    <row r="341" spans="1:10">
      <c r="A341" s="4" t="str">
        <f t="shared" si="56"/>
        <v/>
      </c>
      <c r="B341" s="5" t="str">
        <f t="shared" si="60"/>
        <v/>
      </c>
      <c r="C341" s="16" t="str">
        <f t="shared" si="57"/>
        <v/>
      </c>
      <c r="D341" s="16" t="str">
        <f t="shared" si="51"/>
        <v/>
      </c>
      <c r="E341" s="16" t="str">
        <f t="shared" si="52"/>
        <v/>
      </c>
      <c r="F341" s="16" t="str">
        <f t="shared" si="53"/>
        <v/>
      </c>
      <c r="G341" s="16" t="str">
        <f t="shared" si="54"/>
        <v/>
      </c>
      <c r="H341" s="5" t="str">
        <f t="shared" si="55"/>
        <v/>
      </c>
      <c r="I341" s="5" t="str">
        <f t="shared" si="58"/>
        <v/>
      </c>
      <c r="J341" s="5" t="e">
        <f t="shared" si="59"/>
        <v>#VALUE!</v>
      </c>
    </row>
    <row r="342" spans="1:10">
      <c r="A342" s="4" t="str">
        <f t="shared" si="56"/>
        <v/>
      </c>
      <c r="B342" s="5" t="str">
        <f t="shared" si="60"/>
        <v/>
      </c>
      <c r="C342" s="16" t="str">
        <f t="shared" si="57"/>
        <v/>
      </c>
      <c r="D342" s="16" t="str">
        <f t="shared" si="51"/>
        <v/>
      </c>
      <c r="E342" s="16" t="str">
        <f t="shared" si="52"/>
        <v/>
      </c>
      <c r="F342" s="16" t="str">
        <f t="shared" si="53"/>
        <v/>
      </c>
      <c r="G342" s="16" t="str">
        <f t="shared" si="54"/>
        <v/>
      </c>
      <c r="H342" s="5" t="str">
        <f t="shared" si="55"/>
        <v/>
      </c>
      <c r="I342" s="5" t="str">
        <f t="shared" si="58"/>
        <v/>
      </c>
      <c r="J342" s="5" t="e">
        <f t="shared" si="59"/>
        <v>#VALUE!</v>
      </c>
    </row>
    <row r="343" spans="1:10">
      <c r="A343" s="4" t="str">
        <f t="shared" si="56"/>
        <v/>
      </c>
      <c r="B343" s="5" t="str">
        <f t="shared" si="60"/>
        <v/>
      </c>
      <c r="C343" s="16" t="str">
        <f t="shared" si="57"/>
        <v/>
      </c>
      <c r="D343" s="16" t="str">
        <f t="shared" si="51"/>
        <v/>
      </c>
      <c r="E343" s="16" t="str">
        <f t="shared" si="52"/>
        <v/>
      </c>
      <c r="F343" s="16" t="str">
        <f t="shared" si="53"/>
        <v/>
      </c>
      <c r="G343" s="16" t="str">
        <f t="shared" si="54"/>
        <v/>
      </c>
      <c r="H343" s="5" t="str">
        <f t="shared" si="55"/>
        <v/>
      </c>
      <c r="I343" s="5" t="str">
        <f t="shared" si="58"/>
        <v/>
      </c>
      <c r="J343" s="5" t="e">
        <f t="shared" si="59"/>
        <v>#VALUE!</v>
      </c>
    </row>
    <row r="344" spans="1:10">
      <c r="A344" s="4" t="str">
        <f t="shared" si="56"/>
        <v/>
      </c>
      <c r="B344" s="5" t="str">
        <f t="shared" si="60"/>
        <v/>
      </c>
      <c r="C344" s="16" t="str">
        <f t="shared" si="57"/>
        <v/>
      </c>
      <c r="D344" s="16" t="str">
        <f t="shared" si="51"/>
        <v/>
      </c>
      <c r="E344" s="16" t="str">
        <f t="shared" si="52"/>
        <v/>
      </c>
      <c r="F344" s="16" t="str">
        <f t="shared" si="53"/>
        <v/>
      </c>
      <c r="G344" s="16" t="str">
        <f t="shared" si="54"/>
        <v/>
      </c>
      <c r="H344" s="5" t="str">
        <f t="shared" si="55"/>
        <v/>
      </c>
      <c r="I344" s="5" t="str">
        <f t="shared" si="58"/>
        <v/>
      </c>
      <c r="J344" s="5" t="e">
        <f t="shared" si="59"/>
        <v>#VALUE!</v>
      </c>
    </row>
    <row r="345" spans="1:10">
      <c r="A345" s="4" t="str">
        <f t="shared" si="56"/>
        <v/>
      </c>
      <c r="B345" s="5" t="str">
        <f t="shared" si="60"/>
        <v/>
      </c>
      <c r="C345" s="16" t="str">
        <f t="shared" si="57"/>
        <v/>
      </c>
      <c r="D345" s="16" t="str">
        <f t="shared" si="51"/>
        <v/>
      </c>
      <c r="E345" s="16" t="str">
        <f t="shared" si="52"/>
        <v/>
      </c>
      <c r="F345" s="16" t="str">
        <f t="shared" si="53"/>
        <v/>
      </c>
      <c r="G345" s="16" t="str">
        <f t="shared" si="54"/>
        <v/>
      </c>
      <c r="H345" s="5" t="str">
        <f t="shared" si="55"/>
        <v/>
      </c>
      <c r="I345" s="5" t="str">
        <f t="shared" si="58"/>
        <v/>
      </c>
      <c r="J345" s="5" t="e">
        <f t="shared" si="59"/>
        <v>#VALUE!</v>
      </c>
    </row>
    <row r="346" spans="1:10">
      <c r="A346" s="4" t="str">
        <f t="shared" si="56"/>
        <v/>
      </c>
      <c r="B346" s="5" t="str">
        <f t="shared" si="60"/>
        <v/>
      </c>
      <c r="C346" s="16" t="str">
        <f t="shared" si="57"/>
        <v/>
      </c>
      <c r="D346" s="16" t="str">
        <f t="shared" si="51"/>
        <v/>
      </c>
      <c r="E346" s="16" t="str">
        <f t="shared" si="52"/>
        <v/>
      </c>
      <c r="F346" s="16" t="str">
        <f t="shared" si="53"/>
        <v/>
      </c>
      <c r="G346" s="16" t="str">
        <f t="shared" si="54"/>
        <v/>
      </c>
      <c r="H346" s="5" t="str">
        <f t="shared" si="55"/>
        <v/>
      </c>
      <c r="I346" s="5" t="str">
        <f t="shared" si="58"/>
        <v/>
      </c>
      <c r="J346" s="5" t="e">
        <f t="shared" si="59"/>
        <v>#VALUE!</v>
      </c>
    </row>
    <row r="347" spans="1:10">
      <c r="A347" s="4" t="str">
        <f t="shared" si="56"/>
        <v/>
      </c>
      <c r="B347" s="5" t="str">
        <f t="shared" si="60"/>
        <v/>
      </c>
      <c r="C347" s="16" t="str">
        <f t="shared" si="57"/>
        <v/>
      </c>
      <c r="D347" s="16" t="str">
        <f t="shared" si="51"/>
        <v/>
      </c>
      <c r="E347" s="16" t="str">
        <f t="shared" si="52"/>
        <v/>
      </c>
      <c r="F347" s="16" t="str">
        <f t="shared" si="53"/>
        <v/>
      </c>
      <c r="G347" s="16" t="str">
        <f t="shared" si="54"/>
        <v/>
      </c>
      <c r="H347" s="5" t="str">
        <f t="shared" si="55"/>
        <v/>
      </c>
      <c r="I347" s="5" t="str">
        <f t="shared" si="58"/>
        <v/>
      </c>
      <c r="J347" s="5" t="e">
        <f t="shared" si="59"/>
        <v>#VALUE!</v>
      </c>
    </row>
    <row r="348" spans="1:10">
      <c r="A348" s="4" t="str">
        <f t="shared" si="56"/>
        <v/>
      </c>
      <c r="B348" s="5" t="str">
        <f t="shared" si="60"/>
        <v/>
      </c>
      <c r="C348" s="16" t="str">
        <f t="shared" si="57"/>
        <v/>
      </c>
      <c r="D348" s="16" t="str">
        <f t="shared" si="51"/>
        <v/>
      </c>
      <c r="E348" s="16" t="str">
        <f t="shared" si="52"/>
        <v/>
      </c>
      <c r="F348" s="16" t="str">
        <f t="shared" si="53"/>
        <v/>
      </c>
      <c r="G348" s="16" t="str">
        <f t="shared" si="54"/>
        <v/>
      </c>
      <c r="H348" s="5" t="str">
        <f t="shared" si="55"/>
        <v/>
      </c>
      <c r="I348" s="5" t="str">
        <f t="shared" si="58"/>
        <v/>
      </c>
      <c r="J348" s="5" t="e">
        <f t="shared" si="59"/>
        <v>#VALUE!</v>
      </c>
    </row>
    <row r="349" spans="1:10">
      <c r="A349" s="4" t="str">
        <f t="shared" si="56"/>
        <v/>
      </c>
      <c r="B349" s="5" t="str">
        <f t="shared" si="60"/>
        <v/>
      </c>
      <c r="C349" s="16" t="str">
        <f t="shared" si="57"/>
        <v/>
      </c>
      <c r="D349" s="16" t="str">
        <f t="shared" si="51"/>
        <v/>
      </c>
      <c r="E349" s="16" t="str">
        <f t="shared" si="52"/>
        <v/>
      </c>
      <c r="F349" s="16" t="str">
        <f t="shared" si="53"/>
        <v/>
      </c>
      <c r="G349" s="16" t="str">
        <f t="shared" si="54"/>
        <v/>
      </c>
      <c r="H349" s="5" t="str">
        <f t="shared" si="55"/>
        <v/>
      </c>
      <c r="I349" s="5" t="str">
        <f t="shared" si="58"/>
        <v/>
      </c>
      <c r="J349" s="5" t="e">
        <f t="shared" si="59"/>
        <v>#VALUE!</v>
      </c>
    </row>
    <row r="350" spans="1:10">
      <c r="A350" s="4" t="str">
        <f t="shared" si="56"/>
        <v/>
      </c>
      <c r="B350" s="5" t="str">
        <f t="shared" si="60"/>
        <v/>
      </c>
      <c r="C350" s="16" t="str">
        <f t="shared" si="57"/>
        <v/>
      </c>
      <c r="D350" s="16" t="str">
        <f t="shared" si="51"/>
        <v/>
      </c>
      <c r="E350" s="16" t="str">
        <f t="shared" si="52"/>
        <v/>
      </c>
      <c r="F350" s="16" t="str">
        <f t="shared" si="53"/>
        <v/>
      </c>
      <c r="G350" s="16" t="str">
        <f t="shared" si="54"/>
        <v/>
      </c>
      <c r="H350" s="5" t="str">
        <f t="shared" si="55"/>
        <v/>
      </c>
      <c r="I350" s="5" t="str">
        <f t="shared" si="58"/>
        <v/>
      </c>
      <c r="J350" s="5" t="e">
        <f t="shared" si="59"/>
        <v>#VALUE!</v>
      </c>
    </row>
    <row r="351" spans="1:10">
      <c r="A351" s="4" t="str">
        <f t="shared" si="56"/>
        <v/>
      </c>
      <c r="B351" s="5" t="str">
        <f t="shared" si="60"/>
        <v/>
      </c>
      <c r="C351" s="16" t="str">
        <f t="shared" si="57"/>
        <v/>
      </c>
      <c r="D351" s="16" t="str">
        <f t="shared" si="51"/>
        <v/>
      </c>
      <c r="E351" s="16" t="str">
        <f t="shared" si="52"/>
        <v/>
      </c>
      <c r="F351" s="16" t="str">
        <f t="shared" si="53"/>
        <v/>
      </c>
      <c r="G351" s="16" t="str">
        <f t="shared" si="54"/>
        <v/>
      </c>
      <c r="H351" s="5" t="str">
        <f t="shared" si="55"/>
        <v/>
      </c>
      <c r="I351" s="5" t="str">
        <f t="shared" si="58"/>
        <v/>
      </c>
      <c r="J351" s="5" t="e">
        <f t="shared" si="59"/>
        <v>#VALUE!</v>
      </c>
    </row>
    <row r="352" spans="1:10">
      <c r="A352" s="4" t="str">
        <f t="shared" si="56"/>
        <v/>
      </c>
      <c r="B352" s="5" t="str">
        <f t="shared" si="60"/>
        <v/>
      </c>
      <c r="C352" s="16" t="str">
        <f t="shared" si="57"/>
        <v/>
      </c>
      <c r="D352" s="16" t="str">
        <f t="shared" si="51"/>
        <v/>
      </c>
      <c r="E352" s="16" t="str">
        <f t="shared" si="52"/>
        <v/>
      </c>
      <c r="F352" s="16" t="str">
        <f t="shared" si="53"/>
        <v/>
      </c>
      <c r="G352" s="16" t="str">
        <f t="shared" si="54"/>
        <v/>
      </c>
      <c r="H352" s="5" t="str">
        <f t="shared" si="55"/>
        <v/>
      </c>
      <c r="I352" s="5" t="str">
        <f t="shared" si="58"/>
        <v/>
      </c>
      <c r="J352" s="5" t="e">
        <f t="shared" si="59"/>
        <v>#VALUE!</v>
      </c>
    </row>
    <row r="353" spans="1:10">
      <c r="A353" s="4" t="str">
        <f t="shared" si="56"/>
        <v/>
      </c>
      <c r="B353" s="5" t="str">
        <f t="shared" si="60"/>
        <v/>
      </c>
      <c r="C353" s="16" t="str">
        <f t="shared" si="57"/>
        <v/>
      </c>
      <c r="D353" s="16" t="str">
        <f t="shared" si="51"/>
        <v/>
      </c>
      <c r="E353" s="16" t="str">
        <f t="shared" si="52"/>
        <v/>
      </c>
      <c r="F353" s="16" t="str">
        <f t="shared" si="53"/>
        <v/>
      </c>
      <c r="G353" s="16" t="str">
        <f t="shared" si="54"/>
        <v/>
      </c>
      <c r="H353" s="5" t="str">
        <f t="shared" si="55"/>
        <v/>
      </c>
      <c r="I353" s="5" t="str">
        <f t="shared" si="58"/>
        <v/>
      </c>
      <c r="J353" s="5" t="e">
        <f t="shared" si="59"/>
        <v>#VALUE!</v>
      </c>
    </row>
    <row r="354" spans="1:10">
      <c r="A354" s="4" t="str">
        <f t="shared" si="56"/>
        <v/>
      </c>
      <c r="B354" s="5" t="str">
        <f t="shared" si="60"/>
        <v/>
      </c>
      <c r="C354" s="16" t="str">
        <f t="shared" si="57"/>
        <v/>
      </c>
      <c r="D354" s="16" t="str">
        <f t="shared" si="51"/>
        <v/>
      </c>
      <c r="E354" s="16" t="str">
        <f t="shared" si="52"/>
        <v/>
      </c>
      <c r="F354" s="16" t="str">
        <f t="shared" si="53"/>
        <v/>
      </c>
      <c r="G354" s="16" t="str">
        <f t="shared" si="54"/>
        <v/>
      </c>
      <c r="H354" s="5" t="str">
        <f t="shared" si="55"/>
        <v/>
      </c>
      <c r="I354" s="5" t="str">
        <f t="shared" si="58"/>
        <v/>
      </c>
      <c r="J354" s="5" t="e">
        <f t="shared" si="59"/>
        <v>#VALUE!</v>
      </c>
    </row>
    <row r="355" spans="1:10">
      <c r="A355" s="4" t="str">
        <f t="shared" si="56"/>
        <v/>
      </c>
      <c r="B355" s="5" t="str">
        <f t="shared" si="60"/>
        <v/>
      </c>
      <c r="C355" s="16" t="str">
        <f t="shared" si="57"/>
        <v/>
      </c>
      <c r="D355" s="16" t="str">
        <f t="shared" si="51"/>
        <v/>
      </c>
      <c r="E355" s="16" t="str">
        <f t="shared" si="52"/>
        <v/>
      </c>
      <c r="F355" s="16" t="str">
        <f t="shared" si="53"/>
        <v/>
      </c>
      <c r="G355" s="16" t="str">
        <f t="shared" si="54"/>
        <v/>
      </c>
      <c r="H355" s="5" t="str">
        <f t="shared" si="55"/>
        <v/>
      </c>
      <c r="I355" s="5" t="str">
        <f t="shared" si="58"/>
        <v/>
      </c>
      <c r="J355" s="5" t="e">
        <f t="shared" si="59"/>
        <v>#VALUE!</v>
      </c>
    </row>
    <row r="356" spans="1:10">
      <c r="A356" s="4" t="str">
        <f t="shared" si="56"/>
        <v/>
      </c>
      <c r="B356" s="5" t="str">
        <f t="shared" si="60"/>
        <v/>
      </c>
      <c r="C356" s="16" t="str">
        <f t="shared" si="57"/>
        <v/>
      </c>
      <c r="D356" s="16" t="str">
        <f t="shared" si="51"/>
        <v/>
      </c>
      <c r="E356" s="16" t="str">
        <f t="shared" si="52"/>
        <v/>
      </c>
      <c r="F356" s="16" t="str">
        <f t="shared" si="53"/>
        <v/>
      </c>
      <c r="G356" s="16" t="str">
        <f t="shared" si="54"/>
        <v/>
      </c>
      <c r="H356" s="5" t="str">
        <f t="shared" si="55"/>
        <v/>
      </c>
      <c r="I356" s="5" t="str">
        <f t="shared" si="58"/>
        <v/>
      </c>
      <c r="J356" s="5" t="e">
        <f t="shared" si="59"/>
        <v>#VALUE!</v>
      </c>
    </row>
    <row r="357" spans="1:10">
      <c r="A357" s="4" t="str">
        <f t="shared" si="56"/>
        <v/>
      </c>
      <c r="B357" s="5" t="str">
        <f t="shared" si="60"/>
        <v/>
      </c>
      <c r="C357" s="16" t="str">
        <f t="shared" si="57"/>
        <v/>
      </c>
      <c r="D357" s="16" t="str">
        <f t="shared" si="51"/>
        <v/>
      </c>
      <c r="E357" s="16" t="str">
        <f t="shared" si="52"/>
        <v/>
      </c>
      <c r="F357" s="16" t="str">
        <f t="shared" si="53"/>
        <v/>
      </c>
      <c r="G357" s="16" t="str">
        <f t="shared" si="54"/>
        <v/>
      </c>
      <c r="H357" s="5" t="str">
        <f t="shared" si="55"/>
        <v/>
      </c>
      <c r="I357" s="5" t="str">
        <f t="shared" si="58"/>
        <v/>
      </c>
      <c r="J357" s="5" t="e">
        <f t="shared" si="59"/>
        <v>#VALUE!</v>
      </c>
    </row>
    <row r="358" spans="1:10">
      <c r="A358" s="4" t="str">
        <f t="shared" si="56"/>
        <v/>
      </c>
      <c r="B358" s="5" t="str">
        <f t="shared" si="60"/>
        <v/>
      </c>
      <c r="C358" s="16" t="str">
        <f t="shared" si="57"/>
        <v/>
      </c>
      <c r="D358" s="16" t="str">
        <f t="shared" si="51"/>
        <v/>
      </c>
      <c r="E358" s="16" t="str">
        <f t="shared" si="52"/>
        <v/>
      </c>
      <c r="F358" s="16" t="str">
        <f t="shared" si="53"/>
        <v/>
      </c>
      <c r="G358" s="16" t="str">
        <f t="shared" si="54"/>
        <v/>
      </c>
      <c r="H358" s="5" t="str">
        <f t="shared" si="55"/>
        <v/>
      </c>
      <c r="I358" s="5" t="str">
        <f t="shared" si="58"/>
        <v/>
      </c>
      <c r="J358" s="5" t="e">
        <f t="shared" si="59"/>
        <v>#VALUE!</v>
      </c>
    </row>
    <row r="359" spans="1:10">
      <c r="A359" s="4" t="str">
        <f t="shared" si="56"/>
        <v/>
      </c>
      <c r="B359" s="5" t="str">
        <f t="shared" si="60"/>
        <v/>
      </c>
      <c r="C359" s="16" t="str">
        <f t="shared" si="57"/>
        <v/>
      </c>
      <c r="D359" s="16" t="str">
        <f t="shared" si="51"/>
        <v/>
      </c>
      <c r="E359" s="16" t="str">
        <f t="shared" si="52"/>
        <v/>
      </c>
      <c r="F359" s="16" t="str">
        <f t="shared" si="53"/>
        <v/>
      </c>
      <c r="G359" s="16" t="str">
        <f t="shared" si="54"/>
        <v/>
      </c>
      <c r="H359" s="5" t="str">
        <f t="shared" si="55"/>
        <v/>
      </c>
      <c r="I359" s="5" t="str">
        <f t="shared" si="58"/>
        <v/>
      </c>
      <c r="J359" s="5" t="e">
        <f t="shared" si="59"/>
        <v>#VALUE!</v>
      </c>
    </row>
    <row r="360" spans="1:10">
      <c r="A360" s="4" t="str">
        <f t="shared" si="56"/>
        <v/>
      </c>
      <c r="B360" s="5" t="str">
        <f t="shared" si="60"/>
        <v/>
      </c>
      <c r="C360" s="16" t="str">
        <f t="shared" si="57"/>
        <v/>
      </c>
      <c r="D360" s="16" t="str">
        <f t="shared" si="51"/>
        <v/>
      </c>
      <c r="E360" s="16" t="str">
        <f t="shared" si="52"/>
        <v/>
      </c>
      <c r="F360" s="16" t="str">
        <f t="shared" si="53"/>
        <v/>
      </c>
      <c r="G360" s="16" t="str">
        <f t="shared" si="54"/>
        <v/>
      </c>
      <c r="H360" s="5" t="str">
        <f t="shared" si="55"/>
        <v/>
      </c>
      <c r="I360" s="5" t="str">
        <f t="shared" si="58"/>
        <v/>
      </c>
      <c r="J360" s="5" t="e">
        <f t="shared" si="59"/>
        <v>#VALUE!</v>
      </c>
    </row>
    <row r="361" spans="1:10">
      <c r="A361" s="4" t="str">
        <f t="shared" si="56"/>
        <v/>
      </c>
      <c r="B361" s="5" t="str">
        <f t="shared" si="60"/>
        <v/>
      </c>
      <c r="C361" s="16" t="str">
        <f t="shared" si="57"/>
        <v/>
      </c>
      <c r="D361" s="16" t="str">
        <f t="shared" si="51"/>
        <v/>
      </c>
      <c r="E361" s="16" t="str">
        <f t="shared" si="52"/>
        <v/>
      </c>
      <c r="F361" s="16" t="str">
        <f t="shared" si="53"/>
        <v/>
      </c>
      <c r="G361" s="16" t="str">
        <f t="shared" si="54"/>
        <v/>
      </c>
      <c r="H361" s="5" t="str">
        <f t="shared" si="55"/>
        <v/>
      </c>
      <c r="I361" s="5" t="str">
        <f t="shared" si="58"/>
        <v/>
      </c>
      <c r="J361" s="5" t="e">
        <f t="shared" si="59"/>
        <v>#VALUE!</v>
      </c>
    </row>
    <row r="362" spans="1:10">
      <c r="A362" s="4" t="str">
        <f t="shared" si="56"/>
        <v/>
      </c>
      <c r="B362" s="5" t="str">
        <f t="shared" si="60"/>
        <v/>
      </c>
      <c r="C362" s="16" t="str">
        <f t="shared" si="57"/>
        <v/>
      </c>
      <c r="D362" s="16" t="str">
        <f t="shared" si="51"/>
        <v/>
      </c>
      <c r="E362" s="16" t="str">
        <f t="shared" si="52"/>
        <v/>
      </c>
      <c r="F362" s="16" t="str">
        <f t="shared" si="53"/>
        <v/>
      </c>
      <c r="G362" s="16" t="str">
        <f t="shared" si="54"/>
        <v/>
      </c>
      <c r="H362" s="5" t="str">
        <f t="shared" si="55"/>
        <v/>
      </c>
      <c r="I362" s="5" t="str">
        <f t="shared" si="58"/>
        <v/>
      </c>
      <c r="J362" s="5" t="e">
        <f t="shared" si="59"/>
        <v>#VALUE!</v>
      </c>
    </row>
    <row r="363" spans="1:10">
      <c r="A363" s="4" t="str">
        <f t="shared" si="56"/>
        <v/>
      </c>
      <c r="B363" s="5" t="str">
        <f t="shared" si="60"/>
        <v/>
      </c>
      <c r="C363" s="16" t="str">
        <f t="shared" si="57"/>
        <v/>
      </c>
      <c r="D363" s="16" t="str">
        <f t="shared" si="51"/>
        <v/>
      </c>
      <c r="E363" s="16" t="str">
        <f t="shared" si="52"/>
        <v/>
      </c>
      <c r="F363" s="16" t="str">
        <f t="shared" si="53"/>
        <v/>
      </c>
      <c r="G363" s="16" t="str">
        <f t="shared" si="54"/>
        <v/>
      </c>
      <c r="H363" s="5" t="str">
        <f t="shared" si="55"/>
        <v/>
      </c>
      <c r="I363" s="5" t="str">
        <f t="shared" si="58"/>
        <v/>
      </c>
      <c r="J363" s="5" t="e">
        <f t="shared" si="59"/>
        <v>#VALUE!</v>
      </c>
    </row>
    <row r="364" spans="1:10">
      <c r="A364" s="4" t="str">
        <f t="shared" si="56"/>
        <v/>
      </c>
      <c r="B364" s="5" t="str">
        <f t="shared" si="60"/>
        <v/>
      </c>
      <c r="C364" s="16" t="str">
        <f t="shared" si="57"/>
        <v/>
      </c>
      <c r="D364" s="16" t="str">
        <f t="shared" si="51"/>
        <v/>
      </c>
      <c r="E364" s="16" t="str">
        <f t="shared" si="52"/>
        <v/>
      </c>
      <c r="F364" s="16" t="str">
        <f t="shared" si="53"/>
        <v/>
      </c>
      <c r="G364" s="16" t="str">
        <f t="shared" si="54"/>
        <v/>
      </c>
      <c r="H364" s="5" t="str">
        <f t="shared" si="55"/>
        <v/>
      </c>
      <c r="I364" s="5" t="str">
        <f t="shared" si="58"/>
        <v/>
      </c>
      <c r="J364" s="5" t="e">
        <f t="shared" si="59"/>
        <v>#VALUE!</v>
      </c>
    </row>
    <row r="365" spans="1:10">
      <c r="A365" s="4" t="str">
        <f t="shared" si="56"/>
        <v/>
      </c>
      <c r="B365" s="5" t="str">
        <f t="shared" si="60"/>
        <v/>
      </c>
      <c r="C365" s="16" t="str">
        <f t="shared" si="57"/>
        <v/>
      </c>
      <c r="D365" s="16" t="str">
        <f t="shared" si="51"/>
        <v/>
      </c>
      <c r="E365" s="16" t="str">
        <f t="shared" si="52"/>
        <v/>
      </c>
      <c r="F365" s="16" t="str">
        <f t="shared" si="53"/>
        <v/>
      </c>
      <c r="G365" s="16" t="str">
        <f t="shared" si="54"/>
        <v/>
      </c>
      <c r="H365" s="5" t="str">
        <f t="shared" si="55"/>
        <v/>
      </c>
      <c r="I365" s="5" t="str">
        <f t="shared" si="58"/>
        <v/>
      </c>
      <c r="J365" s="5" t="e">
        <f t="shared" si="59"/>
        <v>#VALUE!</v>
      </c>
    </row>
    <row r="366" spans="1:10">
      <c r="A366" s="4" t="str">
        <f t="shared" si="56"/>
        <v/>
      </c>
      <c r="B366" s="5" t="str">
        <f t="shared" si="60"/>
        <v/>
      </c>
      <c r="C366" s="16" t="str">
        <f t="shared" si="57"/>
        <v/>
      </c>
      <c r="D366" s="16" t="str">
        <f t="shared" si="51"/>
        <v/>
      </c>
      <c r="E366" s="16" t="str">
        <f t="shared" si="52"/>
        <v/>
      </c>
      <c r="F366" s="16" t="str">
        <f t="shared" si="53"/>
        <v/>
      </c>
      <c r="G366" s="16" t="str">
        <f t="shared" si="54"/>
        <v/>
      </c>
      <c r="H366" s="5" t="str">
        <f t="shared" si="55"/>
        <v/>
      </c>
      <c r="I366" s="5" t="str">
        <f t="shared" si="58"/>
        <v/>
      </c>
      <c r="J366" s="5" t="e">
        <f t="shared" si="59"/>
        <v>#VALUE!</v>
      </c>
    </row>
    <row r="367" spans="1:10">
      <c r="A367" s="4" t="str">
        <f t="shared" si="56"/>
        <v/>
      </c>
      <c r="B367" s="5" t="str">
        <f t="shared" si="60"/>
        <v/>
      </c>
      <c r="C367" s="16" t="str">
        <f t="shared" si="57"/>
        <v/>
      </c>
      <c r="D367" s="16" t="str">
        <f t="shared" si="51"/>
        <v/>
      </c>
      <c r="E367" s="16" t="str">
        <f t="shared" si="52"/>
        <v/>
      </c>
      <c r="F367" s="16" t="str">
        <f t="shared" si="53"/>
        <v/>
      </c>
      <c r="G367" s="16" t="str">
        <f t="shared" si="54"/>
        <v/>
      </c>
      <c r="H367" s="5" t="str">
        <f t="shared" si="55"/>
        <v/>
      </c>
      <c r="I367" s="5" t="str">
        <f t="shared" si="58"/>
        <v/>
      </c>
      <c r="J367" s="5" t="e">
        <f t="shared" si="59"/>
        <v>#VALUE!</v>
      </c>
    </row>
    <row r="368" spans="1:10">
      <c r="A368" s="4" t="str">
        <f t="shared" si="56"/>
        <v/>
      </c>
      <c r="B368" s="5" t="str">
        <f t="shared" si="60"/>
        <v/>
      </c>
      <c r="C368" s="16" t="str">
        <f t="shared" si="57"/>
        <v/>
      </c>
      <c r="D368" s="16" t="str">
        <f t="shared" si="51"/>
        <v/>
      </c>
      <c r="E368" s="16" t="str">
        <f t="shared" si="52"/>
        <v/>
      </c>
      <c r="F368" s="16" t="str">
        <f t="shared" si="53"/>
        <v/>
      </c>
      <c r="G368" s="16" t="str">
        <f t="shared" si="54"/>
        <v/>
      </c>
      <c r="H368" s="5" t="str">
        <f t="shared" si="55"/>
        <v/>
      </c>
      <c r="I368" s="5" t="str">
        <f t="shared" si="58"/>
        <v/>
      </c>
      <c r="J368" s="5" t="e">
        <f t="shared" si="59"/>
        <v>#VALUE!</v>
      </c>
    </row>
    <row r="369" spans="1:12">
      <c r="A369" s="4" t="str">
        <f t="shared" si="56"/>
        <v/>
      </c>
      <c r="B369" s="5" t="str">
        <f t="shared" si="60"/>
        <v/>
      </c>
      <c r="C369" s="16" t="str">
        <f t="shared" si="57"/>
        <v/>
      </c>
      <c r="D369" s="16" t="str">
        <f t="shared" si="51"/>
        <v/>
      </c>
      <c r="E369" s="16" t="str">
        <f t="shared" si="52"/>
        <v/>
      </c>
      <c r="F369" s="16" t="str">
        <f t="shared" si="53"/>
        <v/>
      </c>
      <c r="G369" s="16" t="str">
        <f t="shared" si="54"/>
        <v/>
      </c>
      <c r="H369" s="5" t="str">
        <f t="shared" si="55"/>
        <v/>
      </c>
      <c r="I369" s="5" t="str">
        <f t="shared" si="58"/>
        <v/>
      </c>
      <c r="J369" s="5" t="e">
        <f t="shared" si="59"/>
        <v>#VALUE!</v>
      </c>
    </row>
    <row r="370" spans="1:12">
      <c r="A370" s="4" t="str">
        <f t="shared" si="56"/>
        <v/>
      </c>
      <c r="B370" s="5" t="str">
        <f t="shared" si="60"/>
        <v/>
      </c>
      <c r="C370" s="16" t="str">
        <f t="shared" si="57"/>
        <v/>
      </c>
      <c r="D370" s="16" t="str">
        <f t="shared" si="51"/>
        <v/>
      </c>
      <c r="E370" s="16" t="str">
        <f t="shared" si="52"/>
        <v/>
      </c>
      <c r="F370" s="16" t="str">
        <f t="shared" si="53"/>
        <v/>
      </c>
      <c r="G370" s="16" t="str">
        <f t="shared" si="54"/>
        <v/>
      </c>
      <c r="H370" s="5" t="str">
        <f t="shared" si="55"/>
        <v/>
      </c>
      <c r="I370" s="5" t="str">
        <f t="shared" si="58"/>
        <v/>
      </c>
      <c r="J370" s="5" t="e">
        <f t="shared" si="59"/>
        <v>#VALUE!</v>
      </c>
    </row>
    <row r="371" spans="1:12">
      <c r="A371" s="4" t="str">
        <f t="shared" si="56"/>
        <v/>
      </c>
      <c r="B371" s="5" t="str">
        <f t="shared" si="60"/>
        <v/>
      </c>
      <c r="C371" s="16" t="str">
        <f t="shared" si="57"/>
        <v/>
      </c>
      <c r="D371" s="16" t="str">
        <f t="shared" si="51"/>
        <v/>
      </c>
      <c r="E371" s="16" t="str">
        <f t="shared" si="52"/>
        <v/>
      </c>
      <c r="F371" s="16" t="str">
        <f t="shared" si="53"/>
        <v/>
      </c>
      <c r="G371" s="16" t="str">
        <f t="shared" si="54"/>
        <v/>
      </c>
      <c r="H371" s="5" t="str">
        <f t="shared" si="55"/>
        <v/>
      </c>
      <c r="I371" s="5" t="str">
        <f t="shared" si="58"/>
        <v/>
      </c>
      <c r="J371" s="5" t="e">
        <f t="shared" si="59"/>
        <v>#VALUE!</v>
      </c>
    </row>
    <row r="372" spans="1:12">
      <c r="A372" s="4" t="str">
        <f t="shared" si="56"/>
        <v/>
      </c>
      <c r="B372" s="5" t="str">
        <f t="shared" si="60"/>
        <v/>
      </c>
      <c r="C372" s="16" t="str">
        <f t="shared" si="57"/>
        <v/>
      </c>
      <c r="D372" s="16" t="str">
        <f t="shared" si="51"/>
        <v/>
      </c>
      <c r="E372" s="16" t="str">
        <f t="shared" si="52"/>
        <v/>
      </c>
      <c r="F372" s="16" t="str">
        <f t="shared" si="53"/>
        <v/>
      </c>
      <c r="G372" s="16" t="str">
        <f t="shared" si="54"/>
        <v/>
      </c>
      <c r="H372" s="5" t="str">
        <f t="shared" si="55"/>
        <v/>
      </c>
      <c r="I372" s="5" t="str">
        <f t="shared" si="58"/>
        <v/>
      </c>
      <c r="J372" s="5" t="e">
        <f t="shared" si="59"/>
        <v>#VALUE!</v>
      </c>
    </row>
    <row r="373" spans="1:12">
      <c r="A373" s="4" t="str">
        <f t="shared" si="56"/>
        <v/>
      </c>
      <c r="B373" s="5" t="str">
        <f t="shared" si="60"/>
        <v/>
      </c>
      <c r="C373" s="16" t="str">
        <f t="shared" si="57"/>
        <v/>
      </c>
      <c r="D373" s="16" t="str">
        <f t="shared" si="51"/>
        <v/>
      </c>
      <c r="E373" s="16" t="str">
        <f t="shared" si="52"/>
        <v/>
      </c>
      <c r="F373" s="16" t="str">
        <f t="shared" si="53"/>
        <v/>
      </c>
      <c r="G373" s="16" t="str">
        <f t="shared" si="54"/>
        <v/>
      </c>
      <c r="H373" s="5" t="str">
        <f t="shared" si="55"/>
        <v/>
      </c>
      <c r="I373" s="5" t="str">
        <f t="shared" si="58"/>
        <v/>
      </c>
      <c r="J373" s="5" t="e">
        <f t="shared" si="59"/>
        <v>#VALUE!</v>
      </c>
    </row>
    <row r="374" spans="1:12">
      <c r="A374" s="4" t="str">
        <f t="shared" si="56"/>
        <v/>
      </c>
      <c r="B374" s="5" t="str">
        <f t="shared" si="60"/>
        <v/>
      </c>
      <c r="C374" s="16" t="str">
        <f t="shared" si="57"/>
        <v/>
      </c>
      <c r="D374" s="16" t="str">
        <f t="shared" si="51"/>
        <v/>
      </c>
      <c r="E374" s="16" t="str">
        <f t="shared" si="52"/>
        <v/>
      </c>
      <c r="F374" s="16" t="str">
        <f t="shared" si="53"/>
        <v/>
      </c>
      <c r="G374" s="16" t="str">
        <f t="shared" si="54"/>
        <v/>
      </c>
      <c r="H374" s="5" t="str">
        <f t="shared" si="55"/>
        <v/>
      </c>
      <c r="I374" s="5" t="str">
        <f t="shared" si="58"/>
        <v/>
      </c>
      <c r="J374" s="5" t="e">
        <f t="shared" si="59"/>
        <v>#VALUE!</v>
      </c>
    </row>
    <row r="375" spans="1:12">
      <c r="A375" s="4" t="str">
        <f t="shared" si="56"/>
        <v/>
      </c>
      <c r="B375" s="5" t="str">
        <f t="shared" si="60"/>
        <v/>
      </c>
      <c r="C375" s="16" t="str">
        <f t="shared" si="57"/>
        <v/>
      </c>
      <c r="D375" s="16" t="str">
        <f t="shared" si="51"/>
        <v/>
      </c>
      <c r="E375" s="16" t="str">
        <f t="shared" si="52"/>
        <v/>
      </c>
      <c r="F375" s="16" t="str">
        <f t="shared" si="53"/>
        <v/>
      </c>
      <c r="G375" s="16" t="str">
        <f t="shared" si="54"/>
        <v/>
      </c>
      <c r="H375" s="5" t="str">
        <f t="shared" si="55"/>
        <v/>
      </c>
      <c r="I375" s="5" t="str">
        <f t="shared" si="58"/>
        <v/>
      </c>
      <c r="J375" s="5" t="e">
        <f t="shared" si="59"/>
        <v>#VALUE!</v>
      </c>
    </row>
    <row r="376" spans="1:12">
      <c r="J376" s="5">
        <f t="shared" si="59"/>
        <v>0</v>
      </c>
      <c r="K376" s="4" t="s">
        <v>160</v>
      </c>
      <c r="L376" s="4" t="e">
        <f t="shared" ref="L376:L396" si="61">J376+K376</f>
        <v>#VALUE!</v>
      </c>
    </row>
    <row r="377" spans="1:12">
      <c r="J377" s="5">
        <f t="shared" si="59"/>
        <v>0</v>
      </c>
      <c r="K377" s="4" t="s">
        <v>160</v>
      </c>
      <c r="L377" s="4" t="e">
        <f t="shared" si="61"/>
        <v>#VALUE!</v>
      </c>
    </row>
    <row r="378" spans="1:12">
      <c r="J378" s="5">
        <f t="shared" si="59"/>
        <v>0</v>
      </c>
      <c r="K378" s="4" t="s">
        <v>160</v>
      </c>
      <c r="L378" s="4" t="e">
        <f t="shared" si="61"/>
        <v>#VALUE!</v>
      </c>
    </row>
    <row r="379" spans="1:12">
      <c r="J379" s="5">
        <f t="shared" si="59"/>
        <v>0</v>
      </c>
      <c r="K379" s="4" t="s">
        <v>160</v>
      </c>
      <c r="L379" s="4" t="e">
        <f t="shared" si="61"/>
        <v>#VALUE!</v>
      </c>
    </row>
    <row r="380" spans="1:12">
      <c r="J380" s="5">
        <f t="shared" si="59"/>
        <v>0</v>
      </c>
      <c r="K380" s="4" t="s">
        <v>160</v>
      </c>
      <c r="L380" s="4" t="e">
        <f t="shared" si="61"/>
        <v>#VALUE!</v>
      </c>
    </row>
    <row r="381" spans="1:12">
      <c r="J381" s="5">
        <f t="shared" si="59"/>
        <v>0</v>
      </c>
      <c r="K381" s="4" t="s">
        <v>160</v>
      </c>
      <c r="L381" s="4" t="e">
        <f t="shared" si="61"/>
        <v>#VALUE!</v>
      </c>
    </row>
    <row r="382" spans="1:12">
      <c r="J382" s="5">
        <f t="shared" si="59"/>
        <v>0</v>
      </c>
      <c r="K382" s="4" t="s">
        <v>160</v>
      </c>
      <c r="L382" s="4" t="e">
        <f t="shared" si="61"/>
        <v>#VALUE!</v>
      </c>
    </row>
    <row r="383" spans="1:12">
      <c r="J383" s="5">
        <f t="shared" si="59"/>
        <v>0</v>
      </c>
      <c r="K383" s="4" t="s">
        <v>160</v>
      </c>
      <c r="L383" s="4" t="e">
        <f t="shared" si="61"/>
        <v>#VALUE!</v>
      </c>
    </row>
    <row r="384" spans="1:12">
      <c r="J384" s="5">
        <f t="shared" si="59"/>
        <v>0</v>
      </c>
      <c r="K384" s="4" t="s">
        <v>160</v>
      </c>
      <c r="L384" s="4" t="e">
        <f t="shared" si="61"/>
        <v>#VALUE!</v>
      </c>
    </row>
    <row r="385" spans="10:12">
      <c r="J385" s="5">
        <f t="shared" si="59"/>
        <v>0</v>
      </c>
      <c r="K385" s="4" t="s">
        <v>160</v>
      </c>
      <c r="L385" s="4" t="e">
        <f t="shared" si="61"/>
        <v>#VALUE!</v>
      </c>
    </row>
    <row r="386" spans="10:12">
      <c r="J386" s="5">
        <f t="shared" si="59"/>
        <v>0</v>
      </c>
      <c r="K386" s="4" t="s">
        <v>160</v>
      </c>
      <c r="L386" s="4" t="e">
        <f t="shared" si="61"/>
        <v>#VALUE!</v>
      </c>
    </row>
    <row r="387" spans="10:12">
      <c r="J387" s="5">
        <f t="shared" si="59"/>
        <v>0</v>
      </c>
      <c r="K387" s="4" t="s">
        <v>160</v>
      </c>
      <c r="L387" s="4" t="e">
        <f t="shared" si="61"/>
        <v>#VALUE!</v>
      </c>
    </row>
    <row r="388" spans="10:12">
      <c r="J388" s="5">
        <f t="shared" si="59"/>
        <v>0</v>
      </c>
      <c r="K388" s="4" t="s">
        <v>160</v>
      </c>
      <c r="L388" s="4" t="e">
        <f t="shared" si="61"/>
        <v>#VALUE!</v>
      </c>
    </row>
    <row r="389" spans="10:12">
      <c r="J389" s="5">
        <f t="shared" si="59"/>
        <v>0</v>
      </c>
      <c r="K389" s="4" t="s">
        <v>160</v>
      </c>
      <c r="L389" s="4" t="e">
        <f t="shared" si="61"/>
        <v>#VALUE!</v>
      </c>
    </row>
    <row r="390" spans="10:12">
      <c r="J390" s="5">
        <f t="shared" si="59"/>
        <v>0</v>
      </c>
      <c r="K390" s="4" t="s">
        <v>160</v>
      </c>
      <c r="L390" s="4" t="e">
        <f t="shared" si="61"/>
        <v>#VALUE!</v>
      </c>
    </row>
    <row r="391" spans="10:12">
      <c r="J391" s="5">
        <f t="shared" si="59"/>
        <v>0</v>
      </c>
      <c r="K391" s="4" t="s">
        <v>160</v>
      </c>
      <c r="L391" s="4" t="e">
        <f t="shared" si="61"/>
        <v>#VALUE!</v>
      </c>
    </row>
    <row r="392" spans="10:12">
      <c r="J392" s="5">
        <f t="shared" si="59"/>
        <v>0</v>
      </c>
      <c r="K392" s="4" t="s">
        <v>160</v>
      </c>
      <c r="L392" s="4" t="e">
        <f t="shared" si="61"/>
        <v>#VALUE!</v>
      </c>
    </row>
    <row r="393" spans="10:12">
      <c r="J393" s="5">
        <f t="shared" si="59"/>
        <v>0</v>
      </c>
      <c r="K393" s="4" t="s">
        <v>160</v>
      </c>
      <c r="L393" s="4" t="e">
        <f t="shared" si="61"/>
        <v>#VALUE!</v>
      </c>
    </row>
    <row r="394" spans="10:12">
      <c r="J394" s="5">
        <f t="shared" si="59"/>
        <v>0</v>
      </c>
      <c r="K394" s="4" t="s">
        <v>160</v>
      </c>
      <c r="L394" s="4" t="e">
        <f t="shared" si="61"/>
        <v>#VALUE!</v>
      </c>
    </row>
    <row r="395" spans="10:12">
      <c r="J395" s="5">
        <f t="shared" si="59"/>
        <v>0</v>
      </c>
      <c r="K395" s="4" t="s">
        <v>160</v>
      </c>
      <c r="L395" s="4" t="e">
        <f t="shared" si="61"/>
        <v>#VALUE!</v>
      </c>
    </row>
    <row r="396" spans="10:12">
      <c r="J396" s="5">
        <f t="shared" si="59"/>
        <v>0</v>
      </c>
      <c r="K396" s="4" t="s">
        <v>160</v>
      </c>
      <c r="L396" s="4" t="e">
        <f t="shared" si="61"/>
        <v>#VALUE!</v>
      </c>
    </row>
    <row r="397" spans="10:12">
      <c r="J397" s="5">
        <f t="shared" ref="J397:J460" si="62">I397+B397</f>
        <v>0</v>
      </c>
      <c r="K397" s="4" t="s">
        <v>160</v>
      </c>
      <c r="L397" s="4" t="e">
        <f t="shared" ref="L397:L460" si="63">J397+K397</f>
        <v>#VALUE!</v>
      </c>
    </row>
    <row r="398" spans="10:12">
      <c r="J398" s="5">
        <f t="shared" si="62"/>
        <v>0</v>
      </c>
      <c r="K398" s="4" t="s">
        <v>160</v>
      </c>
      <c r="L398" s="4" t="e">
        <f t="shared" si="63"/>
        <v>#VALUE!</v>
      </c>
    </row>
    <row r="399" spans="10:12">
      <c r="J399" s="5">
        <f t="shared" si="62"/>
        <v>0</v>
      </c>
      <c r="K399" s="4" t="s">
        <v>160</v>
      </c>
      <c r="L399" s="4" t="e">
        <f t="shared" si="63"/>
        <v>#VALUE!</v>
      </c>
    </row>
    <row r="400" spans="10:12">
      <c r="J400" s="5">
        <f t="shared" si="62"/>
        <v>0</v>
      </c>
      <c r="K400" s="4" t="s">
        <v>160</v>
      </c>
      <c r="L400" s="4" t="e">
        <f t="shared" si="63"/>
        <v>#VALUE!</v>
      </c>
    </row>
    <row r="401" spans="10:12">
      <c r="J401" s="5">
        <f t="shared" si="62"/>
        <v>0</v>
      </c>
      <c r="K401" s="4" t="s">
        <v>160</v>
      </c>
      <c r="L401" s="4" t="e">
        <f t="shared" si="63"/>
        <v>#VALUE!</v>
      </c>
    </row>
    <row r="402" spans="10:12">
      <c r="J402" s="5">
        <f t="shared" si="62"/>
        <v>0</v>
      </c>
      <c r="K402" s="4" t="s">
        <v>160</v>
      </c>
      <c r="L402" s="4" t="e">
        <f t="shared" si="63"/>
        <v>#VALUE!</v>
      </c>
    </row>
    <row r="403" spans="10:12">
      <c r="J403" s="5">
        <f t="shared" si="62"/>
        <v>0</v>
      </c>
      <c r="K403" s="4" t="s">
        <v>160</v>
      </c>
      <c r="L403" s="4" t="e">
        <f t="shared" si="63"/>
        <v>#VALUE!</v>
      </c>
    </row>
    <row r="404" spans="10:12">
      <c r="J404" s="5">
        <f t="shared" si="62"/>
        <v>0</v>
      </c>
      <c r="K404" s="4" t="s">
        <v>160</v>
      </c>
      <c r="L404" s="4" t="e">
        <f t="shared" si="63"/>
        <v>#VALUE!</v>
      </c>
    </row>
    <row r="405" spans="10:12">
      <c r="J405" s="5">
        <f t="shared" si="62"/>
        <v>0</v>
      </c>
      <c r="K405" s="4" t="s">
        <v>160</v>
      </c>
      <c r="L405" s="4" t="e">
        <f t="shared" si="63"/>
        <v>#VALUE!</v>
      </c>
    </row>
    <row r="406" spans="10:12">
      <c r="J406" s="5">
        <f t="shared" si="62"/>
        <v>0</v>
      </c>
      <c r="K406" s="4" t="s">
        <v>160</v>
      </c>
      <c r="L406" s="4" t="e">
        <f t="shared" si="63"/>
        <v>#VALUE!</v>
      </c>
    </row>
    <row r="407" spans="10:12">
      <c r="J407" s="5">
        <f t="shared" si="62"/>
        <v>0</v>
      </c>
      <c r="K407" s="4" t="s">
        <v>160</v>
      </c>
      <c r="L407" s="4" t="e">
        <f t="shared" si="63"/>
        <v>#VALUE!</v>
      </c>
    </row>
    <row r="408" spans="10:12">
      <c r="J408" s="5">
        <f t="shared" si="62"/>
        <v>0</v>
      </c>
      <c r="K408" s="4" t="s">
        <v>160</v>
      </c>
      <c r="L408" s="4" t="e">
        <f t="shared" si="63"/>
        <v>#VALUE!</v>
      </c>
    </row>
    <row r="409" spans="10:12">
      <c r="J409" s="5">
        <f t="shared" si="62"/>
        <v>0</v>
      </c>
      <c r="K409" s="4" t="s">
        <v>160</v>
      </c>
      <c r="L409" s="4" t="e">
        <f t="shared" si="63"/>
        <v>#VALUE!</v>
      </c>
    </row>
    <row r="410" spans="10:12">
      <c r="J410" s="5">
        <f t="shared" si="62"/>
        <v>0</v>
      </c>
      <c r="K410" s="4" t="s">
        <v>160</v>
      </c>
      <c r="L410" s="4" t="e">
        <f t="shared" si="63"/>
        <v>#VALUE!</v>
      </c>
    </row>
    <row r="411" spans="10:12">
      <c r="J411" s="5">
        <f t="shared" si="62"/>
        <v>0</v>
      </c>
      <c r="K411" s="4" t="s">
        <v>160</v>
      </c>
      <c r="L411" s="4" t="e">
        <f t="shared" si="63"/>
        <v>#VALUE!</v>
      </c>
    </row>
    <row r="412" spans="10:12">
      <c r="J412" s="5">
        <f t="shared" si="62"/>
        <v>0</v>
      </c>
      <c r="K412" s="4" t="s">
        <v>160</v>
      </c>
      <c r="L412" s="4" t="e">
        <f t="shared" si="63"/>
        <v>#VALUE!</v>
      </c>
    </row>
    <row r="413" spans="10:12">
      <c r="J413" s="5">
        <f t="shared" si="62"/>
        <v>0</v>
      </c>
      <c r="K413" s="4" t="s">
        <v>160</v>
      </c>
      <c r="L413" s="4" t="e">
        <f t="shared" si="63"/>
        <v>#VALUE!</v>
      </c>
    </row>
    <row r="414" spans="10:12">
      <c r="J414" s="5">
        <f t="shared" si="62"/>
        <v>0</v>
      </c>
      <c r="K414" s="4" t="s">
        <v>160</v>
      </c>
      <c r="L414" s="4" t="e">
        <f t="shared" si="63"/>
        <v>#VALUE!</v>
      </c>
    </row>
    <row r="415" spans="10:12">
      <c r="J415" s="5">
        <f t="shared" si="62"/>
        <v>0</v>
      </c>
      <c r="K415" s="4" t="s">
        <v>160</v>
      </c>
      <c r="L415" s="4" t="e">
        <f t="shared" si="63"/>
        <v>#VALUE!</v>
      </c>
    </row>
    <row r="416" spans="10:12">
      <c r="J416" s="5">
        <f t="shared" si="62"/>
        <v>0</v>
      </c>
      <c r="K416" s="4" t="s">
        <v>160</v>
      </c>
      <c r="L416" s="4" t="e">
        <f t="shared" si="63"/>
        <v>#VALUE!</v>
      </c>
    </row>
    <row r="417" spans="10:12">
      <c r="J417" s="5">
        <f t="shared" si="62"/>
        <v>0</v>
      </c>
      <c r="K417" s="4" t="s">
        <v>160</v>
      </c>
      <c r="L417" s="4" t="e">
        <f t="shared" si="63"/>
        <v>#VALUE!</v>
      </c>
    </row>
    <row r="418" spans="10:12">
      <c r="J418" s="5">
        <f t="shared" si="62"/>
        <v>0</v>
      </c>
      <c r="K418" s="4" t="s">
        <v>160</v>
      </c>
      <c r="L418" s="4" t="e">
        <f t="shared" si="63"/>
        <v>#VALUE!</v>
      </c>
    </row>
    <row r="419" spans="10:12">
      <c r="J419" s="5">
        <f t="shared" si="62"/>
        <v>0</v>
      </c>
      <c r="K419" s="4" t="s">
        <v>160</v>
      </c>
      <c r="L419" s="4" t="e">
        <f t="shared" si="63"/>
        <v>#VALUE!</v>
      </c>
    </row>
    <row r="420" spans="10:12">
      <c r="J420" s="5">
        <f t="shared" si="62"/>
        <v>0</v>
      </c>
      <c r="K420" s="4" t="s">
        <v>160</v>
      </c>
      <c r="L420" s="4" t="e">
        <f t="shared" si="63"/>
        <v>#VALUE!</v>
      </c>
    </row>
    <row r="421" spans="10:12">
      <c r="J421" s="5">
        <f t="shared" si="62"/>
        <v>0</v>
      </c>
      <c r="K421" s="4" t="s">
        <v>160</v>
      </c>
      <c r="L421" s="4" t="e">
        <f t="shared" si="63"/>
        <v>#VALUE!</v>
      </c>
    </row>
    <row r="422" spans="10:12">
      <c r="J422" s="5">
        <f t="shared" si="62"/>
        <v>0</v>
      </c>
      <c r="K422" s="4" t="s">
        <v>160</v>
      </c>
      <c r="L422" s="4" t="e">
        <f t="shared" si="63"/>
        <v>#VALUE!</v>
      </c>
    </row>
    <row r="423" spans="10:12">
      <c r="J423" s="5">
        <f t="shared" si="62"/>
        <v>0</v>
      </c>
      <c r="K423" s="4" t="s">
        <v>160</v>
      </c>
      <c r="L423" s="4" t="e">
        <f t="shared" si="63"/>
        <v>#VALUE!</v>
      </c>
    </row>
    <row r="424" spans="10:12">
      <c r="J424" s="5">
        <f t="shared" si="62"/>
        <v>0</v>
      </c>
      <c r="K424" s="4" t="s">
        <v>160</v>
      </c>
      <c r="L424" s="4" t="e">
        <f t="shared" si="63"/>
        <v>#VALUE!</v>
      </c>
    </row>
    <row r="425" spans="10:12">
      <c r="J425" s="5">
        <f t="shared" si="62"/>
        <v>0</v>
      </c>
      <c r="K425" s="4" t="s">
        <v>160</v>
      </c>
      <c r="L425" s="4" t="e">
        <f t="shared" si="63"/>
        <v>#VALUE!</v>
      </c>
    </row>
    <row r="426" spans="10:12">
      <c r="J426" s="5">
        <f t="shared" si="62"/>
        <v>0</v>
      </c>
      <c r="K426" s="4" t="s">
        <v>160</v>
      </c>
      <c r="L426" s="4" t="e">
        <f t="shared" si="63"/>
        <v>#VALUE!</v>
      </c>
    </row>
    <row r="427" spans="10:12">
      <c r="J427" s="5">
        <f t="shared" si="62"/>
        <v>0</v>
      </c>
      <c r="K427" s="4" t="s">
        <v>160</v>
      </c>
      <c r="L427" s="4" t="e">
        <f t="shared" si="63"/>
        <v>#VALUE!</v>
      </c>
    </row>
    <row r="428" spans="10:12">
      <c r="J428" s="5">
        <f t="shared" si="62"/>
        <v>0</v>
      </c>
      <c r="K428" s="4" t="s">
        <v>160</v>
      </c>
      <c r="L428" s="4" t="e">
        <f t="shared" si="63"/>
        <v>#VALUE!</v>
      </c>
    </row>
    <row r="429" spans="10:12">
      <c r="J429" s="5">
        <f t="shared" si="62"/>
        <v>0</v>
      </c>
      <c r="K429" s="4" t="s">
        <v>160</v>
      </c>
      <c r="L429" s="4" t="e">
        <f t="shared" si="63"/>
        <v>#VALUE!</v>
      </c>
    </row>
    <row r="430" spans="10:12">
      <c r="J430" s="5">
        <f t="shared" si="62"/>
        <v>0</v>
      </c>
      <c r="K430" s="4" t="s">
        <v>160</v>
      </c>
      <c r="L430" s="4" t="e">
        <f t="shared" si="63"/>
        <v>#VALUE!</v>
      </c>
    </row>
    <row r="431" spans="10:12">
      <c r="J431" s="5">
        <f t="shared" si="62"/>
        <v>0</v>
      </c>
      <c r="K431" s="4" t="s">
        <v>160</v>
      </c>
      <c r="L431" s="4" t="e">
        <f t="shared" si="63"/>
        <v>#VALUE!</v>
      </c>
    </row>
    <row r="432" spans="10:12">
      <c r="J432" s="5">
        <f t="shared" si="62"/>
        <v>0</v>
      </c>
      <c r="K432" s="4" t="s">
        <v>160</v>
      </c>
      <c r="L432" s="4" t="e">
        <f t="shared" si="63"/>
        <v>#VALUE!</v>
      </c>
    </row>
    <row r="433" spans="10:12">
      <c r="J433" s="5">
        <f t="shared" si="62"/>
        <v>0</v>
      </c>
      <c r="K433" s="4" t="s">
        <v>160</v>
      </c>
      <c r="L433" s="4" t="e">
        <f t="shared" si="63"/>
        <v>#VALUE!</v>
      </c>
    </row>
    <row r="434" spans="10:12">
      <c r="J434" s="5">
        <f t="shared" si="62"/>
        <v>0</v>
      </c>
      <c r="K434" s="4" t="s">
        <v>160</v>
      </c>
      <c r="L434" s="4" t="e">
        <f t="shared" si="63"/>
        <v>#VALUE!</v>
      </c>
    </row>
    <row r="435" spans="10:12">
      <c r="J435" s="5">
        <f t="shared" si="62"/>
        <v>0</v>
      </c>
      <c r="K435" s="4" t="s">
        <v>160</v>
      </c>
      <c r="L435" s="4" t="e">
        <f t="shared" si="63"/>
        <v>#VALUE!</v>
      </c>
    </row>
    <row r="436" spans="10:12">
      <c r="J436" s="5">
        <f t="shared" si="62"/>
        <v>0</v>
      </c>
      <c r="K436" s="4" t="s">
        <v>160</v>
      </c>
      <c r="L436" s="4" t="e">
        <f t="shared" si="63"/>
        <v>#VALUE!</v>
      </c>
    </row>
    <row r="437" spans="10:12">
      <c r="J437" s="5">
        <f t="shared" si="62"/>
        <v>0</v>
      </c>
      <c r="K437" s="4" t="s">
        <v>160</v>
      </c>
      <c r="L437" s="4" t="e">
        <f t="shared" si="63"/>
        <v>#VALUE!</v>
      </c>
    </row>
    <row r="438" spans="10:12">
      <c r="J438" s="5">
        <f t="shared" si="62"/>
        <v>0</v>
      </c>
      <c r="K438" s="4" t="s">
        <v>160</v>
      </c>
      <c r="L438" s="4" t="e">
        <f t="shared" si="63"/>
        <v>#VALUE!</v>
      </c>
    </row>
    <row r="439" spans="10:12">
      <c r="J439" s="5">
        <f t="shared" si="62"/>
        <v>0</v>
      </c>
      <c r="K439" s="4" t="s">
        <v>160</v>
      </c>
      <c r="L439" s="4" t="e">
        <f t="shared" si="63"/>
        <v>#VALUE!</v>
      </c>
    </row>
    <row r="440" spans="10:12">
      <c r="J440" s="5">
        <f t="shared" si="62"/>
        <v>0</v>
      </c>
      <c r="K440" s="4" t="s">
        <v>160</v>
      </c>
      <c r="L440" s="4" t="e">
        <f t="shared" si="63"/>
        <v>#VALUE!</v>
      </c>
    </row>
    <row r="441" spans="10:12">
      <c r="J441" s="5">
        <f t="shared" si="62"/>
        <v>0</v>
      </c>
      <c r="K441" s="4" t="s">
        <v>160</v>
      </c>
      <c r="L441" s="4" t="e">
        <f t="shared" si="63"/>
        <v>#VALUE!</v>
      </c>
    </row>
    <row r="442" spans="10:12">
      <c r="J442" s="5">
        <f t="shared" si="62"/>
        <v>0</v>
      </c>
      <c r="K442" s="4" t="s">
        <v>160</v>
      </c>
      <c r="L442" s="4" t="e">
        <f t="shared" si="63"/>
        <v>#VALUE!</v>
      </c>
    </row>
    <row r="443" spans="10:12">
      <c r="J443" s="5">
        <f t="shared" si="62"/>
        <v>0</v>
      </c>
      <c r="K443" s="4" t="s">
        <v>160</v>
      </c>
      <c r="L443" s="4" t="e">
        <f t="shared" si="63"/>
        <v>#VALUE!</v>
      </c>
    </row>
    <row r="444" spans="10:12">
      <c r="J444" s="5">
        <f t="shared" si="62"/>
        <v>0</v>
      </c>
      <c r="K444" s="4" t="s">
        <v>160</v>
      </c>
      <c r="L444" s="4" t="e">
        <f t="shared" si="63"/>
        <v>#VALUE!</v>
      </c>
    </row>
    <row r="445" spans="10:12">
      <c r="J445" s="5">
        <f t="shared" si="62"/>
        <v>0</v>
      </c>
      <c r="K445" s="4" t="s">
        <v>160</v>
      </c>
      <c r="L445" s="4" t="e">
        <f t="shared" si="63"/>
        <v>#VALUE!</v>
      </c>
    </row>
    <row r="446" spans="10:12">
      <c r="J446" s="5">
        <f t="shared" si="62"/>
        <v>0</v>
      </c>
      <c r="K446" s="4" t="s">
        <v>160</v>
      </c>
      <c r="L446" s="4" t="e">
        <f t="shared" si="63"/>
        <v>#VALUE!</v>
      </c>
    </row>
    <row r="447" spans="10:12">
      <c r="J447" s="5">
        <f t="shared" si="62"/>
        <v>0</v>
      </c>
      <c r="K447" s="4" t="s">
        <v>160</v>
      </c>
      <c r="L447" s="4" t="e">
        <f t="shared" si="63"/>
        <v>#VALUE!</v>
      </c>
    </row>
    <row r="448" spans="10:12">
      <c r="J448" s="5">
        <f t="shared" si="62"/>
        <v>0</v>
      </c>
      <c r="K448" s="4" t="s">
        <v>160</v>
      </c>
      <c r="L448" s="4" t="e">
        <f t="shared" si="63"/>
        <v>#VALUE!</v>
      </c>
    </row>
    <row r="449" spans="10:12">
      <c r="J449" s="5">
        <f t="shared" si="62"/>
        <v>0</v>
      </c>
      <c r="K449" s="4" t="s">
        <v>160</v>
      </c>
      <c r="L449" s="4" t="e">
        <f t="shared" si="63"/>
        <v>#VALUE!</v>
      </c>
    </row>
    <row r="450" spans="10:12">
      <c r="J450" s="5">
        <f t="shared" si="62"/>
        <v>0</v>
      </c>
      <c r="K450" s="4" t="s">
        <v>160</v>
      </c>
      <c r="L450" s="4" t="e">
        <f t="shared" si="63"/>
        <v>#VALUE!</v>
      </c>
    </row>
    <row r="451" spans="10:12">
      <c r="J451" s="5">
        <f t="shared" si="62"/>
        <v>0</v>
      </c>
      <c r="K451" s="4" t="s">
        <v>160</v>
      </c>
      <c r="L451" s="4" t="e">
        <f t="shared" si="63"/>
        <v>#VALUE!</v>
      </c>
    </row>
    <row r="452" spans="10:12">
      <c r="J452" s="5">
        <f t="shared" si="62"/>
        <v>0</v>
      </c>
      <c r="K452" s="4" t="s">
        <v>160</v>
      </c>
      <c r="L452" s="4" t="e">
        <f t="shared" si="63"/>
        <v>#VALUE!</v>
      </c>
    </row>
    <row r="453" spans="10:12">
      <c r="J453" s="5">
        <f t="shared" si="62"/>
        <v>0</v>
      </c>
      <c r="K453" s="4" t="s">
        <v>160</v>
      </c>
      <c r="L453" s="4" t="e">
        <f t="shared" si="63"/>
        <v>#VALUE!</v>
      </c>
    </row>
    <row r="454" spans="10:12">
      <c r="J454" s="5">
        <f t="shared" si="62"/>
        <v>0</v>
      </c>
      <c r="K454" s="4" t="s">
        <v>160</v>
      </c>
      <c r="L454" s="4" t="e">
        <f t="shared" si="63"/>
        <v>#VALUE!</v>
      </c>
    </row>
    <row r="455" spans="10:12">
      <c r="J455" s="5">
        <f t="shared" si="62"/>
        <v>0</v>
      </c>
      <c r="K455" s="4" t="s">
        <v>160</v>
      </c>
      <c r="L455" s="4" t="e">
        <f t="shared" si="63"/>
        <v>#VALUE!</v>
      </c>
    </row>
    <row r="456" spans="10:12">
      <c r="J456" s="5">
        <f t="shared" si="62"/>
        <v>0</v>
      </c>
      <c r="K456" s="4" t="s">
        <v>160</v>
      </c>
      <c r="L456" s="4" t="e">
        <f t="shared" si="63"/>
        <v>#VALUE!</v>
      </c>
    </row>
    <row r="457" spans="10:12">
      <c r="J457" s="5">
        <f t="shared" si="62"/>
        <v>0</v>
      </c>
      <c r="K457" s="4" t="s">
        <v>160</v>
      </c>
      <c r="L457" s="4" t="e">
        <f t="shared" si="63"/>
        <v>#VALUE!</v>
      </c>
    </row>
    <row r="458" spans="10:12">
      <c r="J458" s="5">
        <f t="shared" si="62"/>
        <v>0</v>
      </c>
      <c r="K458" s="4" t="s">
        <v>160</v>
      </c>
      <c r="L458" s="4" t="e">
        <f t="shared" si="63"/>
        <v>#VALUE!</v>
      </c>
    </row>
    <row r="459" spans="10:12">
      <c r="J459" s="5">
        <f t="shared" si="62"/>
        <v>0</v>
      </c>
      <c r="K459" s="4" t="s">
        <v>160</v>
      </c>
      <c r="L459" s="4" t="e">
        <f t="shared" si="63"/>
        <v>#VALUE!</v>
      </c>
    </row>
    <row r="460" spans="10:12">
      <c r="J460" s="5">
        <f t="shared" si="62"/>
        <v>0</v>
      </c>
      <c r="K460" s="4" t="s">
        <v>160</v>
      </c>
      <c r="L460" s="4" t="e">
        <f t="shared" si="63"/>
        <v>#VALUE!</v>
      </c>
    </row>
    <row r="461" spans="10:12">
      <c r="J461" s="5">
        <f t="shared" ref="J461:J492" si="64">I461+B461</f>
        <v>0</v>
      </c>
      <c r="K461" s="4" t="s">
        <v>160</v>
      </c>
      <c r="L461" s="4" t="e">
        <f t="shared" ref="L461:L492" si="65">J461+K461</f>
        <v>#VALUE!</v>
      </c>
    </row>
    <row r="462" spans="10:12">
      <c r="J462" s="5">
        <f t="shared" si="64"/>
        <v>0</v>
      </c>
      <c r="K462" s="4" t="s">
        <v>160</v>
      </c>
      <c r="L462" s="4" t="e">
        <f t="shared" si="65"/>
        <v>#VALUE!</v>
      </c>
    </row>
    <row r="463" spans="10:12">
      <c r="J463" s="5">
        <f t="shared" si="64"/>
        <v>0</v>
      </c>
      <c r="K463" s="4" t="s">
        <v>160</v>
      </c>
      <c r="L463" s="4" t="e">
        <f t="shared" si="65"/>
        <v>#VALUE!</v>
      </c>
    </row>
    <row r="464" spans="10:12">
      <c r="J464" s="5">
        <f t="shared" si="64"/>
        <v>0</v>
      </c>
      <c r="K464" s="4" t="s">
        <v>160</v>
      </c>
      <c r="L464" s="4" t="e">
        <f t="shared" si="65"/>
        <v>#VALUE!</v>
      </c>
    </row>
    <row r="465" spans="10:12">
      <c r="J465" s="5">
        <f t="shared" si="64"/>
        <v>0</v>
      </c>
      <c r="K465" s="4" t="s">
        <v>160</v>
      </c>
      <c r="L465" s="4" t="e">
        <f t="shared" si="65"/>
        <v>#VALUE!</v>
      </c>
    </row>
    <row r="466" spans="10:12">
      <c r="J466" s="5">
        <f t="shared" si="64"/>
        <v>0</v>
      </c>
      <c r="K466" s="4" t="s">
        <v>160</v>
      </c>
      <c r="L466" s="4" t="e">
        <f t="shared" si="65"/>
        <v>#VALUE!</v>
      </c>
    </row>
    <row r="467" spans="10:12">
      <c r="J467" s="5">
        <f t="shared" si="64"/>
        <v>0</v>
      </c>
      <c r="K467" s="4" t="s">
        <v>160</v>
      </c>
      <c r="L467" s="4" t="e">
        <f t="shared" si="65"/>
        <v>#VALUE!</v>
      </c>
    </row>
    <row r="468" spans="10:12">
      <c r="J468" s="5">
        <f t="shared" si="64"/>
        <v>0</v>
      </c>
      <c r="K468" s="4" t="s">
        <v>160</v>
      </c>
      <c r="L468" s="4" t="e">
        <f t="shared" si="65"/>
        <v>#VALUE!</v>
      </c>
    </row>
    <row r="469" spans="10:12">
      <c r="J469" s="5">
        <f t="shared" si="64"/>
        <v>0</v>
      </c>
      <c r="K469" s="4" t="s">
        <v>160</v>
      </c>
      <c r="L469" s="4" t="e">
        <f t="shared" si="65"/>
        <v>#VALUE!</v>
      </c>
    </row>
    <row r="470" spans="10:12">
      <c r="J470" s="5">
        <f t="shared" si="64"/>
        <v>0</v>
      </c>
      <c r="K470" s="4" t="s">
        <v>160</v>
      </c>
      <c r="L470" s="4" t="e">
        <f t="shared" si="65"/>
        <v>#VALUE!</v>
      </c>
    </row>
    <row r="471" spans="10:12">
      <c r="J471" s="5">
        <f t="shared" si="64"/>
        <v>0</v>
      </c>
      <c r="K471" s="4" t="s">
        <v>160</v>
      </c>
      <c r="L471" s="4" t="e">
        <f t="shared" si="65"/>
        <v>#VALUE!</v>
      </c>
    </row>
    <row r="472" spans="10:12">
      <c r="J472" s="5">
        <f t="shared" si="64"/>
        <v>0</v>
      </c>
      <c r="K472" s="4" t="s">
        <v>160</v>
      </c>
      <c r="L472" s="4" t="e">
        <f t="shared" si="65"/>
        <v>#VALUE!</v>
      </c>
    </row>
    <row r="473" spans="10:12">
      <c r="J473" s="5">
        <f t="shared" si="64"/>
        <v>0</v>
      </c>
      <c r="K473" s="4" t="s">
        <v>160</v>
      </c>
      <c r="L473" s="4" t="e">
        <f t="shared" si="65"/>
        <v>#VALUE!</v>
      </c>
    </row>
    <row r="474" spans="10:12">
      <c r="J474" s="5">
        <f t="shared" si="64"/>
        <v>0</v>
      </c>
      <c r="K474" s="4" t="s">
        <v>160</v>
      </c>
      <c r="L474" s="4" t="e">
        <f t="shared" si="65"/>
        <v>#VALUE!</v>
      </c>
    </row>
    <row r="475" spans="10:12">
      <c r="J475" s="5">
        <f t="shared" si="64"/>
        <v>0</v>
      </c>
      <c r="K475" s="4" t="s">
        <v>160</v>
      </c>
      <c r="L475" s="4" t="e">
        <f t="shared" si="65"/>
        <v>#VALUE!</v>
      </c>
    </row>
    <row r="476" spans="10:12">
      <c r="J476" s="5">
        <f t="shared" si="64"/>
        <v>0</v>
      </c>
      <c r="K476" s="4" t="s">
        <v>160</v>
      </c>
      <c r="L476" s="4" t="e">
        <f t="shared" si="65"/>
        <v>#VALUE!</v>
      </c>
    </row>
    <row r="477" spans="10:12">
      <c r="J477" s="5">
        <f t="shared" si="64"/>
        <v>0</v>
      </c>
      <c r="K477" s="4" t="s">
        <v>160</v>
      </c>
      <c r="L477" s="4" t="e">
        <f t="shared" si="65"/>
        <v>#VALUE!</v>
      </c>
    </row>
    <row r="478" spans="10:12">
      <c r="J478" s="5">
        <f t="shared" si="64"/>
        <v>0</v>
      </c>
      <c r="K478" s="4" t="s">
        <v>160</v>
      </c>
      <c r="L478" s="4" t="e">
        <f t="shared" si="65"/>
        <v>#VALUE!</v>
      </c>
    </row>
    <row r="479" spans="10:12">
      <c r="J479" s="5">
        <f t="shared" si="64"/>
        <v>0</v>
      </c>
      <c r="K479" s="4" t="s">
        <v>160</v>
      </c>
      <c r="L479" s="4" t="e">
        <f t="shared" si="65"/>
        <v>#VALUE!</v>
      </c>
    </row>
    <row r="480" spans="10:12">
      <c r="J480" s="5">
        <f t="shared" si="64"/>
        <v>0</v>
      </c>
      <c r="K480" s="4" t="s">
        <v>160</v>
      </c>
      <c r="L480" s="4" t="e">
        <f t="shared" si="65"/>
        <v>#VALUE!</v>
      </c>
    </row>
    <row r="481" spans="10:12">
      <c r="J481" s="5">
        <f t="shared" si="64"/>
        <v>0</v>
      </c>
      <c r="K481" s="4" t="s">
        <v>160</v>
      </c>
      <c r="L481" s="4" t="e">
        <f t="shared" si="65"/>
        <v>#VALUE!</v>
      </c>
    </row>
    <row r="482" spans="10:12">
      <c r="J482" s="5">
        <f t="shared" si="64"/>
        <v>0</v>
      </c>
      <c r="K482" s="4" t="s">
        <v>160</v>
      </c>
      <c r="L482" s="4" t="e">
        <f t="shared" si="65"/>
        <v>#VALUE!</v>
      </c>
    </row>
    <row r="483" spans="10:12">
      <c r="J483" s="5">
        <f t="shared" si="64"/>
        <v>0</v>
      </c>
      <c r="K483" s="4" t="s">
        <v>160</v>
      </c>
      <c r="L483" s="4" t="e">
        <f t="shared" si="65"/>
        <v>#VALUE!</v>
      </c>
    </row>
    <row r="484" spans="10:12">
      <c r="J484" s="5">
        <f t="shared" si="64"/>
        <v>0</v>
      </c>
      <c r="K484" s="4" t="s">
        <v>160</v>
      </c>
      <c r="L484" s="4" t="e">
        <f t="shared" si="65"/>
        <v>#VALUE!</v>
      </c>
    </row>
    <row r="485" spans="10:12">
      <c r="J485" s="5">
        <f t="shared" si="64"/>
        <v>0</v>
      </c>
      <c r="K485" s="4" t="s">
        <v>160</v>
      </c>
      <c r="L485" s="4" t="e">
        <f t="shared" si="65"/>
        <v>#VALUE!</v>
      </c>
    </row>
    <row r="486" spans="10:12">
      <c r="J486" s="5">
        <f t="shared" si="64"/>
        <v>0</v>
      </c>
      <c r="K486" s="4" t="s">
        <v>160</v>
      </c>
      <c r="L486" s="4" t="e">
        <f t="shared" si="65"/>
        <v>#VALUE!</v>
      </c>
    </row>
    <row r="487" spans="10:12">
      <c r="J487" s="5">
        <f t="shared" si="64"/>
        <v>0</v>
      </c>
      <c r="K487" s="4" t="s">
        <v>160</v>
      </c>
      <c r="L487" s="4" t="e">
        <f t="shared" si="65"/>
        <v>#VALUE!</v>
      </c>
    </row>
    <row r="488" spans="10:12">
      <c r="J488" s="5">
        <f t="shared" si="64"/>
        <v>0</v>
      </c>
      <c r="K488" s="4" t="s">
        <v>160</v>
      </c>
      <c r="L488" s="4" t="e">
        <f t="shared" si="65"/>
        <v>#VALUE!</v>
      </c>
    </row>
    <row r="489" spans="10:12">
      <c r="J489" s="5">
        <f t="shared" si="64"/>
        <v>0</v>
      </c>
      <c r="K489" s="4" t="s">
        <v>160</v>
      </c>
      <c r="L489" s="4" t="e">
        <f t="shared" si="65"/>
        <v>#VALUE!</v>
      </c>
    </row>
    <row r="490" spans="10:12">
      <c r="J490" s="5">
        <f t="shared" si="64"/>
        <v>0</v>
      </c>
      <c r="K490" s="4" t="s">
        <v>160</v>
      </c>
      <c r="L490" s="4" t="e">
        <f t="shared" si="65"/>
        <v>#VALUE!</v>
      </c>
    </row>
    <row r="491" spans="10:12">
      <c r="J491" s="5">
        <f t="shared" si="64"/>
        <v>0</v>
      </c>
      <c r="K491" s="4" t="s">
        <v>160</v>
      </c>
      <c r="L491" s="4" t="e">
        <f t="shared" si="65"/>
        <v>#VALUE!</v>
      </c>
    </row>
    <row r="492" spans="10:12">
      <c r="J492" s="5">
        <f t="shared" si="64"/>
        <v>0</v>
      </c>
      <c r="K492" s="4" t="s">
        <v>160</v>
      </c>
      <c r="L492" s="4" t="e">
        <f t="shared" si="65"/>
        <v>#VALUE!</v>
      </c>
    </row>
  </sheetData>
  <mergeCells count="2">
    <mergeCell ref="E3:F3"/>
    <mergeCell ref="A1:I1"/>
  </mergeCells>
  <conditionalFormatting sqref="A10:B375">
    <cfRule type="notContainsBlanks" dxfId="55" priority="16">
      <formula>LEN(TRIM(A10))&gt;0</formula>
    </cfRule>
  </conditionalFormatting>
  <conditionalFormatting sqref="C10:C1048576">
    <cfRule type="notContainsBlanks" dxfId="54" priority="15">
      <formula>LEN(TRIM(C10))&gt;0</formula>
    </cfRule>
  </conditionalFormatting>
  <conditionalFormatting sqref="D10:D375">
    <cfRule type="notContainsBlanks" dxfId="53" priority="14">
      <formula>LEN(TRIM(D10))&gt;0</formula>
    </cfRule>
  </conditionalFormatting>
  <conditionalFormatting sqref="E10">
    <cfRule type="notContainsBlanks" dxfId="52" priority="13">
      <formula>LEN(TRIM(E10))&gt;0</formula>
    </cfRule>
  </conditionalFormatting>
  <conditionalFormatting sqref="E11">
    <cfRule type="notContainsBlanks" dxfId="51" priority="12">
      <formula>LEN(TRIM(E11))&gt;0</formula>
    </cfRule>
  </conditionalFormatting>
  <conditionalFormatting sqref="E12:E1048576">
    <cfRule type="notContainsBlanks" dxfId="50" priority="11">
      <formula>LEN(TRIM(E12))&gt;0</formula>
    </cfRule>
  </conditionalFormatting>
  <conditionalFormatting sqref="F10">
    <cfRule type="notContainsBlanks" dxfId="49" priority="10">
      <formula>LEN(TRIM(F10))&gt;0</formula>
    </cfRule>
  </conditionalFormatting>
  <conditionalFormatting sqref="G10">
    <cfRule type="notContainsBlanks" dxfId="48" priority="9">
      <formula>LEN(TRIM(G10))&gt;0</formula>
    </cfRule>
  </conditionalFormatting>
  <conditionalFormatting sqref="F11">
    <cfRule type="notContainsBlanks" dxfId="47" priority="8">
      <formula>LEN(TRIM(F11))&gt;0</formula>
    </cfRule>
  </conditionalFormatting>
  <conditionalFormatting sqref="F12:G1048576">
    <cfRule type="notContainsBlanks" dxfId="46" priority="5">
      <formula>LEN(TRIM(F12))&gt;0</formula>
    </cfRule>
  </conditionalFormatting>
  <conditionalFormatting sqref="G11">
    <cfRule type="notContainsBlanks" dxfId="45" priority="6">
      <formula>LEN(TRIM(G11))&gt;0</formula>
    </cfRule>
  </conditionalFormatting>
  <conditionalFormatting sqref="H12:H375">
    <cfRule type="notContainsBlanks" dxfId="44" priority="2">
      <formula>LEN(TRIM(H12))&gt;0</formula>
    </cfRule>
  </conditionalFormatting>
  <conditionalFormatting sqref="H11">
    <cfRule type="notContainsBlanks" dxfId="43" priority="4">
      <formula>LEN(TRIM(H11))&gt;0</formula>
    </cfRule>
  </conditionalFormatting>
  <conditionalFormatting sqref="H10">
    <cfRule type="notContainsBlanks" dxfId="42" priority="3">
      <formula>LEN(TRIM(H10))&gt;0</formula>
    </cfRule>
  </conditionalFormatting>
  <conditionalFormatting sqref="I10:I375">
    <cfRule type="notContainsBlanks" dxfId="41" priority="1">
      <formula>LEN(TRIM(I10))&gt;0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AS3477"/>
  <sheetViews>
    <sheetView topLeftCell="Y429" zoomScale="115" zoomScaleNormal="115" zoomScalePageLayoutView="85" workbookViewId="0">
      <selection activeCell="AF5" sqref="AF5:AF457"/>
    </sheetView>
  </sheetViews>
  <sheetFormatPr defaultRowHeight="15.75"/>
  <cols>
    <col min="1" max="1" width="6.85546875" style="1" customWidth="1"/>
    <col min="2" max="2" width="9.140625" style="21"/>
    <col min="3" max="4" width="10.85546875" style="21" bestFit="1" customWidth="1"/>
    <col min="5" max="7" width="9.140625" style="21"/>
    <col min="8" max="8" width="11.28515625" style="21" customWidth="1"/>
    <col min="9" max="9" width="9.140625" style="22"/>
    <col min="10" max="10" width="4" style="1" customWidth="1"/>
    <col min="11" max="11" width="2.85546875" style="51" customWidth="1"/>
    <col min="12" max="12" width="5.7109375" style="1" customWidth="1"/>
    <col min="13" max="14" width="9.140625" style="1"/>
    <col min="15" max="15" width="9.85546875" style="1" bestFit="1" customWidth="1"/>
    <col min="16" max="16" width="9.140625" style="1"/>
    <col min="17" max="17" width="9.140625" style="1" customWidth="1"/>
    <col min="18" max="18" width="9.140625" style="1"/>
    <col min="19" max="19" width="9.5703125" style="1" bestFit="1" customWidth="1"/>
    <col min="20" max="29" width="9.140625" style="1"/>
    <col min="30" max="30" width="9.85546875" style="26" customWidth="1"/>
    <col min="31" max="31" width="10" style="26" customWidth="1"/>
    <col min="32" max="32" width="17.7109375" style="1" customWidth="1"/>
    <col min="33" max="34" width="9.140625" style="1"/>
    <col min="35" max="35" width="5.85546875" style="47" customWidth="1"/>
    <col min="36" max="36" width="19.140625" style="1" customWidth="1"/>
    <col min="37" max="37" width="12" style="1" customWidth="1"/>
    <col min="38" max="43" width="9.140625" style="1"/>
    <col min="44" max="44" width="18.140625" style="1" customWidth="1"/>
    <col min="45" max="45" width="10.28515625" style="1" bestFit="1" customWidth="1"/>
    <col min="46" max="16384" width="9.140625" style="1"/>
  </cols>
  <sheetData>
    <row r="1" spans="1:45">
      <c r="A1" s="189" t="s">
        <v>53</v>
      </c>
      <c r="B1" s="189"/>
      <c r="C1" s="189"/>
      <c r="D1" s="189"/>
      <c r="E1" s="189"/>
      <c r="F1" s="189"/>
      <c r="G1" s="189"/>
      <c r="H1" s="189"/>
      <c r="I1" s="189"/>
      <c r="J1" s="190"/>
      <c r="L1" s="53"/>
      <c r="M1" s="192" t="s">
        <v>57</v>
      </c>
      <c r="N1" s="192"/>
      <c r="O1" s="192"/>
      <c r="P1" s="192"/>
      <c r="Q1" s="192"/>
      <c r="R1" s="192"/>
      <c r="S1" s="192"/>
      <c r="AD1" s="1"/>
      <c r="AE1" s="1"/>
    </row>
    <row r="2" spans="1:45">
      <c r="A2" s="191" t="s">
        <v>66</v>
      </c>
      <c r="B2" s="191"/>
      <c r="C2" s="191"/>
      <c r="D2" s="191"/>
      <c r="E2" s="191"/>
      <c r="F2" s="191"/>
      <c r="G2" s="191"/>
      <c r="H2" s="191"/>
      <c r="I2" s="191"/>
      <c r="AD2" s="1"/>
      <c r="AE2" s="1"/>
    </row>
    <row r="3" spans="1:45" s="17" customFormat="1" ht="30" customHeight="1">
      <c r="A3" s="29" t="s">
        <v>24</v>
      </c>
      <c r="B3" s="30" t="s">
        <v>54</v>
      </c>
      <c r="C3" s="30" t="s">
        <v>55</v>
      </c>
      <c r="D3" s="30" t="s">
        <v>56</v>
      </c>
      <c r="E3" s="30" t="s">
        <v>92</v>
      </c>
      <c r="F3" s="30" t="s">
        <v>93</v>
      </c>
      <c r="G3" s="30" t="s">
        <v>94</v>
      </c>
      <c r="H3" s="32" t="s">
        <v>96</v>
      </c>
      <c r="I3" s="31" t="s">
        <v>98</v>
      </c>
      <c r="K3" s="52"/>
      <c r="M3" s="28" t="s">
        <v>95</v>
      </c>
      <c r="N3" s="18" t="s">
        <v>21</v>
      </c>
      <c r="O3" s="18" t="s">
        <v>58</v>
      </c>
      <c r="P3" s="18" t="s">
        <v>63</v>
      </c>
      <c r="Q3" s="18" t="s">
        <v>64</v>
      </c>
      <c r="R3" s="18" t="s">
        <v>65</v>
      </c>
      <c r="S3" s="28" t="s">
        <v>97</v>
      </c>
      <c r="AD3" s="187" t="s">
        <v>71</v>
      </c>
      <c r="AE3" s="188"/>
      <c r="AF3" s="34"/>
      <c r="AO3" s="187" t="s">
        <v>127</v>
      </c>
      <c r="AP3" s="188"/>
      <c r="AQ3" s="27"/>
      <c r="AR3" s="187" t="s">
        <v>126</v>
      </c>
      <c r="AS3" s="188"/>
    </row>
    <row r="4" spans="1:45" s="17" customFormat="1" ht="18.75">
      <c r="A4" s="14" t="s">
        <v>11</v>
      </c>
      <c r="B4" s="14" t="s">
        <v>30</v>
      </c>
      <c r="C4" s="14" t="s">
        <v>30</v>
      </c>
      <c r="D4" s="14" t="s">
        <v>30</v>
      </c>
      <c r="E4" s="14" t="s">
        <v>30</v>
      </c>
      <c r="F4" s="14" t="s">
        <v>30</v>
      </c>
      <c r="G4" s="14" t="s">
        <v>30</v>
      </c>
      <c r="H4" s="14" t="s">
        <v>30</v>
      </c>
      <c r="I4" s="20" t="s">
        <v>61</v>
      </c>
      <c r="K4" s="52"/>
      <c r="M4" s="18" t="s">
        <v>30</v>
      </c>
      <c r="N4" s="18" t="s">
        <v>62</v>
      </c>
      <c r="O4" s="18" t="s">
        <v>61</v>
      </c>
      <c r="P4" s="18" t="s">
        <v>30</v>
      </c>
      <c r="Q4" s="18" t="s">
        <v>30</v>
      </c>
      <c r="R4" s="18" t="s">
        <v>30</v>
      </c>
      <c r="S4" s="18" t="s">
        <v>30</v>
      </c>
      <c r="AD4" s="17" t="s">
        <v>128</v>
      </c>
      <c r="AE4" s="17" t="s">
        <v>129</v>
      </c>
      <c r="AF4" s="17" t="s">
        <v>132</v>
      </c>
      <c r="AG4" s="17" t="s">
        <v>159</v>
      </c>
      <c r="AH4" s="17" t="s">
        <v>161</v>
      </c>
      <c r="AI4" s="17" t="s">
        <v>162</v>
      </c>
      <c r="AJ4" s="17" t="s">
        <v>163</v>
      </c>
      <c r="AK4" s="17" t="s">
        <v>170</v>
      </c>
      <c r="AO4" s="1" t="s">
        <v>82</v>
      </c>
      <c r="AP4" s="26">
        <f ca="1">MAX(G5:G423)</f>
        <v>36.005016423372723</v>
      </c>
      <c r="AQ4" s="47" t="s">
        <v>38</v>
      </c>
      <c r="AR4" s="58" t="s">
        <v>138</v>
      </c>
      <c r="AS4" s="50">
        <f ca="1">AP7/(tc+tc_lot_i)</f>
        <v>0.82499999999999996</v>
      </c>
    </row>
    <row r="5" spans="1:45" s="17" customFormat="1" ht="18.75">
      <c r="A5" s="4">
        <v>0</v>
      </c>
      <c r="B5" s="5">
        <f>IF('Hidrograma afluente'!B12="","",'Hidrograma afluente'!B12)</f>
        <v>0</v>
      </c>
      <c r="C5" s="21">
        <f>IF(B6=0,0,IF(B6="","",B6))</f>
        <v>5.117411171832984</v>
      </c>
      <c r="D5" s="21">
        <f>2*(b_0*h_0^c_0)*1000/(Passo*60)</f>
        <v>0</v>
      </c>
      <c r="E5" s="21">
        <f ca="1">IF(h_0&lt;fi_h/2/1000,0,((OFFSET('Base de dados'!$A$4,IF(h_0*100&lt;20,1,IF(h_0*100&gt;1000,10,MATCH(h_0*100,Cargas,1))),Coluna_fih,1,1)))*(PI()*(fi_h/1000)^2/4)*SQRT(2*9.81*(h_0-fi_h/2/1000)*1000))</f>
        <v>0</v>
      </c>
      <c r="F5" s="21">
        <f ca="1">IF(Tipo_Vertedor="Retangular",IF(h_0&lt;=cota_s,0,Cd_sr*Lef_sr*((h_0-cota_s)^(3/2))*1000),IF(h_0&lt;fi_s/2000+cota_s,0,((OFFSET('Base de dados'!$A$4,IF(h_0&lt;20,1,IF(h_0&gt;1000,10,MATCH(h_0,Cargas,1))),Coluna_fis,1,1)))*(PI()*(fi_s/1000)^2/4)*SQRT(2*9.81*(h_0-fi_s/2/1000-cota_s)*1000)))</f>
        <v>0</v>
      </c>
      <c r="G5" s="21">
        <f ca="1">F5+E5</f>
        <v>0</v>
      </c>
      <c r="H5" s="21">
        <f ca="1">B5+C5+D5-G5</f>
        <v>5.117411171832984</v>
      </c>
      <c r="I5" s="22">
        <f>h_0*100</f>
        <v>0</v>
      </c>
      <c r="K5" s="52"/>
      <c r="M5" s="81">
        <f t="shared" ref="M5:M68" ca="1" si="0">IF(O5="","",2*N5*1000/(Passo*60)+R5)</f>
        <v>11.386189716072353</v>
      </c>
      <c r="N5" s="19">
        <f>b_0*(O5/100)^c_0</f>
        <v>0.34158569148217061</v>
      </c>
      <c r="O5" s="17">
        <v>1</v>
      </c>
      <c r="P5" s="19">
        <f ca="1">IF(ISERROR(IF(O5&lt;fi_h/20,0,(OFFSET('Base de dados'!$A$5,IF(O5&lt;20,1,IF(O5&gt;1000,10,MATCH(O5,Cargas,1))),Coluna_fih,1,1))*(1+0.13*0.25)*(PI()*(fi_h/1000)^2/4)*SQRT(2*9.81*(O5/100-fi_h/2/1000))*1000)),"",IF(O5&lt;fi_h/20,0,(OFFSET('Base de dados'!$A$5,IF(O5&lt;20,1,IF(O5&gt;1000,10,MATCH(O5,Cargas,1))),Coluna_fih,1,1))*(PI()*(fi_h/1000)^2/4)*SQRT(2*9.81*(O5/100-fi_h/2/1000))*1000))</f>
        <v>0</v>
      </c>
      <c r="Q5" s="19">
        <f ca="1">IF(O5="","",IF(Tipo_Vertedor="Retangular",IF(O5&lt;=cota_s*100,0,IF(Tipo_Vertedor="Retangular",Cd_sr*Lef_sr*((O5/100-cota_s)^(3/2))*1000)),IF(O5&lt;=cota_s*100+fi_s/20,0,(OFFSET('Base de dados'!$A$4,IF(O5&lt;20,1,IF(O5&gt;1000,10,MATCH(O5,Cargas,1))),Coluna_fis,1,1))*(PI()*(fi_s/1000)^2/4)*(2*9.81*(O5/100-cota_s-fi_s/2/1000))^0.5*1000)))</f>
        <v>0</v>
      </c>
      <c r="R5" s="19">
        <f t="shared" ref="R5:R68" ca="1" si="1">IF(O5="","",Q5+P5)</f>
        <v>0</v>
      </c>
      <c r="S5" s="19">
        <f t="shared" ref="S5:S68" ca="1" si="2">IF(M5="","",2*N5*1000/(Passo*60))</f>
        <v>11.386189716072353</v>
      </c>
      <c r="AD5" s="19">
        <v>0</v>
      </c>
      <c r="AE5" s="19">
        <v>0</v>
      </c>
      <c r="AF5" s="19">
        <f ca="1">IF(ISERROR(IF('Hidrograma afluente'!I12="",0,'Hidrograma afluente'!I12)+Simulação!G5),"",IF('Hidrograma afluente'!I12="",0,'Hidrograma afluente'!I12)+Simulação!G5)</f>
        <v>0</v>
      </c>
      <c r="AG5" s="17">
        <v>0</v>
      </c>
      <c r="AH5" s="17">
        <v>0</v>
      </c>
      <c r="AI5" s="17">
        <v>0</v>
      </c>
      <c r="AJ5" s="17">
        <v>0</v>
      </c>
      <c r="AK5" s="19">
        <f>IF(A5="","",IF('Hidrograma afluente'!I12="",0,'Hidrograma afluente'!I12)+Simulação!B5)</f>
        <v>0</v>
      </c>
      <c r="AO5" s="1" t="s">
        <v>83</v>
      </c>
      <c r="AP5" s="26">
        <f>Qmax_lot_i</f>
        <v>40.939289374663872</v>
      </c>
      <c r="AQ5" s="27" t="s">
        <v>38</v>
      </c>
      <c r="AR5" s="58" t="s">
        <v>139</v>
      </c>
      <c r="AS5" s="50">
        <f ca="1">AP4/Qref_i</f>
        <v>1.0762709599187481</v>
      </c>
    </row>
    <row r="6" spans="1:45" s="17" customFormat="1" ht="18.75">
      <c r="A6" s="4">
        <f t="shared" ref="A6:A69" si="3">IF(ISERROR(IF(A5+Passo&lt;=tempo_simul,A5+Passo,"")),"",IF(A5+Passo&lt;=tempo_simul,A5+Passo,""))</f>
        <v>1</v>
      </c>
      <c r="B6" s="5">
        <f>IF(A6="","",IF(A6&gt;tc_lot_i+tc,0,IF('Hidrograma afluente'!B13="","",'Hidrograma afluente'!B13)))</f>
        <v>5.117411171832984</v>
      </c>
      <c r="C6" s="21">
        <f t="shared" ref="C6:C69" si="4">IF(B7=0,0,IF(B7="","",B7))</f>
        <v>10.234822343665968</v>
      </c>
      <c r="D6" s="21">
        <f t="shared" ref="D6:D69" ca="1" si="5">IF(A6="","",IF(ISERROR(VLOOKUP(H5,tabela_auxiliar,7,1)),0,VLOOKUP(H5,tabela_auxiliar,7,1)))</f>
        <v>0</v>
      </c>
      <c r="E6" s="21">
        <f t="shared" ref="E6:E69" ca="1" si="6">IF(A6="","",IF(ISERROR(VLOOKUP(H5,tabela_auxiliar,4,TRUE)),0,VLOOKUP(H5,tabela_auxiliar,4,TRUE)))</f>
        <v>0</v>
      </c>
      <c r="F6" s="21">
        <f t="shared" ref="F6:F69" ca="1" si="7">IF(A6="","",IF(ISERROR(VLOOKUP(H5,tabela_auxiliar,5,TRUE)),0,VLOOKUP(H5,tabela_auxiliar,5,TRUE)))</f>
        <v>0</v>
      </c>
      <c r="G6" s="21">
        <f t="shared" ref="G6:G69" ca="1" si="8">IF(A6="","",IF(ISERROR(VLOOKUP(H5,tabela_auxiliar,6,TRUE)),0,VLOOKUP(H5,tabela_auxiliar,6,TRUE)))</f>
        <v>0</v>
      </c>
      <c r="H6" s="21">
        <f ca="1">IF(A6="","",IF(ISERROR(B6+C6+D6-G6),0,B6+C6+D6-G6))</f>
        <v>15.352233515498952</v>
      </c>
      <c r="I6" s="22">
        <f t="shared" ref="I6:I69" ca="1" si="9">IF(A6="","",IF(ISERROR(VLOOKUP(H5,tabela_auxiliar,3,TRUE)),0,VLOOKUP(H5,tabela_auxiliar,3,TRUE)))</f>
        <v>0</v>
      </c>
      <c r="K6" s="52"/>
      <c r="M6" s="81">
        <f t="shared" ca="1" si="0"/>
        <v>14.633928835327918</v>
      </c>
      <c r="N6" s="19">
        <f t="shared" ref="N6:N69" si="10">IF(O6="","",b_0*(O6/100)^c_0)</f>
        <v>0.43901786505983759</v>
      </c>
      <c r="O6" s="17">
        <f t="shared" ref="O6:O69" si="11">IF(ISERROR(IF(O5+passo_altura&gt;h_max_puls*100,"",O5+passo_altura)),"",IF(O5+passo_altura&gt;h_max_puls*100,"",O5+passo_altura))</f>
        <v>1.25</v>
      </c>
      <c r="P6" s="19">
        <f ca="1">IF(ISERROR(IF(O6&lt;fi_h/20,0,(OFFSET('Base de dados'!$A$5,IF(O6&lt;20,1,IF(O6&gt;1000,10,MATCH(O6,Cargas,1))),Coluna_fih,1,1))*(1+0.13*0.25)*(PI()*(fi_h/1000)^2/4)*SQRT(2*9.81*(O6/100-fi_h/2/1000))*1000)),"",IF(O6&lt;fi_h/20,0,(OFFSET('Base de dados'!$A$5,IF(O6&lt;20,1,IF(O6&gt;1000,10,MATCH(O6,Cargas,1))),Coluna_fih,1,1))*(PI()*(fi_h/1000)^2/4)*SQRT(2*9.81*(O6/100-fi_h/2/1000))*1000))</f>
        <v>0</v>
      </c>
      <c r="Q6" s="19">
        <f ca="1">IF(O6="","",IF(Tipo_Vertedor="Retangular",IF(O6&lt;=cota_s*100,0,IF(Tipo_Vertedor="Retangular",Cd_sr*Lef_sr*((O6/100-cota_s)^(3/2))*1000)),IF(O6&lt;=cota_s*100+fi_s/20,0,(OFFSET('Base de dados'!$A$4,IF(O6&lt;20,1,IF(O6&gt;1000,10,MATCH(O6,Cargas,1))),Coluna_fis,1,1))*(PI()*(fi_s/1000)^2/4)*(2*9.81*(O6/100-cota_s-fi_s/2/1000))^0.5*1000)))</f>
        <v>0</v>
      </c>
      <c r="R6" s="19">
        <f t="shared" ca="1" si="1"/>
        <v>0</v>
      </c>
      <c r="S6" s="19">
        <f t="shared" ca="1" si="2"/>
        <v>14.633928835327918</v>
      </c>
      <c r="AD6" s="19">
        <f t="shared" ref="AD6:AD69" si="12">IF(A6="","",AVERAGE(B6+B5)*Passo*60/1000+AD5)</f>
        <v>0.30704467030997906</v>
      </c>
      <c r="AE6" s="19">
        <f t="shared" ref="AE6:AE69" ca="1" si="13">IF(A6="","",AE5+AVERAGE(G6+G5)*Passo*60/1000)</f>
        <v>0</v>
      </c>
      <c r="AF6" s="19">
        <f ca="1">IF(ISERROR(IF('Hidrograma afluente'!I13="",0,'Hidrograma afluente'!I13)+Simulação!G6),"",IF('Hidrograma afluente'!I13="",0,'Hidrograma afluente'!I13)+Simulação!G6)</f>
        <v>26.357292683381825</v>
      </c>
      <c r="AG6" s="17">
        <v>0</v>
      </c>
      <c r="AH6" s="17">
        <v>0</v>
      </c>
      <c r="AI6" s="17">
        <v>0</v>
      </c>
      <c r="AJ6" s="17">
        <v>0</v>
      </c>
      <c r="AK6" s="19">
        <f>IF(A6="","",IF('Hidrograma afluente'!I13="",0,'Hidrograma afluente'!I13)+Simulação!B6)</f>
        <v>31.474703855214809</v>
      </c>
      <c r="AO6" s="1" t="s">
        <v>81</v>
      </c>
      <c r="AP6" s="25">
        <f ca="1">MAX(I5:I1048576)</f>
        <v>65.75</v>
      </c>
      <c r="AQ6" s="27" t="s">
        <v>60</v>
      </c>
      <c r="AR6" s="58" t="s">
        <v>140</v>
      </c>
      <c r="AS6" s="50">
        <f ca="1">hmax/100/Dados_de_entrada!B32</f>
        <v>0.32874999999999999</v>
      </c>
    </row>
    <row r="7" spans="1:45" s="17" customFormat="1" ht="18.75">
      <c r="A7" s="4">
        <f t="shared" si="3"/>
        <v>2</v>
      </c>
      <c r="B7" s="5">
        <f>IF(A7="","",IF(A7&gt;tc_lot_i+tc,0,IF('Hidrograma afluente'!B14="","",'Hidrograma afluente'!B14)))</f>
        <v>10.234822343665968</v>
      </c>
      <c r="C7" s="21">
        <f t="shared" si="4"/>
        <v>15.352233515498952</v>
      </c>
      <c r="D7" s="21">
        <f t="shared" ca="1" si="5"/>
        <v>14.633928835327918</v>
      </c>
      <c r="E7" s="21">
        <f t="shared" ca="1" si="6"/>
        <v>0</v>
      </c>
      <c r="F7" s="21">
        <f t="shared" ca="1" si="7"/>
        <v>0</v>
      </c>
      <c r="G7" s="21">
        <f t="shared" ca="1" si="8"/>
        <v>0</v>
      </c>
      <c r="H7" s="21">
        <f t="shared" ref="H7:H64" ca="1" si="14">IF(A7="","",IF(ISERROR(B7+C7+D7-G7),0,B7+C7+D7-G7))</f>
        <v>40.220984694492842</v>
      </c>
      <c r="I7" s="22">
        <f t="shared" ca="1" si="9"/>
        <v>1.25</v>
      </c>
      <c r="K7" s="52"/>
      <c r="M7" s="81">
        <f t="shared" ca="1" si="0"/>
        <v>17.964128115259307</v>
      </c>
      <c r="N7" s="19">
        <f t="shared" si="10"/>
        <v>0.53892384345777922</v>
      </c>
      <c r="O7" s="17">
        <f t="shared" si="11"/>
        <v>1.5</v>
      </c>
      <c r="P7" s="19">
        <f ca="1">IF(ISERROR(IF(O7&lt;fi_h/20,0,(OFFSET('Base de dados'!$A$5,IF(O7&lt;20,1,IF(O7&gt;1000,10,MATCH(O7,Cargas,1))),Coluna_fih,1,1))*(1+0.13*0.25)*(PI()*(fi_h/1000)^2/4)*SQRT(2*9.81*(O7/100-fi_h/2/1000))*1000)),"",IF(O7&lt;fi_h/20,0,(OFFSET('Base de dados'!$A$5,IF(O7&lt;20,1,IF(O7&gt;1000,10,MATCH(O7,Cargas,1))),Coluna_fih,1,1))*(PI()*(fi_h/1000)^2/4)*SQRT(2*9.81*(O7/100-fi_h/2/1000))*1000))</f>
        <v>0</v>
      </c>
      <c r="Q7" s="19">
        <f ca="1">IF(O7="","",IF(Tipo_Vertedor="Retangular",IF(O7&lt;=cota_s*100,0,IF(Tipo_Vertedor="Retangular",Cd_sr*Lef_sr*((O7/100-cota_s)^(3/2))*1000)),IF(O7&lt;=cota_s*100+fi_s/20,0,(OFFSET('Base de dados'!$A$4,IF(O7&lt;20,1,IF(O7&gt;1000,10,MATCH(O7,Cargas,1))),Coluna_fis,1,1))*(PI()*(fi_s/1000)^2/4)*(2*9.81*(O7/100-cota_s-fi_s/2/1000))^0.5*1000)))</f>
        <v>0</v>
      </c>
      <c r="R7" s="19">
        <f t="shared" ca="1" si="1"/>
        <v>0</v>
      </c>
      <c r="S7" s="19">
        <f t="shared" ca="1" si="2"/>
        <v>17.964128115259307</v>
      </c>
      <c r="AD7" s="19">
        <f t="shared" si="12"/>
        <v>1.2281786812399162</v>
      </c>
      <c r="AE7" s="19">
        <f t="shared" ca="1" si="13"/>
        <v>0</v>
      </c>
      <c r="AF7" s="19">
        <f ca="1">IF(ISERROR(IF('Hidrograma afluente'!I14="",0,'Hidrograma afluente'!I14)+Simulação!G7),"",IF('Hidrograma afluente'!I14="",0,'Hidrograma afluente'!I14)+Simulação!G7)</f>
        <v>52.71458536676365</v>
      </c>
      <c r="AG7" s="17">
        <v>0</v>
      </c>
      <c r="AH7" s="17">
        <v>0</v>
      </c>
      <c r="AI7" s="17">
        <v>1</v>
      </c>
      <c r="AJ7" s="17">
        <v>1</v>
      </c>
      <c r="AK7" s="19">
        <f>IF(A7="","",IF('Hidrograma afluente'!I14="",0,'Hidrograma afluente'!I14)+Simulação!B7)</f>
        <v>62.949407710429618</v>
      </c>
      <c r="AO7" s="1" t="s">
        <v>84</v>
      </c>
      <c r="AP7" s="1">
        <f ca="1">MATCH(AP4,G5:G423,0)*Passo</f>
        <v>33</v>
      </c>
      <c r="AQ7" s="27" t="s">
        <v>0</v>
      </c>
      <c r="AR7" s="58" t="s">
        <v>141</v>
      </c>
      <c r="AS7" s="50">
        <f ca="1">(1-AP9/AP10)</f>
        <v>0.10653835498610664</v>
      </c>
    </row>
    <row r="8" spans="1:45" s="17" customFormat="1" ht="18.75">
      <c r="A8" s="4">
        <f t="shared" si="3"/>
        <v>3</v>
      </c>
      <c r="B8" s="5">
        <f>IF(A8="","",IF(A8&gt;tc_lot_i+tc,0,IF('Hidrograma afluente'!B15="","",'Hidrograma afluente'!B15)))</f>
        <v>15.352233515498952</v>
      </c>
      <c r="C8" s="21">
        <f t="shared" si="4"/>
        <v>20.469644687331936</v>
      </c>
      <c r="D8" s="21">
        <f t="shared" ca="1" si="5"/>
        <v>39.168485615185759</v>
      </c>
      <c r="E8" s="21">
        <f t="shared" ca="1" si="6"/>
        <v>0</v>
      </c>
      <c r="F8" s="21">
        <f t="shared" ca="1" si="7"/>
        <v>0</v>
      </c>
      <c r="G8" s="21">
        <f t="shared" ca="1" si="8"/>
        <v>0</v>
      </c>
      <c r="H8" s="21">
        <f t="shared" ca="1" si="14"/>
        <v>74.990363818016647</v>
      </c>
      <c r="I8" s="22">
        <f t="shared" ca="1" si="9"/>
        <v>3</v>
      </c>
      <c r="K8" s="52"/>
      <c r="M8" s="81">
        <f t="shared" ca="1" si="0"/>
        <v>21.36450287138128</v>
      </c>
      <c r="N8" s="19">
        <f t="shared" si="10"/>
        <v>0.64093508614143846</v>
      </c>
      <c r="O8" s="17">
        <f t="shared" si="11"/>
        <v>1.75</v>
      </c>
      <c r="P8" s="19">
        <f ca="1">IF(ISERROR(IF(O8&lt;fi_h/20,0,(OFFSET('Base de dados'!$A$5,IF(O8&lt;20,1,IF(O8&gt;1000,10,MATCH(O8,Cargas,1))),Coluna_fih,1,1))*(1+0.13*0.25)*(PI()*(fi_h/1000)^2/4)*SQRT(2*9.81*(O8/100-fi_h/2/1000))*1000)),"",IF(O8&lt;fi_h/20,0,(OFFSET('Base de dados'!$A$5,IF(O8&lt;20,1,IF(O8&gt;1000,10,MATCH(O8,Cargas,1))),Coluna_fih,1,1))*(PI()*(fi_h/1000)^2/4)*SQRT(2*9.81*(O8/100-fi_h/2/1000))*1000))</f>
        <v>0</v>
      </c>
      <c r="Q8" s="19">
        <f ca="1">IF(O8="","",IF(Tipo_Vertedor="Retangular",IF(O8&lt;=cota_s*100,0,IF(Tipo_Vertedor="Retangular",Cd_sr*Lef_sr*((O8/100-cota_s)^(3/2))*1000)),IF(O8&lt;=cota_s*100+fi_s/20,0,(OFFSET('Base de dados'!$A$4,IF(O8&lt;20,1,IF(O8&gt;1000,10,MATCH(O8,Cargas,1))),Coluna_fis,1,1))*(PI()*(fi_s/1000)^2/4)*(2*9.81*(O8/100-cota_s-fi_s/2/1000))^0.5*1000)))</f>
        <v>0</v>
      </c>
      <c r="R8" s="19">
        <f t="shared" ca="1" si="1"/>
        <v>0</v>
      </c>
      <c r="S8" s="19">
        <f t="shared" ca="1" si="2"/>
        <v>21.36450287138128</v>
      </c>
      <c r="AD8" s="19">
        <f t="shared" si="12"/>
        <v>2.7634020327898114</v>
      </c>
      <c r="AE8" s="19">
        <f t="shared" ca="1" si="13"/>
        <v>0</v>
      </c>
      <c r="AF8" s="19">
        <f ca="1">IF(ISERROR(IF('Hidrograma afluente'!I15="",0,'Hidrograma afluente'!I15)+Simulação!G8),"",IF('Hidrograma afluente'!I15="",0,'Hidrograma afluente'!I15)+Simulação!G8)</f>
        <v>79.071878050145486</v>
      </c>
      <c r="AG8" s="17">
        <v>0.20411711317205333</v>
      </c>
      <c r="AH8" s="17">
        <v>0.20411711317205333</v>
      </c>
      <c r="AI8" s="17">
        <v>2.75</v>
      </c>
      <c r="AJ8" s="17">
        <v>2.75</v>
      </c>
      <c r="AK8" s="19">
        <f>IF(A8="","",IF('Hidrograma afluente'!I15="",0,'Hidrograma afluente'!I15)+Simulação!B8)</f>
        <v>94.424111565644438</v>
      </c>
      <c r="AO8" s="1" t="s">
        <v>85</v>
      </c>
      <c r="AP8" s="1">
        <f>tc</f>
        <v>32</v>
      </c>
      <c r="AQ8" s="27" t="s">
        <v>0</v>
      </c>
      <c r="AR8" s="58" t="s">
        <v>142</v>
      </c>
      <c r="AS8" s="50">
        <f>Dados_de_entrada!D16</f>
        <v>0.9375</v>
      </c>
    </row>
    <row r="9" spans="1:45" s="17" customFormat="1">
      <c r="A9" s="4">
        <f t="shared" si="3"/>
        <v>4</v>
      </c>
      <c r="B9" s="5">
        <f>IF(A9="","",IF(A9&gt;tc_lot_i+tc,0,IF('Hidrograma afluente'!B16="","",'Hidrograma afluente'!B16)))</f>
        <v>20.469644687331936</v>
      </c>
      <c r="C9" s="21">
        <f t="shared" si="4"/>
        <v>25.58705585916492</v>
      </c>
      <c r="D9" s="21">
        <f t="shared" ca="1" si="5"/>
        <v>73.493876727881386</v>
      </c>
      <c r="E9" s="21">
        <f t="shared" ca="1" si="6"/>
        <v>0</v>
      </c>
      <c r="F9" s="21">
        <f t="shared" ca="1" si="7"/>
        <v>0</v>
      </c>
      <c r="G9" s="21">
        <f t="shared" ca="1" si="8"/>
        <v>0</v>
      </c>
      <c r="H9" s="21">
        <f t="shared" ca="1" si="14"/>
        <v>119.55057727437824</v>
      </c>
      <c r="I9" s="22">
        <f t="shared" ca="1" si="9"/>
        <v>5.25</v>
      </c>
      <c r="K9" s="52"/>
      <c r="M9" s="81">
        <f t="shared" ca="1" si="0"/>
        <v>24.826131568663548</v>
      </c>
      <c r="N9" s="19">
        <f t="shared" si="10"/>
        <v>0.74478394705990647</v>
      </c>
      <c r="O9" s="17">
        <f t="shared" si="11"/>
        <v>2</v>
      </c>
      <c r="P9" s="19">
        <f ca="1">IF(ISERROR(IF(O9&lt;fi_h/20,0,(OFFSET('Base de dados'!$A$5,IF(O9&lt;20,1,IF(O9&gt;1000,10,MATCH(O9,Cargas,1))),Coluna_fih,1,1))*(1+0.13*0.25)*(PI()*(fi_h/1000)^2/4)*SQRT(2*9.81*(O9/100-fi_h/2/1000))*1000)),"",IF(O9&lt;fi_h/20,0,(OFFSET('Base de dados'!$A$5,IF(O9&lt;20,1,IF(O9&gt;1000,10,MATCH(O9,Cargas,1))),Coluna_fih,1,1))*(PI()*(fi_h/1000)^2/4)*SQRT(2*9.81*(O9/100-fi_h/2/1000))*1000))</f>
        <v>0</v>
      </c>
      <c r="Q9" s="19">
        <f ca="1">IF(O9="","",IF(Tipo_Vertedor="Retangular",IF(O9&lt;=cota_s*100,0,IF(Tipo_Vertedor="Retangular",Cd_sr*Lef_sr*((O9/100-cota_s)^(3/2))*1000)),IF(O9&lt;=cota_s*100+fi_s/20,0,(OFFSET('Base de dados'!$A$4,IF(O9&lt;20,1,IF(O9&gt;1000,10,MATCH(O9,Cargas,1))),Coluna_fis,1,1))*(PI()*(fi_s/1000)^2/4)*(2*9.81*(O9/100-cota_s-fi_s/2/1000))^0.5*1000)))</f>
        <v>0</v>
      </c>
      <c r="R9" s="19">
        <f t="shared" ca="1" si="1"/>
        <v>0</v>
      </c>
      <c r="S9" s="19">
        <f t="shared" ca="1" si="2"/>
        <v>24.826131568663548</v>
      </c>
      <c r="AD9" s="19">
        <f t="shared" si="12"/>
        <v>4.912714724959665</v>
      </c>
      <c r="AE9" s="19">
        <f t="shared" ca="1" si="13"/>
        <v>0</v>
      </c>
      <c r="AF9" s="19">
        <f ca="1">IF(ISERROR(IF('Hidrograma afluente'!I16="",0,'Hidrograma afluente'!I16)+Simulação!G9),"",IF('Hidrograma afluente'!I16="",0,'Hidrograma afluente'!I16)+Simulação!G9)</f>
        <v>105.4291707335273</v>
      </c>
      <c r="AG9" s="17">
        <v>0.33255506306761479</v>
      </c>
      <c r="AH9" s="17">
        <v>0.33255506306761479</v>
      </c>
      <c r="AI9" s="17">
        <v>5</v>
      </c>
      <c r="AJ9" s="17">
        <v>5</v>
      </c>
      <c r="AK9" s="19">
        <f>IF(A9="","",IF('Hidrograma afluente'!I16="",0,'Hidrograma afluente'!I16)+Simulação!B9)</f>
        <v>125.89881542085924</v>
      </c>
      <c r="AO9" s="1" t="s">
        <v>91</v>
      </c>
      <c r="AP9" s="26">
        <f ca="1">MAX(AE5:AE1048576)</f>
        <v>140.4583097486861</v>
      </c>
      <c r="AQ9" s="27" t="s">
        <v>69</v>
      </c>
    </row>
    <row r="10" spans="1:45" s="17" customFormat="1">
      <c r="A10" s="4">
        <f t="shared" si="3"/>
        <v>5</v>
      </c>
      <c r="B10" s="5">
        <f>IF(A10="","",IF(A10&gt;tc_lot_i+tc,0,IF('Hidrograma afluente'!B17="","",'Hidrograma afluente'!B17)))</f>
        <v>25.58705585916492</v>
      </c>
      <c r="C10" s="21">
        <f t="shared" si="4"/>
        <v>30.704467030997904</v>
      </c>
      <c r="D10" s="21">
        <f t="shared" ca="1" si="5"/>
        <v>113.88443572021623</v>
      </c>
      <c r="E10" s="21">
        <f t="shared" ca="1" si="6"/>
        <v>3.9029006916637665</v>
      </c>
      <c r="F10" s="21">
        <f t="shared" ca="1" si="7"/>
        <v>0</v>
      </c>
      <c r="G10" s="21">
        <f t="shared" ca="1" si="8"/>
        <v>3.9029006916637665</v>
      </c>
      <c r="H10" s="21">
        <f t="shared" ca="1" si="14"/>
        <v>166.27305791871527</v>
      </c>
      <c r="I10" s="22">
        <f t="shared" ca="1" si="9"/>
        <v>7.75</v>
      </c>
      <c r="J10" s="1"/>
      <c r="K10" s="51"/>
      <c r="M10" s="81">
        <f t="shared" ca="1" si="0"/>
        <v>28.342220443237856</v>
      </c>
      <c r="N10" s="19">
        <f t="shared" si="10"/>
        <v>0.85026661329713571</v>
      </c>
      <c r="O10" s="17">
        <f t="shared" si="11"/>
        <v>2.25</v>
      </c>
      <c r="P10" s="19">
        <f ca="1">IF(ISERROR(IF(O10&lt;fi_h/20,0,(OFFSET('Base de dados'!$A$5,IF(O10&lt;20,1,IF(O10&gt;1000,10,MATCH(O10,Cargas,1))),Coluna_fih,1,1))*(1+0.13*0.25)*(PI()*(fi_h/1000)^2/4)*SQRT(2*9.81*(O10/100-fi_h/2/1000))*1000)),"",IF(O10&lt;fi_h/20,0,(OFFSET('Base de dados'!$A$5,IF(O10&lt;20,1,IF(O10&gt;1000,10,MATCH(O10,Cargas,1))),Coluna_fih,1,1))*(PI()*(fi_h/1000)^2/4)*SQRT(2*9.81*(O10/100-fi_h/2/1000))*1000))</f>
        <v>0</v>
      </c>
      <c r="Q10" s="19">
        <f ca="1">IF(O10="","",IF(Tipo_Vertedor="Retangular",IF(O10&lt;=cota_s*100,0,IF(Tipo_Vertedor="Retangular",Cd_sr*Lef_sr*((O10/100-cota_s)^(3/2))*1000)),IF(O10&lt;=cota_s*100+fi_s/20,0,(OFFSET('Base de dados'!$A$4,IF(O10&lt;20,1,IF(O10&gt;1000,10,MATCH(O10,Cargas,1))),Coluna_fis,1,1))*(PI()*(fi_s/1000)^2/4)*(2*9.81*(O10/100-cota_s-fi_s/2/1000))^0.5*1000)))</f>
        <v>0</v>
      </c>
      <c r="R10" s="19">
        <f t="shared" ca="1" si="1"/>
        <v>0</v>
      </c>
      <c r="S10" s="19">
        <f t="shared" ca="1" si="2"/>
        <v>28.342220443237856</v>
      </c>
      <c r="AD10" s="19">
        <f t="shared" si="12"/>
        <v>7.676116757749476</v>
      </c>
      <c r="AE10" s="19">
        <f t="shared" ca="1" si="13"/>
        <v>0.23417404149982599</v>
      </c>
      <c r="AF10" s="19">
        <f ca="1">IF(ISERROR(IF('Hidrograma afluente'!I17="",0,'Hidrograma afluente'!I17)+Simulação!G10),"",IF('Hidrograma afluente'!I17="",0,'Hidrograma afluente'!I17)+Simulação!G10)</f>
        <v>135.6893641085729</v>
      </c>
      <c r="AG10" s="17">
        <v>0.44999811341995838</v>
      </c>
      <c r="AH10" s="17">
        <v>0.44999811341995838</v>
      </c>
      <c r="AI10" s="17">
        <v>8</v>
      </c>
      <c r="AJ10" s="17">
        <v>8</v>
      </c>
      <c r="AK10" s="19">
        <f>IF(A10="","",IF('Hidrograma afluente'!I17="",0,'Hidrograma afluente'!I17)+Simulação!B10)</f>
        <v>157.37351927607403</v>
      </c>
      <c r="AO10" s="1" t="s">
        <v>100</v>
      </c>
      <c r="AP10" s="26">
        <f>MAX(AD5:AD1048576)</f>
        <v>157.20687119870934</v>
      </c>
      <c r="AQ10" s="27" t="s">
        <v>69</v>
      </c>
    </row>
    <row r="11" spans="1:45" s="17" customFormat="1">
      <c r="A11" s="4">
        <f t="shared" si="3"/>
        <v>6</v>
      </c>
      <c r="B11" s="5">
        <f>IF(A11="","",IF(A11&gt;tc_lot_i+tc,0,IF('Hidrograma afluente'!B18="","",'Hidrograma afluente'!B18)))</f>
        <v>30.704467030997904</v>
      </c>
      <c r="C11" s="21">
        <f t="shared" si="4"/>
        <v>35.821878202830888</v>
      </c>
      <c r="D11" s="21">
        <f t="shared" ca="1" si="5"/>
        <v>160.24400599631906</v>
      </c>
      <c r="E11" s="21">
        <f t="shared" ca="1" si="6"/>
        <v>5.9233092579048678</v>
      </c>
      <c r="F11" s="21">
        <f t="shared" ca="1" si="7"/>
        <v>0</v>
      </c>
      <c r="G11" s="21">
        <f t="shared" ca="1" si="8"/>
        <v>5.9233092579048678</v>
      </c>
      <c r="H11" s="21">
        <f t="shared" ca="1" si="14"/>
        <v>220.84704197224301</v>
      </c>
      <c r="I11" s="22">
        <f t="shared" ca="1" si="9"/>
        <v>10.5</v>
      </c>
      <c r="J11" s="1"/>
      <c r="K11" s="51"/>
      <c r="M11" s="81">
        <f t="shared" ca="1" si="0"/>
        <v>31.907411670778949</v>
      </c>
      <c r="N11" s="19">
        <f t="shared" si="10"/>
        <v>0.95722235012336843</v>
      </c>
      <c r="O11" s="17">
        <f t="shared" si="11"/>
        <v>2.5</v>
      </c>
      <c r="P11" s="19">
        <f ca="1">IF(ISERROR(IF(O11&lt;fi_h/20,0,(OFFSET('Base de dados'!$A$5,IF(O11&lt;20,1,IF(O11&gt;1000,10,MATCH(O11,Cargas,1))),Coluna_fih,1,1))*(1+0.13*0.25)*(PI()*(fi_h/1000)^2/4)*SQRT(2*9.81*(O11/100-fi_h/2/1000))*1000)),"",IF(O11&lt;fi_h/20,0,(OFFSET('Base de dados'!$A$5,IF(O11&lt;20,1,IF(O11&gt;1000,10,MATCH(O11,Cargas,1))),Coluna_fih,1,1))*(PI()*(fi_h/1000)^2/4)*SQRT(2*9.81*(O11/100-fi_h/2/1000))*1000))</f>
        <v>0</v>
      </c>
      <c r="Q11" s="19">
        <f ca="1">IF(O11="","",IF(Tipo_Vertedor="Retangular",IF(O11&lt;=cota_s*100,0,IF(Tipo_Vertedor="Retangular",Cd_sr*Lef_sr*((O11/100-cota_s)^(3/2))*1000)),IF(O11&lt;=cota_s*100+fi_s/20,0,(OFFSET('Base de dados'!$A$4,IF(O11&lt;20,1,IF(O11&gt;1000,10,MATCH(O11,Cargas,1))),Coluna_fis,1,1))*(PI()*(fi_s/1000)^2/4)*(2*9.81*(O11/100-cota_s-fi_s/2/1000))^0.5*1000)))</f>
        <v>0</v>
      </c>
      <c r="R11" s="19">
        <f t="shared" ca="1" si="1"/>
        <v>0</v>
      </c>
      <c r="S11" s="19">
        <f t="shared" ca="1" si="2"/>
        <v>31.907411670778949</v>
      </c>
      <c r="AD11" s="19">
        <f t="shared" si="12"/>
        <v>11.053608131159246</v>
      </c>
      <c r="AE11" s="19">
        <f t="shared" ca="1" si="13"/>
        <v>0.82374663847394403</v>
      </c>
      <c r="AF11" s="19">
        <f ca="1">IF(ISERROR(IF('Hidrograma afluente'!I18="",0,'Hidrograma afluente'!I18)+Simulação!G11),"",IF('Hidrograma afluente'!I18="",0,'Hidrograma afluente'!I18)+Simulação!G11)</f>
        <v>164.06706535819583</v>
      </c>
      <c r="AG11" s="1">
        <v>0.55652610559560256</v>
      </c>
      <c r="AH11" s="35">
        <v>0.55652610559560256</v>
      </c>
      <c r="AI11" s="27">
        <v>11.5</v>
      </c>
      <c r="AJ11" s="17">
        <v>11.5</v>
      </c>
      <c r="AK11" s="19">
        <f>IF(A11="","",IF('Hidrograma afluente'!I18="",0,'Hidrograma afluente'!I18)+Simulação!B11)</f>
        <v>188.84822313128888</v>
      </c>
    </row>
    <row r="12" spans="1:45" s="17" customFormat="1">
      <c r="A12" s="4">
        <f t="shared" si="3"/>
        <v>7</v>
      </c>
      <c r="B12" s="5">
        <f>IF(A12="","",IF(A12&gt;tc_lot_i+tc,0,IF('Hidrograma afluente'!B19="","",'Hidrograma afluente'!B19)))</f>
        <v>35.821878202830888</v>
      </c>
      <c r="C12" s="21">
        <f t="shared" si="4"/>
        <v>40.939289374663872</v>
      </c>
      <c r="D12" s="21">
        <f t="shared" ca="1" si="5"/>
        <v>212.58023039417301</v>
      </c>
      <c r="E12" s="21">
        <f t="shared" ca="1" si="6"/>
        <v>7.5328192433456307</v>
      </c>
      <c r="F12" s="21">
        <f t="shared" ca="1" si="7"/>
        <v>0</v>
      </c>
      <c r="G12" s="21">
        <f t="shared" ca="1" si="8"/>
        <v>7.5328192433456307</v>
      </c>
      <c r="H12" s="21">
        <f t="shared" ca="1" si="14"/>
        <v>281.80857872832217</v>
      </c>
      <c r="I12" s="22">
        <f t="shared" ca="1" si="9"/>
        <v>13.5</v>
      </c>
      <c r="J12" s="1"/>
      <c r="K12" s="51"/>
      <c r="M12" s="81">
        <f t="shared" ca="1" si="0"/>
        <v>35.517364405192943</v>
      </c>
      <c r="N12" s="19">
        <f t="shared" si="10"/>
        <v>1.0655209321557884</v>
      </c>
      <c r="O12" s="17">
        <f t="shared" si="11"/>
        <v>2.75</v>
      </c>
      <c r="P12" s="19">
        <f ca="1">IF(ISERROR(IF(O12&lt;fi_h/20,0,(OFFSET('Base de dados'!$A$5,IF(O12&lt;20,1,IF(O12&gt;1000,10,MATCH(O12,Cargas,1))),Coluna_fih,1,1))*(1+0.13*0.25)*(PI()*(fi_h/1000)^2/4)*SQRT(2*9.81*(O12/100-fi_h/2/1000))*1000)),"",IF(O12&lt;fi_h/20,0,(OFFSET('Base de dados'!$A$5,IF(O12&lt;20,1,IF(O12&gt;1000,10,MATCH(O12,Cargas,1))),Coluna_fih,1,1))*(PI()*(fi_h/1000)^2/4)*SQRT(2*9.81*(O12/100-fi_h/2/1000))*1000))</f>
        <v>0</v>
      </c>
      <c r="Q12" s="19">
        <f ca="1">IF(O12="","",IF(Tipo_Vertedor="Retangular",IF(O12&lt;=cota_s*100,0,IF(Tipo_Vertedor="Retangular",Cd_sr*Lef_sr*((O12/100-cota_s)^(3/2))*1000)),IF(O12&lt;=cota_s*100+fi_s/20,0,(OFFSET('Base de dados'!$A$4,IF(O12&lt;20,1,IF(O12&gt;1000,10,MATCH(O12,Cargas,1))),Coluna_fis,1,1))*(PI()*(fi_s/1000)^2/4)*(2*9.81*(O12/100-cota_s-fi_s/2/1000))^0.5*1000)))</f>
        <v>0</v>
      </c>
      <c r="R12" s="19">
        <f t="shared" ca="1" si="1"/>
        <v>0</v>
      </c>
      <c r="S12" s="19">
        <f t="shared" ca="1" si="2"/>
        <v>35.517364405192943</v>
      </c>
      <c r="AD12" s="19">
        <f t="shared" si="12"/>
        <v>15.045188845188973</v>
      </c>
      <c r="AE12" s="19">
        <f t="shared" ca="1" si="13"/>
        <v>1.6311143485489739</v>
      </c>
      <c r="AF12" s="19">
        <f ca="1">IF(ISERROR(IF('Hidrograma afluente'!I19="",0,'Hidrograma afluente'!I19)+Simulação!G12),"",IF('Hidrograma afluente'!I19="",0,'Hidrograma afluente'!I19)+Simulação!G12)</f>
        <v>192.03386802701843</v>
      </c>
      <c r="AG12" s="17">
        <v>0.66326515690536458</v>
      </c>
      <c r="AH12" s="17">
        <v>0.66326515690536458</v>
      </c>
      <c r="AI12" s="27">
        <v>15.75</v>
      </c>
      <c r="AJ12" s="17">
        <v>15.75</v>
      </c>
      <c r="AK12" s="19">
        <f>IF(A12="","",IF('Hidrograma afluente'!I19="",0,'Hidrograma afluente'!I19)+Simulação!B12)</f>
        <v>220.32292698650366</v>
      </c>
    </row>
    <row r="13" spans="1:45" s="17" customFormat="1">
      <c r="A13" s="4">
        <f t="shared" si="3"/>
        <v>8</v>
      </c>
      <c r="B13" s="5">
        <f>IF(A13="","",IF(A13&gt;tc_lot_i+tc,0,IF('Hidrograma afluente'!B20="","",'Hidrograma afluente'!B20)))</f>
        <v>40.939289374663872</v>
      </c>
      <c r="C13" s="21">
        <f t="shared" si="4"/>
        <v>40.939289374663872</v>
      </c>
      <c r="D13" s="21">
        <f t="shared" ca="1" si="5"/>
        <v>270.94065673181365</v>
      </c>
      <c r="E13" s="21">
        <f t="shared" ca="1" si="6"/>
        <v>8.9557776531912481</v>
      </c>
      <c r="F13" s="21">
        <f t="shared" ca="1" si="7"/>
        <v>0</v>
      </c>
      <c r="G13" s="21">
        <f t="shared" ca="1" si="8"/>
        <v>8.9557776531912481</v>
      </c>
      <c r="H13" s="21">
        <f t="shared" ca="1" si="14"/>
        <v>343.86345782795013</v>
      </c>
      <c r="I13" s="22">
        <f t="shared" ca="1" si="9"/>
        <v>16.75</v>
      </c>
      <c r="J13" s="1"/>
      <c r="K13" s="51"/>
      <c r="L13" s="1"/>
      <c r="M13" s="81">
        <f t="shared" ca="1" si="0"/>
        <v>39.168485615185759</v>
      </c>
      <c r="N13" s="19">
        <f t="shared" si="10"/>
        <v>1.1750545684555727</v>
      </c>
      <c r="O13" s="17">
        <f t="shared" si="11"/>
        <v>3</v>
      </c>
      <c r="P13" s="19">
        <f ca="1">IF(ISERROR(IF(O13&lt;fi_h/20,0,(OFFSET('Base de dados'!$A$5,IF(O13&lt;20,1,IF(O13&gt;1000,10,MATCH(O13,Cargas,1))),Coluna_fih,1,1))*(1+0.13*0.25)*(PI()*(fi_h/1000)^2/4)*SQRT(2*9.81*(O13/100-fi_h/2/1000))*1000)),"",IF(O13&lt;fi_h/20,0,(OFFSET('Base de dados'!$A$5,IF(O13&lt;20,1,IF(O13&gt;1000,10,MATCH(O13,Cargas,1))),Coluna_fih,1,1))*(PI()*(fi_h/1000)^2/4)*SQRT(2*9.81*(O13/100-fi_h/2/1000))*1000))</f>
        <v>0</v>
      </c>
      <c r="Q13" s="19">
        <f ca="1">IF(O13="","",IF(Tipo_Vertedor="Retangular",IF(O13&lt;=cota_s*100,0,IF(Tipo_Vertedor="Retangular",Cd_sr*Lef_sr*((O13/100-cota_s)^(3/2))*1000)),IF(O13&lt;=cota_s*100+fi_s/20,0,(OFFSET('Base de dados'!$A$4,IF(O13&lt;20,1,IF(O13&gt;1000,10,MATCH(O13,Cargas,1))),Coluna_fis,1,1))*(PI()*(fi_s/1000)^2/4)*(2*9.81*(O13/100-cota_s-fi_s/2/1000))^0.5*1000)))</f>
        <v>0</v>
      </c>
      <c r="R13" s="19">
        <f t="shared" ca="1" si="1"/>
        <v>0</v>
      </c>
      <c r="S13" s="19">
        <f t="shared" ca="1" si="2"/>
        <v>39.168485615185759</v>
      </c>
      <c r="AD13" s="19">
        <f t="shared" si="12"/>
        <v>19.65085889983866</v>
      </c>
      <c r="AE13" s="19">
        <f t="shared" ca="1" si="13"/>
        <v>2.6204301623411865</v>
      </c>
      <c r="AF13" s="19">
        <f ca="1">IF(ISERROR(IF('Hidrograma afluente'!I20="",0,'Hidrograma afluente'!I20)+Simulação!G13),"",IF('Hidrograma afluente'!I20="",0,'Hidrograma afluente'!I20)+Simulação!G13)</f>
        <v>219.81411912024583</v>
      </c>
      <c r="AG13" s="17">
        <v>0.76513894328955523</v>
      </c>
      <c r="AH13" s="17">
        <v>0.76513894328955523</v>
      </c>
      <c r="AI13" s="17">
        <v>20.5</v>
      </c>
      <c r="AJ13" s="17">
        <v>20.5</v>
      </c>
      <c r="AK13" s="19">
        <f>IF(A13="","",IF('Hidrograma afluente'!I20="",0,'Hidrograma afluente'!I20)+Simulação!B13)</f>
        <v>251.79763084171847</v>
      </c>
    </row>
    <row r="14" spans="1:45" s="17" customFormat="1">
      <c r="A14" s="4">
        <f t="shared" si="3"/>
        <v>9</v>
      </c>
      <c r="B14" s="5">
        <f>IF(A14="","",IF(A14&gt;tc_lot_i+tc,0,IF('Hidrograma afluente'!B21="","",'Hidrograma afluente'!B21)))</f>
        <v>40.939289374663872</v>
      </c>
      <c r="C14" s="21">
        <f t="shared" si="4"/>
        <v>40.939289374663872</v>
      </c>
      <c r="D14" s="21">
        <f t="shared" ca="1" si="5"/>
        <v>330.73753588177453</v>
      </c>
      <c r="E14" s="21">
        <f t="shared" ca="1" si="6"/>
        <v>10.181774943195375</v>
      </c>
      <c r="F14" s="21">
        <f t="shared" ca="1" si="7"/>
        <v>0</v>
      </c>
      <c r="G14" s="21">
        <f t="shared" ca="1" si="8"/>
        <v>10.181774943195375</v>
      </c>
      <c r="H14" s="21">
        <f t="shared" ca="1" si="14"/>
        <v>402.43433968790691</v>
      </c>
      <c r="I14" s="22">
        <f t="shared" ca="1" si="9"/>
        <v>20</v>
      </c>
      <c r="J14" s="1"/>
      <c r="K14" s="51"/>
      <c r="L14" s="1"/>
      <c r="M14" s="81">
        <f t="shared" ca="1" si="0"/>
        <v>42.857748952934777</v>
      </c>
      <c r="N14" s="19">
        <f t="shared" si="10"/>
        <v>1.2857324685880434</v>
      </c>
      <c r="O14" s="17">
        <f t="shared" si="11"/>
        <v>3.25</v>
      </c>
      <c r="P14" s="19">
        <f ca="1">IF(ISERROR(IF(O14&lt;fi_h/20,0,(OFFSET('Base de dados'!$A$5,IF(O14&lt;20,1,IF(O14&gt;1000,10,MATCH(O14,Cargas,1))),Coluna_fih,1,1))*(1+0.13*0.25)*(PI()*(fi_h/1000)^2/4)*SQRT(2*9.81*(O14/100-fi_h/2/1000))*1000)),"",IF(O14&lt;fi_h/20,0,(OFFSET('Base de dados'!$A$5,IF(O14&lt;20,1,IF(O14&gt;1000,10,MATCH(O14,Cargas,1))),Coluna_fih,1,1))*(PI()*(fi_h/1000)^2/4)*SQRT(2*9.81*(O14/100-fi_h/2/1000))*1000))</f>
        <v>0</v>
      </c>
      <c r="Q14" s="19">
        <f ca="1">IF(O14="","",IF(Tipo_Vertedor="Retangular",IF(O14&lt;=cota_s*100,0,IF(Tipo_Vertedor="Retangular",Cd_sr*Lef_sr*((O14/100-cota_s)^(3/2))*1000)),IF(O14&lt;=cota_s*100+fi_s/20,0,(OFFSET('Base de dados'!$A$4,IF(O14&lt;20,1,IF(O14&gt;1000,10,MATCH(O14,Cargas,1))),Coluna_fis,1,1))*(PI()*(fi_s/1000)^2/4)*(2*9.81*(O14/100-cota_s-fi_s/2/1000))^0.5*1000)))</f>
        <v>0</v>
      </c>
      <c r="R14" s="19">
        <f t="shared" ca="1" si="1"/>
        <v>0</v>
      </c>
      <c r="S14" s="19">
        <f t="shared" ca="1" si="2"/>
        <v>42.857748952934777</v>
      </c>
      <c r="AD14" s="19">
        <f t="shared" si="12"/>
        <v>24.563573624798323</v>
      </c>
      <c r="AE14" s="19">
        <f t="shared" ca="1" si="13"/>
        <v>3.768683318124384</v>
      </c>
      <c r="AF14" s="19">
        <f ca="1">IF(ISERROR(IF('Hidrograma afluente'!I21="",0,'Hidrograma afluente'!I21)+Simulação!G14),"",IF('Hidrograma afluente'!I21="",0,'Hidrograma afluente'!I21)+Simulação!G14)</f>
        <v>247.39740909363178</v>
      </c>
      <c r="AG14" s="17">
        <v>0.85942615896943209</v>
      </c>
      <c r="AH14" s="17">
        <v>0.85942615896943209</v>
      </c>
      <c r="AI14" s="17">
        <v>25.5</v>
      </c>
      <c r="AJ14" s="17">
        <v>25.5</v>
      </c>
      <c r="AK14" s="19">
        <f>IF(A14="","",IF('Hidrograma afluente'!I21="",0,'Hidrograma afluente'!I21)+Simulação!B14)</f>
        <v>278.15492352510029</v>
      </c>
    </row>
    <row r="15" spans="1:45" s="17" customFormat="1">
      <c r="A15" s="4">
        <f t="shared" si="3"/>
        <v>10</v>
      </c>
      <c r="B15" s="5">
        <f>IF(A15="","",IF(A15&gt;tc_lot_i+tc,0,IF('Hidrograma afluente'!B22="","",'Hidrograma afluente'!B22)))</f>
        <v>40.939289374663872</v>
      </c>
      <c r="C15" s="21">
        <f t="shared" si="4"/>
        <v>40.939289374663872</v>
      </c>
      <c r="D15" s="21">
        <f t="shared" ca="1" si="5"/>
        <v>387.02830314048094</v>
      </c>
      <c r="E15" s="21">
        <f t="shared" ca="1" si="6"/>
        <v>11.194923589824896</v>
      </c>
      <c r="F15" s="21">
        <f t="shared" ca="1" si="7"/>
        <v>0</v>
      </c>
      <c r="G15" s="21">
        <f t="shared" ca="1" si="8"/>
        <v>11.194923589824896</v>
      </c>
      <c r="H15" s="21">
        <f t="shared" ca="1" si="14"/>
        <v>457.71195829998379</v>
      </c>
      <c r="I15" s="22">
        <f t="shared" ca="1" si="9"/>
        <v>23</v>
      </c>
      <c r="J15" s="1"/>
      <c r="K15" s="51"/>
      <c r="L15" s="1"/>
      <c r="M15" s="81">
        <f t="shared" ca="1" si="0"/>
        <v>46.582568217294885</v>
      </c>
      <c r="N15" s="19">
        <f t="shared" si="10"/>
        <v>1.3974770465188464</v>
      </c>
      <c r="O15" s="17">
        <f t="shared" si="11"/>
        <v>3.5</v>
      </c>
      <c r="P15" s="19">
        <f ca="1">IF(ISERROR(IF(O15&lt;fi_h/20,0,(OFFSET('Base de dados'!$A$5,IF(O15&lt;20,1,IF(O15&gt;1000,10,MATCH(O15,Cargas,1))),Coluna_fih,1,1))*(1+0.13*0.25)*(PI()*(fi_h/1000)^2/4)*SQRT(2*9.81*(O15/100-fi_h/2/1000))*1000)),"",IF(O15&lt;fi_h/20,0,(OFFSET('Base de dados'!$A$5,IF(O15&lt;20,1,IF(O15&gt;1000,10,MATCH(O15,Cargas,1))),Coluna_fih,1,1))*(PI()*(fi_h/1000)^2/4)*SQRT(2*9.81*(O15/100-fi_h/2/1000))*1000))</f>
        <v>0</v>
      </c>
      <c r="Q15" s="19">
        <f ca="1">IF(O15="","",IF(Tipo_Vertedor="Retangular",IF(O15&lt;=cota_s*100,0,IF(Tipo_Vertedor="Retangular",Cd_sr*Lef_sr*((O15/100-cota_s)^(3/2))*1000)),IF(O15&lt;=cota_s*100+fi_s/20,0,(OFFSET('Base de dados'!$A$4,IF(O15&lt;20,1,IF(O15&gt;1000,10,MATCH(O15,Cargas,1))),Coluna_fis,1,1))*(PI()*(fi_s/1000)^2/4)*(2*9.81*(O15/100-cota_s-fi_s/2/1000))^0.5*1000)))</f>
        <v>0</v>
      </c>
      <c r="R15" s="19">
        <f t="shared" ca="1" si="1"/>
        <v>0</v>
      </c>
      <c r="S15" s="19">
        <f t="shared" ca="1" si="2"/>
        <v>46.582568217294885</v>
      </c>
      <c r="AD15" s="19">
        <f t="shared" si="12"/>
        <v>29.476288349757986</v>
      </c>
      <c r="AE15" s="19">
        <f t="shared" ca="1" si="13"/>
        <v>5.0512852301056004</v>
      </c>
      <c r="AF15" s="19">
        <f ca="1">IF(ISERROR(IF('Hidrograma afluente'!I22="",0,'Hidrograma afluente'!I22)+Simulação!G15),"",IF('Hidrograma afluente'!I22="",0,'Hidrograma afluente'!I22)+Simulação!G15)</f>
        <v>274.76785042364315</v>
      </c>
      <c r="AG15" s="17">
        <v>0.94434582802257661</v>
      </c>
      <c r="AH15" s="17">
        <v>0.94434582802257661</v>
      </c>
      <c r="AI15" s="17">
        <v>30.5</v>
      </c>
      <c r="AJ15" s="17">
        <v>30.5</v>
      </c>
      <c r="AK15" s="19">
        <f>IF(A15="","",IF('Hidrograma afluente'!I22="",0,'Hidrograma afluente'!I22)+Simulação!B15)</f>
        <v>304.51221620848213</v>
      </c>
    </row>
    <row r="16" spans="1:45" s="17" customFormat="1">
      <c r="A16" s="4">
        <f t="shared" si="3"/>
        <v>11</v>
      </c>
      <c r="B16" s="5">
        <f>IF(A16="","",IF(A16&gt;tc_lot_i+tc,0,IF('Hidrograma afluente'!B23="","",'Hidrograma afluente'!B23)))</f>
        <v>40.939289374663872</v>
      </c>
      <c r="C16" s="21">
        <f t="shared" si="4"/>
        <v>40.939289374663872</v>
      </c>
      <c r="D16" s="21">
        <f t="shared" ca="1" si="5"/>
        <v>444.2436894721431</v>
      </c>
      <c r="E16" s="21">
        <f t="shared" ca="1" si="6"/>
        <v>12.12369940942758</v>
      </c>
      <c r="F16" s="21">
        <f t="shared" ca="1" si="7"/>
        <v>0</v>
      </c>
      <c r="G16" s="21">
        <f t="shared" ca="1" si="8"/>
        <v>12.12369940942758</v>
      </c>
      <c r="H16" s="21">
        <f t="shared" ca="1" si="14"/>
        <v>513.99856881204335</v>
      </c>
      <c r="I16" s="22">
        <f t="shared" ca="1" si="9"/>
        <v>26</v>
      </c>
      <c r="J16" s="1"/>
      <c r="K16" s="51"/>
      <c r="L16" s="1"/>
      <c r="M16" s="81">
        <f t="shared" ca="1" si="0"/>
        <v>50.340706186469035</v>
      </c>
      <c r="N16" s="19">
        <f t="shared" si="10"/>
        <v>1.510221185594071</v>
      </c>
      <c r="O16" s="17">
        <f t="shared" si="11"/>
        <v>3.75</v>
      </c>
      <c r="P16" s="19">
        <f ca="1">IF(ISERROR(IF(O16&lt;fi_h/20,0,(OFFSET('Base de dados'!$A$5,IF(O16&lt;20,1,IF(O16&gt;1000,10,MATCH(O16,Cargas,1))),Coluna_fih,1,1))*(1+0.13*0.25)*(PI()*(fi_h/1000)^2/4)*SQRT(2*9.81*(O16/100-fi_h/2/1000))*1000)),"",IF(O16&lt;fi_h/20,0,(OFFSET('Base de dados'!$A$5,IF(O16&lt;20,1,IF(O16&gt;1000,10,MATCH(O16,Cargas,1))),Coluna_fih,1,1))*(PI()*(fi_h/1000)^2/4)*SQRT(2*9.81*(O16/100-fi_h/2/1000))*1000))</f>
        <v>0</v>
      </c>
      <c r="Q16" s="19">
        <f ca="1">IF(O16="","",IF(Tipo_Vertedor="Retangular",IF(O16&lt;=cota_s*100,0,IF(Tipo_Vertedor="Retangular",Cd_sr*Lef_sr*((O16/100-cota_s)^(3/2))*1000)),IF(O16&lt;=cota_s*100+fi_s/20,0,(OFFSET('Base de dados'!$A$4,IF(O16&lt;20,1,IF(O16&gt;1000,10,MATCH(O16,Cargas,1))),Coluna_fis,1,1))*(PI()*(fi_s/1000)^2/4)*(2*9.81*(O16/100-cota_s-fi_s/2/1000))^0.5*1000)))</f>
        <v>0</v>
      </c>
      <c r="R16" s="19">
        <f t="shared" ca="1" si="1"/>
        <v>0</v>
      </c>
      <c r="S16" s="19">
        <f t="shared" ca="1" si="2"/>
        <v>50.340706186469035</v>
      </c>
      <c r="AD16" s="19">
        <f t="shared" si="12"/>
        <v>34.38900307471765</v>
      </c>
      <c r="AE16" s="19">
        <f t="shared" ca="1" si="13"/>
        <v>6.450402610060749</v>
      </c>
      <c r="AF16" s="19">
        <f ca="1">IF(ISERROR(IF('Hidrograma afluente'!I23="",0,'Hidrograma afluente'!I23)+Simulação!G16),"",IF('Hidrograma afluente'!I23="",0,'Hidrograma afluente'!I23)+Simulação!G16)</f>
        <v>302.0539189266276</v>
      </c>
      <c r="AG16" s="17">
        <v>1.0184821928130139</v>
      </c>
      <c r="AH16" s="17">
        <v>1.0184821928130139</v>
      </c>
      <c r="AI16" s="17">
        <v>35.25</v>
      </c>
      <c r="AJ16" s="17">
        <v>35.25</v>
      </c>
      <c r="AK16" s="19">
        <f>IF(A16="","",IF('Hidrograma afluente'!I23="",0,'Hidrograma afluente'!I23)+Simulação!B16)</f>
        <v>330.86950889186392</v>
      </c>
    </row>
    <row r="17" spans="1:37" s="17" customFormat="1">
      <c r="A17" s="4">
        <f t="shared" si="3"/>
        <v>12</v>
      </c>
      <c r="B17" s="5">
        <f>IF(A17="","",IF(A17&gt;tc_lot_i+tc,0,IF('Hidrograma afluente'!B24="","",'Hidrograma afluente'!B24)))</f>
        <v>40.939289374663872</v>
      </c>
      <c r="C17" s="21">
        <f t="shared" si="4"/>
        <v>40.939289374663872</v>
      </c>
      <c r="D17" s="21">
        <f t="shared" ca="1" si="5"/>
        <v>497.42229724319208</v>
      </c>
      <c r="E17" s="21">
        <f t="shared" ca="1" si="6"/>
        <v>12.916541569860977</v>
      </c>
      <c r="F17" s="21">
        <f t="shared" ca="1" si="7"/>
        <v>0</v>
      </c>
      <c r="G17" s="21">
        <f t="shared" ca="1" si="8"/>
        <v>12.916541569860977</v>
      </c>
      <c r="H17" s="21">
        <f t="shared" ca="1" si="14"/>
        <v>566.38433442265887</v>
      </c>
      <c r="I17" s="22">
        <f t="shared" ca="1" si="9"/>
        <v>28.75</v>
      </c>
      <c r="J17" s="1"/>
      <c r="K17" s="51"/>
      <c r="M17" s="81">
        <f t="shared" ca="1" si="0"/>
        <v>54.130207210107621</v>
      </c>
      <c r="N17" s="19">
        <f t="shared" si="10"/>
        <v>1.6239062163032285</v>
      </c>
      <c r="O17" s="17">
        <f t="shared" si="11"/>
        <v>4</v>
      </c>
      <c r="P17" s="19">
        <f ca="1">IF(ISERROR(IF(O17&lt;fi_h/20,0,(OFFSET('Base de dados'!$A$5,IF(O17&lt;20,1,IF(O17&gt;1000,10,MATCH(O17,Cargas,1))),Coluna_fih,1,1))*(1+0.13*0.25)*(PI()*(fi_h/1000)^2/4)*SQRT(2*9.81*(O17/100-fi_h/2/1000))*1000)),"",IF(O17&lt;fi_h/20,0,(OFFSET('Base de dados'!$A$5,IF(O17&lt;20,1,IF(O17&gt;1000,10,MATCH(O17,Cargas,1))),Coluna_fih,1,1))*(PI()*(fi_h/1000)^2/4)*SQRT(2*9.81*(O17/100-fi_h/2/1000))*1000))</f>
        <v>0</v>
      </c>
      <c r="Q17" s="19">
        <f ca="1">IF(O17="","",IF(Tipo_Vertedor="Retangular",IF(O17&lt;=cota_s*100,0,IF(Tipo_Vertedor="Retangular",Cd_sr*Lef_sr*((O17/100-cota_s)^(3/2))*1000)),IF(O17&lt;=cota_s*100+fi_s/20,0,(OFFSET('Base de dados'!$A$4,IF(O17&lt;20,1,IF(O17&gt;1000,10,MATCH(O17,Cargas,1))),Coluna_fis,1,1))*(PI()*(fi_s/1000)^2/4)*(2*9.81*(O17/100-cota_s-fi_s/2/1000))^0.5*1000)))</f>
        <v>0</v>
      </c>
      <c r="R17" s="19">
        <f t="shared" ca="1" si="1"/>
        <v>0</v>
      </c>
      <c r="S17" s="19">
        <f t="shared" ca="1" si="2"/>
        <v>54.130207210107621</v>
      </c>
      <c r="AD17" s="19">
        <f t="shared" si="12"/>
        <v>39.301717799677313</v>
      </c>
      <c r="AE17" s="19">
        <f t="shared" ca="1" si="13"/>
        <v>7.9528170688180619</v>
      </c>
      <c r="AF17" s="19">
        <f ca="1">IF(ISERROR(IF('Hidrograma afluente'!I24="",0,'Hidrograma afluente'!I24)+Simulação!G17),"",IF('Hidrograma afluente'!I24="",0,'Hidrograma afluente'!I24)+Simulação!G17)</f>
        <v>329.2040537704429</v>
      </c>
      <c r="AG17" s="17">
        <v>1.082564749323599</v>
      </c>
      <c r="AH17" s="17">
        <v>1.082564749323599</v>
      </c>
      <c r="AI17" s="17">
        <v>40</v>
      </c>
      <c r="AJ17" s="17">
        <v>40</v>
      </c>
      <c r="AK17" s="19">
        <f>IF(A17="","",IF('Hidrograma afluente'!I24="",0,'Hidrograma afluente'!I24)+Simulação!B17)</f>
        <v>357.22680157524582</v>
      </c>
    </row>
    <row r="18" spans="1:37" s="17" customFormat="1">
      <c r="A18" s="4">
        <f t="shared" si="3"/>
        <v>13</v>
      </c>
      <c r="B18" s="5">
        <f>IF(A18="","",IF(A18&gt;tc_lot_i+tc,0,IF('Hidrograma afluente'!B25="","",'Hidrograma afluente'!B25)))</f>
        <v>40.939289374663872</v>
      </c>
      <c r="C18" s="21">
        <f t="shared" si="4"/>
        <v>40.939289374663872</v>
      </c>
      <c r="D18" s="21">
        <f t="shared" ca="1" si="5"/>
        <v>551.23928199851196</v>
      </c>
      <c r="E18" s="21">
        <f t="shared" ca="1" si="6"/>
        <v>13.66345508580237</v>
      </c>
      <c r="F18" s="21">
        <f t="shared" ca="1" si="7"/>
        <v>0</v>
      </c>
      <c r="G18" s="21">
        <f t="shared" ca="1" si="8"/>
        <v>13.66345508580237</v>
      </c>
      <c r="H18" s="21">
        <f t="shared" ca="1" si="14"/>
        <v>619.45440566203729</v>
      </c>
      <c r="I18" s="22">
        <f t="shared" ca="1" si="9"/>
        <v>31.5</v>
      </c>
      <c r="J18" s="1"/>
      <c r="K18" s="51"/>
      <c r="M18" s="81">
        <f t="shared" ca="1" si="0"/>
        <v>57.949346256772081</v>
      </c>
      <c r="N18" s="19">
        <f t="shared" si="10"/>
        <v>1.7384803877031625</v>
      </c>
      <c r="O18" s="17">
        <f t="shared" si="11"/>
        <v>4.25</v>
      </c>
      <c r="P18" s="19">
        <f ca="1">IF(ISERROR(IF(O18&lt;fi_h/20,0,(OFFSET('Base de dados'!$A$5,IF(O18&lt;20,1,IF(O18&gt;1000,10,MATCH(O18,Cargas,1))),Coluna_fih,1,1))*(1+0.13*0.25)*(PI()*(fi_h/1000)^2/4)*SQRT(2*9.81*(O18/100-fi_h/2/1000))*1000)),"",IF(O18&lt;fi_h/20,0,(OFFSET('Base de dados'!$A$5,IF(O18&lt;20,1,IF(O18&gt;1000,10,MATCH(O18,Cargas,1))),Coluna_fih,1,1))*(PI()*(fi_h/1000)^2/4)*SQRT(2*9.81*(O18/100-fi_h/2/1000))*1000))</f>
        <v>0</v>
      </c>
      <c r="Q18" s="19">
        <f ca="1">IF(O18="","",IF(Tipo_Vertedor="Retangular",IF(O18&lt;=cota_s*100,0,IF(Tipo_Vertedor="Retangular",Cd_sr*Lef_sr*((O18/100-cota_s)^(3/2))*1000)),IF(O18&lt;=cota_s*100+fi_s/20,0,(OFFSET('Base de dados'!$A$4,IF(O18&lt;20,1,IF(O18&gt;1000,10,MATCH(O18,Cargas,1))),Coluna_fis,1,1))*(PI()*(fi_s/1000)^2/4)*(2*9.81*(O18/100-cota_s-fi_s/2/1000))^0.5*1000)))</f>
        <v>0</v>
      </c>
      <c r="R18" s="19">
        <f t="shared" ca="1" si="1"/>
        <v>0</v>
      </c>
      <c r="S18" s="19">
        <f t="shared" ca="1" si="2"/>
        <v>57.949346256772081</v>
      </c>
      <c r="AD18" s="19">
        <f t="shared" si="12"/>
        <v>44.214432524636976</v>
      </c>
      <c r="AE18" s="19">
        <f t="shared" ca="1" si="13"/>
        <v>9.5476168681578635</v>
      </c>
      <c r="AF18" s="19">
        <f ca="1">IF(ISERROR(IF('Hidrograma afluente'!I25="",0,'Hidrograma afluente'!I25)+Simulação!G18),"",IF('Hidrograma afluente'!I25="",0,'Hidrograma afluente'!I25)+Simulação!G18)</f>
        <v>356.30825996976608</v>
      </c>
      <c r="AG18" s="17">
        <v>1.1439129906772101</v>
      </c>
      <c r="AH18" s="17">
        <v>1.1439129906772101</v>
      </c>
      <c r="AI18" s="27">
        <v>44.5</v>
      </c>
      <c r="AJ18" s="17">
        <v>44.5</v>
      </c>
      <c r="AK18" s="19">
        <f>IF(A18="","",IF('Hidrograma afluente'!I25="",0,'Hidrograma afluente'!I25)+Simulação!B18)</f>
        <v>383.5840942586276</v>
      </c>
    </row>
    <row r="19" spans="1:37" s="17" customFormat="1">
      <c r="A19" s="4">
        <f t="shared" si="3"/>
        <v>14</v>
      </c>
      <c r="B19" s="5">
        <f>IF(A19="","",IF(A19&gt;tc_lot_i+tc,0,IF('Hidrograma afluente'!B26="","",'Hidrograma afluente'!B26)))</f>
        <v>40.939289374663872</v>
      </c>
      <c r="C19" s="21">
        <f t="shared" si="4"/>
        <v>40.939289374663872</v>
      </c>
      <c r="D19" s="21">
        <f t="shared" ca="1" si="5"/>
        <v>600.67623737957217</v>
      </c>
      <c r="E19" s="21">
        <f t="shared" ca="1" si="6"/>
        <v>14.308673914978494</v>
      </c>
      <c r="F19" s="21">
        <f t="shared" ca="1" si="7"/>
        <v>0</v>
      </c>
      <c r="G19" s="21">
        <f t="shared" ca="1" si="8"/>
        <v>14.308673914978494</v>
      </c>
      <c r="H19" s="21">
        <f t="shared" ca="1" si="14"/>
        <v>668.24614221392142</v>
      </c>
      <c r="I19" s="22">
        <f t="shared" ca="1" si="9"/>
        <v>34</v>
      </c>
      <c r="J19" s="1"/>
      <c r="K19" s="51"/>
      <c r="M19" s="81">
        <f t="shared" ca="1" si="0"/>
        <v>61.796589659723693</v>
      </c>
      <c r="N19" s="19">
        <f t="shared" si="10"/>
        <v>1.8538976897917108</v>
      </c>
      <c r="O19" s="17">
        <f t="shared" si="11"/>
        <v>4.5</v>
      </c>
      <c r="P19" s="19">
        <f ca="1">IF(ISERROR(IF(O19&lt;fi_h/20,0,(OFFSET('Base de dados'!$A$5,IF(O19&lt;20,1,IF(O19&gt;1000,10,MATCH(O19,Cargas,1))),Coluna_fih,1,1))*(1+0.13*0.25)*(PI()*(fi_h/1000)^2/4)*SQRT(2*9.81*(O19/100-fi_h/2/1000))*1000)),"",IF(O19&lt;fi_h/20,0,(OFFSET('Base de dados'!$A$5,IF(O19&lt;20,1,IF(O19&gt;1000,10,MATCH(O19,Cargas,1))),Coluna_fih,1,1))*(PI()*(fi_h/1000)^2/4)*SQRT(2*9.81*(O19/100-fi_h/2/1000))*1000))</f>
        <v>0</v>
      </c>
      <c r="Q19" s="19">
        <f ca="1">IF(O19="","",IF(Tipo_Vertedor="Retangular",IF(O19&lt;=cota_s*100,0,IF(Tipo_Vertedor="Retangular",Cd_sr*Lef_sr*((O19/100-cota_s)^(3/2))*1000)),IF(O19&lt;=cota_s*100+fi_s/20,0,(OFFSET('Base de dados'!$A$4,IF(O19&lt;20,1,IF(O19&gt;1000,10,MATCH(O19,Cargas,1))),Coluna_fis,1,1))*(PI()*(fi_s/1000)^2/4)*(2*9.81*(O19/100-cota_s-fi_s/2/1000))^0.5*1000)))</f>
        <v>0</v>
      </c>
      <c r="R19" s="19">
        <f t="shared" ca="1" si="1"/>
        <v>0</v>
      </c>
      <c r="S19" s="19">
        <f t="shared" ca="1" si="2"/>
        <v>61.796589659723693</v>
      </c>
      <c r="AD19" s="19">
        <f t="shared" si="12"/>
        <v>49.127147249596639</v>
      </c>
      <c r="AE19" s="19">
        <f t="shared" ca="1" si="13"/>
        <v>11.225944608204715</v>
      </c>
      <c r="AF19" s="19">
        <f ca="1">IF(ISERROR(IF('Hidrograma afluente'!I26="",0,'Hidrograma afluente'!I26)+Simulação!G19),"",IF('Hidrograma afluente'!I26="",0,'Hidrograma afluente'!I26)+Simulação!G19)</f>
        <v>383.31077148232407</v>
      </c>
      <c r="AG19" s="17">
        <v>1.2021345282463571</v>
      </c>
      <c r="AH19" s="17">
        <v>1.2021345282463571</v>
      </c>
      <c r="AI19" s="27">
        <v>49</v>
      </c>
      <c r="AJ19" s="17">
        <v>49</v>
      </c>
      <c r="AK19" s="19">
        <f>IF(A19="","",IF('Hidrograma afluente'!I26="",0,'Hidrograma afluente'!I26)+Simulação!B19)</f>
        <v>409.94138694200944</v>
      </c>
    </row>
    <row r="20" spans="1:37" s="17" customFormat="1">
      <c r="A20" s="4">
        <f t="shared" si="3"/>
        <v>15</v>
      </c>
      <c r="B20" s="5">
        <f>IF(A20="","",IF(A20&gt;tc_lot_i+tc,0,IF('Hidrograma afluente'!B27="","",'Hidrograma afluente'!B27)))</f>
        <v>40.939289374663872</v>
      </c>
      <c r="C20" s="21">
        <f t="shared" si="4"/>
        <v>40.939289374663872</v>
      </c>
      <c r="D20" s="21">
        <f t="shared" ca="1" si="5"/>
        <v>650.56849683989446</v>
      </c>
      <c r="E20" s="21">
        <f t="shared" ca="1" si="6"/>
        <v>14.926027386033876</v>
      </c>
      <c r="F20" s="21">
        <f t="shared" ca="1" si="7"/>
        <v>0</v>
      </c>
      <c r="G20" s="21">
        <f t="shared" ca="1" si="8"/>
        <v>14.926027386033876</v>
      </c>
      <c r="H20" s="21">
        <f t="shared" ca="1" si="14"/>
        <v>717.52104820318834</v>
      </c>
      <c r="I20" s="22">
        <f t="shared" ca="1" si="9"/>
        <v>36.5</v>
      </c>
      <c r="J20" s="1"/>
      <c r="K20" s="51"/>
      <c r="M20" s="81">
        <f t="shared" ca="1" si="0"/>
        <v>65.670564369360946</v>
      </c>
      <c r="N20" s="19">
        <f t="shared" si="10"/>
        <v>1.9701169310808284</v>
      </c>
      <c r="O20" s="17">
        <f t="shared" si="11"/>
        <v>4.75</v>
      </c>
      <c r="P20" s="19">
        <f ca="1">IF(ISERROR(IF(O20&lt;fi_h/20,0,(OFFSET('Base de dados'!$A$5,IF(O20&lt;20,1,IF(O20&gt;1000,10,MATCH(O20,Cargas,1))),Coluna_fih,1,1))*(1+0.13*0.25)*(PI()*(fi_h/1000)^2/4)*SQRT(2*9.81*(O20/100-fi_h/2/1000))*1000)),"",IF(O20&lt;fi_h/20,0,(OFFSET('Base de dados'!$A$5,IF(O20&lt;20,1,IF(O20&gt;1000,10,MATCH(O20,Cargas,1))),Coluna_fih,1,1))*(PI()*(fi_h/1000)^2/4)*SQRT(2*9.81*(O20/100-fi_h/2/1000))*1000))</f>
        <v>0</v>
      </c>
      <c r="Q20" s="19">
        <f ca="1">IF(O20="","",IF(Tipo_Vertedor="Retangular",IF(O20&lt;=cota_s*100,0,IF(Tipo_Vertedor="Retangular",Cd_sr*Lef_sr*((O20/100-cota_s)^(3/2))*1000)),IF(O20&lt;=cota_s*100+fi_s/20,0,(OFFSET('Base de dados'!$A$4,IF(O20&lt;20,1,IF(O20&gt;1000,10,MATCH(O20,Cargas,1))),Coluna_fis,1,1))*(PI()*(fi_s/1000)^2/4)*(2*9.81*(O20/100-cota_s-fi_s/2/1000))^0.5*1000)))</f>
        <v>0</v>
      </c>
      <c r="R20" s="19">
        <f t="shared" ca="1" si="1"/>
        <v>0</v>
      </c>
      <c r="S20" s="19">
        <f t="shared" ca="1" si="2"/>
        <v>65.670564369360946</v>
      </c>
      <c r="AD20" s="19">
        <f t="shared" si="12"/>
        <v>54.039861974556302</v>
      </c>
      <c r="AE20" s="19">
        <f t="shared" ca="1" si="13"/>
        <v>12.980026686265457</v>
      </c>
      <c r="AF20" s="19">
        <f ca="1">IF(ISERROR(IF('Hidrograma afluente'!I27="",0,'Hidrograma afluente'!I27)+Simulação!G20),"",IF('Hidrograma afluente'!I27="",0,'Hidrograma afluente'!I27)+Simulação!G20)</f>
        <v>410.28541763676122</v>
      </c>
      <c r="AG20" s="17">
        <v>1.2576636743438621</v>
      </c>
      <c r="AH20" s="17">
        <v>1.2576636743438621</v>
      </c>
      <c r="AI20" s="27">
        <v>53.5</v>
      </c>
      <c r="AJ20" s="17">
        <v>53.5</v>
      </c>
      <c r="AK20" s="19">
        <f>IF(A20="","",IF('Hidrograma afluente'!I27="",0,'Hidrograma afluente'!I27)+Simulação!B20)</f>
        <v>436.29867962539123</v>
      </c>
    </row>
    <row r="21" spans="1:37" s="17" customFormat="1">
      <c r="A21" s="4">
        <f t="shared" si="3"/>
        <v>16</v>
      </c>
      <c r="B21" s="5">
        <f>IF(A21="","",IF(A21&gt;tc_lot_i+tc,0,IF('Hidrograma afluente'!B28="","",'Hidrograma afluente'!B28)))</f>
        <v>40.939289374663872</v>
      </c>
      <c r="C21" s="21">
        <f t="shared" si="4"/>
        <v>40.939289374663872</v>
      </c>
      <c r="D21" s="21">
        <f t="shared" ca="1" si="5"/>
        <v>700.88859847540823</v>
      </c>
      <c r="E21" s="21">
        <f t="shared" ca="1" si="6"/>
        <v>15.518841382399671</v>
      </c>
      <c r="F21" s="21">
        <f t="shared" ca="1" si="7"/>
        <v>0</v>
      </c>
      <c r="G21" s="21">
        <f t="shared" ca="1" si="8"/>
        <v>15.518841382399671</v>
      </c>
      <c r="H21" s="21">
        <f t="shared" ca="1" si="14"/>
        <v>767.24833584233625</v>
      </c>
      <c r="I21" s="22">
        <f t="shared" ca="1" si="9"/>
        <v>39</v>
      </c>
      <c r="J21" s="1"/>
      <c r="K21" s="51"/>
      <c r="M21" s="81">
        <f t="shared" ca="1" si="0"/>
        <v>69.570033514909269</v>
      </c>
      <c r="N21" s="19">
        <f t="shared" si="10"/>
        <v>2.0871010054472783</v>
      </c>
      <c r="O21" s="17">
        <f t="shared" si="11"/>
        <v>5</v>
      </c>
      <c r="P21" s="19">
        <f ca="1">IF(ISERROR(IF(O21&lt;fi_h/20,0,(OFFSET('Base de dados'!$A$5,IF(O21&lt;20,1,IF(O21&gt;1000,10,MATCH(O21,Cargas,1))),Coluna_fih,1,1))*(1+0.13*0.25)*(PI()*(fi_h/1000)^2/4)*SQRT(2*9.81*(O21/100-fi_h/2/1000))*1000)),"",IF(O21&lt;fi_h/20,0,(OFFSET('Base de dados'!$A$5,IF(O21&lt;20,1,IF(O21&gt;1000,10,MATCH(O21,Cargas,1))),Coluna_fih,1,1))*(PI()*(fi_h/1000)^2/4)*SQRT(2*9.81*(O21/100-fi_h/2/1000))*1000))</f>
        <v>0</v>
      </c>
      <c r="Q21" s="19">
        <f ca="1">IF(O21="","",IF(Tipo_Vertedor="Retangular",IF(O21&lt;=cota_s*100,0,IF(Tipo_Vertedor="Retangular",Cd_sr*Lef_sr*((O21/100-cota_s)^(3/2))*1000)),IF(O21&lt;=cota_s*100+fi_s/20,0,(OFFSET('Base de dados'!$A$4,IF(O21&lt;20,1,IF(O21&gt;1000,10,MATCH(O21,Cargas,1))),Coluna_fis,1,1))*(PI()*(fi_s/1000)^2/4)*(2*9.81*(O21/100-cota_s-fi_s/2/1000))^0.5*1000)))</f>
        <v>0</v>
      </c>
      <c r="R21" s="19">
        <f t="shared" ca="1" si="1"/>
        <v>0</v>
      </c>
      <c r="S21" s="19">
        <f t="shared" ca="1" si="2"/>
        <v>69.570033514909269</v>
      </c>
      <c r="AD21" s="19">
        <f t="shared" si="12"/>
        <v>58.952576699515966</v>
      </c>
      <c r="AE21" s="19">
        <f t="shared" ca="1" si="13"/>
        <v>14.80671881237147</v>
      </c>
      <c r="AF21" s="19">
        <f ca="1">IF(ISERROR(IF('Hidrograma afluente'!I28="",0,'Hidrograma afluente'!I28)+Simulação!G21),"",IF('Hidrograma afluente'!I28="",0,'Hidrograma afluente'!I28)+Simulação!G21)</f>
        <v>437.23552431650887</v>
      </c>
      <c r="AG21" s="17">
        <v>1.3079449723751992</v>
      </c>
      <c r="AH21" s="17">
        <v>1.3079449723751992</v>
      </c>
      <c r="AI21" s="27">
        <v>57.75</v>
      </c>
      <c r="AJ21" s="17">
        <v>57.75</v>
      </c>
      <c r="AK21" s="19">
        <f>IF(A21="","",IF('Hidrograma afluente'!I28="",0,'Hidrograma afluente'!I28)+Simulação!B21)</f>
        <v>462.65597230877307</v>
      </c>
    </row>
    <row r="22" spans="1:37" s="17" customFormat="1">
      <c r="A22" s="4">
        <f t="shared" si="3"/>
        <v>17</v>
      </c>
      <c r="B22" s="5">
        <f>IF(A22="","",IF(A22&gt;tc_lot_i+tc,0,IF('Hidrograma afluente'!B29="","",'Hidrograma afluente'!B29)))</f>
        <v>40.939289374663872</v>
      </c>
      <c r="C22" s="21">
        <f t="shared" si="4"/>
        <v>40.939289374663872</v>
      </c>
      <c r="D22" s="21">
        <f t="shared" ca="1" si="5"/>
        <v>746.52248463253807</v>
      </c>
      <c r="E22" s="21">
        <f t="shared" ca="1" si="6"/>
        <v>16.060059439135358</v>
      </c>
      <c r="F22" s="21">
        <f t="shared" ca="1" si="7"/>
        <v>0</v>
      </c>
      <c r="G22" s="21">
        <f t="shared" ca="1" si="8"/>
        <v>16.060059439135358</v>
      </c>
      <c r="H22" s="21">
        <f t="shared" ca="1" si="14"/>
        <v>812.34100394273048</v>
      </c>
      <c r="I22" s="22">
        <f t="shared" ca="1" si="9"/>
        <v>41.25</v>
      </c>
      <c r="J22" s="1"/>
      <c r="K22" s="51"/>
      <c r="M22" s="81">
        <f t="shared" ca="1" si="0"/>
        <v>73.493876727881386</v>
      </c>
      <c r="N22" s="19">
        <f t="shared" si="10"/>
        <v>2.2048163018364417</v>
      </c>
      <c r="O22" s="17">
        <f t="shared" si="11"/>
        <v>5.25</v>
      </c>
      <c r="P22" s="19">
        <f ca="1">IF(ISERROR(IF(O22&lt;fi_h/20,0,(OFFSET('Base de dados'!$A$5,IF(O22&lt;20,1,IF(O22&gt;1000,10,MATCH(O22,Cargas,1))),Coluna_fih,1,1))*(1+0.13*0.25)*(PI()*(fi_h/1000)^2/4)*SQRT(2*9.81*(O22/100-fi_h/2/1000))*1000)),"",IF(O22&lt;fi_h/20,0,(OFFSET('Base de dados'!$A$5,IF(O22&lt;20,1,IF(O22&gt;1000,10,MATCH(O22,Cargas,1))),Coluna_fih,1,1))*(PI()*(fi_h/1000)^2/4)*SQRT(2*9.81*(O22/100-fi_h/2/1000))*1000))</f>
        <v>0</v>
      </c>
      <c r="Q22" s="19">
        <f ca="1">IF(O22="","",IF(Tipo_Vertedor="Retangular",IF(O22&lt;=cota_s*100,0,IF(Tipo_Vertedor="Retangular",Cd_sr*Lef_sr*((O22/100-cota_s)^(3/2))*1000)),IF(O22&lt;=cota_s*100+fi_s/20,0,(OFFSET('Base de dados'!$A$4,IF(O22&lt;20,1,IF(O22&gt;1000,10,MATCH(O22,Cargas,1))),Coluna_fis,1,1))*(PI()*(fi_s/1000)^2/4)*(2*9.81*(O22/100-cota_s-fi_s/2/1000))^0.5*1000)))</f>
        <v>0</v>
      </c>
      <c r="R22" s="19">
        <f t="shared" ca="1" si="1"/>
        <v>0</v>
      </c>
      <c r="S22" s="19">
        <f t="shared" ca="1" si="2"/>
        <v>73.493876727881386</v>
      </c>
      <c r="AD22" s="19">
        <f t="shared" si="12"/>
        <v>63.865291424475629</v>
      </c>
      <c r="AE22" s="19">
        <f t="shared" ca="1" si="13"/>
        <v>16.701452861663572</v>
      </c>
      <c r="AF22" s="19">
        <f ca="1">IF(ISERROR(IF('Hidrograma afluente'!I29="",0,'Hidrograma afluente'!I29)+Simulação!G22),"",IF('Hidrograma afluente'!I29="",0,'Hidrograma afluente'!I29)+Simulação!G22)</f>
        <v>464.13403505662643</v>
      </c>
      <c r="AG22" s="17">
        <v>1.3500841272771666</v>
      </c>
      <c r="AH22" s="17">
        <v>1.3500841272771666</v>
      </c>
      <c r="AI22" s="27">
        <v>62</v>
      </c>
      <c r="AJ22" s="17">
        <v>62</v>
      </c>
      <c r="AK22" s="19">
        <f>IF(A22="","",IF('Hidrograma afluente'!I29="",0,'Hidrograma afluente'!I29)+Simulação!B22)</f>
        <v>489.01326499215492</v>
      </c>
    </row>
    <row r="23" spans="1:37" s="17" customFormat="1">
      <c r="A23" s="4">
        <f t="shared" si="3"/>
        <v>18</v>
      </c>
      <c r="B23" s="5">
        <f>IF(A23="","",IF(A23&gt;tc_lot_i+tc,0,IF('Hidrograma afluente'!B30="","",'Hidrograma afluente'!B30)))</f>
        <v>40.939289374663872</v>
      </c>
      <c r="C23" s="21">
        <f t="shared" si="4"/>
        <v>40.939289374663872</v>
      </c>
      <c r="D23" s="21">
        <f t="shared" ca="1" si="5"/>
        <v>792.46765285063736</v>
      </c>
      <c r="E23" s="21">
        <f t="shared" ca="1" si="6"/>
        <v>16.559661928854325</v>
      </c>
      <c r="F23" s="21">
        <f t="shared" ca="1" si="7"/>
        <v>0</v>
      </c>
      <c r="G23" s="21">
        <f t="shared" ca="1" si="8"/>
        <v>16.559661928854325</v>
      </c>
      <c r="H23" s="21">
        <f t="shared" ca="1" si="14"/>
        <v>857.78656967111078</v>
      </c>
      <c r="I23" s="22">
        <f t="shared" ca="1" si="9"/>
        <v>43.5</v>
      </c>
      <c r="J23" s="1"/>
      <c r="K23" s="51"/>
      <c r="M23" s="81">
        <f t="shared" ca="1" si="0"/>
        <v>77.441074115498651</v>
      </c>
      <c r="N23" s="19">
        <f t="shared" si="10"/>
        <v>2.3232322234649594</v>
      </c>
      <c r="O23" s="17">
        <f t="shared" si="11"/>
        <v>5.5</v>
      </c>
      <c r="P23" s="19">
        <f ca="1">IF(ISERROR(IF(O23&lt;fi_h/20,0,(OFFSET('Base de dados'!$A$5,IF(O23&lt;20,1,IF(O23&gt;1000,10,MATCH(O23,Cargas,1))),Coluna_fih,1,1))*(1+0.13*0.25)*(PI()*(fi_h/1000)^2/4)*SQRT(2*9.81*(O23/100-fi_h/2/1000))*1000)),"",IF(O23&lt;fi_h/20,0,(OFFSET('Base de dados'!$A$5,IF(O23&lt;20,1,IF(O23&gt;1000,10,MATCH(O23,Cargas,1))),Coluna_fih,1,1))*(PI()*(fi_h/1000)^2/4)*SQRT(2*9.81*(O23/100-fi_h/2/1000))*1000))</f>
        <v>0</v>
      </c>
      <c r="Q23" s="19">
        <f ca="1">IF(O23="","",IF(Tipo_Vertedor="Retangular",IF(O23&lt;=cota_s*100,0,IF(Tipo_Vertedor="Retangular",Cd_sr*Lef_sr*((O23/100-cota_s)^(3/2))*1000)),IF(O23&lt;=cota_s*100+fi_s/20,0,(OFFSET('Base de dados'!$A$4,IF(O23&lt;20,1,IF(O23&gt;1000,10,MATCH(O23,Cargas,1))),Coluna_fis,1,1))*(PI()*(fi_s/1000)^2/4)*(2*9.81*(O23/100-cota_s-fi_s/2/1000))^0.5*1000)))</f>
        <v>0</v>
      </c>
      <c r="R23" s="19">
        <f t="shared" ca="1" si="1"/>
        <v>0</v>
      </c>
      <c r="S23" s="19">
        <f t="shared" ca="1" si="2"/>
        <v>77.441074115498651</v>
      </c>
      <c r="AD23" s="19">
        <f t="shared" si="12"/>
        <v>68.778006149435299</v>
      </c>
      <c r="AE23" s="19">
        <f t="shared" ca="1" si="13"/>
        <v>18.658636143742953</v>
      </c>
      <c r="AF23" s="19">
        <f ca="1">IF(ISERROR(IF('Hidrograma afluente'!I30="",0,'Hidrograma afluente'!I30)+Simulação!G23),"",IF('Hidrograma afluente'!I30="",0,'Hidrograma afluente'!I30)+Simulação!G23)</f>
        <v>490.99093022972716</v>
      </c>
      <c r="AG23" s="17">
        <v>1.3966164772378267</v>
      </c>
      <c r="AH23" s="17">
        <v>1.3966164772378267</v>
      </c>
      <c r="AI23" s="27">
        <v>66.25</v>
      </c>
      <c r="AJ23" s="17">
        <v>66.25</v>
      </c>
      <c r="AK23" s="19">
        <f>IF(A23="","",IF('Hidrograma afluente'!I30="",0,'Hidrograma afluente'!I30)+Simulação!B23)</f>
        <v>515.3705576755367</v>
      </c>
    </row>
    <row r="24" spans="1:37" s="17" customFormat="1">
      <c r="A24" s="4">
        <f t="shared" si="3"/>
        <v>19</v>
      </c>
      <c r="B24" s="5">
        <f>IF(A24="","",IF(A24&gt;tc_lot_i+tc,0,IF('Hidrograma afluente'!B31="","",'Hidrograma afluente'!B31)))</f>
        <v>40.939289374663872</v>
      </c>
      <c r="C24" s="21">
        <f t="shared" si="4"/>
        <v>40.939289374663872</v>
      </c>
      <c r="D24" s="21">
        <f t="shared" ca="1" si="5"/>
        <v>838.70994955532865</v>
      </c>
      <c r="E24" s="21">
        <f t="shared" ca="1" si="6"/>
        <v>17.044626637369745</v>
      </c>
      <c r="F24" s="21">
        <f t="shared" ca="1" si="7"/>
        <v>0</v>
      </c>
      <c r="G24" s="21">
        <f t="shared" ca="1" si="8"/>
        <v>17.044626637369745</v>
      </c>
      <c r="H24" s="21">
        <f t="shared" ca="1" si="14"/>
        <v>903.5439016672866</v>
      </c>
      <c r="I24" s="22">
        <f t="shared" ca="1" si="9"/>
        <v>45.75</v>
      </c>
      <c r="J24" s="1"/>
      <c r="K24" s="51"/>
      <c r="M24" s="81">
        <f t="shared" ca="1" si="0"/>
        <v>82.301826254132237</v>
      </c>
      <c r="N24" s="19">
        <f t="shared" si="10"/>
        <v>2.4423207921274366</v>
      </c>
      <c r="O24" s="17">
        <f t="shared" si="11"/>
        <v>5.75</v>
      </c>
      <c r="P24" s="19">
        <f ca="1">IF(ISERROR(IF(O24&lt;fi_h/20,0,(OFFSET('Base de dados'!$A$5,IF(O24&lt;20,1,IF(O24&gt;1000,10,MATCH(O24,Cargas,1))),Coluna_fih,1,1))*(1+0.13*0.25)*(PI()*(fi_h/1000)^2/4)*SQRT(2*9.81*(O24/100-fi_h/2/1000))*1000)),"",IF(O24&lt;fi_h/20,0,(OFFSET('Base de dados'!$A$5,IF(O24&lt;20,1,IF(O24&gt;1000,10,MATCH(O24,Cargas,1))),Coluna_fih,1,1))*(PI()*(fi_h/1000)^2/4)*SQRT(2*9.81*(O24/100-fi_h/2/1000))*1000))</f>
        <v>0.89113318321768431</v>
      </c>
      <c r="Q24" s="19">
        <f ca="1">IF(O24="","",IF(Tipo_Vertedor="Retangular",IF(O24&lt;=cota_s*100,0,IF(Tipo_Vertedor="Retangular",Cd_sr*Lef_sr*((O24/100-cota_s)^(3/2))*1000)),IF(O24&lt;=cota_s*100+fi_s/20,0,(OFFSET('Base de dados'!$A$4,IF(O24&lt;20,1,IF(O24&gt;1000,10,MATCH(O24,Cargas,1))),Coluna_fis,1,1))*(PI()*(fi_s/1000)^2/4)*(2*9.81*(O24/100-cota_s-fi_s/2/1000))^0.5*1000)))</f>
        <v>0</v>
      </c>
      <c r="R24" s="19">
        <f t="shared" ca="1" si="1"/>
        <v>0.89113318321768431</v>
      </c>
      <c r="S24" s="19">
        <f t="shared" ca="1" si="2"/>
        <v>81.410693070914547</v>
      </c>
      <c r="AD24" s="19">
        <f t="shared" si="12"/>
        <v>73.69072087439497</v>
      </c>
      <c r="AE24" s="19">
        <f t="shared" ca="1" si="13"/>
        <v>20.674893457716397</v>
      </c>
      <c r="AF24" s="19">
        <f ca="1">IF(ISERROR(IF('Hidrograma afluente'!I31="",0,'Hidrograma afluente'!I31)+Simulação!G24),"",IF('Hidrograma afluente'!I31="",0,'Hidrograma afluente'!I31)+Simulação!G24)</f>
        <v>517.83318762162446</v>
      </c>
      <c r="AG24" s="17">
        <v>1.4390377887494317</v>
      </c>
      <c r="AH24" s="17">
        <v>1.4390377887494317</v>
      </c>
      <c r="AI24" s="27">
        <v>70.25</v>
      </c>
      <c r="AJ24" s="17">
        <v>70.25</v>
      </c>
      <c r="AK24" s="19">
        <f>IF(A24="","",IF('Hidrograma afluente'!I31="",0,'Hidrograma afluente'!I31)+Simulação!B24)</f>
        <v>541.72785035891854</v>
      </c>
    </row>
    <row r="25" spans="1:37" s="17" customFormat="1">
      <c r="A25" s="4">
        <f t="shared" si="3"/>
        <v>20</v>
      </c>
      <c r="B25" s="5">
        <f>IF(A25="","",IF(A25&gt;tc_lot_i+tc,0,IF('Hidrograma afluente'!B32="","",'Hidrograma afluente'!B32)))</f>
        <v>40.939289374663872</v>
      </c>
      <c r="C25" s="21">
        <f t="shared" si="4"/>
        <v>40.939289374663872</v>
      </c>
      <c r="D25" s="21">
        <f t="shared" ca="1" si="5"/>
        <v>885.23653233256846</v>
      </c>
      <c r="E25" s="21">
        <f t="shared" ca="1" si="6"/>
        <v>17.516169421900464</v>
      </c>
      <c r="F25" s="21">
        <f t="shared" ca="1" si="7"/>
        <v>0</v>
      </c>
      <c r="G25" s="21">
        <f t="shared" ca="1" si="8"/>
        <v>17.516169421900464</v>
      </c>
      <c r="H25" s="21">
        <f t="shared" ca="1" si="14"/>
        <v>949.59894165999572</v>
      </c>
      <c r="I25" s="22">
        <f t="shared" ca="1" si="9"/>
        <v>48</v>
      </c>
      <c r="J25" s="1"/>
      <c r="K25" s="51"/>
      <c r="M25" s="82">
        <f t="shared" ca="1" si="0"/>
        <v>87.013997901548265</v>
      </c>
      <c r="N25" s="19">
        <f t="shared" si="10"/>
        <v>2.5620563194778794</v>
      </c>
      <c r="O25" s="17">
        <f t="shared" si="11"/>
        <v>6</v>
      </c>
      <c r="P25" s="19">
        <f ca="1">IF(ISERROR(IF(O25&lt;fi_h/20,0,(OFFSET('Base de dados'!$A$5,IF(O25&lt;20,1,IF(O25&gt;1000,10,MATCH(O25,Cargas,1))),Coluna_fih,1,1))*(1+0.13*0.25)*(PI()*(fi_h/1000)^2/4)*SQRT(2*9.81*(O25/100-fi_h/2/1000))*1000)),"",IF(O25&lt;fi_h/20,0,(OFFSET('Base de dados'!$A$5,IF(O25&lt;20,1,IF(O25&gt;1000,10,MATCH(O25,Cargas,1))),Coluna_fih,1,1))*(PI()*(fi_h/1000)^2/4)*SQRT(2*9.81*(O25/100-fi_h/2/1000))*1000))</f>
        <v>1.6121205856189567</v>
      </c>
      <c r="Q25" s="19">
        <f ca="1">IF(O25="","",IF(Tipo_Vertedor="Retangular",IF(O25&lt;=cota_s*100,0,IF(Tipo_Vertedor="Retangular",Cd_sr*Lef_sr*((O25/100-cota_s)^(3/2))*1000)),IF(O25&lt;=cota_s*100+fi_s/20,0,(OFFSET('Base de dados'!$A$4,IF(O25&lt;20,1,IF(O25&gt;1000,10,MATCH(O25,Cargas,1))),Coluna_fis,1,1))*(PI()*(fi_s/1000)^2/4)*(2*9.81*(O25/100-cota_s-fi_s/2/1000))^0.5*1000)))</f>
        <v>0</v>
      </c>
      <c r="R25" s="19">
        <f t="shared" ca="1" si="1"/>
        <v>1.6121205856189567</v>
      </c>
      <c r="S25" s="19">
        <f t="shared" ca="1" si="2"/>
        <v>85.401877315929312</v>
      </c>
      <c r="AD25" s="19">
        <f t="shared" si="12"/>
        <v>78.60343559935464</v>
      </c>
      <c r="AE25" s="19">
        <f t="shared" ca="1" si="13"/>
        <v>22.74854122127261</v>
      </c>
      <c r="AF25" s="19">
        <f ca="1">IF(ISERROR(IF('Hidrograma afluente'!I32="",0,'Hidrograma afluente'!I32)+Simulação!G25),"",IF('Hidrograma afluente'!I32="",0,'Hidrograma afluente'!I32)+Simulação!G25)</f>
        <v>544.662023089537</v>
      </c>
      <c r="AG25" s="17">
        <v>1.480243875314305</v>
      </c>
      <c r="AH25" s="17">
        <v>1.480243875314305</v>
      </c>
      <c r="AI25" s="27">
        <v>74.25</v>
      </c>
      <c r="AJ25" s="17">
        <v>74.25</v>
      </c>
      <c r="AK25" s="19">
        <f>IF(A25="","",IF('Hidrograma afluente'!I32="",0,'Hidrograma afluente'!I32)+Simulação!B25)</f>
        <v>568.08514304230039</v>
      </c>
    </row>
    <row r="26" spans="1:37" s="17" customFormat="1">
      <c r="A26" s="4">
        <f t="shared" si="3"/>
        <v>21</v>
      </c>
      <c r="B26" s="5">
        <f>IF(A26="","",IF(A26&gt;tc_lot_i+tc,0,IF('Hidrograma afluente'!B33="","",'Hidrograma afluente'!B33)))</f>
        <v>40.939289374663872</v>
      </c>
      <c r="C26" s="21">
        <f t="shared" si="4"/>
        <v>40.939289374663872</v>
      </c>
      <c r="D26" s="21">
        <f t="shared" ca="1" si="5"/>
        <v>926.82266636244321</v>
      </c>
      <c r="E26" s="21">
        <f t="shared" ca="1" si="6"/>
        <v>17.924907788467554</v>
      </c>
      <c r="F26" s="21">
        <f t="shared" ca="1" si="7"/>
        <v>0</v>
      </c>
      <c r="G26" s="21">
        <f t="shared" ca="1" si="8"/>
        <v>17.924907788467554</v>
      </c>
      <c r="H26" s="21">
        <f t="shared" ca="1" si="14"/>
        <v>990.77633732330344</v>
      </c>
      <c r="I26" s="22">
        <f t="shared" ca="1" si="9"/>
        <v>50</v>
      </c>
      <c r="J26" s="1"/>
      <c r="K26" s="51"/>
      <c r="M26" s="81">
        <f t="shared" ca="1" si="0"/>
        <v>91.512348434132761</v>
      </c>
      <c r="N26" s="19">
        <f t="shared" si="10"/>
        <v>2.6824151316172182</v>
      </c>
      <c r="O26" s="17">
        <f t="shared" si="11"/>
        <v>6.25</v>
      </c>
      <c r="P26" s="19">
        <f ca="1">IF(ISERROR(IF(O26&lt;fi_h/20,0,(OFFSET('Base de dados'!$A$5,IF(O26&lt;20,1,IF(O26&gt;1000,10,MATCH(O26,Cargas,1))),Coluna_fih,1,1))*(1+0.13*0.25)*(PI()*(fi_h/1000)^2/4)*SQRT(2*9.81*(O26/100-fi_h/2/1000))*1000)),"",IF(O26&lt;fi_h/20,0,(OFFSET('Base de dados'!$A$5,IF(O26&lt;20,1,IF(O26&gt;1000,10,MATCH(O26,Cargas,1))),Coluna_fih,1,1))*(PI()*(fi_h/1000)^2/4)*SQRT(2*9.81*(O26/100-fi_h/2/1000))*1000))</f>
        <v>2.0985107135588175</v>
      </c>
      <c r="Q26" s="19">
        <f ca="1">IF(O26="","",IF(Tipo_Vertedor="Retangular",IF(O26&lt;=cota_s*100,0,IF(Tipo_Vertedor="Retangular",Cd_sr*Lef_sr*((O26/100-cota_s)^(3/2))*1000)),IF(O26&lt;=cota_s*100+fi_s/20,0,(OFFSET('Base de dados'!$A$4,IF(O26&lt;20,1,IF(O26&gt;1000,10,MATCH(O26,Cargas,1))),Coluna_fis,1,1))*(PI()*(fi_s/1000)^2/4)*(2*9.81*(O26/100-cota_s-fi_s/2/1000))^0.5*1000)))</f>
        <v>0</v>
      </c>
      <c r="R26" s="19">
        <f t="shared" ca="1" si="1"/>
        <v>2.0985107135588175</v>
      </c>
      <c r="S26" s="19">
        <f t="shared" ca="1" si="2"/>
        <v>89.413837720573937</v>
      </c>
      <c r="AD26" s="19">
        <f t="shared" si="12"/>
        <v>83.51615032431431</v>
      </c>
      <c r="AE26" s="19">
        <f t="shared" ca="1" si="13"/>
        <v>24.875005853894692</v>
      </c>
      <c r="AF26" s="19">
        <f ca="1">IF(ISERROR(IF('Hidrograma afluente'!I33="",0,'Hidrograma afluente'!I33)+Simulação!G26),"",IF('Hidrograma afluente'!I33="",0,'Hidrograma afluente'!I33)+Simulação!G26)</f>
        <v>571.42805413948588</v>
      </c>
      <c r="AG26" s="17">
        <v>1.520333550035047</v>
      </c>
      <c r="AH26" s="17">
        <v>1.520333550035047</v>
      </c>
      <c r="AI26" s="27">
        <v>78.25</v>
      </c>
      <c r="AJ26" s="17">
        <v>78.25</v>
      </c>
      <c r="AK26" s="19">
        <f>IF(A26="","",IF('Hidrograma afluente'!I33="",0,'Hidrograma afluente'!I33)+Simulação!B26)</f>
        <v>594.44243572568223</v>
      </c>
    </row>
    <row r="27" spans="1:37" s="17" customFormat="1">
      <c r="A27" s="4">
        <f t="shared" si="3"/>
        <v>22</v>
      </c>
      <c r="B27" s="5">
        <f>IF(A27="","",IF(A27&gt;tc_lot_i+tc,0,IF('Hidrograma afluente'!B34="","",'Hidrograma afluente'!B34)))</f>
        <v>40.939289374663872</v>
      </c>
      <c r="C27" s="21">
        <f t="shared" si="4"/>
        <v>40.939289374663872</v>
      </c>
      <c r="D27" s="21">
        <f t="shared" ca="1" si="5"/>
        <v>968.61659241598522</v>
      </c>
      <c r="E27" s="21">
        <f t="shared" ca="1" si="6"/>
        <v>18.324531296418154</v>
      </c>
      <c r="F27" s="21">
        <f t="shared" ca="1" si="7"/>
        <v>0</v>
      </c>
      <c r="G27" s="21">
        <f t="shared" ca="1" si="8"/>
        <v>18.324531296418154</v>
      </c>
      <c r="H27" s="21">
        <f t="shared" ca="1" si="14"/>
        <v>1032.1706398688948</v>
      </c>
      <c r="I27" s="22">
        <f t="shared" ca="1" si="9"/>
        <v>52</v>
      </c>
      <c r="J27" s="1"/>
      <c r="K27" s="51"/>
      <c r="M27" s="81">
        <f t="shared" ca="1" si="0"/>
        <v>95.93754309815624</v>
      </c>
      <c r="N27" s="19">
        <f t="shared" si="10"/>
        <v>2.8033753365458605</v>
      </c>
      <c r="O27" s="17">
        <f t="shared" si="11"/>
        <v>6.5</v>
      </c>
      <c r="P27" s="19">
        <f ca="1">IF(ISERROR(IF(O27&lt;fi_h/20,0,(OFFSET('Base de dados'!$A$5,IF(O27&lt;20,1,IF(O27&gt;1000,10,MATCH(O27,Cargas,1))),Coluna_fih,1,1))*(1+0.13*0.25)*(PI()*(fi_h/1000)^2/4)*SQRT(2*9.81*(O27/100-fi_h/2/1000))*1000)),"",IF(O27&lt;fi_h/20,0,(OFFSET('Base de dados'!$A$5,IF(O27&lt;20,1,IF(O27&gt;1000,10,MATCH(O27,Cargas,1))),Coluna_fih,1,1))*(PI()*(fi_h/1000)^2/4)*SQRT(2*9.81*(O27/100-fi_h/2/1000))*1000))</f>
        <v>2.4916985466275539</v>
      </c>
      <c r="Q27" s="19">
        <f ca="1">IF(O27="","",IF(Tipo_Vertedor="Retangular",IF(O27&lt;=cota_s*100,0,IF(Tipo_Vertedor="Retangular",Cd_sr*Lef_sr*((O27/100-cota_s)^(3/2))*1000)),IF(O27&lt;=cota_s*100+fi_s/20,0,(OFFSET('Base de dados'!$A$4,IF(O27&lt;20,1,IF(O27&gt;1000,10,MATCH(O27,Cargas,1))),Coluna_fis,1,1))*(PI()*(fi_s/1000)^2/4)*(2*9.81*(O27/100-cota_s-fi_s/2/1000))^0.5*1000)))</f>
        <v>0</v>
      </c>
      <c r="R27" s="19">
        <f t="shared" ca="1" si="1"/>
        <v>2.4916985466275539</v>
      </c>
      <c r="S27" s="19">
        <f t="shared" ca="1" si="2"/>
        <v>93.44584455152868</v>
      </c>
      <c r="AD27" s="19">
        <f t="shared" si="12"/>
        <v>88.428865049273981</v>
      </c>
      <c r="AE27" s="19">
        <f t="shared" ca="1" si="13"/>
        <v>27.049972198987835</v>
      </c>
      <c r="AF27" s="19">
        <f ca="1">IF(ISERROR(IF('Hidrograma afluente'!I34="",0,'Hidrograma afluente'!I34)+Simulação!G27),"",IF('Hidrograma afluente'!I34="",0,'Hidrograma afluente'!I34)+Simulação!G27)</f>
        <v>598.18497033081826</v>
      </c>
      <c r="AG27" s="17">
        <v>1.5521399288359254</v>
      </c>
      <c r="AH27" s="17">
        <v>1.5521399288359254</v>
      </c>
      <c r="AI27" s="27">
        <v>82.25</v>
      </c>
      <c r="AJ27" s="17">
        <v>82.25</v>
      </c>
      <c r="AK27" s="19">
        <f>IF(A27="","",IF('Hidrograma afluente'!I34="",0,'Hidrograma afluente'!I34)+Simulação!B27)</f>
        <v>620.79972840906396</v>
      </c>
    </row>
    <row r="28" spans="1:37" s="17" customFormat="1">
      <c r="A28" s="4">
        <f t="shared" si="3"/>
        <v>23</v>
      </c>
      <c r="B28" s="5">
        <f>IF(A28="","",IF(A28&gt;tc_lot_i+tc,0,IF('Hidrograma afluente'!B35="","",'Hidrograma afluente'!B35)))</f>
        <v>40.939289374663872</v>
      </c>
      <c r="C28" s="21">
        <f t="shared" si="4"/>
        <v>40.939289374663872</v>
      </c>
      <c r="D28" s="21">
        <f t="shared" ca="1" si="5"/>
        <v>1010.6112937645951</v>
      </c>
      <c r="E28" s="21">
        <f t="shared" ca="1" si="6"/>
        <v>18.715623827213246</v>
      </c>
      <c r="F28" s="21">
        <f t="shared" ca="1" si="7"/>
        <v>0</v>
      </c>
      <c r="G28" s="21">
        <f t="shared" ca="1" si="8"/>
        <v>18.715623827213246</v>
      </c>
      <c r="H28" s="21">
        <f t="shared" ca="1" si="14"/>
        <v>1073.7742486867096</v>
      </c>
      <c r="I28" s="22">
        <f t="shared" ca="1" si="9"/>
        <v>54</v>
      </c>
      <c r="J28" s="1"/>
      <c r="K28" s="51"/>
      <c r="M28" s="81">
        <f t="shared" ca="1" si="0"/>
        <v>100.32801159666337</v>
      </c>
      <c r="N28" s="19">
        <f t="shared" si="10"/>
        <v>2.9249166264102633</v>
      </c>
      <c r="O28" s="17">
        <f t="shared" si="11"/>
        <v>6.75</v>
      </c>
      <c r="P28" s="19">
        <f ca="1">IF(ISERROR(IF(O28&lt;fi_h/20,0,(OFFSET('Base de dados'!$A$5,IF(O28&lt;20,1,IF(O28&gt;1000,10,MATCH(O28,Cargas,1))),Coluna_fih,1,1))*(1+0.13*0.25)*(PI()*(fi_h/1000)^2/4)*SQRT(2*9.81*(O28/100-fi_h/2/1000))*1000)),"",IF(O28&lt;fi_h/20,0,(OFFSET('Base de dados'!$A$5,IF(O28&lt;20,1,IF(O28&gt;1000,10,MATCH(O28,Cargas,1))),Coluna_fih,1,1))*(PI()*(fi_h/1000)^2/4)*SQRT(2*9.81*(O28/100-fi_h/2/1000))*1000))</f>
        <v>2.8307907163212538</v>
      </c>
      <c r="Q28" s="19">
        <f ca="1">IF(O28="","",IF(Tipo_Vertedor="Retangular",IF(O28&lt;=cota_s*100,0,IF(Tipo_Vertedor="Retangular",Cd_sr*Lef_sr*((O28/100-cota_s)^(3/2))*1000)),IF(O28&lt;=cota_s*100+fi_s/20,0,(OFFSET('Base de dados'!$A$4,IF(O28&lt;20,1,IF(O28&gt;1000,10,MATCH(O28,Cargas,1))),Coluna_fis,1,1))*(PI()*(fi_s/1000)^2/4)*(2*9.81*(O28/100-cota_s-fi_s/2/1000))^0.5*1000)))</f>
        <v>0</v>
      </c>
      <c r="R28" s="19">
        <f t="shared" ca="1" si="1"/>
        <v>2.8307907163212538</v>
      </c>
      <c r="S28" s="19">
        <f t="shared" ca="1" si="2"/>
        <v>97.497220880342113</v>
      </c>
      <c r="AD28" s="19">
        <f t="shared" si="12"/>
        <v>93.341579774233651</v>
      </c>
      <c r="AE28" s="19">
        <f t="shared" ca="1" si="13"/>
        <v>29.272381506405718</v>
      </c>
      <c r="AF28" s="19">
        <f ca="1">IF(ISERROR(IF('Hidrograma afluente'!I35="",0,'Hidrograma afluente'!I35)+Simulação!G28),"",IF('Hidrograma afluente'!I35="",0,'Hidrograma afluente'!I35)+Simulação!G28)</f>
        <v>598.57606286161331</v>
      </c>
      <c r="AG28" s="17">
        <v>1.5900673372546896</v>
      </c>
      <c r="AH28" s="17">
        <v>1.5900673372546896</v>
      </c>
      <c r="AI28" s="27">
        <v>86.25</v>
      </c>
      <c r="AJ28" s="17">
        <v>86.25</v>
      </c>
      <c r="AK28" s="19">
        <f>IF(A28="","",IF('Hidrograma afluente'!I35="",0,'Hidrograma afluente'!I35)+Simulação!B28)</f>
        <v>620.79972840906396</v>
      </c>
    </row>
    <row r="29" spans="1:37" s="17" customFormat="1">
      <c r="A29" s="4">
        <f t="shared" si="3"/>
        <v>24</v>
      </c>
      <c r="B29" s="5">
        <f>IF(A29="","",IF(A29&gt;tc_lot_i+tc,0,IF('Hidrograma afluente'!B36="","",'Hidrograma afluente'!B36)))</f>
        <v>40.939289374663872</v>
      </c>
      <c r="C29" s="21">
        <f t="shared" si="4"/>
        <v>40.939289374663872</v>
      </c>
      <c r="D29" s="21">
        <f t="shared" ca="1" si="5"/>
        <v>1052.8002425459076</v>
      </c>
      <c r="E29" s="21">
        <f t="shared" ca="1" si="6"/>
        <v>19.098709465565886</v>
      </c>
      <c r="F29" s="21">
        <f t="shared" ca="1" si="7"/>
        <v>0</v>
      </c>
      <c r="G29" s="21">
        <f t="shared" ca="1" si="8"/>
        <v>19.098709465565886</v>
      </c>
      <c r="H29" s="21">
        <f t="shared" ca="1" si="14"/>
        <v>1115.5801118296695</v>
      </c>
      <c r="I29" s="22">
        <f t="shared" ca="1" si="9"/>
        <v>56</v>
      </c>
      <c r="J29" s="1"/>
      <c r="K29" s="51"/>
      <c r="M29" s="81">
        <f t="shared" ca="1" si="0"/>
        <v>104.70073613568336</v>
      </c>
      <c r="N29" s="19">
        <f t="shared" si="10"/>
        <v>3.0470201082361608</v>
      </c>
      <c r="O29" s="17">
        <f t="shared" si="11"/>
        <v>7</v>
      </c>
      <c r="P29" s="19">
        <f ca="1">IF(ISERROR(IF(O29&lt;fi_h/20,0,(OFFSET('Base de dados'!$A$5,IF(O29&lt;20,1,IF(O29&gt;1000,10,MATCH(O29,Cargas,1))),Coluna_fih,1,1))*(1+0.13*0.25)*(PI()*(fi_h/1000)^2/4)*SQRT(2*9.81*(O29/100-fi_h/2/1000))*1000)),"",IF(O29&lt;fi_h/20,0,(OFFSET('Base de dados'!$A$5,IF(O29&lt;20,1,IF(O29&gt;1000,10,MATCH(O29,Cargas,1))),Coluna_fih,1,1))*(PI()*(fi_h/1000)^2/4)*SQRT(2*9.81*(O29/100-fi_h/2/1000))*1000))</f>
        <v>3.1333991944779918</v>
      </c>
      <c r="Q29" s="19">
        <f ca="1">IF(O29="","",IF(Tipo_Vertedor="Retangular",IF(O29&lt;=cota_s*100,0,IF(Tipo_Vertedor="Retangular",Cd_sr*Lef_sr*((O29/100-cota_s)^(3/2))*1000)),IF(O29&lt;=cota_s*100+fi_s/20,0,(OFFSET('Base de dados'!$A$4,IF(O29&lt;20,1,IF(O29&gt;1000,10,MATCH(O29,Cargas,1))),Coluna_fis,1,1))*(PI()*(fi_s/1000)^2/4)*(2*9.81*(O29/100-cota_s-fi_s/2/1000))^0.5*1000)))</f>
        <v>0</v>
      </c>
      <c r="R29" s="19">
        <f t="shared" ca="1" si="1"/>
        <v>3.1333991944779918</v>
      </c>
      <c r="S29" s="19">
        <f t="shared" ca="1" si="2"/>
        <v>101.56733694120537</v>
      </c>
      <c r="AD29" s="19">
        <f t="shared" si="12"/>
        <v>98.254294499193321</v>
      </c>
      <c r="AE29" s="19">
        <f t="shared" ca="1" si="13"/>
        <v>31.541241503972465</v>
      </c>
      <c r="AF29" s="19">
        <f ca="1">IF(ISERROR(IF('Hidrograma afluente'!I36="",0,'Hidrograma afluente'!I36)+Simulação!G29),"",IF('Hidrograma afluente'!I36="",0,'Hidrograma afluente'!I36)+Simulação!G29)</f>
        <v>598.95914849996598</v>
      </c>
      <c r="AG29" s="17">
        <v>1.6248204298250337</v>
      </c>
      <c r="AH29" s="17">
        <v>1.6248204298250337</v>
      </c>
      <c r="AI29" s="27">
        <v>90</v>
      </c>
      <c r="AJ29" s="17">
        <v>90</v>
      </c>
      <c r="AK29" s="19">
        <f>IF(A29="","",IF('Hidrograma afluente'!I36="",0,'Hidrograma afluente'!I36)+Simulação!B29)</f>
        <v>620.79972840906396</v>
      </c>
    </row>
    <row r="30" spans="1:37" s="17" customFormat="1">
      <c r="A30" s="4">
        <f t="shared" si="3"/>
        <v>25</v>
      </c>
      <c r="B30" s="5">
        <f>IF(A30="","",IF(A30&gt;tc_lot_i+tc,0,IF('Hidrograma afluente'!B37="","",'Hidrograma afluente'!B37)))</f>
        <v>40.939289374663872</v>
      </c>
      <c r="C30" s="21">
        <f t="shared" si="4"/>
        <v>40.939289374663872</v>
      </c>
      <c r="D30" s="21">
        <f t="shared" ca="1" si="5"/>
        <v>1095.177349401569</v>
      </c>
      <c r="E30" s="21">
        <f t="shared" ca="1" si="6"/>
        <v>19.474260737148398</v>
      </c>
      <c r="F30" s="21">
        <f t="shared" ca="1" si="7"/>
        <v>0</v>
      </c>
      <c r="G30" s="21">
        <f t="shared" ca="1" si="8"/>
        <v>19.474260737148398</v>
      </c>
      <c r="H30" s="21">
        <f t="shared" ca="1" si="14"/>
        <v>1157.5816674137484</v>
      </c>
      <c r="I30" s="22">
        <f t="shared" ca="1" si="9"/>
        <v>58</v>
      </c>
      <c r="J30" s="1"/>
      <c r="K30" s="51"/>
      <c r="M30" s="81">
        <f t="shared" ca="1" si="0"/>
        <v>109.06485811486176</v>
      </c>
      <c r="N30" s="19">
        <f t="shared" si="10"/>
        <v>3.169668158169948</v>
      </c>
      <c r="O30" s="17">
        <f t="shared" si="11"/>
        <v>7.25</v>
      </c>
      <c r="P30" s="19">
        <f ca="1">IF(ISERROR(IF(O30&lt;fi_h/20,0,(OFFSET('Base de dados'!$A$5,IF(O30&lt;20,1,IF(O30&gt;1000,10,MATCH(O30,Cargas,1))),Coluna_fih,1,1))*(1+0.13*0.25)*(PI()*(fi_h/1000)^2/4)*SQRT(2*9.81*(O30/100-fi_h/2/1000))*1000)),"",IF(O30&lt;fi_h/20,0,(OFFSET('Base de dados'!$A$5,IF(O30&lt;20,1,IF(O30&gt;1000,10,MATCH(O30,Cargas,1))),Coluna_fih,1,1))*(PI()*(fi_h/1000)^2/4)*SQRT(2*9.81*(O30/100-fi_h/2/1000))*1000))</f>
        <v>3.4092528425301705</v>
      </c>
      <c r="Q30" s="19">
        <f ca="1">IF(O30="","",IF(Tipo_Vertedor="Retangular",IF(O30&lt;=cota_s*100,0,IF(Tipo_Vertedor="Retangular",Cd_sr*Lef_sr*((O30/100-cota_s)^(3/2))*1000)),IF(O30&lt;=cota_s*100+fi_s/20,0,(OFFSET('Base de dados'!$A$4,IF(O30&lt;20,1,IF(O30&gt;1000,10,MATCH(O30,Cargas,1))),Coluna_fis,1,1))*(PI()*(fi_s/1000)^2/4)*(2*9.81*(O30/100-cota_s-fi_s/2/1000))^0.5*1000)))</f>
        <v>0</v>
      </c>
      <c r="R30" s="19">
        <f t="shared" ca="1" si="1"/>
        <v>3.4092528425301705</v>
      </c>
      <c r="S30" s="19">
        <f t="shared" ca="1" si="2"/>
        <v>105.6556052723316</v>
      </c>
      <c r="AD30" s="19">
        <f t="shared" si="12"/>
        <v>103.16700922415299</v>
      </c>
      <c r="AE30" s="19">
        <f t="shared" ca="1" si="13"/>
        <v>33.855619716135323</v>
      </c>
      <c r="AF30" s="19">
        <f ca="1">IF(ISERROR(IF('Hidrograma afluente'!I37="",0,'Hidrograma afluente'!I37)+Simulação!G30),"",IF('Hidrograma afluente'!I37="",0,'Hidrograma afluente'!I37)+Simulação!G30)</f>
        <v>599.33469977154846</v>
      </c>
      <c r="AG30" s="17">
        <v>1.6588455990083573</v>
      </c>
      <c r="AH30" s="17">
        <v>1.6588455990083573</v>
      </c>
      <c r="AI30" s="27">
        <v>93.75</v>
      </c>
      <c r="AJ30" s="17">
        <v>93.75</v>
      </c>
      <c r="AK30" s="19">
        <f>IF(A30="","",IF('Hidrograma afluente'!I37="",0,'Hidrograma afluente'!I37)+Simulação!B30)</f>
        <v>620.79972840906396</v>
      </c>
    </row>
    <row r="31" spans="1:37" s="17" customFormat="1">
      <c r="A31" s="4">
        <f t="shared" si="3"/>
        <v>26</v>
      </c>
      <c r="B31" s="5">
        <f>IF(A31="","",IF(A31&gt;tc_lot_i+tc,0,IF('Hidrograma afluente'!B38="","",'Hidrograma afluente'!B38)))</f>
        <v>40.939289374663872</v>
      </c>
      <c r="C31" s="21">
        <f t="shared" si="4"/>
        <v>40.939289374663872</v>
      </c>
      <c r="D31" s="21">
        <f t="shared" ca="1" si="5"/>
        <v>1137.7369198671583</v>
      </c>
      <c r="E31" s="21">
        <f t="shared" ca="1" si="6"/>
        <v>19.84270544222192</v>
      </c>
      <c r="F31" s="21">
        <f t="shared" ca="1" si="7"/>
        <v>0</v>
      </c>
      <c r="G31" s="21">
        <f t="shared" ca="1" si="8"/>
        <v>19.84270544222192</v>
      </c>
      <c r="H31" s="21">
        <f t="shared" ca="1" si="14"/>
        <v>1199.7727931742643</v>
      </c>
      <c r="I31" s="22">
        <f t="shared" ca="1" si="9"/>
        <v>60</v>
      </c>
      <c r="J31" s="1"/>
      <c r="K31" s="51"/>
      <c r="M31" s="81">
        <f t="shared" ca="1" si="0"/>
        <v>113.42587541942558</v>
      </c>
      <c r="N31" s="19">
        <f t="shared" si="10"/>
        <v>3.2928442952621544</v>
      </c>
      <c r="O31" s="17">
        <f t="shared" si="11"/>
        <v>7.5</v>
      </c>
      <c r="P31" s="19">
        <f ca="1">IF(ISERROR(IF(O31&lt;fi_h/20,0,(OFFSET('Base de dados'!$A$5,IF(O31&lt;20,1,IF(O31&gt;1000,10,MATCH(O31,Cargas,1))),Coluna_fih,1,1))*(1+0.13*0.25)*(PI()*(fi_h/1000)^2/4)*SQRT(2*9.81*(O31/100-fi_h/2/1000))*1000)),"",IF(O31&lt;fi_h/20,0,(OFFSET('Base de dados'!$A$5,IF(O31&lt;20,1,IF(O31&gt;1000,10,MATCH(O31,Cargas,1))),Coluna_fih,1,1))*(PI()*(fi_h/1000)^2/4)*SQRT(2*9.81*(O31/100-fi_h/2/1000))*1000))</f>
        <v>3.6643989106870958</v>
      </c>
      <c r="Q31" s="19">
        <f ca="1">IF(O31="","",IF(Tipo_Vertedor="Retangular",IF(O31&lt;=cota_s*100,0,IF(Tipo_Vertedor="Retangular",Cd_sr*Lef_sr*((O31/100-cota_s)^(3/2))*1000)),IF(O31&lt;=cota_s*100+fi_s/20,0,(OFFSET('Base de dados'!$A$4,IF(O31&lt;20,1,IF(O31&gt;1000,10,MATCH(O31,Cargas,1))),Coluna_fis,1,1))*(PI()*(fi_s/1000)^2/4)*(2*9.81*(O31/100-cota_s-fi_s/2/1000))^0.5*1000)))</f>
        <v>0</v>
      </c>
      <c r="R31" s="19">
        <f t="shared" ca="1" si="1"/>
        <v>3.6643989106870958</v>
      </c>
      <c r="S31" s="19">
        <f t="shared" ca="1" si="2"/>
        <v>109.76147650873848</v>
      </c>
      <c r="AD31" s="19">
        <f t="shared" si="12"/>
        <v>108.07972394911266</v>
      </c>
      <c r="AE31" s="19">
        <f t="shared" ca="1" si="13"/>
        <v>36.214637686897539</v>
      </c>
      <c r="AF31" s="19">
        <f ca="1">IF(ISERROR(IF('Hidrograma afluente'!I38="",0,'Hidrograma afluente'!I38)+Simulação!G31),"",IF('Hidrograma afluente'!I38="",0,'Hidrograma afluente'!I38)+Simulação!G31)</f>
        <v>599.70314447662201</v>
      </c>
      <c r="AG31" s="17">
        <v>1.692186754918612</v>
      </c>
      <c r="AH31" s="17">
        <v>1.692186754918612</v>
      </c>
      <c r="AI31" s="27">
        <v>97.5</v>
      </c>
      <c r="AJ31" s="17">
        <v>97.5</v>
      </c>
      <c r="AK31" s="19">
        <f>IF(A31="","",IF('Hidrograma afluente'!I38="",0,'Hidrograma afluente'!I38)+Simulação!B31)</f>
        <v>620.79972840906396</v>
      </c>
    </row>
    <row r="32" spans="1:37" s="17" customFormat="1">
      <c r="A32" s="4">
        <f t="shared" si="3"/>
        <v>27</v>
      </c>
      <c r="B32" s="5">
        <f>IF(A32="","",IF(A32&gt;tc_lot_i+tc,0,IF('Hidrograma afluente'!B39="","",'Hidrograma afluente'!B39)))</f>
        <v>40.939289374663872</v>
      </c>
      <c r="C32" s="21">
        <f t="shared" si="4"/>
        <v>40.939289374663872</v>
      </c>
      <c r="D32" s="21">
        <f t="shared" ca="1" si="5"/>
        <v>1175.122017076028</v>
      </c>
      <c r="E32" s="21">
        <f t="shared" ca="1" si="6"/>
        <v>20.159571455615925</v>
      </c>
      <c r="F32" s="21">
        <f t="shared" ca="1" si="7"/>
        <v>2.5419055721053216</v>
      </c>
      <c r="G32" s="21">
        <f t="shared" ca="1" si="8"/>
        <v>22.701477027721246</v>
      </c>
      <c r="H32" s="21">
        <f t="shared" ca="1" si="14"/>
        <v>1234.2991187976345</v>
      </c>
      <c r="I32" s="22">
        <f t="shared" ca="1" si="9"/>
        <v>61.75</v>
      </c>
      <c r="J32" s="1"/>
      <c r="K32" s="51"/>
      <c r="M32" s="81">
        <f t="shared" ca="1" si="0"/>
        <v>117.78733641187999</v>
      </c>
      <c r="N32" s="19">
        <f t="shared" si="10"/>
        <v>3.4165330716064868</v>
      </c>
      <c r="O32" s="17">
        <f t="shared" si="11"/>
        <v>7.75</v>
      </c>
      <c r="P32" s="19">
        <f ca="1">IF(ISERROR(IF(O32&lt;fi_h/20,0,(OFFSET('Base de dados'!$A$5,IF(O32&lt;20,1,IF(O32&gt;1000,10,MATCH(O32,Cargas,1))),Coluna_fih,1,1))*(1+0.13*0.25)*(PI()*(fi_h/1000)^2/4)*SQRT(2*9.81*(O32/100-fi_h/2/1000))*1000)),"",IF(O32&lt;fi_h/20,0,(OFFSET('Base de dados'!$A$5,IF(O32&lt;20,1,IF(O32&gt;1000,10,MATCH(O32,Cargas,1))),Coluna_fih,1,1))*(PI()*(fi_h/1000)^2/4)*SQRT(2*9.81*(O32/100-fi_h/2/1000))*1000))</f>
        <v>3.9029006916637665</v>
      </c>
      <c r="Q32" s="19">
        <f ca="1">IF(O32="","",IF(Tipo_Vertedor="Retangular",IF(O32&lt;=cota_s*100,0,IF(Tipo_Vertedor="Retangular",Cd_sr*Lef_sr*((O32/100-cota_s)^(3/2))*1000)),IF(O32&lt;=cota_s*100+fi_s/20,0,(OFFSET('Base de dados'!$A$4,IF(O32&lt;20,1,IF(O32&gt;1000,10,MATCH(O32,Cargas,1))),Coluna_fis,1,1))*(PI()*(fi_s/1000)^2/4)*(2*9.81*(O32/100-cota_s-fi_s/2/1000))^0.5*1000)))</f>
        <v>0</v>
      </c>
      <c r="R32" s="19">
        <f t="shared" ca="1" si="1"/>
        <v>3.9029006916637665</v>
      </c>
      <c r="S32" s="19">
        <f t="shared" ca="1" si="2"/>
        <v>113.88443572021623</v>
      </c>
      <c r="AD32" s="19">
        <f t="shared" si="12"/>
        <v>112.99243867407233</v>
      </c>
      <c r="AE32" s="19">
        <f t="shared" ca="1" si="13"/>
        <v>38.767288635094133</v>
      </c>
      <c r="AF32" s="19">
        <f ca="1">IF(ISERROR(IF('Hidrograma afluente'!I39="",0,'Hidrograma afluente'!I39)+Simulação!G32),"",IF('Hidrograma afluente'!I39="",0,'Hidrograma afluente'!I39)+Simulação!G32)</f>
        <v>602.56191606212133</v>
      </c>
      <c r="AG32" s="17">
        <v>1.7141366248514127</v>
      </c>
      <c r="AH32" s="17">
        <v>1.7141366248514127</v>
      </c>
      <c r="AI32" s="27">
        <v>101.25</v>
      </c>
      <c r="AJ32" s="17">
        <v>101.25</v>
      </c>
      <c r="AK32" s="19">
        <f>IF(A32="","",IF('Hidrograma afluente'!I39="",0,'Hidrograma afluente'!I39)+Simulação!B32)</f>
        <v>620.79972840906396</v>
      </c>
    </row>
    <row r="33" spans="1:37" s="17" customFormat="1">
      <c r="A33" s="4">
        <f t="shared" si="3"/>
        <v>28</v>
      </c>
      <c r="B33" s="5">
        <f>IF(A33="","",IF(A33&gt;tc_lot_i+tc,0,IF('Hidrograma afluente'!B40="","",'Hidrograma afluente'!B40)))</f>
        <v>40.939289374663872</v>
      </c>
      <c r="C33" s="21">
        <f t="shared" si="4"/>
        <v>40.939289374663872</v>
      </c>
      <c r="D33" s="21">
        <f t="shared" ca="1" si="5"/>
        <v>1207.271758203734</v>
      </c>
      <c r="E33" s="21">
        <f t="shared" ca="1" si="6"/>
        <v>20.427259172006949</v>
      </c>
      <c r="F33" s="21">
        <f t="shared" ca="1" si="7"/>
        <v>6.433204863246619</v>
      </c>
      <c r="G33" s="21">
        <f t="shared" ca="1" si="8"/>
        <v>26.860464035253568</v>
      </c>
      <c r="H33" s="21">
        <f t="shared" ca="1" si="14"/>
        <v>1262.2898729178082</v>
      </c>
      <c r="I33" s="22">
        <f t="shared" ca="1" si="9"/>
        <v>63.25</v>
      </c>
      <c r="J33" s="1"/>
      <c r="K33" s="51"/>
      <c r="M33" s="81">
        <f t="shared" ca="1" si="0"/>
        <v>122.15164360222414</v>
      </c>
      <c r="N33" s="19">
        <f t="shared" si="10"/>
        <v>3.5407199762539396</v>
      </c>
      <c r="O33" s="17">
        <f t="shared" si="11"/>
        <v>8</v>
      </c>
      <c r="P33" s="19">
        <f ca="1">IF(ISERROR(IF(O33&lt;fi_h/20,0,(OFFSET('Base de dados'!$A$5,IF(O33&lt;20,1,IF(O33&gt;1000,10,MATCH(O33,Cargas,1))),Coluna_fih,1,1))*(1+0.13*0.25)*(PI()*(fi_h/1000)^2/4)*SQRT(2*9.81*(O33/100-fi_h/2/1000))*1000)),"",IF(O33&lt;fi_h/20,0,(OFFSET('Base de dados'!$A$5,IF(O33&lt;20,1,IF(O33&gt;1000,10,MATCH(O33,Cargas,1))),Coluna_fih,1,1))*(PI()*(fi_h/1000)^2/4)*SQRT(2*9.81*(O33/100-fi_h/2/1000))*1000))</f>
        <v>4.1276443937595007</v>
      </c>
      <c r="Q33" s="19">
        <f ca="1">IF(O33="","",IF(Tipo_Vertedor="Retangular",IF(O33&lt;=cota_s*100,0,IF(Tipo_Vertedor="Retangular",Cd_sr*Lef_sr*((O33/100-cota_s)^(3/2))*1000)),IF(O33&lt;=cota_s*100+fi_s/20,0,(OFFSET('Base de dados'!$A$4,IF(O33&lt;20,1,IF(O33&gt;1000,10,MATCH(O33,Cargas,1))),Coluna_fis,1,1))*(PI()*(fi_s/1000)^2/4)*(2*9.81*(O33/100-cota_s-fi_s/2/1000))^0.5*1000)))</f>
        <v>0</v>
      </c>
      <c r="R33" s="19">
        <f t="shared" ca="1" si="1"/>
        <v>4.1276443937595007</v>
      </c>
      <c r="S33" s="19">
        <f t="shared" ca="1" si="2"/>
        <v>118.02399920846464</v>
      </c>
      <c r="AD33" s="19">
        <f t="shared" si="12"/>
        <v>117.905153399032</v>
      </c>
      <c r="AE33" s="19">
        <f t="shared" ca="1" si="13"/>
        <v>41.74100509887262</v>
      </c>
      <c r="AF33" s="19">
        <f ca="1">IF(ISERROR(IF('Hidrograma afluente'!I40="",0,'Hidrograma afluente'!I40)+Simulação!G33),"",IF('Hidrograma afluente'!I40="",0,'Hidrograma afluente'!I40)+Simulação!G33)</f>
        <v>606.72090306965367</v>
      </c>
      <c r="AG33" s="17">
        <v>1.7439173714260592</v>
      </c>
      <c r="AH33" s="17">
        <v>1.7439173714260592</v>
      </c>
      <c r="AI33" s="27">
        <v>104.75</v>
      </c>
      <c r="AJ33" s="17">
        <v>104.75</v>
      </c>
      <c r="AK33" s="19">
        <f>IF(A33="","",IF('Hidrograma afluente'!I40="",0,'Hidrograma afluente'!I40)+Simulação!B33)</f>
        <v>620.79972840906396</v>
      </c>
    </row>
    <row r="34" spans="1:37" s="17" customFormat="1">
      <c r="A34" s="4">
        <f t="shared" si="3"/>
        <v>29</v>
      </c>
      <c r="B34" s="5">
        <f>IF(A34="","",IF(A34&gt;tc_lot_i+tc,0,IF('Hidrograma afluente'!B41="","",'Hidrograma afluente'!B41)))</f>
        <v>40.939289374663872</v>
      </c>
      <c r="C34" s="21">
        <f t="shared" si="4"/>
        <v>40.939289374663872</v>
      </c>
      <c r="D34" s="21">
        <f t="shared" ca="1" si="5"/>
        <v>1228.7578899283128</v>
      </c>
      <c r="E34" s="21">
        <f t="shared" ca="1" si="6"/>
        <v>20.603785605672417</v>
      </c>
      <c r="F34" s="21">
        <f t="shared" ca="1" si="7"/>
        <v>9.6202362009723945</v>
      </c>
      <c r="G34" s="21">
        <f t="shared" ca="1" si="8"/>
        <v>30.224021806644814</v>
      </c>
      <c r="H34" s="21">
        <f t="shared" ca="1" si="14"/>
        <v>1280.4124468709958</v>
      </c>
      <c r="I34" s="22">
        <f t="shared" ca="1" si="9"/>
        <v>64.25</v>
      </c>
      <c r="J34" s="1"/>
      <c r="K34" s="51"/>
      <c r="M34" s="81">
        <f t="shared" ca="1" si="0"/>
        <v>126.52047921449346</v>
      </c>
      <c r="N34" s="19">
        <f t="shared" si="10"/>
        <v>3.6653913507968201</v>
      </c>
      <c r="O34" s="17">
        <f t="shared" si="11"/>
        <v>8.25</v>
      </c>
      <c r="P34" s="19">
        <f ca="1">IF(ISERROR(IF(O34&lt;fi_h/20,0,(OFFSET('Base de dados'!$A$5,IF(O34&lt;20,1,IF(O34&gt;1000,10,MATCH(O34,Cargas,1))),Coluna_fih,1,1))*(1+0.13*0.25)*(PI()*(fi_h/1000)^2/4)*SQRT(2*9.81*(O34/100-fi_h/2/1000))*1000)),"",IF(O34&lt;fi_h/20,0,(OFFSET('Base de dados'!$A$5,IF(O34&lt;20,1,IF(O34&gt;1000,10,MATCH(O34,Cargas,1))),Coluna_fih,1,1))*(PI()*(fi_h/1000)^2/4)*SQRT(2*9.81*(O34/100-fi_h/2/1000))*1000))</f>
        <v>4.3407675212661374</v>
      </c>
      <c r="Q34" s="19">
        <f ca="1">IF(O34="","",IF(Tipo_Vertedor="Retangular",IF(O34&lt;=cota_s*100,0,IF(Tipo_Vertedor="Retangular",Cd_sr*Lef_sr*((O34/100-cota_s)^(3/2))*1000)),IF(O34&lt;=cota_s*100+fi_s/20,0,(OFFSET('Base de dados'!$A$4,IF(O34&lt;20,1,IF(O34&gt;1000,10,MATCH(O34,Cargas,1))),Coluna_fis,1,1))*(PI()*(fi_s/1000)^2/4)*(2*9.81*(O34/100-cota_s-fi_s/2/1000))^0.5*1000)))</f>
        <v>0</v>
      </c>
      <c r="R34" s="19">
        <f t="shared" ca="1" si="1"/>
        <v>4.3407675212661374</v>
      </c>
      <c r="S34" s="19">
        <f t="shared" ca="1" si="2"/>
        <v>122.17971169322733</v>
      </c>
      <c r="AD34" s="19">
        <f t="shared" si="12"/>
        <v>122.81786812399167</v>
      </c>
      <c r="AE34" s="19">
        <f t="shared" ca="1" si="13"/>
        <v>45.166074249386526</v>
      </c>
      <c r="AF34" s="19">
        <f ca="1">IF(ISERROR(IF('Hidrograma afluente'!I41="",0,'Hidrograma afluente'!I41)+Simulação!G34),"",IF('Hidrograma afluente'!I41="",0,'Hidrograma afluente'!I41)+Simulação!G34)</f>
        <v>610.08446084104492</v>
      </c>
      <c r="AG34" s="17">
        <v>1.7731980228012201</v>
      </c>
      <c r="AH34" s="17">
        <v>1.7731980228012201</v>
      </c>
      <c r="AI34" s="27">
        <v>108.25</v>
      </c>
      <c r="AJ34" s="17">
        <v>108.25</v>
      </c>
      <c r="AK34" s="19">
        <f>IF(A34="","",IF('Hidrograma afluente'!I41="",0,'Hidrograma afluente'!I41)+Simulação!B34)</f>
        <v>620.79972840906396</v>
      </c>
    </row>
    <row r="35" spans="1:37" s="17" customFormat="1">
      <c r="A35" s="4">
        <f t="shared" si="3"/>
        <v>30</v>
      </c>
      <c r="B35" s="5">
        <f>IF(A35="","",IF(A35&gt;tc_lot_i+tc,0,IF('Hidrograma afluente'!B42="","",'Hidrograma afluente'!B42)))</f>
        <v>40.939289374663872</v>
      </c>
      <c r="C35" s="21">
        <f t="shared" si="4"/>
        <v>40.939289374663872</v>
      </c>
      <c r="D35" s="21">
        <f t="shared" ca="1" si="5"/>
        <v>1244.8998862301487</v>
      </c>
      <c r="E35" s="21">
        <f t="shared" ca="1" si="6"/>
        <v>20.73519421871044</v>
      </c>
      <c r="F35" s="21">
        <f t="shared" ca="1" si="7"/>
        <v>12.276013196473867</v>
      </c>
      <c r="G35" s="21">
        <f t="shared" ca="1" si="8"/>
        <v>33.011207415184309</v>
      </c>
      <c r="H35" s="21">
        <f t="shared" ca="1" si="14"/>
        <v>1293.7672575642921</v>
      </c>
      <c r="I35" s="22">
        <f t="shared" ca="1" si="9"/>
        <v>65</v>
      </c>
      <c r="J35" s="1"/>
      <c r="K35" s="51"/>
      <c r="M35" s="81">
        <f t="shared" ca="1" si="0"/>
        <v>130.89504932022098</v>
      </c>
      <c r="N35" s="19">
        <f t="shared" si="10"/>
        <v>3.7905343148935189</v>
      </c>
      <c r="O35" s="17">
        <f t="shared" si="11"/>
        <v>8.5</v>
      </c>
      <c r="P35" s="19">
        <f ca="1">IF(ISERROR(IF(O35&lt;fi_h/20,0,(OFFSET('Base de dados'!$A$5,IF(O35&lt;20,1,IF(O35&gt;1000,10,MATCH(O35,Cargas,1))),Coluna_fih,1,1))*(1+0.13*0.25)*(PI()*(fi_h/1000)^2/4)*SQRT(2*9.81*(O35/100-fi_h/2/1000))*1000)),"",IF(O35&lt;fi_h/20,0,(OFFSET('Base de dados'!$A$5,IF(O35&lt;20,1,IF(O35&gt;1000,10,MATCH(O35,Cargas,1))),Coluna_fih,1,1))*(PI()*(fi_h/1000)^2/4)*SQRT(2*9.81*(O35/100-fi_h/2/1000))*1000))</f>
        <v>4.5439054904370204</v>
      </c>
      <c r="Q35" s="19">
        <f ca="1">IF(O35="","",IF(Tipo_Vertedor="Retangular",IF(O35&lt;=cota_s*100,0,IF(Tipo_Vertedor="Retangular",Cd_sr*Lef_sr*((O35/100-cota_s)^(3/2))*1000)),IF(O35&lt;=cota_s*100+fi_s/20,0,(OFFSET('Base de dados'!$A$4,IF(O35&lt;20,1,IF(O35&gt;1000,10,MATCH(O35,Cargas,1))),Coluna_fis,1,1))*(PI()*(fi_s/1000)^2/4)*(2*9.81*(O35/100-cota_s-fi_s/2/1000))^0.5*1000)))</f>
        <v>0</v>
      </c>
      <c r="R35" s="19">
        <f t="shared" ca="1" si="1"/>
        <v>4.5439054904370204</v>
      </c>
      <c r="S35" s="19">
        <f t="shared" ca="1" si="2"/>
        <v>126.35114382978396</v>
      </c>
      <c r="AD35" s="19">
        <f t="shared" si="12"/>
        <v>127.73058284895134</v>
      </c>
      <c r="AE35" s="19">
        <f t="shared" ca="1" si="13"/>
        <v>48.96018800269627</v>
      </c>
      <c r="AF35" s="19">
        <f ca="1">IF(ISERROR(IF('Hidrograma afluente'!I42="",0,'Hidrograma afluente'!I42)+Simulação!G35),"",IF('Hidrograma afluente'!I42="",0,'Hidrograma afluente'!I42)+Simulação!G35)</f>
        <v>612.87164644958443</v>
      </c>
      <c r="AG35" s="17">
        <v>1.8020029572036607</v>
      </c>
      <c r="AH35" s="17">
        <v>1.8020029572036607</v>
      </c>
      <c r="AI35" s="27">
        <v>111.75</v>
      </c>
      <c r="AJ35" s="17">
        <v>111.75</v>
      </c>
      <c r="AK35" s="19">
        <f>IF(A35="","",IF('Hidrograma afluente'!I42="",0,'Hidrograma afluente'!I42)+Simulação!B35)</f>
        <v>620.79972840906396</v>
      </c>
    </row>
    <row r="36" spans="1:37" s="17" customFormat="1">
      <c r="A36" s="4">
        <f t="shared" si="3"/>
        <v>31</v>
      </c>
      <c r="B36" s="5">
        <f>IF(A36="","",IF(A36&gt;tc_lot_i+tc,0,IF('Hidrograma afluente'!B43="","",'Hidrograma afluente'!B43)))</f>
        <v>40.939289374663872</v>
      </c>
      <c r="C36" s="21">
        <f t="shared" si="4"/>
        <v>40.939289374663872</v>
      </c>
      <c r="D36" s="21">
        <f t="shared" ca="1" si="5"/>
        <v>1255.6741313182547</v>
      </c>
      <c r="E36" s="21">
        <f t="shared" ca="1" si="6"/>
        <v>20.822339236736319</v>
      </c>
      <c r="F36" s="21">
        <f t="shared" ca="1" si="7"/>
        <v>14.162710386786864</v>
      </c>
      <c r="G36" s="21">
        <f t="shared" ca="1" si="8"/>
        <v>34.985049623523182</v>
      </c>
      <c r="H36" s="21">
        <f t="shared" ca="1" si="14"/>
        <v>1302.5676604440594</v>
      </c>
      <c r="I36" s="22">
        <f t="shared" ca="1" si="9"/>
        <v>65.5</v>
      </c>
      <c r="J36" s="1"/>
      <c r="K36" s="51"/>
      <c r="M36" s="81">
        <f t="shared" ca="1" si="0"/>
        <v>135.27623270970048</v>
      </c>
      <c r="N36" s="19">
        <f t="shared" si="10"/>
        <v>3.9161367003045475</v>
      </c>
      <c r="O36" s="17">
        <f t="shared" si="11"/>
        <v>8.75</v>
      </c>
      <c r="P36" s="19">
        <f ca="1">IF(ISERROR(IF(O36&lt;fi_h/20,0,(OFFSET('Base de dados'!$A$5,IF(O36&lt;20,1,IF(O36&gt;1000,10,MATCH(O36,Cargas,1))),Coluna_fih,1,1))*(1+0.13*0.25)*(PI()*(fi_h/1000)^2/4)*SQRT(2*9.81*(O36/100-fi_h/2/1000))*1000)),"",IF(O36&lt;fi_h/20,0,(OFFSET('Base de dados'!$A$5,IF(O36&lt;20,1,IF(O36&gt;1000,10,MATCH(O36,Cargas,1))),Coluna_fih,1,1))*(PI()*(fi_h/1000)^2/4)*SQRT(2*9.81*(O36/100-fi_h/2/1000))*1000))</f>
        <v>4.7383426995489062</v>
      </c>
      <c r="Q36" s="19">
        <f ca="1">IF(O36="","",IF(Tipo_Vertedor="Retangular",IF(O36&lt;=cota_s*100,0,IF(Tipo_Vertedor="Retangular",Cd_sr*Lef_sr*((O36/100-cota_s)^(3/2))*1000)),IF(O36&lt;=cota_s*100+fi_s/20,0,(OFFSET('Base de dados'!$A$4,IF(O36&lt;20,1,IF(O36&gt;1000,10,MATCH(O36,Cargas,1))),Coluna_fis,1,1))*(PI()*(fi_s/1000)^2/4)*(2*9.81*(O36/100-cota_s-fi_s/2/1000))^0.5*1000)))</f>
        <v>0</v>
      </c>
      <c r="R36" s="19">
        <f t="shared" ca="1" si="1"/>
        <v>4.7383426995489062</v>
      </c>
      <c r="S36" s="19">
        <f t="shared" ca="1" si="2"/>
        <v>130.53789001015159</v>
      </c>
      <c r="AD36" s="19">
        <f t="shared" si="12"/>
        <v>132.64329757391101</v>
      </c>
      <c r="AE36" s="19">
        <f t="shared" ca="1" si="13"/>
        <v>53.039963425018719</v>
      </c>
      <c r="AF36" s="19">
        <f ca="1">IF(ISERROR(IF('Hidrograma afluente'!I43="",0,'Hidrograma afluente'!I43)+Simulação!G36),"",IF('Hidrograma afluente'!I43="",0,'Hidrograma afluente'!I43)+Simulação!G36)</f>
        <v>614.84548865792328</v>
      </c>
      <c r="AG36" s="17">
        <v>1.8303546343469395</v>
      </c>
      <c r="AH36" s="17">
        <v>1.8303546343469395</v>
      </c>
      <c r="AI36" s="27">
        <v>115.25</v>
      </c>
      <c r="AJ36" s="17">
        <v>115.25</v>
      </c>
      <c r="AK36" s="19">
        <f>IF(A36="","",IF('Hidrograma afluente'!I43="",0,'Hidrograma afluente'!I43)+Simulação!B36)</f>
        <v>620.79972840906396</v>
      </c>
    </row>
    <row r="37" spans="1:37" s="17" customFormat="1">
      <c r="A37" s="4">
        <f t="shared" si="3"/>
        <v>32</v>
      </c>
      <c r="B37" s="5">
        <f>IF(A37="","",IF(A37&gt;tc_lot_i+tc,0,IF('Hidrograma afluente'!B44="","",'Hidrograma afluente'!B44)))</f>
        <v>40.939289374663872</v>
      </c>
      <c r="C37" s="21">
        <f t="shared" si="4"/>
        <v>35.821878202830888</v>
      </c>
      <c r="D37" s="21">
        <f t="shared" ca="1" si="5"/>
        <v>1261.0651021611598</v>
      </c>
      <c r="E37" s="21">
        <f t="shared" ca="1" si="6"/>
        <v>20.865775262155292</v>
      </c>
      <c r="F37" s="21">
        <f t="shared" ca="1" si="7"/>
        <v>15.139241161217427</v>
      </c>
      <c r="G37" s="21">
        <f t="shared" ca="1" si="8"/>
        <v>36.005016423372723</v>
      </c>
      <c r="H37" s="21">
        <f t="shared" ca="1" si="14"/>
        <v>1301.8212533152816</v>
      </c>
      <c r="I37" s="22">
        <f t="shared" ca="1" si="9"/>
        <v>65.75</v>
      </c>
      <c r="J37" s="1"/>
      <c r="K37" s="51"/>
      <c r="M37" s="81">
        <f t="shared" ca="1" si="0"/>
        <v>139.66467615036544</v>
      </c>
      <c r="N37" s="19">
        <f t="shared" si="10"/>
        <v>4.0421869922510547</v>
      </c>
      <c r="O37" s="17">
        <f t="shared" si="11"/>
        <v>9</v>
      </c>
      <c r="P37" s="19">
        <f ca="1">IF(ISERROR(IF(O37&lt;fi_h/20,0,(OFFSET('Base de dados'!$A$5,IF(O37&lt;20,1,IF(O37&gt;1000,10,MATCH(O37,Cargas,1))),Coluna_fih,1,1))*(1+0.13*0.25)*(PI()*(fi_h/1000)^2/4)*SQRT(2*9.81*(O37/100-fi_h/2/1000))*1000)),"",IF(O37&lt;fi_h/20,0,(OFFSET('Base de dados'!$A$5,IF(O37&lt;20,1,IF(O37&gt;1000,10,MATCH(O37,Cargas,1))),Coluna_fih,1,1))*(PI()*(fi_h/1000)^2/4)*SQRT(2*9.81*(O37/100-fi_h/2/1000))*1000))</f>
        <v>4.9251097419969385</v>
      </c>
      <c r="Q37" s="19">
        <f ca="1">IF(O37="","",IF(Tipo_Vertedor="Retangular",IF(O37&lt;=cota_s*100,0,IF(Tipo_Vertedor="Retangular",Cd_sr*Lef_sr*((O37/100-cota_s)^(3/2))*1000)),IF(O37&lt;=cota_s*100+fi_s/20,0,(OFFSET('Base de dados'!$A$4,IF(O37&lt;20,1,IF(O37&gt;1000,10,MATCH(O37,Cargas,1))),Coluna_fis,1,1))*(PI()*(fi_s/1000)^2/4)*(2*9.81*(O37/100-cota_s-fi_s/2/1000))^0.5*1000)))</f>
        <v>0</v>
      </c>
      <c r="R37" s="19">
        <f t="shared" ca="1" si="1"/>
        <v>4.9251097419969385</v>
      </c>
      <c r="S37" s="19">
        <f t="shared" ca="1" si="2"/>
        <v>134.73956640836849</v>
      </c>
      <c r="AD37" s="19">
        <f t="shared" si="12"/>
        <v>137.55601229887068</v>
      </c>
      <c r="AE37" s="19">
        <f t="shared" ca="1" si="13"/>
        <v>57.299367387832476</v>
      </c>
      <c r="AF37" s="19">
        <f ca="1">IF(ISERROR(IF('Hidrograma afluente'!I44="",0,'Hidrograma afluente'!I44)+Simulação!G37),"",IF('Hidrograma afluente'!I44="",0,'Hidrograma afluente'!I44)+Simulação!G37)</f>
        <v>615.86545545777278</v>
      </c>
      <c r="AG37" s="17">
        <v>1.8582738003803154</v>
      </c>
      <c r="AH37" s="17">
        <v>1.8582738003803154</v>
      </c>
      <c r="AI37" s="27">
        <v>118.75</v>
      </c>
      <c r="AJ37" s="17">
        <v>118.75</v>
      </c>
      <c r="AK37" s="19">
        <f>IF(A37="","",IF('Hidrograma afluente'!I44="",0,'Hidrograma afluente'!I44)+Simulação!B37)</f>
        <v>620.79972840906396</v>
      </c>
    </row>
    <row r="38" spans="1:37" s="17" customFormat="1">
      <c r="A38" s="4">
        <f t="shared" si="3"/>
        <v>33</v>
      </c>
      <c r="B38" s="5">
        <f>IF(A38="","",IF(A38&gt;tc_lot_i+tc,0,IF('Hidrograma afluente'!B45="","",'Hidrograma afluente'!B45)))</f>
        <v>35.821878202830888</v>
      </c>
      <c r="C38" s="21">
        <f t="shared" si="4"/>
        <v>30.704467030997904</v>
      </c>
      <c r="D38" s="21">
        <f t="shared" ca="1" si="5"/>
        <v>1261.0651021611598</v>
      </c>
      <c r="E38" s="21">
        <f t="shared" ca="1" si="6"/>
        <v>20.865775262155292</v>
      </c>
      <c r="F38" s="21">
        <f t="shared" ca="1" si="7"/>
        <v>15.139241161217427</v>
      </c>
      <c r="G38" s="21">
        <f t="shared" ca="1" si="8"/>
        <v>36.005016423372723</v>
      </c>
      <c r="H38" s="21">
        <f t="shared" ca="1" si="14"/>
        <v>1291.5864309716158</v>
      </c>
      <c r="I38" s="22">
        <f t="shared" ca="1" si="9"/>
        <v>65.75</v>
      </c>
      <c r="J38" s="1"/>
      <c r="K38" s="51"/>
      <c r="M38" s="81">
        <f t="shared" ca="1" si="0"/>
        <v>144.06085775784558</v>
      </c>
      <c r="N38" s="19">
        <f t="shared" si="10"/>
        <v>4.1686742771015668</v>
      </c>
      <c r="O38" s="17">
        <f t="shared" si="11"/>
        <v>9.25</v>
      </c>
      <c r="P38" s="19">
        <f ca="1">IF(ISERROR(IF(O38&lt;fi_h/20,0,(OFFSET('Base de dados'!$A$5,IF(O38&lt;20,1,IF(O38&gt;1000,10,MATCH(O38,Cargas,1))),Coluna_fih,1,1))*(1+0.13*0.25)*(PI()*(fi_h/1000)^2/4)*SQRT(2*9.81*(O38/100-fi_h/2/1000))*1000)),"",IF(O38&lt;fi_h/20,0,(OFFSET('Base de dados'!$A$5,IF(O38&lt;20,1,IF(O38&gt;1000,10,MATCH(O38,Cargas,1))),Coluna_fih,1,1))*(PI()*(fi_h/1000)^2/4)*SQRT(2*9.81*(O38/100-fi_h/2/1000))*1000))</f>
        <v>5.1050485211266974</v>
      </c>
      <c r="Q38" s="19">
        <f ca="1">IF(O38="","",IF(Tipo_Vertedor="Retangular",IF(O38&lt;=cota_s*100,0,IF(Tipo_Vertedor="Retangular",Cd_sr*Lef_sr*((O38/100-cota_s)^(3/2))*1000)),IF(O38&lt;=cota_s*100+fi_s/20,0,(OFFSET('Base de dados'!$A$4,IF(O38&lt;20,1,IF(O38&gt;1000,10,MATCH(O38,Cargas,1))),Coluna_fis,1,1))*(PI()*(fi_s/1000)^2/4)*(2*9.81*(O38/100-cota_s-fi_s/2/1000))^0.5*1000)))</f>
        <v>0</v>
      </c>
      <c r="R38" s="19">
        <f t="shared" ca="1" si="1"/>
        <v>5.1050485211266974</v>
      </c>
      <c r="S38" s="19">
        <f t="shared" ca="1" si="2"/>
        <v>138.95580923671889</v>
      </c>
      <c r="AD38" s="19">
        <f t="shared" si="12"/>
        <v>142.16168235352038</v>
      </c>
      <c r="AE38" s="19">
        <f t="shared" ca="1" si="13"/>
        <v>61.619969358637206</v>
      </c>
      <c r="AF38" s="19">
        <f ca="1">IF(ISERROR(IF('Hidrograma afluente'!I45="",0,'Hidrograma afluente'!I45)+Simulação!G38),"",IF('Hidrograma afluente'!I45="",0,'Hidrograma afluente'!I45)+Simulação!G38)</f>
        <v>589.50816277439105</v>
      </c>
      <c r="AG38" s="17">
        <v>1.885779665518875</v>
      </c>
      <c r="AH38" s="17">
        <v>2.018640394175383</v>
      </c>
      <c r="AI38" s="27">
        <v>122.25</v>
      </c>
      <c r="AJ38" s="17">
        <v>122</v>
      </c>
      <c r="AK38" s="19">
        <f>IF(A38="","",IF('Hidrograma afluente'!I45="",0,'Hidrograma afluente'!I45)+Simulação!B38)</f>
        <v>589.32502455384929</v>
      </c>
    </row>
    <row r="39" spans="1:37" s="17" customFormat="1">
      <c r="A39" s="4">
        <f t="shared" si="3"/>
        <v>34</v>
      </c>
      <c r="B39" s="5">
        <f>IF(A39="","",IF(A39&gt;tc_lot_i+tc,0,IF('Hidrograma afluente'!B46="","",'Hidrograma afluente'!B46)))</f>
        <v>30.704467030997904</v>
      </c>
      <c r="C39" s="21">
        <f t="shared" si="4"/>
        <v>25.58705585916492</v>
      </c>
      <c r="D39" s="21">
        <f t="shared" ca="1" si="5"/>
        <v>1255.6741313182547</v>
      </c>
      <c r="E39" s="21">
        <f t="shared" ca="1" si="6"/>
        <v>20.822339236736319</v>
      </c>
      <c r="F39" s="21">
        <f t="shared" ca="1" si="7"/>
        <v>14.162710386786864</v>
      </c>
      <c r="G39" s="21">
        <f t="shared" ca="1" si="8"/>
        <v>34.985049623523182</v>
      </c>
      <c r="H39" s="21">
        <f t="shared" ca="1" si="14"/>
        <v>1276.9806045848945</v>
      </c>
      <c r="I39" s="22">
        <f t="shared" ca="1" si="9"/>
        <v>65.5</v>
      </c>
      <c r="J39" s="1"/>
      <c r="K39" s="51"/>
      <c r="M39" s="81">
        <f t="shared" ca="1" si="0"/>
        <v>148.46513052686342</v>
      </c>
      <c r="N39" s="19">
        <f t="shared" si="10"/>
        <v>4.295588195550974</v>
      </c>
      <c r="O39" s="17">
        <f t="shared" si="11"/>
        <v>9.5</v>
      </c>
      <c r="P39" s="19">
        <f ca="1">IF(ISERROR(IF(O39&lt;fi_h/20,0,(OFFSET('Base de dados'!$A$5,IF(O39&lt;20,1,IF(O39&gt;1000,10,MATCH(O39,Cargas,1))),Coluna_fih,1,1))*(1+0.13*0.25)*(PI()*(fi_h/1000)^2/4)*SQRT(2*9.81*(O39/100-fi_h/2/1000))*1000)),"",IF(O39&lt;fi_h/20,0,(OFFSET('Base de dados'!$A$5,IF(O39&lt;20,1,IF(O39&gt;1000,10,MATCH(O39,Cargas,1))),Coluna_fih,1,1))*(PI()*(fi_h/1000)^2/4)*SQRT(2*9.81*(O39/100-fi_h/2/1000))*1000))</f>
        <v>5.2788573418309577</v>
      </c>
      <c r="Q39" s="19">
        <f ca="1">IF(O39="","",IF(Tipo_Vertedor="Retangular",IF(O39&lt;=cota_s*100,0,IF(Tipo_Vertedor="Retangular",Cd_sr*Lef_sr*((O39/100-cota_s)^(3/2))*1000)),IF(O39&lt;=cota_s*100+fi_s/20,0,(OFFSET('Base de dados'!$A$4,IF(O39&lt;20,1,IF(O39&gt;1000,10,MATCH(O39,Cargas,1))),Coluna_fis,1,1))*(PI()*(fi_s/1000)^2/4)*(2*9.81*(O39/100-cota_s-fi_s/2/1000))^0.5*1000)))</f>
        <v>0</v>
      </c>
      <c r="R39" s="19">
        <f t="shared" ca="1" si="1"/>
        <v>5.2788573418309577</v>
      </c>
      <c r="S39" s="19">
        <f t="shared" ca="1" si="2"/>
        <v>143.18627318503246</v>
      </c>
      <c r="AD39" s="19">
        <f t="shared" si="12"/>
        <v>146.15326306755011</v>
      </c>
      <c r="AE39" s="19">
        <f t="shared" ca="1" si="13"/>
        <v>65.879373321450956</v>
      </c>
      <c r="AF39" s="19">
        <f ca="1">IF(ISERROR(IF('Hidrograma afluente'!I46="",0,'Hidrograma afluente'!I46)+Simulação!G39),"",IF('Hidrograma afluente'!I46="",0,'Hidrograma afluente'!I46)+Simulação!G39)</f>
        <v>562.1309032911596</v>
      </c>
      <c r="AG39" s="17">
        <v>1.9109663569316047</v>
      </c>
      <c r="AH39" s="17">
        <v>2.2350706597772709</v>
      </c>
      <c r="AI39" s="27">
        <v>125.5</v>
      </c>
      <c r="AJ39" s="17">
        <v>125</v>
      </c>
      <c r="AK39" s="19">
        <f>IF(A39="","",IF('Hidrograma afluente'!I46="",0,'Hidrograma afluente'!I46)+Simulação!B39)</f>
        <v>557.85032069863428</v>
      </c>
    </row>
    <row r="40" spans="1:37" s="17" customFormat="1">
      <c r="A40" s="4">
        <f t="shared" si="3"/>
        <v>35</v>
      </c>
      <c r="B40" s="5">
        <f>IF(A40="","",IF(A40&gt;tc_lot_i+tc,0,IF('Hidrograma afluente'!B47="","",'Hidrograma afluente'!B47)))</f>
        <v>25.58705585916492</v>
      </c>
      <c r="C40" s="21">
        <f t="shared" si="4"/>
        <v>20.469644687331936</v>
      </c>
      <c r="D40" s="21">
        <f t="shared" ca="1" si="5"/>
        <v>1239.5166292338988</v>
      </c>
      <c r="E40" s="21">
        <f t="shared" ca="1" si="6"/>
        <v>20.691484076464885</v>
      </c>
      <c r="F40" s="21">
        <f t="shared" ca="1" si="7"/>
        <v>11.366918720018189</v>
      </c>
      <c r="G40" s="21">
        <f t="shared" ca="1" si="8"/>
        <v>32.058402796483072</v>
      </c>
      <c r="H40" s="21">
        <f t="shared" ca="1" si="14"/>
        <v>1253.5149269839126</v>
      </c>
      <c r="I40" s="22">
        <f t="shared" ca="1" si="9"/>
        <v>64.75</v>
      </c>
      <c r="J40" s="1"/>
      <c r="K40" s="51"/>
      <c r="M40" s="81">
        <f t="shared" ca="1" si="0"/>
        <v>152.87775304619126</v>
      </c>
      <c r="N40" s="19">
        <f t="shared" si="10"/>
        <v>4.422918900585449</v>
      </c>
      <c r="O40" s="17">
        <f t="shared" si="11"/>
        <v>9.75</v>
      </c>
      <c r="P40" s="19">
        <f ca="1">IF(ISERROR(IF(O40&lt;fi_h/20,0,(OFFSET('Base de dados'!$A$5,IF(O40&lt;20,1,IF(O40&gt;1000,10,MATCH(O40,Cargas,1))),Coluna_fih,1,1))*(1+0.13*0.25)*(PI()*(fi_h/1000)^2/4)*SQRT(2*9.81*(O40/100-fi_h/2/1000))*1000)),"",IF(O40&lt;fi_h/20,0,(OFFSET('Base de dados'!$A$5,IF(O40&lt;20,1,IF(O40&gt;1000,10,MATCH(O40,Cargas,1))),Coluna_fih,1,1))*(PI()*(fi_h/1000)^2/4)*SQRT(2*9.81*(O40/100-fi_h/2/1000))*1000))</f>
        <v>5.447123026676314</v>
      </c>
      <c r="Q40" s="19">
        <f ca="1">IF(O40="","",IF(Tipo_Vertedor="Retangular",IF(O40&lt;=cota_s*100,0,IF(Tipo_Vertedor="Retangular",Cd_sr*Lef_sr*((O40/100-cota_s)^(3/2))*1000)),IF(O40&lt;=cota_s*100+fi_s/20,0,(OFFSET('Base de dados'!$A$4,IF(O40&lt;20,1,IF(O40&gt;1000,10,MATCH(O40,Cargas,1))),Coluna_fis,1,1))*(PI()*(fi_s/1000)^2/4)*(2*9.81*(O40/100-cota_s-fi_s/2/1000))^0.5*1000)))</f>
        <v>0</v>
      </c>
      <c r="R40" s="19">
        <f t="shared" ca="1" si="1"/>
        <v>5.447123026676314</v>
      </c>
      <c r="S40" s="19">
        <f t="shared" ca="1" si="2"/>
        <v>147.43063001951495</v>
      </c>
      <c r="AD40" s="19">
        <f t="shared" si="12"/>
        <v>149.5307544409599</v>
      </c>
      <c r="AE40" s="19">
        <f t="shared" ca="1" si="13"/>
        <v>69.901980466651338</v>
      </c>
      <c r="AF40" s="19">
        <f ca="1">IF(ISERROR(IF('Hidrograma afluente'!I47="",0,'Hidrograma afluente'!I47)+Simulação!G40),"",IF('Hidrograma afluente'!I47="",0,'Hidrograma afluente'!I47)+Simulação!G40)</f>
        <v>532.84696378073772</v>
      </c>
      <c r="AG40" s="17">
        <v>1.9358253763613127</v>
      </c>
      <c r="AH40" s="17">
        <v>2.3635144850544241</v>
      </c>
      <c r="AI40" s="27">
        <v>128.75</v>
      </c>
      <c r="AJ40" s="17">
        <v>127.75</v>
      </c>
      <c r="AK40" s="19">
        <f>IF(A40="","",IF('Hidrograma afluente'!I47="",0,'Hidrograma afluente'!I47)+Simulação!B40)</f>
        <v>526.37561684341961</v>
      </c>
    </row>
    <row r="41" spans="1:37" s="17" customFormat="1">
      <c r="A41" s="4">
        <f t="shared" si="3"/>
        <v>36</v>
      </c>
      <c r="B41" s="5">
        <f>IF(A41="","",IF(A41&gt;tc_lot_i+tc,0,IF('Hidrograma afluente'!B48="","",'Hidrograma afluente'!B48)))</f>
        <v>20.469644687331936</v>
      </c>
      <c r="C41" s="21">
        <f t="shared" si="4"/>
        <v>15.352233515498952</v>
      </c>
      <c r="D41" s="21">
        <f t="shared" ca="1" si="5"/>
        <v>1223.3824252460013</v>
      </c>
      <c r="E41" s="21">
        <f t="shared" ca="1" si="6"/>
        <v>20.559796090512936</v>
      </c>
      <c r="F41" s="21">
        <f t="shared" ca="1" si="7"/>
        <v>8.7840000000000131</v>
      </c>
      <c r="G41" s="21">
        <f t="shared" ca="1" si="8"/>
        <v>29.343796090512949</v>
      </c>
      <c r="H41" s="21">
        <f t="shared" ca="1" si="14"/>
        <v>1229.8605073583192</v>
      </c>
      <c r="I41" s="22">
        <f t="shared" ca="1" si="9"/>
        <v>64</v>
      </c>
      <c r="J41" s="1"/>
      <c r="K41" s="51"/>
      <c r="M41" s="81">
        <f t="shared" ca="1" si="0"/>
        <v>157.2989116688475</v>
      </c>
      <c r="N41" s="19">
        <f t="shared" si="10"/>
        <v>4.5506570196335625</v>
      </c>
      <c r="O41" s="17">
        <f t="shared" si="11"/>
        <v>10</v>
      </c>
      <c r="P41" s="19">
        <f ca="1">IF(ISERROR(IF(O41&lt;fi_h/20,0,(OFFSET('Base de dados'!$A$5,IF(O41&lt;20,1,IF(O41&gt;1000,10,MATCH(O41,Cargas,1))),Coluna_fih,1,1))*(1+0.13*0.25)*(PI()*(fi_h/1000)^2/4)*SQRT(2*9.81*(O41/100-fi_h/2/1000))*1000)),"",IF(O41&lt;fi_h/20,0,(OFFSET('Base de dados'!$A$5,IF(O41&lt;20,1,IF(O41&gt;1000,10,MATCH(O41,Cargas,1))),Coluna_fih,1,1))*(PI()*(fi_h/1000)^2/4)*SQRT(2*9.81*(O41/100-fi_h/2/1000))*1000))</f>
        <v>5.6103443477287609</v>
      </c>
      <c r="Q41" s="19">
        <f ca="1">IF(O41="","",IF(Tipo_Vertedor="Retangular",IF(O41&lt;=cota_s*100,0,IF(Tipo_Vertedor="Retangular",Cd_sr*Lef_sr*((O41/100-cota_s)^(3/2))*1000)),IF(O41&lt;=cota_s*100+fi_s/20,0,(OFFSET('Base de dados'!$A$4,IF(O41&lt;20,1,IF(O41&gt;1000,10,MATCH(O41,Cargas,1))),Coluna_fis,1,1))*(PI()*(fi_s/1000)^2/4)*(2*9.81*(O41/100-cota_s-fi_s/2/1000))^0.5*1000)))</f>
        <v>0</v>
      </c>
      <c r="R41" s="19">
        <f t="shared" ca="1" si="1"/>
        <v>5.6103443477287609</v>
      </c>
      <c r="S41" s="19">
        <f t="shared" ca="1" si="2"/>
        <v>151.68856732111874</v>
      </c>
      <c r="AD41" s="19">
        <f t="shared" si="12"/>
        <v>152.29415647374969</v>
      </c>
      <c r="AE41" s="19">
        <f t="shared" ca="1" si="13"/>
        <v>73.586112399871098</v>
      </c>
      <c r="AF41" s="19">
        <f ca="1">IF(ISERROR(IF('Hidrograma afluente'!I48="",0,'Hidrograma afluente'!I48)+Simulação!G41),"",IF('Hidrograma afluente'!I48="",0,'Hidrograma afluente'!I48)+Simulação!G41)</f>
        <v>503.7750643913858</v>
      </c>
      <c r="AG41" s="17">
        <v>1.9566132575639879</v>
      </c>
      <c r="AH41" s="17">
        <v>2.4517857747747969</v>
      </c>
      <c r="AI41" s="27">
        <v>131.5</v>
      </c>
      <c r="AJ41" s="17">
        <v>130</v>
      </c>
      <c r="AK41" s="19">
        <f>IF(A41="","",IF('Hidrograma afluente'!I48="",0,'Hidrograma afluente'!I48)+Simulação!B41)</f>
        <v>494.90091298820477</v>
      </c>
    </row>
    <row r="42" spans="1:37" s="17" customFormat="1">
      <c r="A42" s="4">
        <f t="shared" si="3"/>
        <v>37</v>
      </c>
      <c r="B42" s="5">
        <f>IF(A42="","",IF(A42&gt;tc_lot_i+tc,0,IF('Hidrograma afluente'!B49="","",'Hidrograma afluente'!B49)))</f>
        <v>15.352233515498952</v>
      </c>
      <c r="C42" s="21">
        <f t="shared" si="4"/>
        <v>10.234822343665968</v>
      </c>
      <c r="D42" s="21">
        <f t="shared" ca="1" si="5"/>
        <v>1201.9068083323098</v>
      </c>
      <c r="E42" s="21">
        <f t="shared" ca="1" si="6"/>
        <v>20.382888688291928</v>
      </c>
      <c r="F42" s="21">
        <f t="shared" ca="1" si="7"/>
        <v>5.7053753601318888</v>
      </c>
      <c r="G42" s="21">
        <f t="shared" ca="1" si="8"/>
        <v>26.088264048423817</v>
      </c>
      <c r="H42" s="21">
        <f t="shared" ca="1" si="14"/>
        <v>1201.4056001430508</v>
      </c>
      <c r="I42" s="22">
        <f t="shared" ca="1" si="9"/>
        <v>63</v>
      </c>
      <c r="J42" s="1"/>
      <c r="K42" s="51"/>
      <c r="M42" s="81">
        <f t="shared" ca="1" si="0"/>
        <v>161.72873682897716</v>
      </c>
      <c r="N42" s="19">
        <f t="shared" si="10"/>
        <v>4.6787936203922351</v>
      </c>
      <c r="O42" s="17">
        <f t="shared" si="11"/>
        <v>10.25</v>
      </c>
      <c r="P42" s="19">
        <f ca="1">IF(ISERROR(IF(O42&lt;fi_h/20,0,(OFFSET('Base de dados'!$A$5,IF(O42&lt;20,1,IF(O42&gt;1000,10,MATCH(O42,Cargas,1))),Coluna_fih,1,1))*(1+0.13*0.25)*(PI()*(fi_h/1000)^2/4)*SQRT(2*9.81*(O42/100-fi_h/2/1000))*1000)),"",IF(O42&lt;fi_h/20,0,(OFFSET('Base de dados'!$A$5,IF(O42&lt;20,1,IF(O42&gt;1000,10,MATCH(O42,Cargas,1))),Coluna_fih,1,1))*(PI()*(fi_h/1000)^2/4)*SQRT(2*9.81*(O42/100-fi_h/2/1000))*1000))</f>
        <v>5.7689494825693162</v>
      </c>
      <c r="Q42" s="19">
        <f ca="1">IF(O42="","",IF(Tipo_Vertedor="Retangular",IF(O42&lt;=cota_s*100,0,IF(Tipo_Vertedor="Retangular",Cd_sr*Lef_sr*((O42/100-cota_s)^(3/2))*1000)),IF(O42&lt;=cota_s*100+fi_s/20,0,(OFFSET('Base de dados'!$A$4,IF(O42&lt;20,1,IF(O42&gt;1000,10,MATCH(O42,Cargas,1))),Coluna_fis,1,1))*(PI()*(fi_s/1000)^2/4)*(2*9.81*(O42/100-cota_s-fi_s/2/1000))^0.5*1000)))</f>
        <v>0</v>
      </c>
      <c r="R42" s="19">
        <f t="shared" ca="1" si="1"/>
        <v>5.7689494825693162</v>
      </c>
      <c r="S42" s="19">
        <f t="shared" ca="1" si="2"/>
        <v>155.95978734640784</v>
      </c>
      <c r="AD42" s="19">
        <f t="shared" si="12"/>
        <v>154.44346916591954</v>
      </c>
      <c r="AE42" s="19">
        <f t="shared" ca="1" si="13"/>
        <v>76.912036008207309</v>
      </c>
      <c r="AF42" s="19">
        <f ca="1">IF(ISERROR(IF('Hidrograma afluente'!I49="",0,'Hidrograma afluente'!I49)+Simulação!G42),"",IF('Hidrograma afluente'!I49="",0,'Hidrograma afluente'!I49)+Simulação!G42)</f>
        <v>474.1622396659148</v>
      </c>
      <c r="AG42" s="17">
        <v>2.2969992168274245</v>
      </c>
      <c r="AH42" s="17">
        <v>2.4967365462236923</v>
      </c>
      <c r="AI42" s="27">
        <v>133.25</v>
      </c>
      <c r="AJ42" s="17">
        <v>131.25</v>
      </c>
      <c r="AK42" s="19">
        <f>IF(A42="","",IF('Hidrograma afluente'!I49="",0,'Hidrograma afluente'!I49)+Simulação!B42)</f>
        <v>463.42620913298992</v>
      </c>
    </row>
    <row r="43" spans="1:37" s="17" customFormat="1">
      <c r="A43" s="4">
        <f t="shared" si="3"/>
        <v>38</v>
      </c>
      <c r="B43" s="5">
        <f>IF(A43="","",IF(A43&gt;tc_lot_i+tc,0,IF('Hidrograma afluente'!B50="","",'Hidrograma afluente'!B50)))</f>
        <v>10.234822343665968</v>
      </c>
      <c r="C43" s="21">
        <f t="shared" si="4"/>
        <v>5.117411171832984</v>
      </c>
      <c r="D43" s="21">
        <f t="shared" ca="1" si="5"/>
        <v>1175.122017076028</v>
      </c>
      <c r="E43" s="21">
        <f t="shared" ca="1" si="6"/>
        <v>20.159571455615925</v>
      </c>
      <c r="F43" s="21">
        <f t="shared" ca="1" si="7"/>
        <v>2.5419055721053216</v>
      </c>
      <c r="G43" s="21">
        <f t="shared" ca="1" si="8"/>
        <v>22.701477027721246</v>
      </c>
      <c r="H43" s="21">
        <f t="shared" ca="1" si="14"/>
        <v>1167.7727735638057</v>
      </c>
      <c r="I43" s="22">
        <f t="shared" ca="1" si="9"/>
        <v>61.75</v>
      </c>
      <c r="J43" s="1"/>
      <c r="K43" s="51"/>
      <c r="M43" s="81">
        <f t="shared" ca="1" si="0"/>
        <v>166.16731525422392</v>
      </c>
      <c r="N43" s="19">
        <f t="shared" si="10"/>
        <v>4.8073201798895715</v>
      </c>
      <c r="O43" s="17">
        <f t="shared" si="11"/>
        <v>10.5</v>
      </c>
      <c r="P43" s="19">
        <f ca="1">IF(ISERROR(IF(O43&lt;fi_h/20,0,(OFFSET('Base de dados'!$A$5,IF(O43&lt;20,1,IF(O43&gt;1000,10,MATCH(O43,Cargas,1))),Coluna_fih,1,1))*(1+0.13*0.25)*(PI()*(fi_h/1000)^2/4)*SQRT(2*9.81*(O43/100-fi_h/2/1000))*1000)),"",IF(O43&lt;fi_h/20,0,(OFFSET('Base de dados'!$A$5,IF(O43&lt;20,1,IF(O43&gt;1000,10,MATCH(O43,Cargas,1))),Coluna_fih,1,1))*(PI()*(fi_h/1000)^2/4)*SQRT(2*9.81*(O43/100-fi_h/2/1000))*1000))</f>
        <v>5.9233092579048678</v>
      </c>
      <c r="Q43" s="19">
        <f ca="1">IF(O43="","",IF(Tipo_Vertedor="Retangular",IF(O43&lt;=cota_s*100,0,IF(Tipo_Vertedor="Retangular",Cd_sr*Lef_sr*((O43/100-cota_s)^(3/2))*1000)),IF(O43&lt;=cota_s*100+fi_s/20,0,(OFFSET('Base de dados'!$A$4,IF(O43&lt;20,1,IF(O43&gt;1000,10,MATCH(O43,Cargas,1))),Coluna_fis,1,1))*(PI()*(fi_s/1000)^2/4)*(2*9.81*(O43/100-cota_s-fi_s/2/1000))^0.5*1000)))</f>
        <v>0</v>
      </c>
      <c r="R43" s="19">
        <f t="shared" ca="1" si="1"/>
        <v>5.9233092579048678</v>
      </c>
      <c r="S43" s="19">
        <f t="shared" ca="1" si="2"/>
        <v>160.24400599631906</v>
      </c>
      <c r="AD43" s="19">
        <f t="shared" si="12"/>
        <v>155.97869251746943</v>
      </c>
      <c r="AE43" s="19">
        <f t="shared" ca="1" si="13"/>
        <v>79.839420472776013</v>
      </c>
      <c r="AF43" s="19">
        <f ca="1">IF(ISERROR(IF('Hidrograma afluente'!I50="",0,'Hidrograma afluente'!I50)+Simulação!G43),"",IF('Hidrograma afluente'!I50="",0,'Hidrograma afluente'!I50)+Simulação!G43)</f>
        <v>444.41815996183038</v>
      </c>
      <c r="AG43" s="17">
        <v>2.3516761689601116</v>
      </c>
      <c r="AH43" s="17">
        <v>2.5054454538656419</v>
      </c>
      <c r="AI43" s="27">
        <v>133.75</v>
      </c>
      <c r="AJ43" s="17">
        <v>131.5</v>
      </c>
      <c r="AK43" s="19">
        <f>IF(A43="","",IF('Hidrograma afluente'!I50="",0,'Hidrograma afluente'!I50)+Simulação!B43)</f>
        <v>431.95150527777514</v>
      </c>
    </row>
    <row r="44" spans="1:37" s="17" customFormat="1">
      <c r="A44" s="4">
        <f t="shared" si="3"/>
        <v>39</v>
      </c>
      <c r="B44" s="5">
        <f>IF(A44="","",IF(A44&gt;tc_lot_i+tc,0,IF('Hidrograma afluente'!B51="","",'Hidrograma afluente'!B51)))</f>
        <v>5.117411171832984</v>
      </c>
      <c r="C44" s="21">
        <f t="shared" si="4"/>
        <v>0</v>
      </c>
      <c r="D44" s="21">
        <f t="shared" ca="1" si="5"/>
        <v>1143.0694261604322</v>
      </c>
      <c r="E44" s="21">
        <f t="shared" ca="1" si="6"/>
        <v>19.888281103902028</v>
      </c>
      <c r="F44" s="21">
        <f t="shared" ca="1" si="7"/>
        <v>0.13725000000000487</v>
      </c>
      <c r="G44" s="21">
        <f t="shared" ca="1" si="8"/>
        <v>20.025531103902033</v>
      </c>
      <c r="H44" s="21">
        <f t="shared" ca="1" si="14"/>
        <v>1128.1613062283632</v>
      </c>
      <c r="I44" s="22">
        <f t="shared" ca="1" si="9"/>
        <v>60.25</v>
      </c>
      <c r="J44" s="1"/>
      <c r="K44" s="51"/>
      <c r="M44" s="81">
        <f t="shared" ca="1" si="0"/>
        <v>170.61469924059878</v>
      </c>
      <c r="N44" s="19">
        <f t="shared" si="10"/>
        <v>4.9362285564080368</v>
      </c>
      <c r="O44" s="17">
        <f t="shared" si="11"/>
        <v>10.75</v>
      </c>
      <c r="P44" s="19">
        <f ca="1">IF(ISERROR(IF(O44&lt;fi_h/20,0,(OFFSET('Base de dados'!$A$5,IF(O44&lt;20,1,IF(O44&gt;1000,10,MATCH(O44,Cargas,1))),Coluna_fih,1,1))*(1+0.13*0.25)*(PI()*(fi_h/1000)^2/4)*SQRT(2*9.81*(O44/100-fi_h/2/1000))*1000)),"",IF(O44&lt;fi_h/20,0,(OFFSET('Base de dados'!$A$5,IF(O44&lt;20,1,IF(O44&gt;1000,10,MATCH(O44,Cargas,1))),Coluna_fih,1,1))*(PI()*(fi_h/1000)^2/4)*SQRT(2*9.81*(O44/100-fi_h/2/1000))*1000))</f>
        <v>6.0737473603308727</v>
      </c>
      <c r="Q44" s="19">
        <f ca="1">IF(O44="","",IF(Tipo_Vertedor="Retangular",IF(O44&lt;=cota_s*100,0,IF(Tipo_Vertedor="Retangular",Cd_sr*Lef_sr*((O44/100-cota_s)^(3/2))*1000)),IF(O44&lt;=cota_s*100+fi_s/20,0,(OFFSET('Base de dados'!$A$4,IF(O44&lt;20,1,IF(O44&gt;1000,10,MATCH(O44,Cargas,1))),Coluna_fis,1,1))*(PI()*(fi_s/1000)^2/4)*(2*9.81*(O44/100-cota_s-fi_s/2/1000))^0.5*1000)))</f>
        <v>0</v>
      </c>
      <c r="R44" s="19">
        <f t="shared" ca="1" si="1"/>
        <v>6.0737473603308727</v>
      </c>
      <c r="S44" s="19">
        <f t="shared" ca="1" si="2"/>
        <v>164.5409518802679</v>
      </c>
      <c r="AD44" s="19">
        <f t="shared" si="12"/>
        <v>156.89982652839936</v>
      </c>
      <c r="AE44" s="19">
        <f t="shared" ca="1" si="13"/>
        <v>82.403040960673408</v>
      </c>
      <c r="AF44" s="19">
        <f ca="1">IF(ISERROR(IF('Hidrograma afluente'!I51="",0,'Hidrograma afluente'!I51)+Simulação!G44),"",IF('Hidrograma afluente'!I51="",0,'Hidrograma afluente'!I51)+Simulação!G44)</f>
        <v>415.3849213546294</v>
      </c>
      <c r="AG44" s="17">
        <v>2.3252571290066979</v>
      </c>
      <c r="AH44" s="17">
        <v>2.4879386997855439</v>
      </c>
      <c r="AI44" s="27">
        <v>133.5</v>
      </c>
      <c r="AJ44" s="17">
        <v>131</v>
      </c>
      <c r="AK44" s="19">
        <f>IF(A44="","",IF('Hidrograma afluente'!I51="",0,'Hidrograma afluente'!I51)+Simulação!B44)</f>
        <v>400.47680142256036</v>
      </c>
    </row>
    <row r="45" spans="1:37" s="17" customFormat="1">
      <c r="A45" s="4">
        <f t="shared" si="3"/>
        <v>40</v>
      </c>
      <c r="B45" s="5">
        <f>IF(A45="","",IF(A45&gt;tc_lot_i+tc,0,IF('Hidrograma afluente'!B52="","",'Hidrograma afluente'!B52)))</f>
        <v>0</v>
      </c>
      <c r="C45" s="21">
        <f t="shared" si="4"/>
        <v>0</v>
      </c>
      <c r="D45" s="21">
        <f t="shared" ca="1" si="5"/>
        <v>1105.8003503809502</v>
      </c>
      <c r="E45" s="21">
        <f t="shared" ca="1" si="6"/>
        <v>19.567022340165238</v>
      </c>
      <c r="F45" s="21">
        <f t="shared" ca="1" si="7"/>
        <v>0</v>
      </c>
      <c r="G45" s="21">
        <f t="shared" ca="1" si="8"/>
        <v>19.567022340165238</v>
      </c>
      <c r="H45" s="21">
        <f t="shared" ca="1" si="14"/>
        <v>1086.233328040785</v>
      </c>
      <c r="I45" s="22">
        <f t="shared" ca="1" si="9"/>
        <v>58.5</v>
      </c>
      <c r="J45" s="1"/>
      <c r="K45" s="51"/>
      <c r="M45" s="81">
        <f t="shared" ca="1" si="0"/>
        <v>175.07091378701952</v>
      </c>
      <c r="N45" s="19">
        <f t="shared" si="10"/>
        <v>5.0655109639430282</v>
      </c>
      <c r="O45" s="17">
        <f t="shared" si="11"/>
        <v>11</v>
      </c>
      <c r="P45" s="19">
        <f ca="1">IF(ISERROR(IF(O45&lt;fi_h/20,0,(OFFSET('Base de dados'!$A$5,IF(O45&lt;20,1,IF(O45&gt;1000,10,MATCH(O45,Cargas,1))),Coluna_fih,1,1))*(1+0.13*0.25)*(PI()*(fi_h/1000)^2/4)*SQRT(2*9.81*(O45/100-fi_h/2/1000))*1000)),"",IF(O45&lt;fi_h/20,0,(OFFSET('Base de dados'!$A$5,IF(O45&lt;20,1,IF(O45&gt;1000,10,MATCH(O45,Cargas,1))),Coluna_fih,1,1))*(PI()*(fi_h/1000)^2/4)*SQRT(2*9.81*(O45/100-fi_h/2/1000))*1000))</f>
        <v>6.2205483222519042</v>
      </c>
      <c r="Q45" s="19">
        <f ca="1">IF(O45="","",IF(Tipo_Vertedor="Retangular",IF(O45&lt;=cota_s*100,0,IF(Tipo_Vertedor="Retangular",Cd_sr*Lef_sr*((O45/100-cota_s)^(3/2))*1000)),IF(O45&lt;=cota_s*100+fi_s/20,0,(OFFSET('Base de dados'!$A$4,IF(O45&lt;20,1,IF(O45&gt;1000,10,MATCH(O45,Cargas,1))),Coluna_fis,1,1))*(PI()*(fi_s/1000)^2/4)*(2*9.81*(O45/100-cota_s-fi_s/2/1000))^0.5*1000)))</f>
        <v>0</v>
      </c>
      <c r="R45" s="19">
        <f t="shared" ca="1" si="1"/>
        <v>6.2205483222519042</v>
      </c>
      <c r="S45" s="19">
        <f t="shared" ca="1" si="2"/>
        <v>168.85036546476761</v>
      </c>
      <c r="AD45" s="19">
        <f t="shared" si="12"/>
        <v>157.20687119870934</v>
      </c>
      <c r="AE45" s="19">
        <f t="shared" ca="1" si="13"/>
        <v>84.778594167317451</v>
      </c>
      <c r="AF45" s="19">
        <f ca="1">IF(ISERROR(IF('Hidrograma afluente'!I52="",0,'Hidrograma afluente'!I52)+Simulação!G45),"",IF('Hidrograma afluente'!I52="",0,'Hidrograma afluente'!I52)+Simulação!G45)</f>
        <v>388.56911990751081</v>
      </c>
      <c r="AG45" s="17">
        <v>2.1947559869442812</v>
      </c>
      <c r="AH45" s="17">
        <v>2.4424868574957515</v>
      </c>
      <c r="AI45" s="27">
        <v>132.5</v>
      </c>
      <c r="AJ45" s="17">
        <v>129.75</v>
      </c>
      <c r="AK45" s="19">
        <f>IF(A45="","",IF('Hidrograma afluente'!I52="",0,'Hidrograma afluente'!I52)+Simulação!B45)</f>
        <v>369.00209756734557</v>
      </c>
    </row>
    <row r="46" spans="1:37" s="17" customFormat="1">
      <c r="A46" s="4">
        <f t="shared" si="3"/>
        <v>41</v>
      </c>
      <c r="B46" s="5">
        <f>IF(A46="","",IF(A46&gt;tc_lot_i+tc,0,IF('Hidrograma afluente'!B53="","",'Hidrograma afluente'!B53)))</f>
        <v>0</v>
      </c>
      <c r="C46" s="21">
        <f t="shared" si="4"/>
        <v>0</v>
      </c>
      <c r="D46" s="21">
        <f t="shared" ca="1" si="5"/>
        <v>1063.3771083188062</v>
      </c>
      <c r="E46" s="21">
        <f t="shared" ca="1" si="6"/>
        <v>19.193286202528785</v>
      </c>
      <c r="F46" s="21">
        <f t="shared" ca="1" si="7"/>
        <v>0</v>
      </c>
      <c r="G46" s="21">
        <f t="shared" ca="1" si="8"/>
        <v>19.193286202528785</v>
      </c>
      <c r="H46" s="21">
        <f t="shared" ca="1" si="14"/>
        <v>1044.1838221162775</v>
      </c>
      <c r="I46" s="22">
        <f t="shared" ca="1" si="9"/>
        <v>56.5</v>
      </c>
      <c r="J46" s="1"/>
      <c r="K46" s="51"/>
      <c r="M46" s="81">
        <f t="shared" ca="1" si="0"/>
        <v>179.53596214542475</v>
      </c>
      <c r="N46" s="19">
        <f t="shared" si="10"/>
        <v>5.1951599489152827</v>
      </c>
      <c r="O46" s="17">
        <f t="shared" si="11"/>
        <v>11.25</v>
      </c>
      <c r="P46" s="19">
        <f ca="1">IF(ISERROR(IF(O46&lt;fi_h/20,0,(OFFSET('Base de dados'!$A$5,IF(O46&lt;20,1,IF(O46&gt;1000,10,MATCH(O46,Cargas,1))),Coluna_fih,1,1))*(1+0.13*0.25)*(PI()*(fi_h/1000)^2/4)*SQRT(2*9.81*(O46/100-fi_h/2/1000))*1000)),"",IF(O46&lt;fi_h/20,0,(OFFSET('Base de dados'!$A$5,IF(O46&lt;20,1,IF(O46&gt;1000,10,MATCH(O46,Cargas,1))),Coluna_fih,1,1))*(PI()*(fi_h/1000)^2/4)*SQRT(2*9.81*(O46/100-fi_h/2/1000))*1000))</f>
        <v>6.3639638482486456</v>
      </c>
      <c r="Q46" s="19">
        <f ca="1">IF(O46="","",IF(Tipo_Vertedor="Retangular",IF(O46&lt;=cota_s*100,0,IF(Tipo_Vertedor="Retangular",Cd_sr*Lef_sr*((O46/100-cota_s)^(3/2))*1000)),IF(O46&lt;=cota_s*100+fi_s/20,0,(OFFSET('Base de dados'!$A$4,IF(O46&lt;20,1,IF(O46&gt;1000,10,MATCH(O46,Cargas,1))),Coluna_fis,1,1))*(PI()*(fi_s/1000)^2/4)*(2*9.81*(O46/100-cota_s-fi_s/2/1000))^0.5*1000)))</f>
        <v>0</v>
      </c>
      <c r="R46" s="19">
        <f t="shared" ca="1" si="1"/>
        <v>6.3639638482486456</v>
      </c>
      <c r="S46" s="19">
        <f t="shared" ca="1" si="2"/>
        <v>173.17199829717609</v>
      </c>
      <c r="AD46" s="19">
        <f t="shared" si="12"/>
        <v>157.20687119870934</v>
      </c>
      <c r="AE46" s="19">
        <f t="shared" ca="1" si="13"/>
        <v>87.104212679879097</v>
      </c>
      <c r="AF46" s="19">
        <f ca="1">IF(ISERROR(IF('Hidrograma afluente'!I53="",0,'Hidrograma afluente'!I53)+Simulação!G46),"",IF('Hidrograma afluente'!I53="",0,'Hidrograma afluente'!I53)+Simulação!G46)</f>
        <v>361.83809108649251</v>
      </c>
      <c r="AG46" s="17">
        <v>1.9528501020677274</v>
      </c>
      <c r="AH46" s="17">
        <v>2.3635144850544241</v>
      </c>
      <c r="AI46" s="27">
        <v>131</v>
      </c>
      <c r="AJ46" s="17">
        <v>127.75</v>
      </c>
      <c r="AK46" s="19">
        <f>IF(A46="","",IF('Hidrograma afluente'!I53="",0,'Hidrograma afluente'!I53)+Simulação!B46)</f>
        <v>342.64480488396373</v>
      </c>
    </row>
    <row r="47" spans="1:37" s="17" customFormat="1">
      <c r="A47" s="4">
        <f t="shared" si="3"/>
        <v>42</v>
      </c>
      <c r="B47" s="5">
        <f>IF(A47="","",IF(A47&gt;tc_lot_i+tc,0,IF('Hidrograma afluente'!B54="","",'Hidrograma afluente'!B54)))</f>
        <v>0</v>
      </c>
      <c r="C47" s="21">
        <f t="shared" si="4"/>
        <v>0</v>
      </c>
      <c r="D47" s="21">
        <f t="shared" ca="1" si="5"/>
        <v>1021.1405652654365</v>
      </c>
      <c r="E47" s="21">
        <f t="shared" ca="1" si="6"/>
        <v>18.812126600781692</v>
      </c>
      <c r="F47" s="21">
        <f t="shared" ca="1" si="7"/>
        <v>0</v>
      </c>
      <c r="G47" s="21">
        <f t="shared" ca="1" si="8"/>
        <v>18.812126600781692</v>
      </c>
      <c r="H47" s="21">
        <f t="shared" ca="1" si="14"/>
        <v>1002.3284386646549</v>
      </c>
      <c r="I47" s="22">
        <f t="shared" ca="1" si="9"/>
        <v>54.5</v>
      </c>
      <c r="J47" s="1"/>
      <c r="K47" s="51"/>
      <c r="M47" s="81">
        <f t="shared" ca="1" si="0"/>
        <v>184.00983018131166</v>
      </c>
      <c r="N47" s="19">
        <f t="shared" si="10"/>
        <v>5.3251683688925633</v>
      </c>
      <c r="O47" s="17">
        <f t="shared" si="11"/>
        <v>11.5</v>
      </c>
      <c r="P47" s="19">
        <f ca="1">IF(ISERROR(IF(O47&lt;fi_h/20,0,(OFFSET('Base de dados'!$A$5,IF(O47&lt;20,1,IF(O47&gt;1000,10,MATCH(O47,Cargas,1))),Coluna_fih,1,1))*(1+0.13*0.25)*(PI()*(fi_h/1000)^2/4)*SQRT(2*9.81*(O47/100-fi_h/2/1000))*1000)),"",IF(O47&lt;fi_h/20,0,(OFFSET('Base de dados'!$A$5,IF(O47&lt;20,1,IF(O47&gt;1000,10,MATCH(O47,Cargas,1))),Coluna_fih,1,1))*(PI()*(fi_h/1000)^2/4)*SQRT(2*9.81*(O47/100-fi_h/2/1000))*1000))</f>
        <v>6.5042178848928822</v>
      </c>
      <c r="Q47" s="19">
        <f ca="1">IF(O47="","",IF(Tipo_Vertedor="Retangular",IF(O47&lt;=cota_s*100,0,IF(Tipo_Vertedor="Retangular",Cd_sr*Lef_sr*((O47/100-cota_s)^(3/2))*1000)),IF(O47&lt;=cota_s*100+fi_s/20,0,(OFFSET('Base de dados'!$A$4,IF(O47&lt;20,1,IF(O47&gt;1000,10,MATCH(O47,Cargas,1))),Coluna_fis,1,1))*(PI()*(fi_s/1000)^2/4)*(2*9.81*(O47/100-cota_s-fi_s/2/1000))^0.5*1000)))</f>
        <v>0</v>
      </c>
      <c r="R47" s="19">
        <f t="shared" ca="1" si="1"/>
        <v>6.5042178848928822</v>
      </c>
      <c r="S47" s="19">
        <f t="shared" ca="1" si="2"/>
        <v>177.50561229641878</v>
      </c>
      <c r="AD47" s="19">
        <f t="shared" si="12"/>
        <v>157.20687119870934</v>
      </c>
      <c r="AE47" s="19">
        <f t="shared" ca="1" si="13"/>
        <v>89.384537448077722</v>
      </c>
      <c r="AF47" s="19">
        <f ca="1">IF(ISERROR(IF('Hidrograma afluente'!I54="",0,'Hidrograma afluente'!I54)+Simulação!G47),"",IF('Hidrograma afluente'!I54="",0,'Hidrograma afluente'!I54)+Simulação!G47)</f>
        <v>335.0996388013636</v>
      </c>
      <c r="AG47" s="17">
        <v>1.9377243991416917</v>
      </c>
      <c r="AH47" s="17">
        <v>2.2481640365759255</v>
      </c>
      <c r="AI47" s="27">
        <v>129</v>
      </c>
      <c r="AJ47" s="17">
        <v>125.25</v>
      </c>
      <c r="AK47" s="19">
        <f>IF(A47="","",IF('Hidrograma afluente'!I54="",0,'Hidrograma afluente'!I54)+Simulação!B47)</f>
        <v>316.28751220058189</v>
      </c>
    </row>
    <row r="48" spans="1:37" s="17" customFormat="1">
      <c r="A48" s="4">
        <f t="shared" si="3"/>
        <v>43</v>
      </c>
      <c r="B48" s="5">
        <f>IF(A48="","",IF(A48&gt;tc_lot_i+tc,0,IF('Hidrograma afluente'!B55="","",'Hidrograma afluente'!B55)))</f>
        <v>0</v>
      </c>
      <c r="C48" s="21">
        <f t="shared" si="4"/>
        <v>0</v>
      </c>
      <c r="D48" s="21">
        <f t="shared" ca="1" si="5"/>
        <v>979.09670800503693</v>
      </c>
      <c r="E48" s="21">
        <f t="shared" ca="1" si="6"/>
        <v>18.423082783168901</v>
      </c>
      <c r="F48" s="21">
        <f t="shared" ca="1" si="7"/>
        <v>0</v>
      </c>
      <c r="G48" s="21">
        <f t="shared" ca="1" si="8"/>
        <v>18.423082783168901</v>
      </c>
      <c r="H48" s="21">
        <f t="shared" ca="1" si="14"/>
        <v>960.67362522186806</v>
      </c>
      <c r="I48" s="22">
        <f t="shared" ca="1" si="9"/>
        <v>52.5</v>
      </c>
      <c r="J48" s="1"/>
      <c r="K48" s="51"/>
      <c r="M48" s="81">
        <f t="shared" ca="1" si="0"/>
        <v>188.4924898297925</v>
      </c>
      <c r="N48" s="19">
        <f t="shared" si="10"/>
        <v>5.4555293731071535</v>
      </c>
      <c r="O48" s="17">
        <f t="shared" si="11"/>
        <v>11.75</v>
      </c>
      <c r="P48" s="19">
        <f ca="1">IF(ISERROR(IF(O48&lt;fi_h/20,0,(OFFSET('Base de dados'!$A$5,IF(O48&lt;20,1,IF(O48&gt;1000,10,MATCH(O48,Cargas,1))),Coluna_fih,1,1))*(1+0.13*0.25)*(PI()*(fi_h/1000)^2/4)*SQRT(2*9.81*(O48/100-fi_h/2/1000))*1000)),"",IF(O48&lt;fi_h/20,0,(OFFSET('Base de dados'!$A$5,IF(O48&lt;20,1,IF(O48&gt;1000,10,MATCH(O48,Cargas,1))),Coluna_fih,1,1))*(PI()*(fi_h/1000)^2/4)*SQRT(2*9.81*(O48/100-fi_h/2/1000))*1000))</f>
        <v>6.6415107262207407</v>
      </c>
      <c r="Q48" s="19">
        <f ca="1">IF(O48="","",IF(Tipo_Vertedor="Retangular",IF(O48&lt;=cota_s*100,0,IF(Tipo_Vertedor="Retangular",Cd_sr*Lef_sr*((O48/100-cota_s)^(3/2))*1000)),IF(O48&lt;=cota_s*100+fi_s/20,0,(OFFSET('Base de dados'!$A$4,IF(O48&lt;20,1,IF(O48&gt;1000,10,MATCH(O48,Cargas,1))),Coluna_fis,1,1))*(PI()*(fi_s/1000)^2/4)*(2*9.81*(O48/100-cota_s-fi_s/2/1000))^0.5*1000)))</f>
        <v>0</v>
      </c>
      <c r="R48" s="19">
        <f t="shared" ca="1" si="1"/>
        <v>6.6415107262207407</v>
      </c>
      <c r="S48" s="19">
        <f t="shared" ca="1" si="2"/>
        <v>181.85097910357177</v>
      </c>
      <c r="AD48" s="19">
        <f t="shared" si="12"/>
        <v>157.20687119870934</v>
      </c>
      <c r="AE48" s="19">
        <f t="shared" ca="1" si="13"/>
        <v>91.618650011114752</v>
      </c>
      <c r="AF48" s="19">
        <f ca="1">IF(ISERROR(IF('Hidrograma afluente'!I55="",0,'Hidrograma afluente'!I55)+Simulação!G48),"",IF('Hidrograma afluente'!I55="",0,'Hidrograma afluente'!I55)+Simulação!G48)</f>
        <v>308.35330230036897</v>
      </c>
      <c r="AG48" s="17">
        <v>1.9167316700879879</v>
      </c>
      <c r="AH48" s="17">
        <v>2.018640394175383</v>
      </c>
      <c r="AI48" s="27">
        <v>126.25</v>
      </c>
      <c r="AJ48" s="17">
        <v>122</v>
      </c>
      <c r="AK48" s="19">
        <f>IF(A48="","",IF('Hidrograma afluente'!I55="",0,'Hidrograma afluente'!I55)+Simulação!B48)</f>
        <v>289.93021951720004</v>
      </c>
    </row>
    <row r="49" spans="1:37" s="17" customFormat="1">
      <c r="A49" s="4">
        <f t="shared" si="3"/>
        <v>44</v>
      </c>
      <c r="B49" s="5">
        <f>IF(A49="","",IF(A49&gt;tc_lot_i+tc,0,IF('Hidrograma afluente'!B56="","",'Hidrograma afluente'!B56)))</f>
        <v>0</v>
      </c>
      <c r="C49" s="21">
        <f t="shared" si="4"/>
        <v>0</v>
      </c>
      <c r="D49" s="21">
        <f t="shared" ca="1" si="5"/>
        <v>942.47142617641146</v>
      </c>
      <c r="E49" s="21">
        <f t="shared" ca="1" si="6"/>
        <v>18.07580198022189</v>
      </c>
      <c r="F49" s="21">
        <f t="shared" ca="1" si="7"/>
        <v>0</v>
      </c>
      <c r="G49" s="21">
        <f t="shared" ca="1" si="8"/>
        <v>18.07580198022189</v>
      </c>
      <c r="H49" s="21">
        <f t="shared" ca="1" si="14"/>
        <v>924.3956241961896</v>
      </c>
      <c r="I49" s="22">
        <f t="shared" ca="1" si="9"/>
        <v>50.75</v>
      </c>
      <c r="J49" s="1"/>
      <c r="K49" s="51"/>
      <c r="M49" s="81">
        <f t="shared" ca="1" si="0"/>
        <v>192.98390185609514</v>
      </c>
      <c r="N49" s="19">
        <f t="shared" si="10"/>
        <v>5.5862363845826124</v>
      </c>
      <c r="O49" s="17">
        <f t="shared" si="11"/>
        <v>12</v>
      </c>
      <c r="P49" s="19">
        <f ca="1">IF(ISERROR(IF(O49&lt;fi_h/20,0,(OFFSET('Base de dados'!$A$5,IF(O49&lt;20,1,IF(O49&gt;1000,10,MATCH(O49,Cargas,1))),Coluna_fih,1,1))*(1+0.13*0.25)*(PI()*(fi_h/1000)^2/4)*SQRT(2*9.81*(O49/100-fi_h/2/1000))*1000)),"",IF(O49&lt;fi_h/20,0,(OFFSET('Base de dados'!$A$5,IF(O49&lt;20,1,IF(O49&gt;1000,10,MATCH(O49,Cargas,1))),Coluna_fih,1,1))*(PI()*(fi_h/1000)^2/4)*SQRT(2*9.81*(O49/100-fi_h/2/1000))*1000))</f>
        <v>6.7760223700080768</v>
      </c>
      <c r="Q49" s="19">
        <f ca="1">IF(O49="","",IF(Tipo_Vertedor="Retangular",IF(O49&lt;=cota_s*100,0,IF(Tipo_Vertedor="Retangular",Cd_sr*Lef_sr*((O49/100-cota_s)^(3/2))*1000)),IF(O49&lt;=cota_s*100+fi_s/20,0,(OFFSET('Base de dados'!$A$4,IF(O49&lt;20,1,IF(O49&gt;1000,10,MATCH(O49,Cargas,1))),Coluna_fis,1,1))*(PI()*(fi_s/1000)^2/4)*(2*9.81*(O49/100-cota_s-fi_s/2/1000))^0.5*1000)))</f>
        <v>0</v>
      </c>
      <c r="R49" s="19">
        <f t="shared" ca="1" si="1"/>
        <v>6.7760223700080768</v>
      </c>
      <c r="S49" s="19">
        <f t="shared" ca="1" si="2"/>
        <v>186.20787948608708</v>
      </c>
      <c r="AD49" s="19">
        <f t="shared" si="12"/>
        <v>157.20687119870934</v>
      </c>
      <c r="AE49" s="19">
        <f t="shared" ca="1" si="13"/>
        <v>93.808583096918198</v>
      </c>
      <c r="AF49" s="19">
        <f ca="1">IF(ISERROR(IF('Hidrograma afluente'!I56="",0,'Hidrograma afluente'!I56)+Simulação!G49),"",IF('Hidrograma afluente'!I56="",0,'Hidrograma afluente'!I56)+Simulação!G49)</f>
        <v>281.64872881404011</v>
      </c>
      <c r="AG49" s="17">
        <v>1.891621744609191</v>
      </c>
      <c r="AH49" s="17">
        <v>1.8582738003803154</v>
      </c>
      <c r="AI49" s="27">
        <v>123</v>
      </c>
      <c r="AJ49" s="17">
        <v>118.75</v>
      </c>
      <c r="AK49" s="19">
        <f>IF(A49="","",IF('Hidrograma afluente'!I56="",0,'Hidrograma afluente'!I56)+Simulação!B49)</f>
        <v>263.5729268338182</v>
      </c>
    </row>
    <row r="50" spans="1:37" s="17" customFormat="1">
      <c r="A50" s="4">
        <f t="shared" si="3"/>
        <v>45</v>
      </c>
      <c r="B50" s="5">
        <f>IF(A50="","",IF(A50&gt;tc_lot_i+tc,0,IF('Hidrograma afluente'!B57="","",'Hidrograma afluente'!B57)))</f>
        <v>0</v>
      </c>
      <c r="C50" s="21">
        <f t="shared" si="4"/>
        <v>0</v>
      </c>
      <c r="D50" s="21">
        <f t="shared" ca="1" si="5"/>
        <v>906.00316616600344</v>
      </c>
      <c r="E50" s="21">
        <f t="shared" ca="1" si="6"/>
        <v>17.721717050582114</v>
      </c>
      <c r="F50" s="21">
        <f t="shared" ca="1" si="7"/>
        <v>0</v>
      </c>
      <c r="G50" s="21">
        <f t="shared" ca="1" si="8"/>
        <v>17.721717050582114</v>
      </c>
      <c r="H50" s="21">
        <f t="shared" ca="1" si="14"/>
        <v>888.28144911542131</v>
      </c>
      <c r="I50" s="22">
        <f t="shared" ca="1" si="9"/>
        <v>49</v>
      </c>
      <c r="J50" s="1"/>
      <c r="K50" s="51"/>
      <c r="M50" s="81">
        <f t="shared" ca="1" si="0"/>
        <v>197.4840180756683</v>
      </c>
      <c r="N50" s="19">
        <f t="shared" si="10"/>
        <v>5.7172830837060262</v>
      </c>
      <c r="O50" s="17">
        <f t="shared" si="11"/>
        <v>12.25</v>
      </c>
      <c r="P50" s="19">
        <f ca="1">IF(ISERROR(IF(O50&lt;fi_h/20,0,(OFFSET('Base de dados'!$A$5,IF(O50&lt;20,1,IF(O50&gt;1000,10,MATCH(O50,Cargas,1))),Coluna_fih,1,1))*(1+0.13*0.25)*(PI()*(fi_h/1000)^2/4)*SQRT(2*9.81*(O50/100-fi_h/2/1000))*1000)),"",IF(O50&lt;fi_h/20,0,(OFFSET('Base de dados'!$A$5,IF(O50&lt;20,1,IF(O50&gt;1000,10,MATCH(O50,Cargas,1))),Coluna_fih,1,1))*(PI()*(fi_h/1000)^2/4)*SQRT(2*9.81*(O50/100-fi_h/2/1000))*1000))</f>
        <v>6.9079152854674328</v>
      </c>
      <c r="Q50" s="19">
        <f ca="1">IF(O50="","",IF(Tipo_Vertedor="Retangular",IF(O50&lt;=cota_s*100,0,IF(Tipo_Vertedor="Retangular",Cd_sr*Lef_sr*((O50/100-cota_s)^(3/2))*1000)),IF(O50&lt;=cota_s*100+fi_s/20,0,(OFFSET('Base de dados'!$A$4,IF(O50&lt;20,1,IF(O50&gt;1000,10,MATCH(O50,Cargas,1))),Coluna_fis,1,1))*(PI()*(fi_s/1000)^2/4)*(2*9.81*(O50/100-cota_s-fi_s/2/1000))^0.5*1000)))</f>
        <v>0</v>
      </c>
      <c r="R50" s="19">
        <f t="shared" ca="1" si="1"/>
        <v>6.9079152854674328</v>
      </c>
      <c r="S50" s="19">
        <f t="shared" ca="1" si="2"/>
        <v>190.57610279020088</v>
      </c>
      <c r="AD50" s="19">
        <f t="shared" si="12"/>
        <v>157.20687119870934</v>
      </c>
      <c r="AE50" s="19">
        <f t="shared" ca="1" si="13"/>
        <v>95.956434238766434</v>
      </c>
      <c r="AF50" s="19">
        <f ca="1">IF(ISERROR(IF('Hidrograma afluente'!I57="",0,'Hidrograma afluente'!I57)+Simulação!G50),"",IF('Hidrograma afluente'!I57="",0,'Hidrograma afluente'!I57)+Simulação!G50)</f>
        <v>254.93735120101854</v>
      </c>
      <c r="AG50" s="17">
        <v>1.8661739882010873</v>
      </c>
      <c r="AH50" s="17">
        <v>1.8343691029900564</v>
      </c>
      <c r="AI50" s="27">
        <v>119.75</v>
      </c>
      <c r="AJ50" s="17">
        <v>115.75</v>
      </c>
      <c r="AK50" s="19">
        <f>IF(A50="","",IF('Hidrograma afluente'!I57="",0,'Hidrograma afluente'!I57)+Simulação!B50)</f>
        <v>237.21563415043641</v>
      </c>
    </row>
    <row r="51" spans="1:37" s="17" customFormat="1">
      <c r="A51" s="4">
        <f t="shared" si="3"/>
        <v>46</v>
      </c>
      <c r="B51" s="5">
        <f>IF(A51="","",IF(A51&gt;tc_lot_i+tc,0,IF('Hidrograma afluente'!B58="","",'Hidrograma afluente'!B58)))</f>
        <v>0</v>
      </c>
      <c r="C51" s="21">
        <f t="shared" si="4"/>
        <v>0</v>
      </c>
      <c r="D51" s="21">
        <f t="shared" ca="1" si="5"/>
        <v>869.69682843126657</v>
      </c>
      <c r="E51" s="21">
        <f t="shared" ca="1" si="6"/>
        <v>17.36041166601737</v>
      </c>
      <c r="F51" s="21">
        <f t="shared" ca="1" si="7"/>
        <v>0</v>
      </c>
      <c r="G51" s="21">
        <f t="shared" ca="1" si="8"/>
        <v>17.36041166601737</v>
      </c>
      <c r="H51" s="21">
        <f t="shared" ca="1" si="14"/>
        <v>852.33641676524917</v>
      </c>
      <c r="I51" s="22">
        <f t="shared" ca="1" si="9"/>
        <v>47.25</v>
      </c>
      <c r="J51" s="1"/>
      <c r="K51" s="51"/>
      <c r="M51" s="81">
        <f t="shared" ca="1" si="0"/>
        <v>201.9927831505322</v>
      </c>
      <c r="N51" s="19">
        <f t="shared" si="10"/>
        <v>5.8486633931016643</v>
      </c>
      <c r="O51" s="17">
        <f t="shared" si="11"/>
        <v>12.5</v>
      </c>
      <c r="P51" s="19">
        <f ca="1">IF(ISERROR(IF(O51&lt;fi_h/20,0,(OFFSET('Base de dados'!$A$5,IF(O51&lt;20,1,IF(O51&gt;1000,10,MATCH(O51,Cargas,1))),Coluna_fih,1,1))*(1+0.13*0.25)*(PI()*(fi_h/1000)^2/4)*SQRT(2*9.81*(O51/100-fi_h/2/1000))*1000)),"",IF(O51&lt;fi_h/20,0,(OFFSET('Base de dados'!$A$5,IF(O51&lt;20,1,IF(O51&gt;1000,10,MATCH(O51,Cargas,1))),Coluna_fih,1,1))*(PI()*(fi_h/1000)^2/4)*SQRT(2*9.81*(O51/100-fi_h/2/1000))*1000))</f>
        <v>7.0373367138100855</v>
      </c>
      <c r="Q51" s="19">
        <f ca="1">IF(O51="","",IF(Tipo_Vertedor="Retangular",IF(O51&lt;=cota_s*100,0,IF(Tipo_Vertedor="Retangular",Cd_sr*Lef_sr*((O51/100-cota_s)^(3/2))*1000)),IF(O51&lt;=cota_s*100+fi_s/20,0,(OFFSET('Base de dados'!$A$4,IF(O51&lt;20,1,IF(O51&gt;1000,10,MATCH(O51,Cargas,1))),Coluna_fis,1,1))*(PI()*(fi_s/1000)^2/4)*(2*9.81*(O51/100-cota_s-fi_s/2/1000))^0.5*1000)))</f>
        <v>0</v>
      </c>
      <c r="R51" s="19">
        <f t="shared" ca="1" si="1"/>
        <v>7.0373367138100855</v>
      </c>
      <c r="S51" s="19">
        <f t="shared" ca="1" si="2"/>
        <v>194.95544643672213</v>
      </c>
      <c r="AD51" s="19">
        <f t="shared" si="12"/>
        <v>157.20687119870934</v>
      </c>
      <c r="AE51" s="19">
        <f t="shared" ca="1" si="13"/>
        <v>98.061361961762401</v>
      </c>
      <c r="AF51" s="19">
        <f ca="1">IF(ISERROR(IF('Hidrograma afluente'!I58="",0,'Hidrograma afluente'!I58)+Simulação!G51),"",IF('Hidrograma afluente'!I58="",0,'Hidrograma afluente'!I58)+Simulação!G51)</f>
        <v>228.21875313307194</v>
      </c>
      <c r="AG51" s="17">
        <v>1.8423717982706409</v>
      </c>
      <c r="AH51" s="17">
        <v>1.8101487493654185</v>
      </c>
      <c r="AI51" s="27">
        <v>116.75</v>
      </c>
      <c r="AJ51" s="17">
        <v>112.75</v>
      </c>
      <c r="AK51" s="19">
        <f>IF(A51="","",IF('Hidrograma afluente'!I58="",0,'Hidrograma afluente'!I58)+Simulação!B51)</f>
        <v>210.85834146705457</v>
      </c>
    </row>
    <row r="52" spans="1:37" s="17" customFormat="1">
      <c r="A52" s="4">
        <f t="shared" si="3"/>
        <v>47</v>
      </c>
      <c r="B52" s="5">
        <f>IF(A52="","",IF(A52&gt;tc_lot_i+tc,0,IF('Hidrograma afluente'!B59="","",'Hidrograma afluente'!B59)))</f>
        <v>0</v>
      </c>
      <c r="C52" s="21">
        <f t="shared" si="4"/>
        <v>0</v>
      </c>
      <c r="D52" s="21">
        <f t="shared" ca="1" si="5"/>
        <v>833.55765326159838</v>
      </c>
      <c r="E52" s="21">
        <f t="shared" ca="1" si="6"/>
        <v>16.991425225868817</v>
      </c>
      <c r="F52" s="21">
        <f t="shared" ca="1" si="7"/>
        <v>0</v>
      </c>
      <c r="G52" s="21">
        <f t="shared" ca="1" si="8"/>
        <v>16.991425225868817</v>
      </c>
      <c r="H52" s="21">
        <f t="shared" ca="1" si="14"/>
        <v>816.56622803572952</v>
      </c>
      <c r="I52" s="22">
        <f t="shared" ca="1" si="9"/>
        <v>45.5</v>
      </c>
      <c r="J52" s="1"/>
      <c r="K52" s="51"/>
      <c r="M52" s="81">
        <f t="shared" ca="1" si="0"/>
        <v>206.51013605053427</v>
      </c>
      <c r="N52" s="19">
        <f t="shared" si="10"/>
        <v>5.9803714636789591</v>
      </c>
      <c r="O52" s="17">
        <f t="shared" si="11"/>
        <v>12.75</v>
      </c>
      <c r="P52" s="19">
        <f ca="1">IF(ISERROR(IF(O52&lt;fi_h/20,0,(OFFSET('Base de dados'!$A$5,IF(O52&lt;20,1,IF(O52&gt;1000,10,MATCH(O52,Cargas,1))),Coluna_fih,1,1))*(1+0.13*0.25)*(PI()*(fi_h/1000)^2/4)*SQRT(2*9.81*(O52/100-fi_h/2/1000))*1000)),"",IF(O52&lt;fi_h/20,0,(OFFSET('Base de dados'!$A$5,IF(O52&lt;20,1,IF(O52&gt;1000,10,MATCH(O52,Cargas,1))),Coluna_fih,1,1))*(PI()*(fi_h/1000)^2/4)*SQRT(2*9.81*(O52/100-fi_h/2/1000))*1000))</f>
        <v>7.1644205945689743</v>
      </c>
      <c r="Q52" s="19">
        <f ca="1">IF(O52="","",IF(Tipo_Vertedor="Retangular",IF(O52&lt;=cota_s*100,0,IF(Tipo_Vertedor="Retangular",Cd_sr*Lef_sr*((O52/100-cota_s)^(3/2))*1000)),IF(O52&lt;=cota_s*100+fi_s/20,0,(OFFSET('Base de dados'!$A$4,IF(O52&lt;20,1,IF(O52&gt;1000,10,MATCH(O52,Cargas,1))),Coluna_fis,1,1))*(PI()*(fi_s/1000)^2/4)*(2*9.81*(O52/100-cota_s-fi_s/2/1000))^0.5*1000)))</f>
        <v>0</v>
      </c>
      <c r="R52" s="19">
        <f t="shared" ca="1" si="1"/>
        <v>7.1644205945689743</v>
      </c>
      <c r="S52" s="19">
        <f t="shared" ca="1" si="2"/>
        <v>199.34571545596529</v>
      </c>
      <c r="AD52" s="19">
        <f t="shared" si="12"/>
        <v>157.20687119870934</v>
      </c>
      <c r="AE52" s="19">
        <f t="shared" ca="1" si="13"/>
        <v>100.12247217527558</v>
      </c>
      <c r="AF52" s="19">
        <f ca="1">IF(ISERROR(IF('Hidrograma afluente'!I59="",0,'Hidrograma afluente'!I59)+Simulação!G52),"",IF('Hidrograma afluente'!I59="",0,'Hidrograma afluente'!I59)+Simulação!G52)</f>
        <v>201.49247400954161</v>
      </c>
      <c r="AG52" s="17">
        <v>1.8182580487619575</v>
      </c>
      <c r="AH52" s="17">
        <v>1.7855998946163256</v>
      </c>
      <c r="AI52" s="27">
        <v>113.75</v>
      </c>
      <c r="AJ52" s="17">
        <v>109.75</v>
      </c>
      <c r="AK52" s="19">
        <f>IF(A52="","",IF('Hidrograma afluente'!I59="",0,'Hidrograma afluente'!I59)+Simulação!B52)</f>
        <v>184.50104878367279</v>
      </c>
    </row>
    <row r="53" spans="1:37" s="17" customFormat="1">
      <c r="A53" s="4">
        <f t="shared" si="3"/>
        <v>48</v>
      </c>
      <c r="B53" s="5">
        <f>IF(A53="","",IF(A53&gt;tc_lot_i+tc,0,IF('Hidrograma afluente'!B60="","",'Hidrograma afluente'!B60)))</f>
        <v>0</v>
      </c>
      <c r="C53" s="21">
        <f t="shared" si="4"/>
        <v>0</v>
      </c>
      <c r="D53" s="21">
        <f t="shared" ca="1" si="5"/>
        <v>797.59125830765151</v>
      </c>
      <c r="E53" s="21">
        <f t="shared" ca="1" si="6"/>
        <v>16.614245971424353</v>
      </c>
      <c r="F53" s="21">
        <f t="shared" ca="1" si="7"/>
        <v>0</v>
      </c>
      <c r="G53" s="21">
        <f t="shared" ca="1" si="8"/>
        <v>16.614245971424353</v>
      </c>
      <c r="H53" s="21">
        <f t="shared" ca="1" si="14"/>
        <v>780.97701233622718</v>
      </c>
      <c r="I53" s="22">
        <f t="shared" ca="1" si="9"/>
        <v>43.75</v>
      </c>
      <c r="J53" s="1"/>
      <c r="K53" s="51"/>
      <c r="M53" s="81">
        <f t="shared" ca="1" si="0"/>
        <v>211.03601124758202</v>
      </c>
      <c r="N53" s="19">
        <f t="shared" si="10"/>
        <v>6.1124016617423225</v>
      </c>
      <c r="O53" s="17">
        <f t="shared" si="11"/>
        <v>13</v>
      </c>
      <c r="P53" s="19">
        <f ca="1">IF(ISERROR(IF(O53&lt;fi_h/20,0,(OFFSET('Base de dados'!$A$5,IF(O53&lt;20,1,IF(O53&gt;1000,10,MATCH(O53,Cargas,1))),Coluna_fih,1,1))*(1+0.13*0.25)*(PI()*(fi_h/1000)^2/4)*SQRT(2*9.81*(O53/100-fi_h/2/1000))*1000)),"",IF(O53&lt;fi_h/20,0,(OFFSET('Base de dados'!$A$5,IF(O53&lt;20,1,IF(O53&gt;1000,10,MATCH(O53,Cargas,1))),Coluna_fih,1,1))*(PI()*(fi_h/1000)^2/4)*SQRT(2*9.81*(O53/100-fi_h/2/1000))*1000))</f>
        <v>7.2892891895046112</v>
      </c>
      <c r="Q53" s="19">
        <f ca="1">IF(O53="","",IF(Tipo_Vertedor="Retangular",IF(O53&lt;=cota_s*100,0,IF(Tipo_Vertedor="Retangular",Cd_sr*Lef_sr*((O53/100-cota_s)^(3/2))*1000)),IF(O53&lt;=cota_s*100+fi_s/20,0,(OFFSET('Base de dados'!$A$4,IF(O53&lt;20,1,IF(O53&gt;1000,10,MATCH(O53,Cargas,1))),Coluna_fis,1,1))*(PI()*(fi_s/1000)^2/4)*(2*9.81*(O53/100-cota_s-fi_s/2/1000))^0.5*1000)))</f>
        <v>0</v>
      </c>
      <c r="R53" s="19">
        <f t="shared" ca="1" si="1"/>
        <v>7.2892891895046112</v>
      </c>
      <c r="S53" s="19">
        <f t="shared" ca="1" si="2"/>
        <v>203.74672205807741</v>
      </c>
      <c r="AD53" s="19">
        <f t="shared" si="12"/>
        <v>157.20687119870934</v>
      </c>
      <c r="AE53" s="19">
        <f t="shared" ca="1" si="13"/>
        <v>102.13881244711317</v>
      </c>
      <c r="AF53" s="19">
        <f ca="1">IF(ISERROR(IF('Hidrograma afluente'!I60="",0,'Hidrograma afluente'!I60)+Simulação!G53),"",IF('Hidrograma afluente'!I60="",0,'Hidrograma afluente'!I60)+Simulação!G53)</f>
        <v>174.75800207171528</v>
      </c>
      <c r="AG53" s="17">
        <v>1.7938201751324703</v>
      </c>
      <c r="AH53" s="17">
        <v>1.7607087983191538</v>
      </c>
      <c r="AI53" s="27">
        <v>110.75</v>
      </c>
      <c r="AJ53" s="17">
        <v>106.75</v>
      </c>
      <c r="AK53" s="19">
        <f>IF(A53="","",IF('Hidrograma afluente'!I60="",0,'Hidrograma afluente'!I60)+Simulação!B53)</f>
        <v>158.14375610029094</v>
      </c>
    </row>
    <row r="54" spans="1:37" s="17" customFormat="1">
      <c r="A54" s="4">
        <f t="shared" si="3"/>
        <v>49</v>
      </c>
      <c r="B54" s="5">
        <f>IF(A54="","",IF(A54&gt;tc_lot_i+tc,0,IF('Hidrograma afluente'!B61="","",'Hidrograma afluente'!B61)))</f>
        <v>0</v>
      </c>
      <c r="C54" s="21">
        <f t="shared" si="4"/>
        <v>0</v>
      </c>
      <c r="D54" s="21">
        <f t="shared" ca="1" si="5"/>
        <v>761.80368192131039</v>
      </c>
      <c r="E54" s="21">
        <f t="shared" ca="1" si="6"/>
        <v>16.228302658987158</v>
      </c>
      <c r="F54" s="21">
        <f t="shared" ca="1" si="7"/>
        <v>0</v>
      </c>
      <c r="G54" s="21">
        <f t="shared" ca="1" si="8"/>
        <v>16.228302658987158</v>
      </c>
      <c r="H54" s="21">
        <f t="shared" ca="1" si="14"/>
        <v>745.57537926232328</v>
      </c>
      <c r="I54" s="22">
        <f t="shared" ca="1" si="9"/>
        <v>42</v>
      </c>
      <c r="J54" s="1"/>
      <c r="K54" s="51"/>
      <c r="M54" s="81">
        <f t="shared" ca="1" si="0"/>
        <v>215.57033969561095</v>
      </c>
      <c r="N54" s="19">
        <f t="shared" si="10"/>
        <v>6.244748557063132</v>
      </c>
      <c r="O54" s="17">
        <f t="shared" si="11"/>
        <v>13.25</v>
      </c>
      <c r="P54" s="19">
        <f ca="1">IF(ISERROR(IF(O54&lt;fi_h/20,0,(OFFSET('Base de dados'!$A$5,IF(O54&lt;20,1,IF(O54&gt;1000,10,MATCH(O54,Cargas,1))),Coluna_fih,1,1))*(1+0.13*0.25)*(PI()*(fi_h/1000)^2/4)*SQRT(2*9.81*(O54/100-fi_h/2/1000))*1000)),"",IF(O54&lt;fi_h/20,0,(OFFSET('Base de dados'!$A$5,IF(O54&lt;20,1,IF(O54&gt;1000,10,MATCH(O54,Cargas,1))),Coluna_fih,1,1))*(PI()*(fi_h/1000)^2/4)*SQRT(2*9.81*(O54/100-fi_h/2/1000))*1000))</f>
        <v>7.4120544601732066</v>
      </c>
      <c r="Q54" s="19">
        <f ca="1">IF(O54="","",IF(Tipo_Vertedor="Retangular",IF(O54&lt;=cota_s*100,0,IF(Tipo_Vertedor="Retangular",Cd_sr*Lef_sr*((O54/100-cota_s)^(3/2))*1000)),IF(O54&lt;=cota_s*100+fi_s/20,0,(OFFSET('Base de dados'!$A$4,IF(O54&lt;20,1,IF(O54&gt;1000,10,MATCH(O54,Cargas,1))),Coluna_fis,1,1))*(PI()*(fi_s/1000)^2/4)*(2*9.81*(O54/100-cota_s-fi_s/2/1000))^0.5*1000)))</f>
        <v>0</v>
      </c>
      <c r="R54" s="19">
        <f t="shared" ca="1" si="1"/>
        <v>7.4120544601732066</v>
      </c>
      <c r="S54" s="19">
        <f t="shared" ca="1" si="2"/>
        <v>208.15828523543775</v>
      </c>
      <c r="AD54" s="19">
        <f t="shared" si="12"/>
        <v>157.20687119870934</v>
      </c>
      <c r="AE54" s="19">
        <f t="shared" ca="1" si="13"/>
        <v>104.10936536493786</v>
      </c>
      <c r="AF54" s="19">
        <f ca="1">IF(ISERROR(IF('Hidrograma afluente'!I61="",0,'Hidrograma afluente'!I61)+Simulação!G54),"",IF('Hidrograma afluente'!I61="",0,'Hidrograma afluente'!I61)+Simulação!G54)</f>
        <v>148.01476607589623</v>
      </c>
      <c r="AG54" s="17">
        <v>1.7690447449222224</v>
      </c>
      <c r="AH54" s="17">
        <v>1.735460734589845</v>
      </c>
      <c r="AI54" s="27">
        <v>107.75</v>
      </c>
      <c r="AJ54" s="17">
        <v>103.75</v>
      </c>
      <c r="AK54" s="19">
        <f>IF(A54="","",IF('Hidrograma afluente'!I61="",0,'Hidrograma afluente'!I61)+Simulação!B54)</f>
        <v>131.78646341690907</v>
      </c>
    </row>
    <row r="55" spans="1:37" s="17" customFormat="1">
      <c r="A55" s="4">
        <f t="shared" si="3"/>
        <v>50</v>
      </c>
      <c r="B55" s="5">
        <f>IF(A55="","",IF(A55&gt;tc_lot_i+tc,0,IF('Hidrograma afluente'!B62="","",'Hidrograma afluente'!B62)))</f>
        <v>0</v>
      </c>
      <c r="C55" s="21">
        <f t="shared" si="4"/>
        <v>0</v>
      </c>
      <c r="D55" s="21">
        <f t="shared" ca="1" si="5"/>
        <v>726.20143348559043</v>
      </c>
      <c r="E55" s="21">
        <f t="shared" ca="1" si="6"/>
        <v>15.832954404797258</v>
      </c>
      <c r="F55" s="21">
        <f t="shared" ca="1" si="7"/>
        <v>0</v>
      </c>
      <c r="G55" s="21">
        <f t="shared" ca="1" si="8"/>
        <v>15.832954404797258</v>
      </c>
      <c r="H55" s="21">
        <f t="shared" ca="1" si="14"/>
        <v>710.36847908079312</v>
      </c>
      <c r="I55" s="22">
        <f t="shared" ca="1" si="9"/>
        <v>40.25</v>
      </c>
      <c r="J55" s="1"/>
      <c r="K55" s="51"/>
      <c r="M55" s="81">
        <f t="shared" ca="1" si="0"/>
        <v>220.11304963751866</v>
      </c>
      <c r="N55" s="19">
        <f t="shared" si="10"/>
        <v>6.3774069118251902</v>
      </c>
      <c r="O55" s="17">
        <f t="shared" si="11"/>
        <v>13.5</v>
      </c>
      <c r="P55" s="19">
        <f ca="1">IF(ISERROR(IF(O55&lt;fi_h/20,0,(OFFSET('Base de dados'!$A$5,IF(O55&lt;20,1,IF(O55&gt;1000,10,MATCH(O55,Cargas,1))),Coluna_fih,1,1))*(1+0.13*0.25)*(PI()*(fi_h/1000)^2/4)*SQRT(2*9.81*(O55/100-fi_h/2/1000))*1000)),"",IF(O55&lt;fi_h/20,0,(OFFSET('Base de dados'!$A$5,IF(O55&lt;20,1,IF(O55&gt;1000,10,MATCH(O55,Cargas,1))),Coluna_fih,1,1))*(PI()*(fi_h/1000)^2/4)*SQRT(2*9.81*(O55/100-fi_h/2/1000))*1000))</f>
        <v>7.5328192433456307</v>
      </c>
      <c r="Q55" s="19">
        <f ca="1">IF(O55="","",IF(Tipo_Vertedor="Retangular",IF(O55&lt;=cota_s*100,0,IF(Tipo_Vertedor="Retangular",Cd_sr*Lef_sr*((O55/100-cota_s)^(3/2))*1000)),IF(O55&lt;=cota_s*100+fi_s/20,0,(OFFSET('Base de dados'!$A$4,IF(O55&lt;20,1,IF(O55&gt;1000,10,MATCH(O55,Cargas,1))),Coluna_fis,1,1))*(PI()*(fi_s/1000)^2/4)*(2*9.81*(O55/100-cota_s-fi_s/2/1000))^0.5*1000)))</f>
        <v>0</v>
      </c>
      <c r="R55" s="19">
        <f t="shared" ca="1" si="1"/>
        <v>7.5328192433456307</v>
      </c>
      <c r="S55" s="19">
        <f t="shared" ca="1" si="2"/>
        <v>212.58023039417301</v>
      </c>
      <c r="AD55" s="19">
        <f t="shared" si="12"/>
        <v>157.20687119870934</v>
      </c>
      <c r="AE55" s="19">
        <f t="shared" ca="1" si="13"/>
        <v>106.03304078876492</v>
      </c>
      <c r="AF55" s="19">
        <f ca="1">IF(ISERROR(IF('Hidrograma afluente'!I62="",0,'Hidrograma afluente'!I62)+Simulação!G55),"",IF('Hidrograma afluente'!I62="",0,'Hidrograma afluente'!I62)+Simulação!G55)</f>
        <v>121.26212513832455</v>
      </c>
      <c r="AG55" s="17">
        <v>1.7439173714260592</v>
      </c>
      <c r="AH55" s="17">
        <v>1.7098398902025207</v>
      </c>
      <c r="AI55" s="27">
        <v>104.75</v>
      </c>
      <c r="AJ55" s="17">
        <v>100.75</v>
      </c>
      <c r="AK55" s="19">
        <f>IF(A55="","",IF('Hidrograma afluente'!I62="",0,'Hidrograma afluente'!I62)+Simulação!B55)</f>
        <v>105.42917073352729</v>
      </c>
    </row>
    <row r="56" spans="1:37" s="17" customFormat="1">
      <c r="A56" s="4">
        <f t="shared" si="3"/>
        <v>51</v>
      </c>
      <c r="B56" s="5">
        <f>IF(A56="","",IF(A56&gt;tc_lot_i+tc,0,IF('Hidrograma afluente'!B63="","",'Hidrograma afluente'!B63)))</f>
        <v>0</v>
      </c>
      <c r="C56" s="21">
        <f t="shared" si="4"/>
        <v>0</v>
      </c>
      <c r="D56" s="21">
        <f t="shared" ca="1" si="5"/>
        <v>690.79155221479084</v>
      </c>
      <c r="E56" s="21">
        <f t="shared" ca="1" si="6"/>
        <v>15.402104044168482</v>
      </c>
      <c r="F56" s="21">
        <f t="shared" ca="1" si="7"/>
        <v>0</v>
      </c>
      <c r="G56" s="21">
        <f t="shared" ca="1" si="8"/>
        <v>15.402104044168482</v>
      </c>
      <c r="H56" s="21">
        <f t="shared" ca="1" si="14"/>
        <v>675.38944817062236</v>
      </c>
      <c r="I56" s="22">
        <f t="shared" ca="1" si="9"/>
        <v>38.5</v>
      </c>
      <c r="J56" s="1"/>
      <c r="K56" s="51"/>
      <c r="M56" s="81">
        <f t="shared" ca="1" si="0"/>
        <v>224.66406727155018</v>
      </c>
      <c r="N56" s="19">
        <f t="shared" si="10"/>
        <v>6.5103716703647239</v>
      </c>
      <c r="O56" s="17">
        <f t="shared" si="11"/>
        <v>13.75</v>
      </c>
      <c r="P56" s="19">
        <f ca="1">IF(ISERROR(IF(O56&lt;fi_h/20,0,(OFFSET('Base de dados'!$A$5,IF(O56&lt;20,1,IF(O56&gt;1000,10,MATCH(O56,Cargas,1))),Coluna_fih,1,1))*(1+0.13*0.25)*(PI()*(fi_h/1000)^2/4)*SQRT(2*9.81*(O56/100-fi_h/2/1000))*1000)),"",IF(O56&lt;fi_h/20,0,(OFFSET('Base de dados'!$A$5,IF(O56&lt;20,1,IF(O56&gt;1000,10,MATCH(O56,Cargas,1))),Coluna_fih,1,1))*(PI()*(fi_h/1000)^2/4)*SQRT(2*9.81*(O56/100-fi_h/2/1000))*1000))</f>
        <v>7.6516782593927051</v>
      </c>
      <c r="Q56" s="19">
        <f ca="1">IF(O56="","",IF(Tipo_Vertedor="Retangular",IF(O56&lt;=cota_s*100,0,IF(Tipo_Vertedor="Retangular",Cd_sr*Lef_sr*((O56/100-cota_s)^(3/2))*1000)),IF(O56&lt;=cota_s*100+fi_s/20,0,(OFFSET('Base de dados'!$A$4,IF(O56&lt;20,1,IF(O56&gt;1000,10,MATCH(O56,Cargas,1))),Coluna_fis,1,1))*(PI()*(fi_s/1000)^2/4)*(2*9.81*(O56/100-cota_s-fi_s/2/1000))^0.5*1000)))</f>
        <v>0</v>
      </c>
      <c r="R56" s="19">
        <f t="shared" ca="1" si="1"/>
        <v>7.6516782593927051</v>
      </c>
      <c r="S56" s="19">
        <f t="shared" ca="1" si="2"/>
        <v>217.01238901215748</v>
      </c>
      <c r="AD56" s="19">
        <f t="shared" si="12"/>
        <v>157.20687119870934</v>
      </c>
      <c r="AE56" s="19">
        <f t="shared" ca="1" si="13"/>
        <v>107.90714429570286</v>
      </c>
      <c r="AF56" s="19">
        <f ca="1">IF(ISERROR(IF('Hidrograma afluente'!I63="",0,'Hidrograma afluente'!I63)+Simulação!G56),"",IF('Hidrograma afluente'!I63="",0,'Hidrograma afluente'!I63)+Simulação!G56)</f>
        <v>94.473982094313982</v>
      </c>
      <c r="AG56" s="17">
        <v>1.7184226160017271</v>
      </c>
      <c r="AH56" s="17">
        <v>1.6965827376852747</v>
      </c>
      <c r="AI56" s="27">
        <v>101.75</v>
      </c>
      <c r="AJ56" s="17">
        <v>98</v>
      </c>
      <c r="AK56" s="19">
        <f>IF(A56="","",IF('Hidrograma afluente'!I63="",0,'Hidrograma afluente'!I63)+Simulação!B56)</f>
        <v>79.0718780501455</v>
      </c>
    </row>
    <row r="57" spans="1:37" s="17" customFormat="1">
      <c r="A57" s="4">
        <f t="shared" si="3"/>
        <v>52</v>
      </c>
      <c r="B57" s="5">
        <f>IF(A57="","",IF(A57&gt;tc_lot_i+tc,0,IF('Hidrograma afluente'!B64="","",'Hidrograma afluente'!B64)))</f>
        <v>0</v>
      </c>
      <c r="C57" s="21">
        <f t="shared" si="4"/>
        <v>0</v>
      </c>
      <c r="D57" s="21">
        <f t="shared" ca="1" si="5"/>
        <v>655.58167630031721</v>
      </c>
      <c r="E57" s="21">
        <f t="shared" ca="1" si="6"/>
        <v>14.98636406741068</v>
      </c>
      <c r="F57" s="21">
        <f t="shared" ca="1" si="7"/>
        <v>0</v>
      </c>
      <c r="G57" s="21">
        <f t="shared" ca="1" si="8"/>
        <v>14.98636406741068</v>
      </c>
      <c r="H57" s="21">
        <f t="shared" ca="1" si="14"/>
        <v>640.59531223290651</v>
      </c>
      <c r="I57" s="22">
        <f t="shared" ca="1" si="9"/>
        <v>36.75</v>
      </c>
      <c r="J57" s="1"/>
      <c r="K57" s="51"/>
      <c r="M57" s="81">
        <f t="shared" ca="1" si="0"/>
        <v>229.22331730290742</v>
      </c>
      <c r="N57" s="19">
        <f t="shared" si="10"/>
        <v>6.6436379496343267</v>
      </c>
      <c r="O57" s="17">
        <f t="shared" si="11"/>
        <v>14</v>
      </c>
      <c r="P57" s="19">
        <f ca="1">IF(ISERROR(IF(O57&lt;fi_h/20,0,(OFFSET('Base de dados'!$A$5,IF(O57&lt;20,1,IF(O57&gt;1000,10,MATCH(O57,Cargas,1))),Coluna_fih,1,1))*(1+0.13*0.25)*(PI()*(fi_h/1000)^2/4)*SQRT(2*9.81*(O57/100-fi_h/2/1000))*1000)),"",IF(O57&lt;fi_h/20,0,(OFFSET('Base de dados'!$A$5,IF(O57&lt;20,1,IF(O57&gt;1000,10,MATCH(O57,Cargas,1))),Coluna_fih,1,1))*(PI()*(fi_h/1000)^2/4)*SQRT(2*9.81*(O57/100-fi_h/2/1000))*1000))</f>
        <v>7.7687189817631905</v>
      </c>
      <c r="Q57" s="19">
        <f ca="1">IF(O57="","",IF(Tipo_Vertedor="Retangular",IF(O57&lt;=cota_s*100,0,IF(Tipo_Vertedor="Retangular",Cd_sr*Lef_sr*((O57/100-cota_s)^(3/2))*1000)),IF(O57&lt;=cota_s*100+fi_s/20,0,(OFFSET('Base de dados'!$A$4,IF(O57&lt;20,1,IF(O57&gt;1000,10,MATCH(O57,Cargas,1))),Coluna_fis,1,1))*(PI()*(fi_s/1000)^2/4)*(2*9.81*(O57/100-cota_s-fi_s/2/1000))^0.5*1000)))</f>
        <v>0</v>
      </c>
      <c r="R57" s="19">
        <f t="shared" ca="1" si="1"/>
        <v>7.7687189817631905</v>
      </c>
      <c r="S57" s="19">
        <f t="shared" ca="1" si="2"/>
        <v>221.45459832114423</v>
      </c>
      <c r="AD57" s="19">
        <f t="shared" si="12"/>
        <v>157.20687119870934</v>
      </c>
      <c r="AE57" s="19">
        <f t="shared" ca="1" si="13"/>
        <v>109.73045238239762</v>
      </c>
      <c r="AF57" s="19">
        <f ca="1">IF(ISERROR(IF('Hidrograma afluente'!I64="",0,'Hidrograma afluente'!I64)+Simulação!G57),"",IF('Hidrograma afluente'!I64="",0,'Hidrograma afluente'!I64)+Simulação!G57)</f>
        <v>67.700949434174277</v>
      </c>
      <c r="AG57" s="17">
        <v>1.7053407080085252</v>
      </c>
      <c r="AH57" s="17">
        <v>1.6722618330328627</v>
      </c>
      <c r="AI57" s="27">
        <v>99</v>
      </c>
      <c r="AJ57" s="17">
        <v>95.25</v>
      </c>
      <c r="AK57" s="19">
        <f>IF(A57="","",IF('Hidrograma afluente'!I64="",0,'Hidrograma afluente'!I64)+Simulação!B57)</f>
        <v>52.714585366763593</v>
      </c>
    </row>
    <row r="58" spans="1:37" s="17" customFormat="1">
      <c r="A58" s="4">
        <f t="shared" si="3"/>
        <v>53</v>
      </c>
      <c r="B58" s="5">
        <f>IF(A58="","",IF(A58&gt;tc_lot_i+tc,0,IF('Hidrograma afluente'!B65="","",'Hidrograma afluente'!B65)))</f>
        <v>0</v>
      </c>
      <c r="C58" s="21">
        <f t="shared" si="4"/>
        <v>0</v>
      </c>
      <c r="D58" s="21">
        <f t="shared" ca="1" si="5"/>
        <v>625.56725618855273</v>
      </c>
      <c r="E58" s="21">
        <f t="shared" ca="1" si="6"/>
        <v>14.620609473168674</v>
      </c>
      <c r="F58" s="21">
        <f t="shared" ca="1" si="7"/>
        <v>0</v>
      </c>
      <c r="G58" s="21">
        <f t="shared" ca="1" si="8"/>
        <v>14.620609473168674</v>
      </c>
      <c r="H58" s="21">
        <f t="shared" ca="1" si="14"/>
        <v>610.94664671538408</v>
      </c>
      <c r="I58" s="22">
        <f t="shared" ca="1" si="9"/>
        <v>35.25</v>
      </c>
      <c r="J58" s="1"/>
      <c r="K58" s="51"/>
      <c r="M58" s="81">
        <f t="shared" ca="1" si="0"/>
        <v>233.79072340117585</v>
      </c>
      <c r="N58" s="19">
        <f t="shared" si="10"/>
        <v>6.777201030327797</v>
      </c>
      <c r="O58" s="17">
        <f t="shared" si="11"/>
        <v>14.25</v>
      </c>
      <c r="P58" s="19">
        <f ca="1">IF(ISERROR(IF(O58&lt;fi_h/20,0,(OFFSET('Base de dados'!$A$5,IF(O58&lt;20,1,IF(O58&gt;1000,10,MATCH(O58,Cargas,1))),Coluna_fih,1,1))*(1+0.13*0.25)*(PI()*(fi_h/1000)^2/4)*SQRT(2*9.81*(O58/100-fi_h/2/1000))*1000)),"",IF(O58&lt;fi_h/20,0,(OFFSET('Base de dados'!$A$5,IF(O58&lt;20,1,IF(O58&gt;1000,10,MATCH(O58,Cargas,1))),Coluna_fih,1,1))*(PI()*(fi_h/1000)^2/4)*SQRT(2*9.81*(O58/100-fi_h/2/1000))*1000))</f>
        <v>7.8840223902493092</v>
      </c>
      <c r="Q58" s="19">
        <f ca="1">IF(O58="","",IF(Tipo_Vertedor="Retangular",IF(O58&lt;=cota_s*100,0,IF(Tipo_Vertedor="Retangular",Cd_sr*Lef_sr*((O58/100-cota_s)^(3/2))*1000)),IF(O58&lt;=cota_s*100+fi_s/20,0,(OFFSET('Base de dados'!$A$4,IF(O58&lt;20,1,IF(O58&gt;1000,10,MATCH(O58,Cargas,1))),Coluna_fis,1,1))*(PI()*(fi_s/1000)^2/4)*(2*9.81*(O58/100-cota_s-fi_s/2/1000))^0.5*1000)))</f>
        <v>0</v>
      </c>
      <c r="R58" s="19">
        <f t="shared" ca="1" si="1"/>
        <v>7.8840223902493092</v>
      </c>
      <c r="S58" s="19">
        <f t="shared" ca="1" si="2"/>
        <v>225.90670101092655</v>
      </c>
      <c r="AD58" s="19">
        <f t="shared" si="12"/>
        <v>157.20687119870934</v>
      </c>
      <c r="AE58" s="19">
        <f t="shared" ca="1" si="13"/>
        <v>111.50687079483238</v>
      </c>
      <c r="AF58" s="19">
        <f ca="1">IF(ISERROR(IF('Hidrograma afluente'!I65="",0,'Hidrograma afluente'!I65)+Simulação!G58),"",IF('Hidrograma afluente'!I65="",0,'Hidrograma afluente'!I65)+Simulação!G58)</f>
        <v>40.977902156550471</v>
      </c>
      <c r="AG58" s="17">
        <v>1.6811465084274442</v>
      </c>
      <c r="AH58" s="17">
        <v>1.6475819526279107</v>
      </c>
      <c r="AI58" s="27">
        <v>96.25</v>
      </c>
      <c r="AJ58" s="17">
        <v>92.5</v>
      </c>
      <c r="AK58" s="19">
        <f>IF(A58="","",IF('Hidrograma afluente'!I65="",0,'Hidrograma afluente'!I65)+Simulação!B58)</f>
        <v>26.357292683381797</v>
      </c>
    </row>
    <row r="59" spans="1:37" s="17" customFormat="1">
      <c r="A59" s="4">
        <f t="shared" si="3"/>
        <v>54</v>
      </c>
      <c r="B59" s="5">
        <f>IF(A59="","",IF(A59&gt;tc_lot_i+tc,0,IF('Hidrograma afluente'!B66="","",'Hidrograma afluente'!B66)))</f>
        <v>0</v>
      </c>
      <c r="C59" s="21">
        <f t="shared" si="4"/>
        <v>0</v>
      </c>
      <c r="D59" s="21">
        <f t="shared" ca="1" si="5"/>
        <v>595.71156755639061</v>
      </c>
      <c r="E59" s="21">
        <f t="shared" ca="1" si="6"/>
        <v>14.24546716583353</v>
      </c>
      <c r="F59" s="21">
        <f t="shared" ca="1" si="7"/>
        <v>0</v>
      </c>
      <c r="G59" s="21">
        <f t="shared" ca="1" si="8"/>
        <v>14.24546716583353</v>
      </c>
      <c r="H59" s="21">
        <f t="shared" ca="1" si="14"/>
        <v>581.46610039055713</v>
      </c>
      <c r="I59" s="22">
        <f t="shared" ca="1" si="9"/>
        <v>33.75</v>
      </c>
      <c r="J59" s="1"/>
      <c r="K59" s="51"/>
      <c r="M59" s="81">
        <f t="shared" ca="1" si="0"/>
        <v>238.36620858011852</v>
      </c>
      <c r="N59" s="19">
        <f t="shared" si="10"/>
        <v>6.9110563486092005</v>
      </c>
      <c r="O59" s="17">
        <f t="shared" si="11"/>
        <v>14.5</v>
      </c>
      <c r="P59" s="19">
        <f ca="1">IF(ISERROR(IF(O59&lt;fi_h/20,0,(OFFSET('Base de dados'!$A$5,IF(O59&lt;20,1,IF(O59&gt;1000,10,MATCH(O59,Cargas,1))),Coluna_fih,1,1))*(1+0.13*0.25)*(PI()*(fi_h/1000)^2/4)*SQRT(2*9.81*(O59/100-fi_h/2/1000))*1000)),"",IF(O59&lt;fi_h/20,0,(OFFSET('Base de dados'!$A$5,IF(O59&lt;20,1,IF(O59&gt;1000,10,MATCH(O59,Cargas,1))),Coluna_fih,1,1))*(PI()*(fi_h/1000)^2/4)*SQRT(2*9.81*(O59/100-fi_h/2/1000))*1000))</f>
        <v>7.9976636264784942</v>
      </c>
      <c r="Q59" s="19">
        <f ca="1">IF(O59="","",IF(Tipo_Vertedor="Retangular",IF(O59&lt;=cota_s*100,0,IF(Tipo_Vertedor="Retangular",Cd_sr*Lef_sr*((O59/100-cota_s)^(3/2))*1000)),IF(O59&lt;=cota_s*100+fi_s/20,0,(OFFSET('Base de dados'!$A$4,IF(O59&lt;20,1,IF(O59&gt;1000,10,MATCH(O59,Cargas,1))),Coluna_fis,1,1))*(PI()*(fi_s/1000)^2/4)*(2*9.81*(O59/100-cota_s-fi_s/2/1000))^0.5*1000)))</f>
        <v>0</v>
      </c>
      <c r="R59" s="19">
        <f t="shared" ca="1" si="1"/>
        <v>7.9976636264784942</v>
      </c>
      <c r="S59" s="19">
        <f t="shared" ca="1" si="2"/>
        <v>230.36854495364003</v>
      </c>
      <c r="AD59" s="19">
        <f t="shared" si="12"/>
        <v>157.20687119870934</v>
      </c>
      <c r="AE59" s="19">
        <f t="shared" ca="1" si="13"/>
        <v>113.23883539317251</v>
      </c>
      <c r="AF59" s="19">
        <f ca="1">IF(ISERROR(IF('Hidrograma afluente'!I66="",0,'Hidrograma afluente'!I66)+Simulação!G59),"",IF('Hidrograma afluente'!I66="",0,'Hidrograma afluente'!I66)+Simulação!G59)</f>
        <v>14.24546716583353</v>
      </c>
      <c r="AG59" s="17">
        <v>1.6565989964999241</v>
      </c>
      <c r="AH59" s="17">
        <v>1.622526715660475</v>
      </c>
      <c r="AI59" s="27">
        <v>93.5</v>
      </c>
      <c r="AJ59" s="17">
        <v>89.75</v>
      </c>
      <c r="AK59" s="19">
        <f>IF(A59="","",IF('Hidrograma afluente'!I66="",0,'Hidrograma afluente'!I66)+Simulação!B59)</f>
        <v>0</v>
      </c>
    </row>
    <row r="60" spans="1:37" s="17" customFormat="1">
      <c r="A60" s="4">
        <f t="shared" si="3"/>
        <v>55</v>
      </c>
      <c r="B60" s="5">
        <f>IF(A60="","",IF(A60&gt;tc_lot_i+tc,0,IF('Hidrograma afluente'!B67="","",'Hidrograma afluente'!B67)))</f>
        <v>0</v>
      </c>
      <c r="C60" s="21">
        <f t="shared" si="4"/>
        <v>0</v>
      </c>
      <c r="D60" s="21">
        <f t="shared" ca="1" si="5"/>
        <v>566.02077319456248</v>
      </c>
      <c r="E60" s="21">
        <f t="shared" ca="1" si="6"/>
        <v>13.860174897120629</v>
      </c>
      <c r="F60" s="21">
        <f t="shared" ca="1" si="7"/>
        <v>0</v>
      </c>
      <c r="G60" s="21">
        <f t="shared" ca="1" si="8"/>
        <v>13.860174897120629</v>
      </c>
      <c r="H60" s="21">
        <f t="shared" ca="1" si="14"/>
        <v>552.16059829744188</v>
      </c>
      <c r="I60" s="22">
        <f t="shared" ca="1" si="9"/>
        <v>32.25</v>
      </c>
      <c r="J60" s="1"/>
      <c r="K60" s="51"/>
      <c r="M60" s="81">
        <f t="shared" ca="1" si="0"/>
        <v>242.94969551321955</v>
      </c>
      <c r="N60" s="19">
        <f t="shared" si="10"/>
        <v>7.0451994883953093</v>
      </c>
      <c r="O60" s="17">
        <f t="shared" si="11"/>
        <v>14.75</v>
      </c>
      <c r="P60" s="19">
        <f ca="1">IF(ISERROR(IF(O60&lt;fi_h/20,0,(OFFSET('Base de dados'!$A$5,IF(O60&lt;20,1,IF(O60&gt;1000,10,MATCH(O60,Cargas,1))),Coluna_fih,1,1))*(1+0.13*0.25)*(PI()*(fi_h/1000)^2/4)*SQRT(2*9.81*(O60/100-fi_h/2/1000))*1000)),"",IF(O60&lt;fi_h/20,0,(OFFSET('Base de dados'!$A$5,IF(O60&lt;20,1,IF(O60&gt;1000,10,MATCH(O60,Cargas,1))),Coluna_fih,1,1))*(PI()*(fi_h/1000)^2/4)*SQRT(2*9.81*(O60/100-fi_h/2/1000))*1000))</f>
        <v>8.1097125667092467</v>
      </c>
      <c r="Q60" s="19">
        <f ca="1">IF(O60="","",IF(Tipo_Vertedor="Retangular",IF(O60&lt;=cota_s*100,0,IF(Tipo_Vertedor="Retangular",Cd_sr*Lef_sr*((O60/100-cota_s)^(3/2))*1000)),IF(O60&lt;=cota_s*100+fi_s/20,0,(OFFSET('Base de dados'!$A$4,IF(O60&lt;20,1,IF(O60&gt;1000,10,MATCH(O60,Cargas,1))),Coluna_fis,1,1))*(PI()*(fi_s/1000)^2/4)*(2*9.81*(O60/100-cota_s-fi_s/2/1000))^0.5*1000)))</f>
        <v>0</v>
      </c>
      <c r="R60" s="19">
        <f t="shared" ca="1" si="1"/>
        <v>8.1097125667092467</v>
      </c>
      <c r="S60" s="19">
        <f t="shared" ca="1" si="2"/>
        <v>234.8399829465103</v>
      </c>
      <c r="AD60" s="19">
        <f t="shared" si="12"/>
        <v>157.20687119870934</v>
      </c>
      <c r="AE60" s="19">
        <f t="shared" ca="1" si="13"/>
        <v>114.92517391694976</v>
      </c>
      <c r="AF60" s="19">
        <f ca="1">IF(ISERROR(IF('Hidrograma afluente'!I67="",0,'Hidrograma afluente'!I67)+Simulação!G60),"",IF('Hidrograma afluente'!I67="",0,'Hidrograma afluente'!I67)+Simulação!G60)</f>
        <v>13.860174897120629</v>
      </c>
      <c r="AG60" s="17">
        <v>1.6316822262963229</v>
      </c>
      <c r="AH60" s="17">
        <v>1.5970784562565286</v>
      </c>
      <c r="AI60" s="27">
        <v>90.75</v>
      </c>
      <c r="AJ60" s="17">
        <v>87</v>
      </c>
      <c r="AK60" s="19">
        <f>IF(A60="","",IF('Hidrograma afluente'!I67="",0,'Hidrograma afluente'!I67)+Simulação!B60)</f>
        <v>0</v>
      </c>
    </row>
    <row r="61" spans="1:37" s="17" customFormat="1">
      <c r="A61" s="4">
        <f t="shared" si="3"/>
        <v>56</v>
      </c>
      <c r="B61" s="5">
        <f>IF(A61="","",IF(A61&gt;tc_lot_i+tc,0,IF('Hidrograma afluente'!B68="","",'Hidrograma afluente'!B68)))</f>
        <v>0</v>
      </c>
      <c r="C61" s="21">
        <f t="shared" si="4"/>
        <v>0</v>
      </c>
      <c r="D61" s="21">
        <f t="shared" ca="1" si="5"/>
        <v>536.50157247971754</v>
      </c>
      <c r="E61" s="21">
        <f t="shared" ca="1" si="6"/>
        <v>13.463861317790839</v>
      </c>
      <c r="F61" s="21">
        <f t="shared" ca="1" si="7"/>
        <v>0</v>
      </c>
      <c r="G61" s="21">
        <f t="shared" ca="1" si="8"/>
        <v>13.463861317790839</v>
      </c>
      <c r="H61" s="21">
        <f t="shared" ca="1" si="14"/>
        <v>523.03771116192672</v>
      </c>
      <c r="I61" s="22">
        <f t="shared" ca="1" si="9"/>
        <v>30.75</v>
      </c>
      <c r="J61" s="1"/>
      <c r="K61" s="51"/>
      <c r="M61" s="81">
        <f t="shared" ca="1" si="0"/>
        <v>247.5411067958585</v>
      </c>
      <c r="N61" s="19">
        <f t="shared" si="10"/>
        <v>7.1796261741456844</v>
      </c>
      <c r="O61" s="17">
        <f t="shared" si="11"/>
        <v>15</v>
      </c>
      <c r="P61" s="19">
        <f ca="1">IF(ISERROR(IF(O61&lt;fi_h/20,0,(OFFSET('Base de dados'!$A$5,IF(O61&lt;20,1,IF(O61&gt;1000,10,MATCH(O61,Cargas,1))),Coluna_fih,1,1))*(1+0.13*0.25)*(PI()*(fi_h/1000)^2/4)*SQRT(2*9.81*(O61/100-fi_h/2/1000))*1000)),"",IF(O61&lt;fi_h/20,0,(OFFSET('Base de dados'!$A$5,IF(O61&lt;20,1,IF(O61&gt;1000,10,MATCH(O61,Cargas,1))),Coluna_fih,1,1))*(PI()*(fi_h/1000)^2/4)*SQRT(2*9.81*(O61/100-fi_h/2/1000))*1000))</f>
        <v>8.2202343243356886</v>
      </c>
      <c r="Q61" s="19">
        <f ca="1">IF(O61="","",IF(Tipo_Vertedor="Retangular",IF(O61&lt;=cota_s*100,0,IF(Tipo_Vertedor="Retangular",Cd_sr*Lef_sr*((O61/100-cota_s)^(3/2))*1000)),IF(O61&lt;=cota_s*100+fi_s/20,0,(OFFSET('Base de dados'!$A$4,IF(O61&lt;20,1,IF(O61&gt;1000,10,MATCH(O61,Cargas,1))),Coluna_fis,1,1))*(PI()*(fi_s/1000)^2/4)*(2*9.81*(O61/100-cota_s-fi_s/2/1000))^0.5*1000)))</f>
        <v>0</v>
      </c>
      <c r="R61" s="19">
        <f t="shared" ca="1" si="1"/>
        <v>8.2202343243356886</v>
      </c>
      <c r="S61" s="19">
        <f t="shared" ca="1" si="2"/>
        <v>239.32087247152282</v>
      </c>
      <c r="AD61" s="19">
        <f t="shared" si="12"/>
        <v>157.20687119870934</v>
      </c>
      <c r="AE61" s="19">
        <f t="shared" ca="1" si="13"/>
        <v>116.56461608984445</v>
      </c>
      <c r="AF61" s="19">
        <f ca="1">IF(ISERROR(IF('Hidrograma afluente'!I68="",0,'Hidrograma afluente'!I68)+Simulação!G61),"",IF('Hidrograma afluente'!I68="",0,'Hidrograma afluente'!I68)+Simulação!G61)</f>
        <v>13.463861317790839</v>
      </c>
      <c r="AG61" s="17">
        <v>1.6063790150578079</v>
      </c>
      <c r="AH61" s="17">
        <v>1.5712180777490772</v>
      </c>
      <c r="AI61" s="27">
        <v>88</v>
      </c>
      <c r="AJ61" s="17">
        <v>84.25</v>
      </c>
      <c r="AK61" s="19">
        <f>IF(A61="","",IF('Hidrograma afluente'!I68="",0,'Hidrograma afluente'!I68)+Simulação!B61)</f>
        <v>0</v>
      </c>
    </row>
    <row r="62" spans="1:37" s="17" customFormat="1">
      <c r="A62" s="4">
        <f t="shared" si="3"/>
        <v>57</v>
      </c>
      <c r="B62" s="5">
        <f>IF(A62="","",IF(A62&gt;tc_lot_i+tc,0,IF('Hidrograma afluente'!B69="","",'Hidrograma afluente'!B69)))</f>
        <v>0</v>
      </c>
      <c r="C62" s="21">
        <f t="shared" si="4"/>
        <v>0</v>
      </c>
      <c r="D62" s="21">
        <f t="shared" ca="1" si="5"/>
        <v>507.16127652482987</v>
      </c>
      <c r="E62" s="21">
        <f t="shared" ca="1" si="6"/>
        <v>13.055522777378014</v>
      </c>
      <c r="F62" s="21">
        <f t="shared" ca="1" si="7"/>
        <v>0</v>
      </c>
      <c r="G62" s="21">
        <f t="shared" ca="1" si="8"/>
        <v>13.055522777378014</v>
      </c>
      <c r="H62" s="21">
        <f t="shared" ca="1" si="14"/>
        <v>494.10575374745184</v>
      </c>
      <c r="I62" s="22">
        <f t="shared" ca="1" si="9"/>
        <v>29.25</v>
      </c>
      <c r="J62" s="1"/>
      <c r="K62" s="51"/>
      <c r="M62" s="81">
        <f t="shared" ca="1" si="0"/>
        <v>252.14036516299723</v>
      </c>
      <c r="N62" s="19">
        <f t="shared" si="10"/>
        <v>7.3143322641189785</v>
      </c>
      <c r="O62" s="17">
        <f t="shared" si="11"/>
        <v>15.25</v>
      </c>
      <c r="P62" s="19">
        <f ca="1">IF(ISERROR(IF(O62&lt;fi_h/20,0,(OFFSET('Base de dados'!$A$5,IF(O62&lt;20,1,IF(O62&gt;1000,10,MATCH(O62,Cargas,1))),Coluna_fih,1,1))*(1+0.13*0.25)*(PI()*(fi_h/1000)^2/4)*SQRT(2*9.81*(O62/100-fi_h/2/1000))*1000)),"",IF(O62&lt;fi_h/20,0,(OFFSET('Base de dados'!$A$5,IF(O62&lt;20,1,IF(O62&gt;1000,10,MATCH(O62,Cargas,1))),Coluna_fih,1,1))*(PI()*(fi_h/1000)^2/4)*SQRT(2*9.81*(O62/100-fi_h/2/1000))*1000))</f>
        <v>8.3292896923646094</v>
      </c>
      <c r="Q62" s="19">
        <f ca="1">IF(O62="","",IF(Tipo_Vertedor="Retangular",IF(O62&lt;=cota_s*100,0,IF(Tipo_Vertedor="Retangular",Cd_sr*Lef_sr*((O62/100-cota_s)^(3/2))*1000)),IF(O62&lt;=cota_s*100+fi_s/20,0,(OFFSET('Base de dados'!$A$4,IF(O62&lt;20,1,IF(O62&gt;1000,10,MATCH(O62,Cargas,1))),Coluna_fis,1,1))*(PI()*(fi_s/1000)^2/4)*(2*9.81*(O62/100-cota_s-fi_s/2/1000))^0.5*1000)))</f>
        <v>0</v>
      </c>
      <c r="R62" s="19">
        <f t="shared" ca="1" si="1"/>
        <v>8.3292896923646094</v>
      </c>
      <c r="S62" s="19">
        <f t="shared" ca="1" si="2"/>
        <v>243.81107547063263</v>
      </c>
      <c r="AD62" s="19">
        <f t="shared" si="12"/>
        <v>157.20687119870934</v>
      </c>
      <c r="AE62" s="19">
        <f t="shared" ca="1" si="13"/>
        <v>118.15577913555458</v>
      </c>
      <c r="AF62" s="19">
        <f ca="1">IF(ISERROR(IF('Hidrograma afluente'!I69="",0,'Hidrograma afluente'!I69)+Simulação!G62),"",IF('Hidrograma afluente'!I69="",0,'Hidrograma afluente'!I69)+Simulação!G62)</f>
        <v>13.055522777378014</v>
      </c>
      <c r="AG62" s="17">
        <v>1.5806708045715472</v>
      </c>
      <c r="AH62" s="17">
        <v>1.5473336377126667</v>
      </c>
      <c r="AI62" s="27">
        <v>85.25</v>
      </c>
      <c r="AJ62" s="17">
        <v>81.75</v>
      </c>
      <c r="AK62" s="19">
        <f>IF(A62="","",IF('Hidrograma afluente'!I69="",0,'Hidrograma afluente'!I69)+Simulação!B62)</f>
        <v>0</v>
      </c>
    </row>
    <row r="63" spans="1:37" s="17" customFormat="1">
      <c r="A63" s="4">
        <f t="shared" si="3"/>
        <v>58</v>
      </c>
      <c r="B63" s="5">
        <f>IF(A63="","",IF(A63&gt;tc_lot_i+tc,0,IF('Hidrograma afluente'!B70="","",'Hidrograma afluente'!B70)))</f>
        <v>0</v>
      </c>
      <c r="C63" s="21">
        <f t="shared" si="4"/>
        <v>0</v>
      </c>
      <c r="D63" s="21">
        <f t="shared" ca="1" si="5"/>
        <v>478.00789824819191</v>
      </c>
      <c r="E63" s="21">
        <f t="shared" ca="1" si="6"/>
        <v>12.633993366967061</v>
      </c>
      <c r="F63" s="21">
        <f t="shared" ca="1" si="7"/>
        <v>0</v>
      </c>
      <c r="G63" s="21">
        <f t="shared" ca="1" si="8"/>
        <v>12.633993366967061</v>
      </c>
      <c r="H63" s="21">
        <f t="shared" ca="1" si="14"/>
        <v>465.37390488122486</v>
      </c>
      <c r="I63" s="22">
        <f t="shared" ca="1" si="9"/>
        <v>27.75</v>
      </c>
      <c r="J63" s="1"/>
      <c r="K63" s="51"/>
      <c r="M63" s="81">
        <f t="shared" ca="1" si="0"/>
        <v>256.74739366967941</v>
      </c>
      <c r="N63" s="19">
        <f t="shared" si="10"/>
        <v>7.4493137440582844</v>
      </c>
      <c r="O63" s="17">
        <f t="shared" si="11"/>
        <v>15.5</v>
      </c>
      <c r="P63" s="19">
        <f ca="1">IF(ISERROR(IF(O63&lt;fi_h/20,0,(OFFSET('Base de dados'!$A$5,IF(O63&lt;20,1,IF(O63&gt;1000,10,MATCH(O63,Cargas,1))),Coluna_fih,1,1))*(1+0.13*0.25)*(PI()*(fi_h/1000)^2/4)*SQRT(2*9.81*(O63/100-fi_h/2/1000))*1000)),"",IF(O63&lt;fi_h/20,0,(OFFSET('Base de dados'!$A$5,IF(O63&lt;20,1,IF(O63&gt;1000,10,MATCH(O63,Cargas,1))),Coluna_fih,1,1))*(PI()*(fi_h/1000)^2/4)*SQRT(2*9.81*(O63/100-fi_h/2/1000))*1000))</f>
        <v>8.4369355344032382</v>
      </c>
      <c r="Q63" s="19">
        <f ca="1">IF(O63="","",IF(Tipo_Vertedor="Retangular",IF(O63&lt;=cota_s*100,0,IF(Tipo_Vertedor="Retangular",Cd_sr*Lef_sr*((O63/100-cota_s)^(3/2))*1000)),IF(O63&lt;=cota_s*100+fi_s/20,0,(OFFSET('Base de dados'!$A$4,IF(O63&lt;20,1,IF(O63&gt;1000,10,MATCH(O63,Cargas,1))),Coluna_fis,1,1))*(PI()*(fi_s/1000)^2/4)*(2*9.81*(O63/100-cota_s-fi_s/2/1000))^0.5*1000)))</f>
        <v>0</v>
      </c>
      <c r="R63" s="19">
        <f t="shared" ca="1" si="1"/>
        <v>8.4369355344032382</v>
      </c>
      <c r="S63" s="19">
        <f t="shared" ca="1" si="2"/>
        <v>248.31045813527615</v>
      </c>
      <c r="AD63" s="19">
        <f t="shared" si="12"/>
        <v>157.20687119870934</v>
      </c>
      <c r="AE63" s="19">
        <f t="shared" ca="1" si="13"/>
        <v>119.69715010421528</v>
      </c>
      <c r="AF63" s="19">
        <f ca="1">IF(ISERROR(IF('Hidrograma afluente'!I70="",0,'Hidrograma afluente'!I70)+Simulação!G63),"",IF('Hidrograma afluente'!I70="",0,'Hidrograma afluente'!I70)+Simulação!G63)</f>
        <v>12.633993366967061</v>
      </c>
      <c r="AG63" s="17">
        <v>1.5545375019058341</v>
      </c>
      <c r="AH63" s="17">
        <v>1.5301918659440499</v>
      </c>
      <c r="AI63" s="27">
        <v>82.5</v>
      </c>
      <c r="AJ63" s="17">
        <v>79.25</v>
      </c>
      <c r="AK63" s="19">
        <f>IF(A63="","",IF('Hidrograma afluente'!I70="",0,'Hidrograma afluente'!I70)+Simulação!B63)</f>
        <v>0</v>
      </c>
    </row>
    <row r="64" spans="1:37" s="17" customFormat="1">
      <c r="A64" s="4">
        <f t="shared" si="3"/>
        <v>59</v>
      </c>
      <c r="B64" s="5">
        <f>IF(A64="","",IF(A64&gt;tc_lot_i+tc,0,IF('Hidrograma afluente'!B71="","",'Hidrograma afluente'!B71)))</f>
        <v>0</v>
      </c>
      <c r="C64" s="21">
        <f t="shared" si="4"/>
        <v>0</v>
      </c>
      <c r="D64" s="21">
        <f t="shared" ca="1" si="5"/>
        <v>449.05026128995809</v>
      </c>
      <c r="E64" s="21">
        <f t="shared" ca="1" si="6"/>
        <v>12.197905631808249</v>
      </c>
      <c r="F64" s="21">
        <f t="shared" ca="1" si="7"/>
        <v>0</v>
      </c>
      <c r="G64" s="21">
        <f t="shared" ca="1" si="8"/>
        <v>12.197905631808249</v>
      </c>
      <c r="H64" s="21">
        <f t="shared" ca="1" si="14"/>
        <v>436.85235565814986</v>
      </c>
      <c r="I64" s="22">
        <f t="shared" ca="1" si="9"/>
        <v>26.25</v>
      </c>
      <c r="J64" s="1"/>
      <c r="K64" s="51"/>
      <c r="M64" s="81">
        <f t="shared" ca="1" si="0"/>
        <v>261.36211584035146</v>
      </c>
      <c r="N64" s="19">
        <f t="shared" si="10"/>
        <v>7.5845667212716394</v>
      </c>
      <c r="O64" s="17">
        <f t="shared" si="11"/>
        <v>15.75</v>
      </c>
      <c r="P64" s="19">
        <f ca="1">IF(ISERROR(IF(O64&lt;fi_h/20,0,(OFFSET('Base de dados'!$A$5,IF(O64&lt;20,1,IF(O64&gt;1000,10,MATCH(O64,Cargas,1))),Coluna_fih,1,1))*(1+0.13*0.25)*(PI()*(fi_h/1000)^2/4)*SQRT(2*9.81*(O64/100-fi_h/2/1000))*1000)),"",IF(O64&lt;fi_h/20,0,(OFFSET('Base de dados'!$A$5,IF(O64&lt;20,1,IF(O64&gt;1000,10,MATCH(O64,Cargas,1))),Coluna_fih,1,1))*(PI()*(fi_h/1000)^2/4)*SQRT(2*9.81*(O64/100-fi_h/2/1000))*1000))</f>
        <v>8.543225131296774</v>
      </c>
      <c r="Q64" s="19">
        <f ca="1">IF(O64="","",IF(Tipo_Vertedor="Retangular",IF(O64&lt;=cota_s*100,0,IF(Tipo_Vertedor="Retangular",Cd_sr*Lef_sr*((O64/100-cota_s)^(3/2))*1000)),IF(O64&lt;=cota_s*100+fi_s/20,0,(OFFSET('Base de dados'!$A$4,IF(O64&lt;20,1,IF(O64&gt;1000,10,MATCH(O64,Cargas,1))),Coluna_fis,1,1))*(PI()*(fi_s/1000)^2/4)*(2*9.81*(O64/100-cota_s-fi_s/2/1000))^0.5*1000)))</f>
        <v>0</v>
      </c>
      <c r="R64" s="19">
        <f t="shared" ca="1" si="1"/>
        <v>8.543225131296774</v>
      </c>
      <c r="S64" s="19">
        <f t="shared" ca="1" si="2"/>
        <v>252.81889070905467</v>
      </c>
      <c r="AD64" s="19">
        <f t="shared" si="12"/>
        <v>157.20687119870934</v>
      </c>
      <c r="AE64" s="19">
        <f t="shared" ca="1" si="13"/>
        <v>121.18706404414181</v>
      </c>
      <c r="AF64" s="19">
        <f ca="1">IF(ISERROR(IF('Hidrograma afluente'!I71="",0,'Hidrograma afluente'!I71)+Simulação!G64),"",IF('Hidrograma afluente'!I71="",0,'Hidrograma afluente'!I71)+Simulação!G64)</f>
        <v>12.197905631808249</v>
      </c>
      <c r="AG64" s="17">
        <v>1.5303927546166831</v>
      </c>
      <c r="AH64" s="17">
        <v>1.5054250358298888</v>
      </c>
      <c r="AI64" s="27">
        <v>80</v>
      </c>
      <c r="AJ64" s="17">
        <v>76.75</v>
      </c>
      <c r="AK64" s="19">
        <f>IF(A64="","",IF('Hidrograma afluente'!I71="",0,'Hidrograma afluente'!I71)+Simulação!B64)</f>
        <v>0</v>
      </c>
    </row>
    <row r="65" spans="1:37" s="17" customFormat="1">
      <c r="A65" s="4">
        <f t="shared" si="3"/>
        <v>60</v>
      </c>
      <c r="B65" s="5">
        <f>IF(A65="","",IF(A65&gt;tc_lot_i+tc,0,IF('Hidrograma afluente'!B72="","",'Hidrograma afluente'!B72)))</f>
        <v>0</v>
      </c>
      <c r="C65" s="21">
        <f t="shared" si="4"/>
        <v>0</v>
      </c>
      <c r="D65" s="21">
        <f t="shared" ca="1" si="5"/>
        <v>420.29813302412651</v>
      </c>
      <c r="E65" s="21">
        <f t="shared" ca="1" si="6"/>
        <v>11.745638135428445</v>
      </c>
      <c r="F65" s="21">
        <f t="shared" ca="1" si="7"/>
        <v>0</v>
      </c>
      <c r="G65" s="21">
        <f t="shared" ca="1" si="8"/>
        <v>11.745638135428445</v>
      </c>
      <c r="H65" s="21">
        <f ca="1">IF(A65="","",IF(ISERROR(B65+C65+D65-G65),0,B65+C65+D65-G65))</f>
        <v>408.55249488869805</v>
      </c>
      <c r="I65" s="22">
        <f t="shared" ca="1" si="9"/>
        <v>24.75</v>
      </c>
      <c r="J65" s="1"/>
      <c r="K65" s="51"/>
      <c r="M65" s="81">
        <f t="shared" ca="1" si="0"/>
        <v>265.98445579198466</v>
      </c>
      <c r="N65" s="19">
        <f t="shared" si="10"/>
        <v>7.7200874190771307</v>
      </c>
      <c r="O65" s="17">
        <f t="shared" si="11"/>
        <v>16</v>
      </c>
      <c r="P65" s="19">
        <f ca="1">IF(ISERROR(IF(O65&lt;fi_h/20,0,(OFFSET('Base de dados'!$A$5,IF(O65&lt;20,1,IF(O65&gt;1000,10,MATCH(O65,Cargas,1))),Coluna_fih,1,1))*(1+0.13*0.25)*(PI()*(fi_h/1000)^2/4)*SQRT(2*9.81*(O65/100-fi_h/2/1000))*1000)),"",IF(O65&lt;fi_h/20,0,(OFFSET('Base de dados'!$A$5,IF(O65&lt;20,1,IF(O65&gt;1000,10,MATCH(O65,Cargas,1))),Coluna_fih,1,1))*(PI()*(fi_h/1000)^2/4)*SQRT(2*9.81*(O65/100-fi_h/2/1000))*1000))</f>
        <v>8.6482084894136033</v>
      </c>
      <c r="Q65" s="19">
        <f ca="1">IF(O65="","",IF(Tipo_Vertedor="Retangular",IF(O65&lt;=cota_s*100,0,IF(Tipo_Vertedor="Retangular",Cd_sr*Lef_sr*((O65/100-cota_s)^(3/2))*1000)),IF(O65&lt;=cota_s*100+fi_s/20,0,(OFFSET('Base de dados'!$A$4,IF(O65&lt;20,1,IF(O65&gt;1000,10,MATCH(O65,Cargas,1))),Coluna_fis,1,1))*(PI()*(fi_s/1000)^2/4)*(2*9.81*(O65/100-cota_s-fi_s/2/1000))^0.5*1000)))</f>
        <v>0</v>
      </c>
      <c r="R65" s="19">
        <f t="shared" ca="1" si="1"/>
        <v>8.6482084894136033</v>
      </c>
      <c r="S65" s="19">
        <f t="shared" ca="1" si="2"/>
        <v>257.33624730257105</v>
      </c>
      <c r="AD65" s="19">
        <f t="shared" si="12"/>
        <v>157.20687119870934</v>
      </c>
      <c r="AE65" s="19">
        <f t="shared" ca="1" si="13"/>
        <v>122.62367667017601</v>
      </c>
      <c r="AF65" s="19">
        <f ca="1">IF(ISERROR(IF('Hidrograma afluente'!I72="",0,'Hidrograma afluente'!I72)+Simulação!G65),"",IF('Hidrograma afluente'!I72="",0,'Hidrograma afluente'!I72)+Simulação!G65)</f>
        <v>11.745638135428445</v>
      </c>
      <c r="AG65" s="17">
        <v>1.5128976571244983</v>
      </c>
      <c r="AH65" s="17">
        <v>1.480243875314305</v>
      </c>
      <c r="AI65" s="27">
        <v>77.5</v>
      </c>
      <c r="AJ65" s="17">
        <v>74.25</v>
      </c>
      <c r="AK65" s="19">
        <f>IF(A65="","",IF('Hidrograma afluente'!I72="",0,'Hidrograma afluente'!I72)+Simulação!B65)</f>
        <v>0</v>
      </c>
    </row>
    <row r="66" spans="1:37" s="17" customFormat="1">
      <c r="A66" s="4">
        <f t="shared" si="3"/>
        <v>61</v>
      </c>
      <c r="B66" s="5">
        <f>IF(A66="","",IF(A66&gt;tc_lot_i+tc,0,IF('Hidrograma afluente'!B73="","",'Hidrograma afluente'!B73)))</f>
        <v>0</v>
      </c>
      <c r="C66" s="21">
        <f t="shared" si="4"/>
        <v>0</v>
      </c>
      <c r="D66" s="21">
        <f t="shared" ca="1" si="5"/>
        <v>396.50282014384732</v>
      </c>
      <c r="E66" s="21">
        <f t="shared" ca="1" si="6"/>
        <v>11.354996391311948</v>
      </c>
      <c r="F66" s="21">
        <f t="shared" ca="1" si="7"/>
        <v>0</v>
      </c>
      <c r="G66" s="21">
        <f t="shared" ca="1" si="8"/>
        <v>11.354996391311948</v>
      </c>
      <c r="H66" s="23">
        <f t="shared" ref="H66:H90" ca="1" si="15">IF(A66="","",IF(ISERROR(B66+C66+D66-G66),0,B66+C66+D66-G66))</f>
        <v>385.14782375253537</v>
      </c>
      <c r="I66" s="22">
        <f t="shared" ca="1" si="9"/>
        <v>23.5</v>
      </c>
      <c r="J66" s="1"/>
      <c r="K66" s="51"/>
      <c r="M66" s="81">
        <f t="shared" ca="1" si="0"/>
        <v>270.61433833513206</v>
      </c>
      <c r="N66" s="19">
        <f t="shared" si="10"/>
        <v>7.8558721715847497</v>
      </c>
      <c r="O66" s="17">
        <f t="shared" si="11"/>
        <v>16.25</v>
      </c>
      <c r="P66" s="19">
        <f ca="1">IF(ISERROR(IF(O66&lt;fi_h/20,0,(OFFSET('Base de dados'!$A$5,IF(O66&lt;20,1,IF(O66&gt;1000,10,MATCH(O66,Cargas,1))),Coluna_fih,1,1))*(1+0.13*0.25)*(PI()*(fi_h/1000)^2/4)*SQRT(2*9.81*(O66/100-fi_h/2/1000))*1000)),"",IF(O66&lt;fi_h/20,0,(OFFSET('Base de dados'!$A$5,IF(O66&lt;20,1,IF(O66&gt;1000,10,MATCH(O66,Cargas,1))),Coluna_fih,1,1))*(PI()*(fi_h/1000)^2/4)*SQRT(2*9.81*(O66/100-fi_h/2/1000))*1000))</f>
        <v>8.7519326156404045</v>
      </c>
      <c r="Q66" s="19">
        <f ca="1">IF(O66="","",IF(Tipo_Vertedor="Retangular",IF(O66&lt;=cota_s*100,0,IF(Tipo_Vertedor="Retangular",Cd_sr*Lef_sr*((O66/100-cota_s)^(3/2))*1000)),IF(O66&lt;=cota_s*100+fi_s/20,0,(OFFSET('Base de dados'!$A$4,IF(O66&lt;20,1,IF(O66&gt;1000,10,MATCH(O66,Cargas,1))),Coluna_fis,1,1))*(PI()*(fi_s/1000)^2/4)*(2*9.81*(O66/100-cota_s-fi_s/2/1000))^0.5*1000)))</f>
        <v>0</v>
      </c>
      <c r="R66" s="19">
        <f t="shared" ca="1" si="1"/>
        <v>8.7519326156404045</v>
      </c>
      <c r="S66" s="19">
        <f t="shared" ca="1" si="2"/>
        <v>261.86240571949168</v>
      </c>
      <c r="AD66" s="19">
        <f t="shared" si="12"/>
        <v>157.20687119870934</v>
      </c>
      <c r="AE66" s="19">
        <f t="shared" ca="1" si="13"/>
        <v>124.00971474178043</v>
      </c>
      <c r="AF66" s="19">
        <f ca="1">IF(ISERROR(IF('Hidrograma afluente'!I73="",0,'Hidrograma afluente'!I73)+Simulação!G66),"",IF('Hidrograma afluente'!I73="",0,'Hidrograma afluente'!I73)+Simulação!G66)</f>
        <v>11.354996391311948</v>
      </c>
      <c r="AG66" s="17">
        <v>1.4878429731779108</v>
      </c>
      <c r="AH66" s="17">
        <v>1.4546268670375921</v>
      </c>
      <c r="AI66" s="27">
        <v>75</v>
      </c>
      <c r="AJ66" s="17">
        <v>71.75</v>
      </c>
      <c r="AK66" s="19">
        <f>IF(A66="","",IF('Hidrograma afluente'!I73="",0,'Hidrograma afluente'!I73)+Simulação!B66)</f>
        <v>0</v>
      </c>
    </row>
    <row r="67" spans="1:37" s="17" customFormat="1">
      <c r="A67" s="4">
        <f t="shared" si="3"/>
        <v>62</v>
      </c>
      <c r="B67" s="5">
        <f>IF(A67="","",IF(A67&gt;tc_lot_i+tc,0,IF('Hidrograma afluente'!B74="","",'Hidrograma afluente'!B74)))</f>
        <v>0</v>
      </c>
      <c r="C67" s="21">
        <f t="shared" si="4"/>
        <v>0</v>
      </c>
      <c r="D67" s="21">
        <f t="shared" ca="1" si="5"/>
        <v>372.86473022387383</v>
      </c>
      <c r="E67" s="21">
        <f t="shared" ca="1" si="6"/>
        <v>10.950427885931386</v>
      </c>
      <c r="F67" s="21">
        <f t="shared" ca="1" si="7"/>
        <v>0</v>
      </c>
      <c r="G67" s="21">
        <f t="shared" ca="1" si="8"/>
        <v>10.950427885931386</v>
      </c>
      <c r="H67" s="23">
        <f t="shared" ca="1" si="15"/>
        <v>361.91430233794244</v>
      </c>
      <c r="I67" s="22">
        <f t="shared" ca="1" si="9"/>
        <v>22.25</v>
      </c>
      <c r="J67" s="1"/>
      <c r="K67" s="51"/>
      <c r="M67" s="81">
        <f t="shared" ca="1" si="0"/>
        <v>275.25168905636968</v>
      </c>
      <c r="N67" s="19">
        <f t="shared" si="10"/>
        <v>7.9919174187897459</v>
      </c>
      <c r="O67" s="17">
        <f t="shared" si="11"/>
        <v>16.5</v>
      </c>
      <c r="P67" s="19">
        <f ca="1">IF(ISERROR(IF(O67&lt;fi_h/20,0,(OFFSET('Base de dados'!$A$5,IF(O67&lt;20,1,IF(O67&gt;1000,10,MATCH(O67,Cargas,1))),Coluna_fih,1,1))*(1+0.13*0.25)*(PI()*(fi_h/1000)^2/4)*SQRT(2*9.81*(O67/100-fi_h/2/1000))*1000)),"",IF(O67&lt;fi_h/20,0,(OFFSET('Base de dados'!$A$5,IF(O67&lt;20,1,IF(O67&gt;1000,10,MATCH(O67,Cargas,1))),Coluna_fih,1,1))*(PI()*(fi_h/1000)^2/4)*SQRT(2*9.81*(O67/100-fi_h/2/1000))*1000))</f>
        <v>8.8544417633781389</v>
      </c>
      <c r="Q67" s="19">
        <f ca="1">IF(O67="","",IF(Tipo_Vertedor="Retangular",IF(O67&lt;=cota_s*100,0,IF(Tipo_Vertedor="Retangular",Cd_sr*Lef_sr*((O67/100-cota_s)^(3/2))*1000)),IF(O67&lt;=cota_s*100+fi_s/20,0,(OFFSET('Base de dados'!$A$4,IF(O67&lt;20,1,IF(O67&gt;1000,10,MATCH(O67,Cargas,1))),Coluna_fis,1,1))*(PI()*(fi_s/1000)^2/4)*(2*9.81*(O67/100-cota_s-fi_s/2/1000))^0.5*1000)))</f>
        <v>0</v>
      </c>
      <c r="R67" s="19">
        <f t="shared" ca="1" si="1"/>
        <v>8.8544417633781389</v>
      </c>
      <c r="S67" s="19">
        <f t="shared" ca="1" si="2"/>
        <v>266.39724729299155</v>
      </c>
      <c r="AD67" s="19">
        <f t="shared" si="12"/>
        <v>157.20687119870934</v>
      </c>
      <c r="AE67" s="19">
        <f t="shared" ca="1" si="13"/>
        <v>125.34804019841503</v>
      </c>
      <c r="AF67" s="19">
        <f ca="1">IF(ISERROR(IF('Hidrograma afluente'!I74="",0,'Hidrograma afluente'!I74)+Simulação!G67),"",IF('Hidrograma afluente'!I74="",0,'Hidrograma afluente'!I74)+Simulação!G67)</f>
        <v>10.950427885931386</v>
      </c>
      <c r="AG67" s="17">
        <v>1.4623590888482123</v>
      </c>
      <c r="AH67" s="17">
        <v>1.4285505641067417</v>
      </c>
      <c r="AI67" s="27">
        <v>72.5</v>
      </c>
      <c r="AJ67" s="17">
        <v>69.25</v>
      </c>
      <c r="AK67" s="19">
        <f>IF(A67="","",IF('Hidrograma afluente'!I74="",0,'Hidrograma afluente'!I74)+Simulação!B67)</f>
        <v>0</v>
      </c>
    </row>
    <row r="68" spans="1:37" s="17" customFormat="1">
      <c r="A68" s="4">
        <f t="shared" si="3"/>
        <v>63</v>
      </c>
      <c r="B68" s="5">
        <f>IF(A68="","",IF(A68&gt;tc_lot_i+tc,0,IF('Hidrograma afluente'!B75="","",'Hidrograma afluente'!B75)))</f>
        <v>0</v>
      </c>
      <c r="C68" s="21">
        <f t="shared" si="4"/>
        <v>0</v>
      </c>
      <c r="D68" s="21">
        <f t="shared" ca="1" si="5"/>
        <v>349.39157656391257</v>
      </c>
      <c r="E68" s="21">
        <f t="shared" ca="1" si="6"/>
        <v>10.530327569608653</v>
      </c>
      <c r="F68" s="21">
        <f t="shared" ca="1" si="7"/>
        <v>0</v>
      </c>
      <c r="G68" s="21">
        <f t="shared" ca="1" si="8"/>
        <v>10.530327569608653</v>
      </c>
      <c r="H68" s="23">
        <f t="shared" ca="1" si="15"/>
        <v>338.86124899430393</v>
      </c>
      <c r="I68" s="22">
        <f t="shared" ca="1" si="9"/>
        <v>21</v>
      </c>
      <c r="J68" s="1"/>
      <c r="K68" s="51"/>
      <c r="M68" s="81">
        <f t="shared" ca="1" si="0"/>
        <v>279.89643438500491</v>
      </c>
      <c r="N68" s="19">
        <f t="shared" si="10"/>
        <v>8.1282197019544089</v>
      </c>
      <c r="O68" s="17">
        <f t="shared" si="11"/>
        <v>16.75</v>
      </c>
      <c r="P68" s="19">
        <f ca="1">IF(ISERROR(IF(O68&lt;fi_h/20,0,(OFFSET('Base de dados'!$A$5,IF(O68&lt;20,1,IF(O68&gt;1000,10,MATCH(O68,Cargas,1))),Coluna_fih,1,1))*(1+0.13*0.25)*(PI()*(fi_h/1000)^2/4)*SQRT(2*9.81*(O68/100-fi_h/2/1000))*1000)),"",IF(O68&lt;fi_h/20,0,(OFFSET('Base de dados'!$A$5,IF(O68&lt;20,1,IF(O68&gt;1000,10,MATCH(O68,Cargas,1))),Coluna_fih,1,1))*(PI()*(fi_h/1000)^2/4)*SQRT(2*9.81*(O68/100-fi_h/2/1000))*1000))</f>
        <v>8.9557776531912481</v>
      </c>
      <c r="Q68" s="19">
        <f ca="1">IF(O68="","",IF(Tipo_Vertedor="Retangular",IF(O68&lt;=cota_s*100,0,IF(Tipo_Vertedor="Retangular",Cd_sr*Lef_sr*((O68/100-cota_s)^(3/2))*1000)),IF(O68&lt;=cota_s*100+fi_s/20,0,(OFFSET('Base de dados'!$A$4,IF(O68&lt;20,1,IF(O68&gt;1000,10,MATCH(O68,Cargas,1))),Coluna_fis,1,1))*(PI()*(fi_s/1000)^2/4)*(2*9.81*(O68/100-cota_s-fi_s/2/1000))^0.5*1000)))</f>
        <v>0</v>
      </c>
      <c r="R68" s="19">
        <f t="shared" ca="1" si="1"/>
        <v>8.9557776531912481</v>
      </c>
      <c r="S68" s="19">
        <f t="shared" ca="1" si="2"/>
        <v>270.94065673181365</v>
      </c>
      <c r="AD68" s="19">
        <f t="shared" si="12"/>
        <v>157.20687119870934</v>
      </c>
      <c r="AE68" s="19">
        <f t="shared" ca="1" si="13"/>
        <v>126.63688552574743</v>
      </c>
      <c r="AF68" s="19">
        <f ca="1">IF(ISERROR(IF('Hidrograma afluente'!I75="",0,'Hidrograma afluente'!I75)+Simulação!G68),"",IF('Hidrograma afluente'!I75="",0,'Hidrograma afluente'!I75)+Simulação!G68)</f>
        <v>10.530327569608653</v>
      </c>
      <c r="AG68" s="17">
        <v>1.436423160715206</v>
      </c>
      <c r="AH68" s="17">
        <v>1.4019893388010405</v>
      </c>
      <c r="AI68" s="27">
        <v>70</v>
      </c>
      <c r="AJ68" s="17">
        <v>66.75</v>
      </c>
      <c r="AK68" s="19">
        <f>IF(A68="","",IF('Hidrograma afluente'!I75="",0,'Hidrograma afluente'!I75)+Simulação!B68)</f>
        <v>0</v>
      </c>
    </row>
    <row r="69" spans="1:37" s="17" customFormat="1">
      <c r="A69" s="4">
        <f t="shared" si="3"/>
        <v>64</v>
      </c>
      <c r="B69" s="5">
        <f>IF(A69="","",IF(A69&gt;tc_lot_i+tc,0,IF('Hidrograma afluente'!B76="","",'Hidrograma afluente'!B76)))</f>
        <v>0</v>
      </c>
      <c r="C69" s="21">
        <f t="shared" si="4"/>
        <v>0</v>
      </c>
      <c r="D69" s="21">
        <f t="shared" ca="1" si="5"/>
        <v>326.0919317998281</v>
      </c>
      <c r="E69" s="21">
        <f t="shared" ca="1" si="6"/>
        <v>10.092756142973853</v>
      </c>
      <c r="F69" s="21">
        <f t="shared" ca="1" si="7"/>
        <v>0</v>
      </c>
      <c r="G69" s="21">
        <f t="shared" ca="1" si="8"/>
        <v>10.092756142973853</v>
      </c>
      <c r="H69" s="23">
        <f t="shared" ca="1" si="15"/>
        <v>315.99917565685428</v>
      </c>
      <c r="I69" s="22">
        <f t="shared" ca="1" si="9"/>
        <v>19.75</v>
      </c>
      <c r="J69" s="1"/>
      <c r="K69" s="51"/>
      <c r="M69" s="81">
        <f t="shared" ref="M69:M132" ca="1" si="16">IF(O69="","",2*N69*1000/(Passo*60)+R69)</f>
        <v>284.54850164647377</v>
      </c>
      <c r="N69" s="19">
        <f t="shared" si="10"/>
        <v>8.2647756592572907</v>
      </c>
      <c r="O69" s="17">
        <f t="shared" si="11"/>
        <v>17</v>
      </c>
      <c r="P69" s="19">
        <f ca="1">IF(ISERROR(IF(O69&lt;fi_h/20,0,(OFFSET('Base de dados'!$A$5,IF(O69&lt;20,1,IF(O69&gt;1000,10,MATCH(O69,Cargas,1))),Coluna_fih,1,1))*(1+0.13*0.25)*(PI()*(fi_h/1000)^2/4)*SQRT(2*9.81*(O69/100-fi_h/2/1000))*1000)),"",IF(O69&lt;fi_h/20,0,(OFFSET('Base de dados'!$A$5,IF(O69&lt;20,1,IF(O69&gt;1000,10,MATCH(O69,Cargas,1))),Coluna_fih,1,1))*(PI()*(fi_h/1000)^2/4)*SQRT(2*9.81*(O69/100-fi_h/2/1000))*1000))</f>
        <v>9.055979671230741</v>
      </c>
      <c r="Q69" s="19">
        <f ca="1">IF(O69="","",IF(Tipo_Vertedor="Retangular",IF(O69&lt;=cota_s*100,0,IF(Tipo_Vertedor="Retangular",Cd_sr*Lef_sr*((O69/100-cota_s)^(3/2))*1000)),IF(O69&lt;=cota_s*100+fi_s/20,0,(OFFSET('Base de dados'!$A$4,IF(O69&lt;20,1,IF(O69&gt;1000,10,MATCH(O69,Cargas,1))),Coluna_fis,1,1))*(PI()*(fi_s/1000)^2/4)*(2*9.81*(O69/100-cota_s-fi_s/2/1000))^0.5*1000)))</f>
        <v>0</v>
      </c>
      <c r="R69" s="19">
        <f t="shared" ref="R69:R132" ca="1" si="17">IF(O69="","",Q69+P69)</f>
        <v>9.055979671230741</v>
      </c>
      <c r="S69" s="19">
        <f t="shared" ref="S69:S132" ca="1" si="18">IF(M69="","",2*N69*1000/(Passo*60))</f>
        <v>275.49252197524305</v>
      </c>
      <c r="AD69" s="19">
        <f t="shared" si="12"/>
        <v>157.20687119870934</v>
      </c>
      <c r="AE69" s="19">
        <f t="shared" ca="1" si="13"/>
        <v>127.87427054850238</v>
      </c>
      <c r="AF69" s="19">
        <f ca="1">IF(ISERROR(IF('Hidrograma afluente'!I76="",0,'Hidrograma afluente'!I76)+Simulação!G69),"",IF('Hidrograma afluente'!I76="",0,'Hidrograma afluente'!I76)+Simulação!G69)</f>
        <v>10.092756142973853</v>
      </c>
      <c r="AG69" s="17">
        <v>1.4100102441263156</v>
      </c>
      <c r="AH69" s="17">
        <v>1.3776464563971627</v>
      </c>
      <c r="AI69" s="27">
        <v>67.5</v>
      </c>
      <c r="AJ69" s="17">
        <v>64.5</v>
      </c>
      <c r="AK69" s="19">
        <f>IF(A69="","",IF('Hidrograma afluente'!I76="",0,'Hidrograma afluente'!I76)+Simulação!B69)</f>
        <v>0</v>
      </c>
    </row>
    <row r="70" spans="1:37" s="17" customFormat="1">
      <c r="A70" s="4">
        <f t="shared" ref="A70:A133" si="19">IF(ISERROR(IF(A69+Passo&lt;=tempo_simul,A69+Passo,"")),"",IF(A69+Passo&lt;=tempo_simul,A69+Passo,""))</f>
        <v>65</v>
      </c>
      <c r="B70" s="5">
        <f>IF(A70="","",IF(A70&gt;tc_lot_i+tc,0,IF('Hidrograma afluente'!B77="","",'Hidrograma afluente'!B77)))</f>
        <v>0</v>
      </c>
      <c r="C70" s="21">
        <f t="shared" ref="C70:C133" si="20">IF(B71=0,0,IF(B71="","",B71))</f>
        <v>0</v>
      </c>
      <c r="D70" s="21">
        <f t="shared" ref="D70:D133" ca="1" si="21">IF(A70="","",IF(ISERROR(VLOOKUP(H69,tabela_auxiliar,7,1)),0,VLOOKUP(H69,tabela_auxiliar,7,1)))</f>
        <v>302.97538407175585</v>
      </c>
      <c r="E70" s="21">
        <f t="shared" ref="E70:E133" ca="1" si="22">IF(A70="","",IF(ISERROR(VLOOKUP(H69,tabela_auxiliar,4,TRUE)),0,VLOOKUP(H69,tabela_auxiliar,4,TRUE)))</f>
        <v>9.6353336423713323</v>
      </c>
      <c r="F70" s="21">
        <f t="shared" ref="F70:F133" ca="1" si="23">IF(A70="","",IF(ISERROR(VLOOKUP(H69,tabela_auxiliar,5,TRUE)),0,VLOOKUP(H69,tabela_auxiliar,5,TRUE)))</f>
        <v>0</v>
      </c>
      <c r="G70" s="21">
        <f t="shared" ref="G70:G133" ca="1" si="24">IF(A70="","",IF(ISERROR(VLOOKUP(H69,tabela_auxiliar,6,TRUE)),0,VLOOKUP(H69,tabela_auxiliar,6,TRUE)))</f>
        <v>9.6353336423713323</v>
      </c>
      <c r="H70" s="23">
        <f t="shared" ca="1" si="15"/>
        <v>293.34005042938452</v>
      </c>
      <c r="I70" s="22">
        <f t="shared" ref="I70:I133" ca="1" si="25">IF(A70="","",IF(ISERROR(VLOOKUP(H69,tabela_auxiliar,3,TRUE)),0,VLOOKUP(H69,tabela_auxiliar,3,TRUE)))</f>
        <v>18.5</v>
      </c>
      <c r="J70" s="1"/>
      <c r="K70" s="51"/>
      <c r="M70" s="81">
        <f t="shared" ca="1" si="16"/>
        <v>289.20781910446323</v>
      </c>
      <c r="N70" s="19">
        <f t="shared" ref="N70:N133" si="26">IF(O70="","",b_0*(O70/100)^c_0)</f>
        <v>8.4015820216906594</v>
      </c>
      <c r="O70" s="17">
        <f t="shared" ref="O70:O133" si="27">IF(ISERROR(IF(O69+passo_altura&gt;h_max_puls*100,"",O69+passo_altura)),"",IF(O69+passo_altura&gt;h_max_puls*100,"",O69+passo_altura))</f>
        <v>17.25</v>
      </c>
      <c r="P70" s="19">
        <f ca="1">IF(ISERROR(IF(O70&lt;fi_h/20,0,(OFFSET('Base de dados'!$A$5,IF(O70&lt;20,1,IF(O70&gt;1000,10,MATCH(O70,Cargas,1))),Coluna_fih,1,1))*(1+0.13*0.25)*(PI()*(fi_h/1000)^2/4)*SQRT(2*9.81*(O70/100-fi_h/2/1000))*1000)),"",IF(O70&lt;fi_h/20,0,(OFFSET('Base de dados'!$A$5,IF(O70&lt;20,1,IF(O70&gt;1000,10,MATCH(O70,Cargas,1))),Coluna_fih,1,1))*(PI()*(fi_h/1000)^2/4)*SQRT(2*9.81*(O70/100-fi_h/2/1000))*1000))</f>
        <v>9.1550850481079173</v>
      </c>
      <c r="Q70" s="19">
        <f ca="1">IF(O70="","",IF(Tipo_Vertedor="Retangular",IF(O70&lt;=cota_s*100,0,IF(Tipo_Vertedor="Retangular",Cd_sr*Lef_sr*((O70/100-cota_s)^(3/2))*1000)),IF(O70&lt;=cota_s*100+fi_s/20,0,(OFFSET('Base de dados'!$A$4,IF(O70&lt;20,1,IF(O70&gt;1000,10,MATCH(O70,Cargas,1))),Coluna_fis,1,1))*(PI()*(fi_s/1000)^2/4)*(2*9.81*(O70/100-cota_s-fi_s/2/1000))^0.5*1000)))</f>
        <v>0</v>
      </c>
      <c r="R70" s="19">
        <f t="shared" ca="1" si="17"/>
        <v>9.1550850481079173</v>
      </c>
      <c r="S70" s="19">
        <f t="shared" ca="1" si="18"/>
        <v>280.05273405635529</v>
      </c>
      <c r="AD70" s="19">
        <f t="shared" ref="AD70:AD133" si="28">IF(A70="","",AVERAGE(B70+B69)*Passo*60/1000+AD69)</f>
        <v>157.20687119870934</v>
      </c>
      <c r="AE70" s="19">
        <f t="shared" ref="AE70:AE133" ca="1" si="29">IF(A70="","",AE69+AVERAGE(G70+G69)*Passo*60/1000)</f>
        <v>129.05795593562308</v>
      </c>
      <c r="AF70" s="19">
        <f ca="1">IF(ISERROR(IF('Hidrograma afluente'!I77="",0,'Hidrograma afluente'!I77)+Simulação!G70),"",IF('Hidrograma afluente'!I77="",0,'Hidrograma afluente'!I77)+Simulação!G70)</f>
        <v>9.6353336423713323</v>
      </c>
      <c r="AG70" s="17">
        <v>1.3858082628029869</v>
      </c>
      <c r="AH70" s="17">
        <v>1.352865629519628</v>
      </c>
      <c r="AI70" s="27">
        <v>65.25</v>
      </c>
      <c r="AJ70" s="17">
        <v>62.25</v>
      </c>
      <c r="AK70" s="19">
        <f>IF(A70="","",IF('Hidrograma afluente'!I77="",0,'Hidrograma afluente'!I77)+Simulação!B70)</f>
        <v>0</v>
      </c>
    </row>
    <row r="71" spans="1:37" s="17" customFormat="1">
      <c r="A71" s="4">
        <f t="shared" si="19"/>
        <v>66</v>
      </c>
      <c r="B71" s="5">
        <f>IF(A71="","",IF(A71&gt;tc_lot_i+tc,0,IF('Hidrograma afluente'!B78="","",'Hidrograma afluente'!B78)))</f>
        <v>0</v>
      </c>
      <c r="C71" s="21">
        <f t="shared" si="20"/>
        <v>0</v>
      </c>
      <c r="D71" s="21">
        <f t="shared" ca="1" si="21"/>
        <v>280.05273405635529</v>
      </c>
      <c r="E71" s="21">
        <f t="shared" ca="1" si="22"/>
        <v>9.1550850481079173</v>
      </c>
      <c r="F71" s="21">
        <f t="shared" ca="1" si="23"/>
        <v>0</v>
      </c>
      <c r="G71" s="21">
        <f t="shared" ca="1" si="24"/>
        <v>9.1550850481079173</v>
      </c>
      <c r="H71" s="23">
        <f t="shared" ca="1" si="15"/>
        <v>270.89764900824736</v>
      </c>
      <c r="I71" s="22">
        <f t="shared" ca="1" si="25"/>
        <v>17.25</v>
      </c>
      <c r="J71" s="1"/>
      <c r="K71" s="51"/>
      <c r="M71" s="81">
        <f t="shared" ca="1" si="16"/>
        <v>293.87431599347633</v>
      </c>
      <c r="N71" s="19">
        <f t="shared" si="26"/>
        <v>8.5386356091886171</v>
      </c>
      <c r="O71" s="17">
        <f t="shared" si="27"/>
        <v>17.5</v>
      </c>
      <c r="P71" s="19">
        <f ca="1">IF(ISERROR(IF(O71&lt;fi_h/20,0,(OFFSET('Base de dados'!$A$5,IF(O71&lt;20,1,IF(O71&gt;1000,10,MATCH(O71,Cargas,1))),Coluna_fih,1,1))*(1+0.13*0.25)*(PI()*(fi_h/1000)^2/4)*SQRT(2*9.81*(O71/100-fi_h/2/1000))*1000)),"",IF(O71&lt;fi_h/20,0,(OFFSET('Base de dados'!$A$5,IF(O71&lt;20,1,IF(O71&gt;1000,10,MATCH(O71,Cargas,1))),Coluna_fih,1,1))*(PI()*(fi_h/1000)^2/4)*SQRT(2*9.81*(O71/100-fi_h/2/1000))*1000))</f>
        <v>9.2531290205224046</v>
      </c>
      <c r="Q71" s="19">
        <f ca="1">IF(O71="","",IF(Tipo_Vertedor="Retangular",IF(O71&lt;=cota_s*100,0,IF(Tipo_Vertedor="Retangular",Cd_sr*Lef_sr*((O71/100-cota_s)^(3/2))*1000)),IF(O71&lt;=cota_s*100+fi_s/20,0,(OFFSET('Base de dados'!$A$4,IF(O71&lt;20,1,IF(O71&gt;1000,10,MATCH(O71,Cargas,1))),Coluna_fis,1,1))*(PI()*(fi_s/1000)^2/4)*(2*9.81*(O71/100-cota_s-fi_s/2/1000))^0.5*1000)))</f>
        <v>0</v>
      </c>
      <c r="R71" s="19">
        <f t="shared" ca="1" si="17"/>
        <v>9.2531290205224046</v>
      </c>
      <c r="S71" s="19">
        <f t="shared" ca="1" si="18"/>
        <v>284.62118697295392</v>
      </c>
      <c r="AD71" s="19">
        <f t="shared" si="28"/>
        <v>157.20687119870934</v>
      </c>
      <c r="AE71" s="19">
        <f t="shared" ca="1" si="29"/>
        <v>130.18538105705184</v>
      </c>
      <c r="AF71" s="19">
        <f ca="1">IF(ISERROR(IF('Hidrograma afluente'!I78="",0,'Hidrograma afluente'!I78)+Simulação!G71),"",IF('Hidrograma afluente'!I78="",0,'Hidrograma afluente'!I78)+Simulação!G71)</f>
        <v>9.1550850481079173</v>
      </c>
      <c r="AG71" s="17">
        <v>1.3611760334229048</v>
      </c>
      <c r="AH71" s="17">
        <v>1.3276223349459815</v>
      </c>
      <c r="AI71" s="27">
        <v>63</v>
      </c>
      <c r="AJ71" s="17">
        <v>60</v>
      </c>
      <c r="AK71" s="19">
        <f>IF(A71="","",IF('Hidrograma afluente'!I78="",0,'Hidrograma afluente'!I78)+Simulação!B71)</f>
        <v>0</v>
      </c>
    </row>
    <row r="72" spans="1:37" s="17" customFormat="1">
      <c r="A72" s="4">
        <f t="shared" si="19"/>
        <v>67</v>
      </c>
      <c r="B72" s="5">
        <f>IF(A72="","",IF(A72&gt;tc_lot_i+tc,0,IF('Hidrograma afluente'!B79="","",'Hidrograma afluente'!B79)))</f>
        <v>0</v>
      </c>
      <c r="C72" s="21">
        <f t="shared" si="20"/>
        <v>0</v>
      </c>
      <c r="D72" s="21">
        <f t="shared" ca="1" si="21"/>
        <v>261.86240571949168</v>
      </c>
      <c r="E72" s="21">
        <f t="shared" ca="1" si="22"/>
        <v>8.7519326156404045</v>
      </c>
      <c r="F72" s="21">
        <f t="shared" ca="1" si="23"/>
        <v>0</v>
      </c>
      <c r="G72" s="21">
        <f t="shared" ca="1" si="24"/>
        <v>8.7519326156404045</v>
      </c>
      <c r="H72" s="23">
        <f t="shared" ca="1" si="15"/>
        <v>253.11047310385126</v>
      </c>
      <c r="I72" s="22">
        <f t="shared" ca="1" si="25"/>
        <v>16.25</v>
      </c>
      <c r="J72" s="1"/>
      <c r="K72" s="51"/>
      <c r="M72" s="81">
        <f t="shared" ca="1" si="16"/>
        <v>298.54792254329459</v>
      </c>
      <c r="N72" s="19">
        <f t="shared" si="26"/>
        <v>8.67593332696981</v>
      </c>
      <c r="O72" s="17">
        <f t="shared" si="27"/>
        <v>17.75</v>
      </c>
      <c r="P72" s="19">
        <f ca="1">IF(ISERROR(IF(O72&lt;fi_h/20,0,(OFFSET('Base de dados'!$A$5,IF(O72&lt;20,1,IF(O72&gt;1000,10,MATCH(O72,Cargas,1))),Coluna_fih,1,1))*(1+0.13*0.25)*(PI()*(fi_h/1000)^2/4)*SQRT(2*9.81*(O72/100-fi_h/2/1000))*1000)),"",IF(O72&lt;fi_h/20,0,(OFFSET('Base de dados'!$A$5,IF(O72&lt;20,1,IF(O72&gt;1000,10,MATCH(O72,Cargas,1))),Coluna_fih,1,1))*(PI()*(fi_h/1000)^2/4)*SQRT(2*9.81*(O72/100-fi_h/2/1000))*1000))</f>
        <v>9.3501449776342298</v>
      </c>
      <c r="Q72" s="19">
        <f ca="1">IF(O72="","",IF(Tipo_Vertedor="Retangular",IF(O72&lt;=cota_s*100,0,IF(Tipo_Vertedor="Retangular",Cd_sr*Lef_sr*((O72/100-cota_s)^(3/2))*1000)),IF(O72&lt;=cota_s*100+fi_s/20,0,(OFFSET('Base de dados'!$A$4,IF(O72&lt;20,1,IF(O72&gt;1000,10,MATCH(O72,Cargas,1))),Coluna_fis,1,1))*(PI()*(fi_s/1000)^2/4)*(2*9.81*(O72/100-cota_s-fi_s/2/1000))^0.5*1000)))</f>
        <v>0</v>
      </c>
      <c r="R72" s="19">
        <f t="shared" ca="1" si="17"/>
        <v>9.3501449776342298</v>
      </c>
      <c r="S72" s="19">
        <f t="shared" ca="1" si="18"/>
        <v>289.19777756566037</v>
      </c>
      <c r="AD72" s="19">
        <f t="shared" si="28"/>
        <v>157.20687119870934</v>
      </c>
      <c r="AE72" s="19">
        <f t="shared" ca="1" si="29"/>
        <v>131.25980211687673</v>
      </c>
      <c r="AF72" s="19">
        <f ca="1">IF(ISERROR(IF('Hidrograma afluente'!I79="",0,'Hidrograma afluente'!I79)+Simulação!G72),"",IF('Hidrograma afluente'!I79="",0,'Hidrograma afluente'!I79)+Simulação!G72)</f>
        <v>8.7519326156404045</v>
      </c>
      <c r="AG72" s="17">
        <v>1.3360897599625534</v>
      </c>
      <c r="AH72" s="17">
        <v>1.3079449723751992</v>
      </c>
      <c r="AI72" s="27">
        <v>60.75</v>
      </c>
      <c r="AJ72" s="17">
        <v>57.75</v>
      </c>
      <c r="AK72" s="19">
        <f>IF(A72="","",IF('Hidrograma afluente'!I79="",0,'Hidrograma afluente'!I79)+Simulação!B72)</f>
        <v>0</v>
      </c>
    </row>
    <row r="73" spans="1:37" s="17" customFormat="1">
      <c r="A73" s="4">
        <f t="shared" si="19"/>
        <v>68</v>
      </c>
      <c r="B73" s="5">
        <f>IF(A73="","",IF(A73&gt;tc_lot_i+tc,0,IF('Hidrograma afluente'!B80="","",'Hidrograma afluente'!B80)))</f>
        <v>0</v>
      </c>
      <c r="C73" s="21">
        <f t="shared" si="20"/>
        <v>0</v>
      </c>
      <c r="D73" s="21">
        <f t="shared" ca="1" si="21"/>
        <v>243.81107547063263</v>
      </c>
      <c r="E73" s="21">
        <f t="shared" ca="1" si="22"/>
        <v>8.3292896923646094</v>
      </c>
      <c r="F73" s="21">
        <f t="shared" ca="1" si="23"/>
        <v>0</v>
      </c>
      <c r="G73" s="21">
        <f t="shared" ca="1" si="24"/>
        <v>8.3292896923646094</v>
      </c>
      <c r="H73" s="23">
        <f t="shared" ca="1" si="15"/>
        <v>235.48178577826803</v>
      </c>
      <c r="I73" s="22">
        <f t="shared" ca="1" si="25"/>
        <v>15.25</v>
      </c>
      <c r="J73" s="1"/>
      <c r="K73" s="51"/>
      <c r="M73" s="81">
        <f t="shared" ca="1" si="16"/>
        <v>303.22856999657012</v>
      </c>
      <c r="N73" s="19">
        <f t="shared" si="26"/>
        <v>8.8134721620799876</v>
      </c>
      <c r="O73" s="17">
        <f t="shared" si="27"/>
        <v>18</v>
      </c>
      <c r="P73" s="19">
        <f ca="1">IF(ISERROR(IF(O73&lt;fi_h/20,0,(OFFSET('Base de dados'!$A$5,IF(O73&lt;20,1,IF(O73&gt;1000,10,MATCH(O73,Cargas,1))),Coluna_fih,1,1))*(1+0.13*0.25)*(PI()*(fi_h/1000)^2/4)*SQRT(2*9.81*(O73/100-fi_h/2/1000))*1000)),"",IF(O73&lt;fi_h/20,0,(OFFSET('Base de dados'!$A$5,IF(O73&lt;20,1,IF(O73&gt;1000,10,MATCH(O73,Cargas,1))),Coluna_fih,1,1))*(PI()*(fi_h/1000)^2/4)*SQRT(2*9.81*(O73/100-fi_h/2/1000))*1000))</f>
        <v>9.4461645939038839</v>
      </c>
      <c r="Q73" s="19">
        <f ca="1">IF(O73="","",IF(Tipo_Vertedor="Retangular",IF(O73&lt;=cota_s*100,0,IF(Tipo_Vertedor="Retangular",Cd_sr*Lef_sr*((O73/100-cota_s)^(3/2))*1000)),IF(O73&lt;=cota_s*100+fi_s/20,0,(OFFSET('Base de dados'!$A$4,IF(O73&lt;20,1,IF(O73&gt;1000,10,MATCH(O73,Cargas,1))),Coluna_fis,1,1))*(PI()*(fi_s/1000)^2/4)*(2*9.81*(O73/100-cota_s-fi_s/2/1000))^0.5*1000)))</f>
        <v>0</v>
      </c>
      <c r="R73" s="19">
        <f t="shared" ca="1" si="17"/>
        <v>9.4461645939038839</v>
      </c>
      <c r="S73" s="19">
        <f t="shared" ca="1" si="18"/>
        <v>293.78240540266626</v>
      </c>
      <c r="AD73" s="19">
        <f t="shared" si="28"/>
        <v>157.20687119870934</v>
      </c>
      <c r="AE73" s="19">
        <f t="shared" ca="1" si="29"/>
        <v>132.28467545535702</v>
      </c>
      <c r="AF73" s="19">
        <f ca="1">IF(ISERROR(IF('Hidrograma afluente'!I80="",0,'Hidrograma afluente'!I80)+Simulação!G73),"",IF('Hidrograma afluente'!I80="",0,'Hidrograma afluente'!I80)+Simulação!G73)</f>
        <v>8.3292896923646094</v>
      </c>
      <c r="AG73" s="17">
        <v>1.3166188260294733</v>
      </c>
      <c r="AH73" s="17">
        <v>1.2815712246615691</v>
      </c>
      <c r="AI73" s="27">
        <v>58.5</v>
      </c>
      <c r="AJ73" s="17">
        <v>55.5</v>
      </c>
      <c r="AK73" s="19">
        <f>IF(A73="","",IF('Hidrograma afluente'!I80="",0,'Hidrograma afluente'!I80)+Simulação!B73)</f>
        <v>0</v>
      </c>
    </row>
    <row r="74" spans="1:37" s="17" customFormat="1">
      <c r="A74" s="4">
        <f t="shared" si="19"/>
        <v>69</v>
      </c>
      <c r="B74" s="5">
        <f>IF(A74="","",IF(A74&gt;tc_lot_i+tc,0,IF('Hidrograma afluente'!B81="","",'Hidrograma afluente'!B81)))</f>
        <v>0</v>
      </c>
      <c r="C74" s="21">
        <f t="shared" si="20"/>
        <v>0</v>
      </c>
      <c r="D74" s="21">
        <f t="shared" ca="1" si="21"/>
        <v>225.90670101092655</v>
      </c>
      <c r="E74" s="21">
        <f t="shared" ca="1" si="22"/>
        <v>7.8840223902493092</v>
      </c>
      <c r="F74" s="21">
        <f t="shared" ca="1" si="23"/>
        <v>0</v>
      </c>
      <c r="G74" s="21">
        <f t="shared" ca="1" si="24"/>
        <v>7.8840223902493092</v>
      </c>
      <c r="H74" s="23">
        <f t="shared" ca="1" si="15"/>
        <v>218.02267862067725</v>
      </c>
      <c r="I74" s="22">
        <f t="shared" ca="1" si="25"/>
        <v>14.25</v>
      </c>
      <c r="J74" s="1"/>
      <c r="K74" s="51"/>
      <c r="M74" s="81">
        <f t="shared" ca="1" si="16"/>
        <v>307.91619062059323</v>
      </c>
      <c r="N74" s="19">
        <f t="shared" si="26"/>
        <v>8.951249180120838</v>
      </c>
      <c r="O74" s="17">
        <f t="shared" si="27"/>
        <v>18.25</v>
      </c>
      <c r="P74" s="19">
        <f ca="1">IF(ISERROR(IF(O74&lt;fi_h/20,0,(OFFSET('Base de dados'!$A$5,IF(O74&lt;20,1,IF(O74&gt;1000,10,MATCH(O74,Cargas,1))),Coluna_fih,1,1))*(1+0.13*0.25)*(PI()*(fi_h/1000)^2/4)*SQRT(2*9.81*(O74/100-fi_h/2/1000))*1000)),"",IF(O74&lt;fi_h/20,0,(OFFSET('Base de dados'!$A$5,IF(O74&lt;20,1,IF(O74&gt;1000,10,MATCH(O74,Cargas,1))),Coluna_fih,1,1))*(PI()*(fi_h/1000)^2/4)*SQRT(2*9.81*(O74/100-fi_h/2/1000))*1000))</f>
        <v>9.5412179498986447</v>
      </c>
      <c r="Q74" s="19">
        <f ca="1">IF(O74="","",IF(Tipo_Vertedor="Retangular",IF(O74&lt;=cota_s*100,0,IF(Tipo_Vertedor="Retangular",Cd_sr*Lef_sr*((O74/100-cota_s)^(3/2))*1000)),IF(O74&lt;=cota_s*100+fi_s/20,0,(OFFSET('Base de dados'!$A$4,IF(O74&lt;20,1,IF(O74&gt;1000,10,MATCH(O74,Cargas,1))),Coluna_fis,1,1))*(PI()*(fi_s/1000)^2/4)*(2*9.81*(O74/100-cota_s-fi_s/2/1000))^0.5*1000)))</f>
        <v>0</v>
      </c>
      <c r="R74" s="19">
        <f t="shared" ca="1" si="17"/>
        <v>9.5412179498986447</v>
      </c>
      <c r="S74" s="19">
        <f t="shared" ca="1" si="18"/>
        <v>298.3749726706946</v>
      </c>
      <c r="AD74" s="19">
        <f t="shared" si="28"/>
        <v>157.20687119870934</v>
      </c>
      <c r="AE74" s="19">
        <f t="shared" ca="1" si="29"/>
        <v>133.25747418031386</v>
      </c>
      <c r="AF74" s="19">
        <f ca="1">IF(ISERROR(IF('Hidrograma afluente'!I81="",0,'Hidrograma afluente'!I81)+Simulação!G74),"",IF('Hidrograma afluente'!I81="",0,'Hidrograma afluente'!I81)+Simulação!G74)</f>
        <v>7.8840223902493092</v>
      </c>
      <c r="AG74" s="17">
        <v>1.2904223673566042</v>
      </c>
      <c r="AH74" s="17">
        <v>1.2546431990807378</v>
      </c>
      <c r="AI74" s="27">
        <v>56.25</v>
      </c>
      <c r="AJ74" s="17">
        <v>53.25</v>
      </c>
      <c r="AK74" s="19">
        <f>IF(A74="","",IF('Hidrograma afluente'!I81="",0,'Hidrograma afluente'!I81)+Simulação!B74)</f>
        <v>0</v>
      </c>
    </row>
    <row r="75" spans="1:37" s="17" customFormat="1">
      <c r="A75" s="4">
        <f t="shared" si="19"/>
        <v>70</v>
      </c>
      <c r="B75" s="5">
        <f>IF(A75="","",IF(A75&gt;tc_lot_i+tc,0,IF('Hidrograma afluente'!B82="","",'Hidrograma afluente'!B82)))</f>
        <v>0</v>
      </c>
      <c r="C75" s="21">
        <f t="shared" si="20"/>
        <v>0</v>
      </c>
      <c r="D75" s="21">
        <f t="shared" ca="1" si="21"/>
        <v>208.15828523543775</v>
      </c>
      <c r="E75" s="21">
        <f t="shared" ca="1" si="22"/>
        <v>7.4120544601732066</v>
      </c>
      <c r="F75" s="21">
        <f t="shared" ca="1" si="23"/>
        <v>0</v>
      </c>
      <c r="G75" s="21">
        <f t="shared" ca="1" si="24"/>
        <v>7.4120544601732066</v>
      </c>
      <c r="H75" s="23">
        <f t="shared" ca="1" si="15"/>
        <v>200.74623077526454</v>
      </c>
      <c r="I75" s="22">
        <f t="shared" ca="1" si="25"/>
        <v>13.25</v>
      </c>
      <c r="J75" s="1"/>
      <c r="K75" s="51"/>
      <c r="M75" s="81">
        <f t="shared" ca="1" si="16"/>
        <v>312.61071771412719</v>
      </c>
      <c r="N75" s="19">
        <f t="shared" si="26"/>
        <v>9.0892615221526754</v>
      </c>
      <c r="O75" s="17">
        <f t="shared" si="27"/>
        <v>18.5</v>
      </c>
      <c r="P75" s="19">
        <f ca="1">IF(ISERROR(IF(O75&lt;fi_h/20,0,(OFFSET('Base de dados'!$A$5,IF(O75&lt;20,1,IF(O75&gt;1000,10,MATCH(O75,Cargas,1))),Coluna_fih,1,1))*(1+0.13*0.25)*(PI()*(fi_h/1000)^2/4)*SQRT(2*9.81*(O75/100-fi_h/2/1000))*1000)),"",IF(O75&lt;fi_h/20,0,(OFFSET('Base de dados'!$A$5,IF(O75&lt;20,1,IF(O75&gt;1000,10,MATCH(O75,Cargas,1))),Coluna_fih,1,1))*(PI()*(fi_h/1000)^2/4)*SQRT(2*9.81*(O75/100-fi_h/2/1000))*1000))</f>
        <v>9.6353336423713323</v>
      </c>
      <c r="Q75" s="19">
        <f ca="1">IF(O75="","",IF(Tipo_Vertedor="Retangular",IF(O75&lt;=cota_s*100,0,IF(Tipo_Vertedor="Retangular",Cd_sr*Lef_sr*((O75/100-cota_s)^(3/2))*1000)),IF(O75&lt;=cota_s*100+fi_s/20,0,(OFFSET('Base de dados'!$A$4,IF(O75&lt;20,1,IF(O75&gt;1000,10,MATCH(O75,Cargas,1))),Coluna_fis,1,1))*(PI()*(fi_s/1000)^2/4)*(2*9.81*(O75/100-cota_s-fi_s/2/1000))^0.5*1000)))</f>
        <v>0</v>
      </c>
      <c r="R75" s="19">
        <f t="shared" ca="1" si="17"/>
        <v>9.6353336423713323</v>
      </c>
      <c r="S75" s="19">
        <f t="shared" ca="1" si="18"/>
        <v>302.97538407175585</v>
      </c>
      <c r="AD75" s="19">
        <f t="shared" si="28"/>
        <v>157.20687119870934</v>
      </c>
      <c r="AE75" s="19">
        <f t="shared" ca="1" si="29"/>
        <v>134.17523879133921</v>
      </c>
      <c r="AF75" s="19">
        <f ca="1">IF(ISERROR(IF('Hidrograma afluente'!I82="",0,'Hidrograma afluente'!I82)+Simulação!G75),"",IF('Hidrograma afluente'!I82="",0,'Hidrograma afluente'!I82)+Simulação!G75)</f>
        <v>7.4120544601732066</v>
      </c>
      <c r="AG75" s="17">
        <v>1.2636829662906817</v>
      </c>
      <c r="AH75" s="17">
        <v>1.2302124494911835</v>
      </c>
      <c r="AI75" s="27">
        <v>54</v>
      </c>
      <c r="AJ75" s="17">
        <v>51.25</v>
      </c>
      <c r="AK75" s="19">
        <f>IF(A75="","",IF('Hidrograma afluente'!I82="",0,'Hidrograma afluente'!I82)+Simulação!B75)</f>
        <v>0</v>
      </c>
    </row>
    <row r="76" spans="1:37" s="17" customFormat="1">
      <c r="A76" s="4">
        <f t="shared" si="19"/>
        <v>71</v>
      </c>
      <c r="B76" s="5">
        <f>IF(A76="","",IF(A76&gt;tc_lot_i+tc,0,IF('Hidrograma afluente'!B83="","",'Hidrograma afluente'!B83)))</f>
        <v>0</v>
      </c>
      <c r="C76" s="21">
        <f t="shared" si="20"/>
        <v>0</v>
      </c>
      <c r="D76" s="21">
        <f t="shared" ca="1" si="21"/>
        <v>190.57610279020088</v>
      </c>
      <c r="E76" s="21">
        <f t="shared" ca="1" si="22"/>
        <v>6.9079152854674328</v>
      </c>
      <c r="F76" s="21">
        <f t="shared" ca="1" si="23"/>
        <v>0</v>
      </c>
      <c r="G76" s="21">
        <f t="shared" ca="1" si="24"/>
        <v>6.9079152854674328</v>
      </c>
      <c r="H76" s="23">
        <f t="shared" ca="1" si="15"/>
        <v>183.66818750473345</v>
      </c>
      <c r="I76" s="22">
        <f t="shared" ca="1" si="25"/>
        <v>12.25</v>
      </c>
      <c r="J76" s="1"/>
      <c r="K76" s="51"/>
      <c r="M76" s="81">
        <f t="shared" ca="1" si="16"/>
        <v>317.3120856100694</v>
      </c>
      <c r="N76" s="19">
        <f t="shared" si="26"/>
        <v>9.2275064017594808</v>
      </c>
      <c r="O76" s="17">
        <f t="shared" si="27"/>
        <v>18.75</v>
      </c>
      <c r="P76" s="19">
        <f ca="1">IF(ISERROR(IF(O76&lt;fi_h/20,0,(OFFSET('Base de dados'!$A$5,IF(O76&lt;20,1,IF(O76&gt;1000,10,MATCH(O76,Cargas,1))),Coluna_fih,1,1))*(1+0.13*0.25)*(PI()*(fi_h/1000)^2/4)*SQRT(2*9.81*(O76/100-fi_h/2/1000))*1000)),"",IF(O76&lt;fi_h/20,0,(OFFSET('Base de dados'!$A$5,IF(O76&lt;20,1,IF(O76&gt;1000,10,MATCH(O76,Cargas,1))),Coluna_fih,1,1))*(PI()*(fi_h/1000)^2/4)*SQRT(2*9.81*(O76/100-fi_h/2/1000))*1000))</f>
        <v>9.7285388847533305</v>
      </c>
      <c r="Q76" s="19">
        <f ca="1">IF(O76="","",IF(Tipo_Vertedor="Retangular",IF(O76&lt;=cota_s*100,0,IF(Tipo_Vertedor="Retangular",Cd_sr*Lef_sr*((O76/100-cota_s)^(3/2))*1000)),IF(O76&lt;=cota_s*100+fi_s/20,0,(OFFSET('Base de dados'!$A$4,IF(O76&lt;20,1,IF(O76&gt;1000,10,MATCH(O76,Cargas,1))),Coluna_fis,1,1))*(PI()*(fi_s/1000)^2/4)*(2*9.81*(O76/100-cota_s-fi_s/2/1000))^0.5*1000)))</f>
        <v>0</v>
      </c>
      <c r="R76" s="19">
        <f t="shared" ca="1" si="17"/>
        <v>9.7285388847533305</v>
      </c>
      <c r="S76" s="19">
        <f t="shared" ca="1" si="18"/>
        <v>307.58354672531607</v>
      </c>
      <c r="AD76" s="19">
        <f t="shared" si="28"/>
        <v>157.20687119870934</v>
      </c>
      <c r="AE76" s="19">
        <f t="shared" ca="1" si="29"/>
        <v>135.03443697607764</v>
      </c>
      <c r="AF76" s="19">
        <f ca="1">IF(ISERROR(IF('Hidrograma afluente'!I83="",0,'Hidrograma afluente'!I83)+Simulação!G76),"",IF('Hidrograma afluente'!I83="",0,'Hidrograma afluente'!I83)+Simulação!G76)</f>
        <v>6.9079152854674328</v>
      </c>
      <c r="AG76" s="17">
        <v>1.2363653959943273</v>
      </c>
      <c r="AH76" s="17">
        <v>1.2052865986007841</v>
      </c>
      <c r="AI76" s="27">
        <v>51.75</v>
      </c>
      <c r="AJ76" s="17">
        <v>49.25</v>
      </c>
      <c r="AK76" s="19">
        <f>IF(A76="","",IF('Hidrograma afluente'!I83="",0,'Hidrograma afluente'!I83)+Simulação!B76)</f>
        <v>0</v>
      </c>
    </row>
    <row r="77" spans="1:37" s="17" customFormat="1">
      <c r="A77" s="4">
        <f t="shared" si="19"/>
        <v>72</v>
      </c>
      <c r="B77" s="5">
        <f>IF(A77="","",IF(A77&gt;tc_lot_i+tc,0,IF('Hidrograma afluente'!B84="","",'Hidrograma afluente'!B84)))</f>
        <v>0</v>
      </c>
      <c r="C77" s="21">
        <f t="shared" si="20"/>
        <v>0</v>
      </c>
      <c r="D77" s="21">
        <f t="shared" ca="1" si="21"/>
        <v>173.17199829717609</v>
      </c>
      <c r="E77" s="21">
        <f t="shared" ca="1" si="22"/>
        <v>6.3639638482486456</v>
      </c>
      <c r="F77" s="21">
        <f t="shared" ca="1" si="23"/>
        <v>0</v>
      </c>
      <c r="G77" s="21">
        <f t="shared" ca="1" si="24"/>
        <v>6.3639638482486456</v>
      </c>
      <c r="H77" s="23">
        <f t="shared" ca="1" si="15"/>
        <v>166.80803444892743</v>
      </c>
      <c r="I77" s="22">
        <f t="shared" ca="1" si="25"/>
        <v>11.25</v>
      </c>
      <c r="J77" s="1"/>
      <c r="K77" s="51"/>
      <c r="M77" s="81">
        <f t="shared" ca="1" si="16"/>
        <v>322.02022967458845</v>
      </c>
      <c r="N77" s="19">
        <f t="shared" si="26"/>
        <v>9.3659811022657724</v>
      </c>
      <c r="O77" s="17">
        <f t="shared" si="27"/>
        <v>19</v>
      </c>
      <c r="P77" s="19">
        <f ca="1">IF(ISERROR(IF(O77&lt;fi_h/20,0,(OFFSET('Base de dados'!$A$5,IF(O77&lt;20,1,IF(O77&gt;1000,10,MATCH(O77,Cargas,1))),Coluna_fih,1,1))*(1+0.13*0.25)*(PI()*(fi_h/1000)^2/4)*SQRT(2*9.81*(O77/100-fi_h/2/1000))*1000)),"",IF(O77&lt;fi_h/20,0,(OFFSET('Base de dados'!$A$5,IF(O77&lt;20,1,IF(O77&gt;1000,10,MATCH(O77,Cargas,1))),Coluna_fih,1,1))*(PI()*(fi_h/1000)^2/4)*SQRT(2*9.81*(O77/100-fi_h/2/1000))*1000))</f>
        <v>9.8208595990627146</v>
      </c>
      <c r="Q77" s="19">
        <f ca="1">IF(O77="","",IF(Tipo_Vertedor="Retangular",IF(O77&lt;=cota_s*100,0,IF(Tipo_Vertedor="Retangular",Cd_sr*Lef_sr*((O77/100-cota_s)^(3/2))*1000)),IF(O77&lt;=cota_s*100+fi_s/20,0,(OFFSET('Base de dados'!$A$4,IF(O77&lt;20,1,IF(O77&gt;1000,10,MATCH(O77,Cargas,1))),Coluna_fis,1,1))*(PI()*(fi_s/1000)^2/4)*(2*9.81*(O77/100-cota_s-fi_s/2/1000))^0.5*1000)))</f>
        <v>0</v>
      </c>
      <c r="R77" s="19">
        <f t="shared" ca="1" si="17"/>
        <v>9.8208595990627146</v>
      </c>
      <c r="S77" s="19">
        <f t="shared" ca="1" si="18"/>
        <v>312.19937007552574</v>
      </c>
      <c r="AD77" s="19">
        <f t="shared" si="28"/>
        <v>157.20687119870934</v>
      </c>
      <c r="AE77" s="19">
        <f t="shared" ca="1" si="29"/>
        <v>135.8307497241006</v>
      </c>
      <c r="AF77" s="19">
        <f ca="1">IF(ISERROR(IF('Hidrograma afluente'!I84="",0,'Hidrograma afluente'!I84)+Simulação!G77),"",IF('Hidrograma afluente'!I84="",0,'Hidrograma afluente'!I84)+Simulação!G77)</f>
        <v>6.3639638482486456</v>
      </c>
      <c r="AG77" s="17">
        <v>1.2115661378132687</v>
      </c>
      <c r="AH77" s="17">
        <v>1.1798342674503897</v>
      </c>
      <c r="AI77" s="27">
        <v>49.75</v>
      </c>
      <c r="AJ77" s="17">
        <v>47.25</v>
      </c>
      <c r="AK77" s="19">
        <f>IF(A77="","",IF('Hidrograma afluente'!I84="",0,'Hidrograma afluente'!I84)+Simulação!B77)</f>
        <v>0</v>
      </c>
    </row>
    <row r="78" spans="1:37" s="17" customFormat="1">
      <c r="A78" s="4">
        <f t="shared" si="19"/>
        <v>73</v>
      </c>
      <c r="B78" s="5">
        <f>IF(A78="","",IF(A78&gt;tc_lot_i+tc,0,IF('Hidrograma afluente'!B85="","",'Hidrograma afluente'!B85)))</f>
        <v>0</v>
      </c>
      <c r="C78" s="21">
        <f t="shared" si="20"/>
        <v>0</v>
      </c>
      <c r="D78" s="21">
        <f t="shared" ca="1" si="21"/>
        <v>160.24400599631906</v>
      </c>
      <c r="E78" s="21">
        <f t="shared" ca="1" si="22"/>
        <v>5.9233092579048678</v>
      </c>
      <c r="F78" s="21">
        <f t="shared" ca="1" si="23"/>
        <v>0</v>
      </c>
      <c r="G78" s="21">
        <f t="shared" ca="1" si="24"/>
        <v>5.9233092579048678</v>
      </c>
      <c r="H78" s="23">
        <f t="shared" ca="1" si="15"/>
        <v>154.3206967384142</v>
      </c>
      <c r="I78" s="22">
        <f t="shared" ca="1" si="25"/>
        <v>10.5</v>
      </c>
      <c r="J78" s="1"/>
      <c r="K78" s="51"/>
      <c r="M78" s="81">
        <f t="shared" ca="1" si="16"/>
        <v>326.7350863032907</v>
      </c>
      <c r="N78" s="19">
        <f t="shared" si="26"/>
        <v>9.5046829740955019</v>
      </c>
      <c r="O78" s="17">
        <f t="shared" si="27"/>
        <v>19.25</v>
      </c>
      <c r="P78" s="19">
        <f ca="1">IF(ISERROR(IF(O78&lt;fi_h/20,0,(OFFSET('Base de dados'!$A$5,IF(O78&lt;20,1,IF(O78&gt;1000,10,MATCH(O78,Cargas,1))),Coluna_fih,1,1))*(1+0.13*0.25)*(PI()*(fi_h/1000)^2/4)*SQRT(2*9.81*(O78/100-fi_h/2/1000))*1000)),"",IF(O78&lt;fi_h/20,0,(OFFSET('Base de dados'!$A$5,IF(O78&lt;20,1,IF(O78&gt;1000,10,MATCH(O78,Cargas,1))),Coluna_fih,1,1))*(PI()*(fi_h/1000)^2/4)*SQRT(2*9.81*(O78/100-fi_h/2/1000))*1000))</f>
        <v>9.9123205001072794</v>
      </c>
      <c r="Q78" s="19">
        <f ca="1">IF(O78="","",IF(Tipo_Vertedor="Retangular",IF(O78&lt;=cota_s*100,0,IF(Tipo_Vertedor="Retangular",Cd_sr*Lef_sr*((O78/100-cota_s)^(3/2))*1000)),IF(O78&lt;=cota_s*100+fi_s/20,0,(OFFSET('Base de dados'!$A$4,IF(O78&lt;20,1,IF(O78&gt;1000,10,MATCH(O78,Cargas,1))),Coluna_fis,1,1))*(PI()*(fi_s/1000)^2/4)*(2*9.81*(O78/100-cota_s-fi_s/2/1000))^0.5*1000)))</f>
        <v>0</v>
      </c>
      <c r="R78" s="19">
        <f t="shared" ca="1" si="17"/>
        <v>9.9123205001072794</v>
      </c>
      <c r="S78" s="19">
        <f t="shared" ca="1" si="18"/>
        <v>316.82276580318342</v>
      </c>
      <c r="AD78" s="19">
        <f t="shared" si="28"/>
        <v>157.20687119870934</v>
      </c>
      <c r="AE78" s="19">
        <f t="shared" ca="1" si="29"/>
        <v>136.5679861104698</v>
      </c>
      <c r="AF78" s="19">
        <f ca="1">IF(ISERROR(IF('Hidrograma afluente'!I85="",0,'Hidrograma afluente'!I85)+Simulação!G78),"",IF('Hidrograma afluente'!I85="",0,'Hidrograma afluente'!I85)+Simulação!G78)</f>
        <v>5.9233092579048678</v>
      </c>
      <c r="AG78" s="17">
        <v>1.1862485490736376</v>
      </c>
      <c r="AH78" s="17">
        <v>1.1538206154050759</v>
      </c>
      <c r="AI78" s="27">
        <v>47.75</v>
      </c>
      <c r="AJ78" s="17">
        <v>45.25</v>
      </c>
      <c r="AK78" s="19">
        <f>IF(A78="","",IF('Hidrograma afluente'!I85="",0,'Hidrograma afluente'!I85)+Simulação!B78)</f>
        <v>0</v>
      </c>
    </row>
    <row r="79" spans="1:37" s="17" customFormat="1">
      <c r="A79" s="4">
        <f t="shared" si="19"/>
        <v>74</v>
      </c>
      <c r="B79" s="5">
        <f>IF(A79="","",IF(A79&gt;tc_lot_i+tc,0,IF('Hidrograma afluente'!B86="","",'Hidrograma afluente'!B86)))</f>
        <v>0</v>
      </c>
      <c r="C79" s="21">
        <f t="shared" si="20"/>
        <v>0</v>
      </c>
      <c r="D79" s="21">
        <f t="shared" ca="1" si="21"/>
        <v>147.43063001951495</v>
      </c>
      <c r="E79" s="21">
        <f t="shared" ca="1" si="22"/>
        <v>5.447123026676314</v>
      </c>
      <c r="F79" s="21">
        <f t="shared" ca="1" si="23"/>
        <v>0</v>
      </c>
      <c r="G79" s="21">
        <f t="shared" ca="1" si="24"/>
        <v>5.447123026676314</v>
      </c>
      <c r="H79" s="23">
        <f t="shared" ca="1" si="15"/>
        <v>141.98350699283864</v>
      </c>
      <c r="I79" s="22">
        <f t="shared" ca="1" si="25"/>
        <v>9.75</v>
      </c>
      <c r="J79" s="1"/>
      <c r="K79" s="51"/>
      <c r="M79" s="81">
        <f t="shared" ca="1" si="16"/>
        <v>331.45659291489187</v>
      </c>
      <c r="N79" s="19">
        <f t="shared" si="26"/>
        <v>9.6436094322640322</v>
      </c>
      <c r="O79" s="17">
        <f t="shared" si="27"/>
        <v>19.5</v>
      </c>
      <c r="P79" s="19">
        <f ca="1">IF(ISERROR(IF(O79&lt;fi_h/20,0,(OFFSET('Base de dados'!$A$5,IF(O79&lt;20,1,IF(O79&gt;1000,10,MATCH(O79,Cargas,1))),Coluna_fih,1,1))*(1+0.13*0.25)*(PI()*(fi_h/1000)^2/4)*SQRT(2*9.81*(O79/100-fi_h/2/1000))*1000)),"",IF(O79&lt;fi_h/20,0,(OFFSET('Base de dados'!$A$5,IF(O79&lt;20,1,IF(O79&gt;1000,10,MATCH(O79,Cargas,1))),Coluna_fih,1,1))*(PI()*(fi_h/1000)^2/4)*SQRT(2*9.81*(O79/100-fi_h/2/1000))*1000))</f>
        <v>10.002945172757457</v>
      </c>
      <c r="Q79" s="19">
        <f ca="1">IF(O79="","",IF(Tipo_Vertedor="Retangular",IF(O79&lt;=cota_s*100,0,IF(Tipo_Vertedor="Retangular",Cd_sr*Lef_sr*((O79/100-cota_s)^(3/2))*1000)),IF(O79&lt;=cota_s*100+fi_s/20,0,(OFFSET('Base de dados'!$A$4,IF(O79&lt;20,1,IF(O79&gt;1000,10,MATCH(O79,Cargas,1))),Coluna_fis,1,1))*(PI()*(fi_s/1000)^2/4)*(2*9.81*(O79/100-cota_s-fi_s/2/1000))^0.5*1000)))</f>
        <v>0</v>
      </c>
      <c r="R79" s="19">
        <f t="shared" ca="1" si="17"/>
        <v>10.002945172757457</v>
      </c>
      <c r="S79" s="19">
        <f t="shared" ca="1" si="18"/>
        <v>321.45364774213442</v>
      </c>
      <c r="AD79" s="19">
        <f t="shared" si="28"/>
        <v>157.20687119870934</v>
      </c>
      <c r="AE79" s="19">
        <f t="shared" ca="1" si="29"/>
        <v>137.25021204754466</v>
      </c>
      <c r="AF79" s="19">
        <f ca="1">IF(ISERROR(IF('Hidrograma afluente'!I86="",0,'Hidrograma afluente'!I86)+Simulação!G79),"",IF('Hidrograma afluente'!I86="",0,'Hidrograma afluente'!I86)+Simulação!G79)</f>
        <v>5.447123026676314</v>
      </c>
      <c r="AG79" s="17">
        <v>1.1603787028650863</v>
      </c>
      <c r="AH79" s="17">
        <v>1.127206780682807</v>
      </c>
      <c r="AI79" s="27">
        <v>45.75</v>
      </c>
      <c r="AJ79" s="17">
        <v>43.25</v>
      </c>
      <c r="AK79" s="19">
        <f>IF(A79="","",IF('Hidrograma afluente'!I86="",0,'Hidrograma afluente'!I86)+Simulação!B79)</f>
        <v>0</v>
      </c>
    </row>
    <row r="80" spans="1:37" s="17" customFormat="1">
      <c r="A80" s="4">
        <f t="shared" si="19"/>
        <v>75</v>
      </c>
      <c r="B80" s="5">
        <f>IF(A80="","",IF(A80&gt;tc_lot_i+tc,0,IF('Hidrograma afluente'!B87="","",'Hidrograma afluente'!B87)))</f>
        <v>0</v>
      </c>
      <c r="C80" s="21">
        <f t="shared" si="20"/>
        <v>0</v>
      </c>
      <c r="D80" s="21">
        <f t="shared" ca="1" si="21"/>
        <v>134.73956640836849</v>
      </c>
      <c r="E80" s="21">
        <f t="shared" ca="1" si="22"/>
        <v>4.9251097419969385</v>
      </c>
      <c r="F80" s="21">
        <f t="shared" ca="1" si="23"/>
        <v>0</v>
      </c>
      <c r="G80" s="21">
        <f t="shared" ca="1" si="24"/>
        <v>4.9251097419969385</v>
      </c>
      <c r="H80" s="23">
        <f t="shared" ca="1" si="15"/>
        <v>129.81445666637154</v>
      </c>
      <c r="I80" s="22">
        <f t="shared" ca="1" si="25"/>
        <v>9</v>
      </c>
      <c r="J80" s="1"/>
      <c r="K80" s="51"/>
      <c r="M80" s="81">
        <f t="shared" ca="1" si="16"/>
        <v>336.18468794280193</v>
      </c>
      <c r="N80" s="19">
        <f t="shared" si="26"/>
        <v>9.7827579539948442</v>
      </c>
      <c r="O80" s="17">
        <f t="shared" si="27"/>
        <v>19.75</v>
      </c>
      <c r="P80" s="19">
        <f ca="1">IF(ISERROR(IF(O80&lt;fi_h/20,0,(OFFSET('Base de dados'!$A$5,IF(O80&lt;20,1,IF(O80&gt;1000,10,MATCH(O80,Cargas,1))),Coluna_fih,1,1))*(1+0.13*0.25)*(PI()*(fi_h/1000)^2/4)*SQRT(2*9.81*(O80/100-fi_h/2/1000))*1000)),"",IF(O80&lt;fi_h/20,0,(OFFSET('Base de dados'!$A$5,IF(O80&lt;20,1,IF(O80&gt;1000,10,MATCH(O80,Cargas,1))),Coluna_fih,1,1))*(PI()*(fi_h/1000)^2/4)*SQRT(2*9.81*(O80/100-fi_h/2/1000))*1000))</f>
        <v>10.092756142973853</v>
      </c>
      <c r="Q80" s="19">
        <f ca="1">IF(O80="","",IF(Tipo_Vertedor="Retangular",IF(O80&lt;=cota_s*100,0,IF(Tipo_Vertedor="Retangular",Cd_sr*Lef_sr*((O80/100-cota_s)^(3/2))*1000)),IF(O80&lt;=cota_s*100+fi_s/20,0,(OFFSET('Base de dados'!$A$4,IF(O80&lt;20,1,IF(O80&gt;1000,10,MATCH(O80,Cargas,1))),Coluna_fis,1,1))*(PI()*(fi_s/1000)^2/4)*(2*9.81*(O80/100-cota_s-fi_s/2/1000))^0.5*1000)))</f>
        <v>0</v>
      </c>
      <c r="R80" s="19">
        <f t="shared" ca="1" si="17"/>
        <v>10.092756142973853</v>
      </c>
      <c r="S80" s="19">
        <f t="shared" ca="1" si="18"/>
        <v>326.0919317998281</v>
      </c>
      <c r="AD80" s="19">
        <f t="shared" si="28"/>
        <v>157.20687119870934</v>
      </c>
      <c r="AE80" s="19">
        <f t="shared" ca="1" si="29"/>
        <v>137.87254601366507</v>
      </c>
      <c r="AF80" s="19">
        <f ca="1">IF(ISERROR(IF('Hidrograma afluente'!I87="",0,'Hidrograma afluente'!I87)+Simulação!G80),"",IF('Hidrograma afluente'!I87="",0,'Hidrograma afluente'!I87)+Simulação!G80)</f>
        <v>4.9251097419969385</v>
      </c>
      <c r="AG80" s="17">
        <v>1.1339188013021082</v>
      </c>
      <c r="AH80" s="17">
        <v>1.0999491989636829</v>
      </c>
      <c r="AI80" s="27">
        <v>43.75</v>
      </c>
      <c r="AJ80" s="17">
        <v>41.25</v>
      </c>
      <c r="AK80" s="19">
        <f>IF(A80="","",IF('Hidrograma afluente'!I87="",0,'Hidrograma afluente'!I87)+Simulação!B80)</f>
        <v>0</v>
      </c>
    </row>
    <row r="81" spans="1:37" s="17" customFormat="1">
      <c r="A81" s="4">
        <f t="shared" si="19"/>
        <v>76</v>
      </c>
      <c r="B81" s="5">
        <f>IF(A81="","",IF(A81&gt;tc_lot_i+tc,0,IF('Hidrograma afluente'!B88="","",'Hidrograma afluente'!B88)))</f>
        <v>0</v>
      </c>
      <c r="C81" s="21">
        <f t="shared" si="20"/>
        <v>0</v>
      </c>
      <c r="D81" s="21">
        <f t="shared" ca="1" si="21"/>
        <v>122.17971169322733</v>
      </c>
      <c r="E81" s="21">
        <f t="shared" ca="1" si="22"/>
        <v>4.3407675212661374</v>
      </c>
      <c r="F81" s="21">
        <f t="shared" ca="1" si="23"/>
        <v>0</v>
      </c>
      <c r="G81" s="21">
        <f t="shared" ca="1" si="24"/>
        <v>4.3407675212661374</v>
      </c>
      <c r="H81" s="23">
        <f t="shared" ca="1" si="15"/>
        <v>117.8389441719612</v>
      </c>
      <c r="I81" s="22">
        <f t="shared" ca="1" si="25"/>
        <v>8.25</v>
      </c>
      <c r="J81" s="1"/>
      <c r="K81" s="51"/>
      <c r="M81" s="81">
        <f t="shared" ca="1" si="16"/>
        <v>340.9193108249699</v>
      </c>
      <c r="N81" s="19">
        <f t="shared" si="26"/>
        <v>9.9221260764532371</v>
      </c>
      <c r="O81" s="17">
        <f t="shared" si="27"/>
        <v>20</v>
      </c>
      <c r="P81" s="19">
        <f ca="1">IF(ISERROR(IF(O81&lt;fi_h/20,0,(OFFSET('Base de dados'!$A$5,IF(O81&lt;20,1,IF(O81&gt;1000,10,MATCH(O81,Cargas,1))),Coluna_fih,1,1))*(1+0.13*0.25)*(PI()*(fi_h/1000)^2/4)*SQRT(2*9.81*(O81/100-fi_h/2/1000))*1000)),"",IF(O81&lt;fi_h/20,0,(OFFSET('Base de dados'!$A$5,IF(O81&lt;20,1,IF(O81&gt;1000,10,MATCH(O81,Cargas,1))),Coluna_fih,1,1))*(PI()*(fi_h/1000)^2/4)*SQRT(2*9.81*(O81/100-fi_h/2/1000))*1000))</f>
        <v>10.181774943195375</v>
      </c>
      <c r="Q81" s="19">
        <f ca="1">IF(O81="","",IF(Tipo_Vertedor="Retangular",IF(O81&lt;=cota_s*100,0,IF(Tipo_Vertedor="Retangular",Cd_sr*Lef_sr*((O81/100-cota_s)^(3/2))*1000)),IF(O81&lt;=cota_s*100+fi_s/20,0,(OFFSET('Base de dados'!$A$4,IF(O81&lt;20,1,IF(O81&gt;1000,10,MATCH(O81,Cargas,1))),Coluna_fis,1,1))*(PI()*(fi_s/1000)^2/4)*(2*9.81*(O81/100-cota_s-fi_s/2/1000))^0.5*1000)))</f>
        <v>0</v>
      </c>
      <c r="R81" s="19">
        <f t="shared" ca="1" si="17"/>
        <v>10.181774943195375</v>
      </c>
      <c r="S81" s="19">
        <f t="shared" ca="1" si="18"/>
        <v>330.73753588177453</v>
      </c>
      <c r="AD81" s="19">
        <f t="shared" si="28"/>
        <v>157.20687119870934</v>
      </c>
      <c r="AE81" s="19">
        <f t="shared" ca="1" si="29"/>
        <v>138.42849864946086</v>
      </c>
      <c r="AF81" s="19">
        <f ca="1">IF(ISERROR(IF('Hidrograma afluente'!I88="",0,'Hidrograma afluente'!I88)+Simulação!G81),"",IF('Hidrograma afluente'!I88="",0,'Hidrograma afluente'!I88)+Simulação!G81)</f>
        <v>4.3407675212661374</v>
      </c>
      <c r="AG81" s="17">
        <v>1.1068265274332558</v>
      </c>
      <c r="AH81" s="17">
        <v>1.0805116099480354</v>
      </c>
      <c r="AI81" s="27">
        <v>41.75</v>
      </c>
      <c r="AJ81" s="17">
        <v>39.5</v>
      </c>
      <c r="AK81" s="19">
        <f>IF(A81="","",IF('Hidrograma afluente'!I88="",0,'Hidrograma afluente'!I88)+Simulação!B81)</f>
        <v>0</v>
      </c>
    </row>
    <row r="82" spans="1:37" s="17" customFormat="1">
      <c r="A82" s="4">
        <f t="shared" si="19"/>
        <v>77</v>
      </c>
      <c r="B82" s="5">
        <f>IF(A82="","",IF(A82&gt;tc_lot_i+tc,0,IF('Hidrograma afluente'!B89="","",'Hidrograma afluente'!B89)))</f>
        <v>0</v>
      </c>
      <c r="C82" s="21">
        <f t="shared" si="20"/>
        <v>0</v>
      </c>
      <c r="D82" s="21">
        <f t="shared" ca="1" si="21"/>
        <v>113.88443572021623</v>
      </c>
      <c r="E82" s="21">
        <f t="shared" ca="1" si="22"/>
        <v>3.9029006916637665</v>
      </c>
      <c r="F82" s="21">
        <f t="shared" ca="1" si="23"/>
        <v>0</v>
      </c>
      <c r="G82" s="21">
        <f t="shared" ca="1" si="24"/>
        <v>3.9029006916637665</v>
      </c>
      <c r="H82" s="23">
        <f t="shared" ca="1" si="15"/>
        <v>109.98153502855247</v>
      </c>
      <c r="I82" s="22">
        <f t="shared" ca="1" si="25"/>
        <v>7.75</v>
      </c>
      <c r="J82" s="1"/>
      <c r="K82" s="51"/>
      <c r="M82" s="81">
        <f t="shared" ca="1" si="16"/>
        <v>345.66040199229076</v>
      </c>
      <c r="N82" s="19">
        <f t="shared" si="26"/>
        <v>10.061711394589947</v>
      </c>
      <c r="O82" s="17">
        <f t="shared" si="27"/>
        <v>20.25</v>
      </c>
      <c r="P82" s="19">
        <f ca="1">IF(ISERROR(IF(O82&lt;fi_h/20,0,(OFFSET('Base de dados'!$A$5,IF(O82&lt;20,1,IF(O82&gt;1000,10,MATCH(O82,Cargas,1))),Coluna_fih,1,1))*(1+0.13*0.25)*(PI()*(fi_h/1000)^2/4)*SQRT(2*9.81*(O82/100-fi_h/2/1000))*1000)),"",IF(O82&lt;fi_h/20,0,(OFFSET('Base de dados'!$A$5,IF(O82&lt;20,1,IF(O82&gt;1000,10,MATCH(O82,Cargas,1))),Coluna_fih,1,1))*(PI()*(fi_h/1000)^2/4)*SQRT(2*9.81*(O82/100-fi_h/2/1000))*1000))</f>
        <v>10.270022172625817</v>
      </c>
      <c r="Q82" s="19">
        <f ca="1">IF(O82="","",IF(Tipo_Vertedor="Retangular",IF(O82&lt;=cota_s*100,0,IF(Tipo_Vertedor="Retangular",Cd_sr*Lef_sr*((O82/100-cota_s)^(3/2))*1000)),IF(O82&lt;=cota_s*100+fi_s/20,0,(OFFSET('Base de dados'!$A$4,IF(O82&lt;20,1,IF(O82&gt;1000,10,MATCH(O82,Cargas,1))),Coluna_fis,1,1))*(PI()*(fi_s/1000)^2/4)*(2*9.81*(O82/100-cota_s-fi_s/2/1000))^0.5*1000)))</f>
        <v>0</v>
      </c>
      <c r="R82" s="19">
        <f t="shared" ca="1" si="17"/>
        <v>10.270022172625817</v>
      </c>
      <c r="S82" s="19">
        <f t="shared" ca="1" si="18"/>
        <v>335.39037981966493</v>
      </c>
      <c r="AD82" s="19">
        <f t="shared" si="28"/>
        <v>157.20687119870934</v>
      </c>
      <c r="AE82" s="19">
        <f t="shared" ca="1" si="29"/>
        <v>138.92311874223665</v>
      </c>
      <c r="AF82" s="19">
        <f ca="1">IF(ISERROR(IF('Hidrograma afluente'!I89="",0,'Hidrograma afluente'!I89)+Simulação!G82),"",IF('Hidrograma afluente'!I89="",0,'Hidrograma afluente'!I89)+Simulação!G82)</f>
        <v>3.9029006916637665</v>
      </c>
      <c r="AG82" s="17">
        <v>1.0840498721191889</v>
      </c>
      <c r="AH82" s="17">
        <v>1.0554116908432236</v>
      </c>
      <c r="AI82" s="27">
        <v>39.75</v>
      </c>
      <c r="AJ82" s="17">
        <v>37.75</v>
      </c>
      <c r="AK82" s="19">
        <f>IF(A82="","",IF('Hidrograma afluente'!I89="",0,'Hidrograma afluente'!I89)+Simulação!B82)</f>
        <v>0</v>
      </c>
    </row>
    <row r="83" spans="1:37" s="17" customFormat="1">
      <c r="A83" s="4">
        <f t="shared" si="19"/>
        <v>78</v>
      </c>
      <c r="B83" s="5">
        <f>IF(A83="","",IF(A83&gt;tc_lot_i+tc,0,IF('Hidrograma afluente'!B90="","",'Hidrograma afluente'!B90)))</f>
        <v>0</v>
      </c>
      <c r="C83" s="21">
        <f t="shared" si="20"/>
        <v>0</v>
      </c>
      <c r="D83" s="21">
        <f t="shared" ca="1" si="21"/>
        <v>105.6556052723316</v>
      </c>
      <c r="E83" s="21">
        <f t="shared" ca="1" si="22"/>
        <v>3.4092528425301705</v>
      </c>
      <c r="F83" s="21">
        <f t="shared" ca="1" si="23"/>
        <v>0</v>
      </c>
      <c r="G83" s="21">
        <f t="shared" ca="1" si="24"/>
        <v>3.4092528425301705</v>
      </c>
      <c r="H83" s="23">
        <f t="shared" ca="1" si="15"/>
        <v>102.24635242980143</v>
      </c>
      <c r="I83" s="22">
        <f t="shared" ca="1" si="25"/>
        <v>7.25</v>
      </c>
      <c r="J83" s="1"/>
      <c r="K83" s="51"/>
      <c r="M83" s="81">
        <f t="shared" ca="1" si="16"/>
        <v>350.40790285583114</v>
      </c>
      <c r="N83" s="19">
        <f t="shared" si="26"/>
        <v>10.201511559088024</v>
      </c>
      <c r="O83" s="17">
        <f t="shared" si="27"/>
        <v>20.5</v>
      </c>
      <c r="P83" s="19">
        <f ca="1">IF(ISERROR(IF(O83&lt;fi_h/20,0,(OFFSET('Base de dados'!$A$5,IF(O83&lt;20,1,IF(O83&gt;1000,10,MATCH(O83,Cargas,1))),Coluna_fih,1,1))*(1+0.13*0.25)*(PI()*(fi_h/1000)^2/4)*SQRT(2*9.81*(O83/100-fi_h/2/1000))*1000)),"",IF(O83&lt;fi_h/20,0,(OFFSET('Base de dados'!$A$5,IF(O83&lt;20,1,IF(O83&gt;1000,10,MATCH(O83,Cargas,1))),Coluna_fih,1,1))*(PI()*(fi_h/1000)^2/4)*SQRT(2*9.81*(O83/100-fi_h/2/1000))*1000))</f>
        <v>10.357517552897056</v>
      </c>
      <c r="Q83" s="19">
        <f ca="1">IF(O83="","",IF(Tipo_Vertedor="Retangular",IF(O83&lt;=cota_s*100,0,IF(Tipo_Vertedor="Retangular",Cd_sr*Lef_sr*((O83/100-cota_s)^(3/2))*1000)),IF(O83&lt;=cota_s*100+fi_s/20,0,(OFFSET('Base de dados'!$A$4,IF(O83&lt;20,1,IF(O83&gt;1000,10,MATCH(O83,Cargas,1))),Coluna_fis,1,1))*(PI()*(fi_s/1000)^2/4)*(2*9.81*(O83/100-cota_s-fi_s/2/1000))^0.5*1000)))</f>
        <v>0</v>
      </c>
      <c r="R83" s="19">
        <f t="shared" ca="1" si="17"/>
        <v>10.357517552897056</v>
      </c>
      <c r="S83" s="19">
        <f t="shared" ca="1" si="18"/>
        <v>340.0503853029341</v>
      </c>
      <c r="AD83" s="19">
        <f t="shared" si="28"/>
        <v>157.20687119870934</v>
      </c>
      <c r="AE83" s="19">
        <f t="shared" ca="1" si="29"/>
        <v>139.36184795428829</v>
      </c>
      <c r="AF83" s="19">
        <f ca="1">IF(ISERROR(IF('Hidrograma afluente'!I90="",0,'Hidrograma afluente'!I90)+Simulação!G83),"",IF('Hidrograma afluente'!I90="",0,'Hidrograma afluente'!I90)+Simulação!G83)</f>
        <v>3.4092528425301705</v>
      </c>
      <c r="AG83" s="17">
        <v>1.0590338158801575</v>
      </c>
      <c r="AH83" s="17">
        <v>1.0297001190174786</v>
      </c>
      <c r="AI83" s="27">
        <v>38</v>
      </c>
      <c r="AJ83" s="17">
        <v>36</v>
      </c>
      <c r="AK83" s="19">
        <f>IF(A83="","",IF('Hidrograma afluente'!I90="",0,'Hidrograma afluente'!I90)+Simulação!B83)</f>
        <v>0</v>
      </c>
    </row>
    <row r="84" spans="1:37" s="17" customFormat="1">
      <c r="A84" s="4">
        <f t="shared" si="19"/>
        <v>79</v>
      </c>
      <c r="B84" s="5">
        <f>IF(A84="","",IF(A84&gt;tc_lot_i+tc,0,IF('Hidrograma afluente'!B91="","",'Hidrograma afluente'!B91)))</f>
        <v>0</v>
      </c>
      <c r="C84" s="21">
        <f t="shared" si="20"/>
        <v>0</v>
      </c>
      <c r="D84" s="21">
        <f t="shared" ca="1" si="21"/>
        <v>97.497220880342113</v>
      </c>
      <c r="E84" s="21">
        <f t="shared" ca="1" si="22"/>
        <v>2.8307907163212538</v>
      </c>
      <c r="F84" s="21">
        <f t="shared" ca="1" si="23"/>
        <v>0</v>
      </c>
      <c r="G84" s="21">
        <f t="shared" ca="1" si="24"/>
        <v>2.8307907163212538</v>
      </c>
      <c r="H84" s="23">
        <f t="shared" ca="1" si="15"/>
        <v>94.666430164020852</v>
      </c>
      <c r="I84" s="22">
        <f t="shared" ca="1" si="25"/>
        <v>6.75</v>
      </c>
      <c r="J84" s="1"/>
      <c r="K84" s="51"/>
      <c r="M84" s="81">
        <f t="shared" ca="1" si="16"/>
        <v>355.16175579309555</v>
      </c>
      <c r="N84" s="19">
        <f t="shared" si="26"/>
        <v>10.341524274406817</v>
      </c>
      <c r="O84" s="17">
        <f t="shared" si="27"/>
        <v>20.75</v>
      </c>
      <c r="P84" s="19">
        <f ca="1">IF(ISERROR(IF(O84&lt;fi_h/20,0,(OFFSET('Base de dados'!$A$5,IF(O84&lt;20,1,IF(O84&gt;1000,10,MATCH(O84,Cargas,1))),Coluna_fih,1,1))*(1+0.13*0.25)*(PI()*(fi_h/1000)^2/4)*SQRT(2*9.81*(O84/100-fi_h/2/1000))*1000)),"",IF(O84&lt;fi_h/20,0,(OFFSET('Base de dados'!$A$5,IF(O84&lt;20,1,IF(O84&gt;1000,10,MATCH(O84,Cargas,1))),Coluna_fih,1,1))*(PI()*(fi_h/1000)^2/4)*SQRT(2*9.81*(O84/100-fi_h/2/1000))*1000))</f>
        <v>10.444279979534988</v>
      </c>
      <c r="Q84" s="19">
        <f ca="1">IF(O84="","",IF(Tipo_Vertedor="Retangular",IF(O84&lt;=cota_s*100,0,IF(Tipo_Vertedor="Retangular",Cd_sr*Lef_sr*((O84/100-cota_s)^(3/2))*1000)),IF(O84&lt;=cota_s*100+fi_s/20,0,(OFFSET('Base de dados'!$A$4,IF(O84&lt;20,1,IF(O84&gt;1000,10,MATCH(O84,Cargas,1))),Coluna_fis,1,1))*(PI()*(fi_s/1000)^2/4)*(2*9.81*(O84/100-cota_s-fi_s/2/1000))^0.5*1000)))</f>
        <v>0</v>
      </c>
      <c r="R84" s="19">
        <f t="shared" ca="1" si="17"/>
        <v>10.444279979534988</v>
      </c>
      <c r="S84" s="19">
        <f t="shared" ca="1" si="18"/>
        <v>344.71747581356055</v>
      </c>
      <c r="AD84" s="19">
        <f t="shared" si="28"/>
        <v>157.20687119870934</v>
      </c>
      <c r="AE84" s="19">
        <f t="shared" ca="1" si="29"/>
        <v>139.73625056781938</v>
      </c>
      <c r="AF84" s="19">
        <f ca="1">IF(ISERROR(IF('Hidrograma afluente'!I91="",0,'Hidrograma afluente'!I91)+Simulação!G84),"",IF('Hidrograma afluente'!I91="",0,'Hidrograma afluente'!I91)+Simulação!G84)</f>
        <v>2.8307907163212538</v>
      </c>
      <c r="AG84" s="17">
        <v>1.033412367408937</v>
      </c>
      <c r="AH84" s="17">
        <v>1.0033298724949171</v>
      </c>
      <c r="AI84" s="27">
        <v>36.25</v>
      </c>
      <c r="AJ84" s="17">
        <v>34.25</v>
      </c>
      <c r="AK84" s="19">
        <f>IF(A84="","",IF('Hidrograma afluente'!I91="",0,'Hidrograma afluente'!I91)+Simulação!B84)</f>
        <v>0</v>
      </c>
    </row>
    <row r="85" spans="1:37" s="17" customFormat="1">
      <c r="A85" s="4">
        <f t="shared" si="19"/>
        <v>80</v>
      </c>
      <c r="B85" s="5">
        <f>IF(A85="","",IF(A85&gt;tc_lot_i+tc,0,IF('Hidrograma afluente'!B92="","",'Hidrograma afluente'!B92)))</f>
        <v>0</v>
      </c>
      <c r="C85" s="21">
        <f t="shared" si="20"/>
        <v>0</v>
      </c>
      <c r="D85" s="21">
        <f t="shared" ca="1" si="21"/>
        <v>89.413837720573937</v>
      </c>
      <c r="E85" s="21">
        <f t="shared" ca="1" si="22"/>
        <v>2.0985107135588175</v>
      </c>
      <c r="F85" s="21">
        <f t="shared" ca="1" si="23"/>
        <v>0</v>
      </c>
      <c r="G85" s="21">
        <f t="shared" ca="1" si="24"/>
        <v>2.0985107135588175</v>
      </c>
      <c r="H85" s="23">
        <f t="shared" ca="1" si="15"/>
        <v>87.315327007015114</v>
      </c>
      <c r="I85" s="22">
        <f t="shared" ca="1" si="25"/>
        <v>6.25</v>
      </c>
      <c r="J85" s="1"/>
      <c r="K85" s="51"/>
      <c r="M85" s="81">
        <f t="shared" ca="1" si="16"/>
        <v>359.9219041335212</v>
      </c>
      <c r="N85" s="19">
        <f t="shared" si="26"/>
        <v>10.481747296917378</v>
      </c>
      <c r="O85" s="17">
        <f t="shared" si="27"/>
        <v>21</v>
      </c>
      <c r="P85" s="19">
        <f ca="1">IF(ISERROR(IF(O85&lt;fi_h/20,0,(OFFSET('Base de dados'!$A$5,IF(O85&lt;20,1,IF(O85&gt;1000,10,MATCH(O85,Cargas,1))),Coluna_fih,1,1))*(1+0.13*0.25)*(PI()*(fi_h/1000)^2/4)*SQRT(2*9.81*(O85/100-fi_h/2/1000))*1000)),"",IF(O85&lt;fi_h/20,0,(OFFSET('Base de dados'!$A$5,IF(O85&lt;20,1,IF(O85&gt;1000,10,MATCH(O85,Cargas,1))),Coluna_fih,1,1))*(PI()*(fi_h/1000)^2/4)*SQRT(2*9.81*(O85/100-fi_h/2/1000))*1000))</f>
        <v>10.530327569608653</v>
      </c>
      <c r="Q85" s="19">
        <f ca="1">IF(O85="","",IF(Tipo_Vertedor="Retangular",IF(O85&lt;=cota_s*100,0,IF(Tipo_Vertedor="Retangular",Cd_sr*Lef_sr*((O85/100-cota_s)^(3/2))*1000)),IF(O85&lt;=cota_s*100+fi_s/20,0,(OFFSET('Base de dados'!$A$4,IF(O85&lt;20,1,IF(O85&gt;1000,10,MATCH(O85,Cargas,1))),Coluna_fis,1,1))*(PI()*(fi_s/1000)^2/4)*(2*9.81*(O85/100-cota_s-fi_s/2/1000))^0.5*1000)))</f>
        <v>0</v>
      </c>
      <c r="R85" s="19">
        <f t="shared" ca="1" si="17"/>
        <v>10.530327569608653</v>
      </c>
      <c r="S85" s="19">
        <f t="shared" ca="1" si="18"/>
        <v>349.39157656391257</v>
      </c>
      <c r="AD85" s="19">
        <f t="shared" si="28"/>
        <v>157.20687119870934</v>
      </c>
      <c r="AE85" s="19">
        <f t="shared" ca="1" si="29"/>
        <v>140.03200865361219</v>
      </c>
      <c r="AF85" s="19">
        <f ca="1">IF(ISERROR(IF('Hidrograma afluente'!I92="",0,'Hidrograma afluente'!I92)+Simulação!G85),"",IF('Hidrograma afluente'!I92="",0,'Hidrograma afluente'!I92)+Simulação!G85)</f>
        <v>2.0985107135588175</v>
      </c>
      <c r="AG85" s="17">
        <v>1.0071393245474038</v>
      </c>
      <c r="AH85" s="17">
        <v>0.97624757668161388</v>
      </c>
      <c r="AI85" s="27">
        <v>34.5</v>
      </c>
      <c r="AJ85" s="17">
        <v>32.5</v>
      </c>
      <c r="AK85" s="19">
        <f>IF(A85="","",IF('Hidrograma afluente'!I92="",0,'Hidrograma afluente'!I92)+Simulação!B85)</f>
        <v>0</v>
      </c>
    </row>
    <row r="86" spans="1:37" s="17" customFormat="1">
      <c r="A86" s="4">
        <f t="shared" si="19"/>
        <v>81</v>
      </c>
      <c r="B86" s="5">
        <f>IF(A86="","",IF(A86&gt;tc_lot_i+tc,0,IF('Hidrograma afluente'!B93="","",'Hidrograma afluente'!B93)))</f>
        <v>0</v>
      </c>
      <c r="C86" s="21">
        <f t="shared" si="20"/>
        <v>0</v>
      </c>
      <c r="D86" s="21">
        <f t="shared" ca="1" si="21"/>
        <v>85.401877315929312</v>
      </c>
      <c r="E86" s="21">
        <f t="shared" ca="1" si="22"/>
        <v>1.6121205856189567</v>
      </c>
      <c r="F86" s="21">
        <f t="shared" ca="1" si="23"/>
        <v>0</v>
      </c>
      <c r="G86" s="21">
        <f t="shared" ca="1" si="24"/>
        <v>1.6121205856189567</v>
      </c>
      <c r="H86" s="23">
        <f t="shared" ca="1" si="15"/>
        <v>83.789756730310359</v>
      </c>
      <c r="I86" s="22">
        <f t="shared" ca="1" si="25"/>
        <v>6</v>
      </c>
      <c r="J86" s="1"/>
      <c r="K86" s="51"/>
      <c r="M86" s="81">
        <f t="shared" ca="1" si="16"/>
        <v>364.68829214336841</v>
      </c>
      <c r="N86" s="19">
        <f t="shared" si="26"/>
        <v>10.622178433123963</v>
      </c>
      <c r="O86" s="17">
        <f t="shared" si="27"/>
        <v>21.25</v>
      </c>
      <c r="P86" s="19">
        <f ca="1">IF(ISERROR(IF(O86&lt;fi_h/20,0,(OFFSET('Base de dados'!$A$5,IF(O86&lt;20,1,IF(O86&gt;1000,10,MATCH(O86,Cargas,1))),Coluna_fih,1,1))*(1+0.13*0.25)*(PI()*(fi_h/1000)^2/4)*SQRT(2*9.81*(O86/100-fi_h/2/1000))*1000)),"",IF(O86&lt;fi_h/20,0,(OFFSET('Base de dados'!$A$5,IF(O86&lt;20,1,IF(O86&gt;1000,10,MATCH(O86,Cargas,1))),Coluna_fih,1,1))*(PI()*(fi_h/1000)^2/4)*SQRT(2*9.81*(O86/100-fi_h/2/1000))*1000))</f>
        <v>10.615677705902945</v>
      </c>
      <c r="Q86" s="19">
        <f ca="1">IF(O86="","",IF(Tipo_Vertedor="Retangular",IF(O86&lt;=cota_s*100,0,IF(Tipo_Vertedor="Retangular",Cd_sr*Lef_sr*((O86/100-cota_s)^(3/2))*1000)),IF(O86&lt;=cota_s*100+fi_s/20,0,(OFFSET('Base de dados'!$A$4,IF(O86&lt;20,1,IF(O86&gt;1000,10,MATCH(O86,Cargas,1))),Coluna_fis,1,1))*(PI()*(fi_s/1000)^2/4)*(2*9.81*(O86/100-cota_s-fi_s/2/1000))^0.5*1000)))</f>
        <v>0</v>
      </c>
      <c r="R86" s="19">
        <f t="shared" ca="1" si="17"/>
        <v>10.615677705902945</v>
      </c>
      <c r="S86" s="19">
        <f t="shared" ca="1" si="18"/>
        <v>354.07261443746546</v>
      </c>
      <c r="AD86" s="19">
        <f t="shared" si="28"/>
        <v>157.20687119870934</v>
      </c>
      <c r="AE86" s="19">
        <f t="shared" ca="1" si="29"/>
        <v>140.25464653156286</v>
      </c>
      <c r="AF86" s="19">
        <f ca="1">IF(ISERROR(IF('Hidrograma afluente'!I93="",0,'Hidrograma afluente'!I93)+Simulação!G86),"",IF('Hidrograma afluente'!I93="",0,'Hidrograma afluente'!I93)+Simulação!G86)</f>
        <v>1.6121205856189567</v>
      </c>
      <c r="AG86" s="17">
        <v>0.98016229114665399</v>
      </c>
      <c r="AH86" s="17">
        <v>0.94839223368434444</v>
      </c>
      <c r="AI86" s="27">
        <v>32.75</v>
      </c>
      <c r="AJ86" s="17">
        <v>30.75</v>
      </c>
      <c r="AK86" s="19">
        <f>IF(A86="","",IF('Hidrograma afluente'!I93="",0,'Hidrograma afluente'!I93)+Simulação!B86)</f>
        <v>0</v>
      </c>
    </row>
    <row r="87" spans="1:37" s="17" customFormat="1">
      <c r="A87" s="4">
        <f t="shared" si="19"/>
        <v>82</v>
      </c>
      <c r="B87" s="5">
        <f>IF(A87="","",IF(A87&gt;tc_lot_i+tc,0,IF('Hidrograma afluente'!B94="","",'Hidrograma afluente'!B94)))</f>
        <v>0</v>
      </c>
      <c r="C87" s="21">
        <f t="shared" si="20"/>
        <v>0</v>
      </c>
      <c r="D87" s="21">
        <f t="shared" ca="1" si="21"/>
        <v>81.410693070914547</v>
      </c>
      <c r="E87" s="21">
        <f t="shared" ca="1" si="22"/>
        <v>0.89113318321768431</v>
      </c>
      <c r="F87" s="21">
        <f t="shared" ca="1" si="23"/>
        <v>0</v>
      </c>
      <c r="G87" s="21">
        <f t="shared" ca="1" si="24"/>
        <v>0.89113318321768431</v>
      </c>
      <c r="H87" s="23">
        <f t="shared" ca="1" si="15"/>
        <v>80.519559887696857</v>
      </c>
      <c r="I87" s="22">
        <f t="shared" ca="1" si="25"/>
        <v>5.75</v>
      </c>
      <c r="J87" s="1"/>
      <c r="K87" s="51"/>
      <c r="M87" s="81">
        <f t="shared" ca="1" si="16"/>
        <v>369.46086501014304</v>
      </c>
      <c r="N87" s="19">
        <f t="shared" si="26"/>
        <v>10.762815537966693</v>
      </c>
      <c r="O87" s="17">
        <f t="shared" si="27"/>
        <v>21.5</v>
      </c>
      <c r="P87" s="19">
        <f ca="1">IF(ISERROR(IF(O87&lt;fi_h/20,0,(OFFSET('Base de dados'!$A$5,IF(O87&lt;20,1,IF(O87&gt;1000,10,MATCH(O87,Cargas,1))),Coluna_fih,1,1))*(1+0.13*0.25)*(PI()*(fi_h/1000)^2/4)*SQRT(2*9.81*(O87/100-fi_h/2/1000))*1000)),"",IF(O87&lt;fi_h/20,0,(OFFSET('Base de dados'!$A$5,IF(O87&lt;20,1,IF(O87&gt;1000,10,MATCH(O87,Cargas,1))),Coluna_fih,1,1))*(PI()*(fi_h/1000)^2/4)*SQRT(2*9.81*(O87/100-fi_h/2/1000))*1000))</f>
        <v>10.700347077919929</v>
      </c>
      <c r="Q87" s="19">
        <f ca="1">IF(O87="","",IF(Tipo_Vertedor="Retangular",IF(O87&lt;=cota_s*100,0,IF(Tipo_Vertedor="Retangular",Cd_sr*Lef_sr*((O87/100-cota_s)^(3/2))*1000)),IF(O87&lt;=cota_s*100+fi_s/20,0,(OFFSET('Base de dados'!$A$4,IF(O87&lt;20,1,IF(O87&gt;1000,10,MATCH(O87,Cargas,1))),Coluna_fis,1,1))*(PI()*(fi_s/1000)^2/4)*(2*9.81*(O87/100-cota_s-fi_s/2/1000))^0.5*1000)))</f>
        <v>0</v>
      </c>
      <c r="R87" s="19">
        <f t="shared" ca="1" si="17"/>
        <v>10.700347077919929</v>
      </c>
      <c r="S87" s="19">
        <f t="shared" ca="1" si="18"/>
        <v>358.76051793222308</v>
      </c>
      <c r="AD87" s="19">
        <f t="shared" si="28"/>
        <v>157.20687119870934</v>
      </c>
      <c r="AE87" s="19">
        <f t="shared" ca="1" si="29"/>
        <v>140.40484175769305</v>
      </c>
      <c r="AF87" s="19">
        <f ca="1">IF(ISERROR(IF('Hidrograma afluente'!I94="",0,'Hidrograma afluente'!I94)+Simulação!G87),"",IF('Hidrograma afluente'!I94="",0,'Hidrograma afluente'!I94)+Simulação!G87)</f>
        <v>0.89113318321768431</v>
      </c>
      <c r="AG87" s="17">
        <v>0.9524214481635298</v>
      </c>
      <c r="AH87" s="17">
        <v>0.92384799228984193</v>
      </c>
      <c r="AI87" s="27">
        <v>31</v>
      </c>
      <c r="AJ87" s="17">
        <v>29.25</v>
      </c>
      <c r="AK87" s="19">
        <f>IF(A87="","",IF('Hidrograma afluente'!I94="",0,'Hidrograma afluente'!I94)+Simulação!B87)</f>
        <v>0</v>
      </c>
    </row>
    <row r="88" spans="1:37" s="17" customFormat="1">
      <c r="A88" s="4">
        <f t="shared" si="19"/>
        <v>83</v>
      </c>
      <c r="B88" s="5">
        <f>IF(A88="","",IF(A88&gt;tc_lot_i+tc,0,IF('Hidrograma afluente'!B95="","",'Hidrograma afluente'!B95)))</f>
        <v>0</v>
      </c>
      <c r="C88" s="21">
        <f t="shared" si="20"/>
        <v>0</v>
      </c>
      <c r="D88" s="21">
        <f t="shared" ca="1" si="21"/>
        <v>77.441074115498651</v>
      </c>
      <c r="E88" s="21">
        <f t="shared" ca="1" si="22"/>
        <v>0</v>
      </c>
      <c r="F88" s="21">
        <f t="shared" ca="1" si="23"/>
        <v>0</v>
      </c>
      <c r="G88" s="21">
        <f t="shared" ca="1" si="24"/>
        <v>0</v>
      </c>
      <c r="H88" s="23">
        <f t="shared" ca="1" si="15"/>
        <v>77.441074115498651</v>
      </c>
      <c r="I88" s="22">
        <f t="shared" ca="1" si="25"/>
        <v>5.5</v>
      </c>
      <c r="J88" s="1"/>
      <c r="K88" s="51"/>
      <c r="M88" s="81">
        <f t="shared" ca="1" si="16"/>
        <v>374.23956882667528</v>
      </c>
      <c r="N88" s="19">
        <f t="shared" si="26"/>
        <v>10.903656513200776</v>
      </c>
      <c r="O88" s="17">
        <f t="shared" si="27"/>
        <v>21.75</v>
      </c>
      <c r="P88" s="19">
        <f ca="1">IF(ISERROR(IF(O88&lt;fi_h/20,0,(OFFSET('Base de dados'!$A$5,IF(O88&lt;20,1,IF(O88&gt;1000,10,MATCH(O88,Cargas,1))),Coluna_fih,1,1))*(1+0.13*0.25)*(PI()*(fi_h/1000)^2/4)*SQRT(2*9.81*(O88/100-fi_h/2/1000))*1000)),"",IF(O88&lt;fi_h/20,0,(OFFSET('Base de dados'!$A$5,IF(O88&lt;20,1,IF(O88&gt;1000,10,MATCH(O88,Cargas,1))),Coluna_fih,1,1))*(PI()*(fi_h/1000)^2/4)*SQRT(2*9.81*(O88/100-fi_h/2/1000))*1000))</f>
        <v>10.78435171998272</v>
      </c>
      <c r="Q88" s="19">
        <f ca="1">IF(O88="","",IF(Tipo_Vertedor="Retangular",IF(O88&lt;=cota_s*100,0,IF(Tipo_Vertedor="Retangular",Cd_sr*Lef_sr*((O88/100-cota_s)^(3/2))*1000)),IF(O88&lt;=cota_s*100+fi_s/20,0,(OFFSET('Base de dados'!$A$4,IF(O88&lt;20,1,IF(O88&gt;1000,10,MATCH(O88,Cargas,1))),Coluna_fis,1,1))*(PI()*(fi_s/1000)^2/4)*(2*9.81*(O88/100-cota_s-fi_s/2/1000))^0.5*1000)))</f>
        <v>0</v>
      </c>
      <c r="R88" s="19">
        <f t="shared" ca="1" si="17"/>
        <v>10.78435171998272</v>
      </c>
      <c r="S88" s="19">
        <f t="shared" ca="1" si="18"/>
        <v>363.45521710669254</v>
      </c>
      <c r="AD88" s="19">
        <f t="shared" si="28"/>
        <v>157.20687119870934</v>
      </c>
      <c r="AE88" s="19">
        <f t="shared" ca="1" si="29"/>
        <v>140.4583097486861</v>
      </c>
      <c r="AF88" s="19">
        <f ca="1">IF(ISERROR(IF('Hidrograma afluente'!I95="",0,'Hidrograma afluente'!I95)+Simulação!G88),"",IF('Hidrograma afluente'!I95="",0,'Hidrograma afluente'!I95)+Simulação!G88)</f>
        <v>0</v>
      </c>
      <c r="AG88" s="17">
        <v>0.92384799228984193</v>
      </c>
      <c r="AH88" s="17">
        <v>0.89863362768325328</v>
      </c>
      <c r="AI88" s="27">
        <v>29.25</v>
      </c>
      <c r="AJ88" s="17">
        <v>27.75</v>
      </c>
      <c r="AK88" s="19">
        <f>IF(A88="","",IF('Hidrograma afluente'!I95="",0,'Hidrograma afluente'!I95)+Simulação!B88)</f>
        <v>0</v>
      </c>
    </row>
    <row r="89" spans="1:37" s="17" customFormat="1">
      <c r="A89" s="4">
        <f t="shared" si="19"/>
        <v>84</v>
      </c>
      <c r="B89" s="5">
        <f>IF(A89="","",IF(A89&gt;tc_lot_i+tc,0,IF('Hidrograma afluente'!B96="","",'Hidrograma afluente'!B96)))</f>
        <v>0</v>
      </c>
      <c r="C89" s="21">
        <f t="shared" si="20"/>
        <v>0</v>
      </c>
      <c r="D89" s="21">
        <f t="shared" ca="1" si="21"/>
        <v>77.441074115498651</v>
      </c>
      <c r="E89" s="21">
        <f t="shared" ca="1" si="22"/>
        <v>0</v>
      </c>
      <c r="F89" s="21">
        <f t="shared" ca="1" si="23"/>
        <v>0</v>
      </c>
      <c r="G89" s="21">
        <f t="shared" ca="1" si="24"/>
        <v>0</v>
      </c>
      <c r="H89" s="23">
        <f t="shared" ca="1" si="15"/>
        <v>77.441074115498651</v>
      </c>
      <c r="I89" s="22">
        <f t="shared" ca="1" si="25"/>
        <v>5.5</v>
      </c>
      <c r="J89" s="1"/>
      <c r="K89" s="51"/>
      <c r="M89" s="81">
        <f t="shared" ca="1" si="16"/>
        <v>379.02435057495308</v>
      </c>
      <c r="N89" s="19">
        <f t="shared" si="26"/>
        <v>11.044699305847942</v>
      </c>
      <c r="O89" s="17">
        <f t="shared" si="27"/>
        <v>22</v>
      </c>
      <c r="P89" s="19">
        <f ca="1">IF(ISERROR(IF(O89&lt;fi_h/20,0,(OFFSET('Base de dados'!$A$5,IF(O89&lt;20,1,IF(O89&gt;1000,10,MATCH(O89,Cargas,1))),Coluna_fih,1,1))*(1+0.13*0.25)*(PI()*(fi_h/1000)^2/4)*SQRT(2*9.81*(O89/100-fi_h/2/1000))*1000)),"",IF(O89&lt;fi_h/20,0,(OFFSET('Base de dados'!$A$5,IF(O89&lt;20,1,IF(O89&gt;1000,10,MATCH(O89,Cargas,1))),Coluna_fih,1,1))*(PI()*(fi_h/1000)^2/4)*SQRT(2*9.81*(O89/100-fi_h/2/1000))*1000))</f>
        <v>10.86770704668832</v>
      </c>
      <c r="Q89" s="19">
        <f ca="1">IF(O89="","",IF(Tipo_Vertedor="Retangular",IF(O89&lt;=cota_s*100,0,IF(Tipo_Vertedor="Retangular",Cd_sr*Lef_sr*((O89/100-cota_s)^(3/2))*1000)),IF(O89&lt;=cota_s*100+fi_s/20,0,(OFFSET('Base de dados'!$A$4,IF(O89&lt;20,1,IF(O89&gt;1000,10,MATCH(O89,Cargas,1))),Coluna_fis,1,1))*(PI()*(fi_s/1000)^2/4)*(2*9.81*(O89/100-cota_s-fi_s/2/1000))^0.5*1000)))</f>
        <v>0</v>
      </c>
      <c r="R89" s="19">
        <f t="shared" ca="1" si="17"/>
        <v>10.86770704668832</v>
      </c>
      <c r="S89" s="19">
        <f t="shared" ca="1" si="18"/>
        <v>368.15664352826474</v>
      </c>
      <c r="AD89" s="19">
        <f t="shared" si="28"/>
        <v>157.20687119870934</v>
      </c>
      <c r="AE89" s="19">
        <f t="shared" ca="1" si="29"/>
        <v>140.4583097486861</v>
      </c>
      <c r="AF89" s="19">
        <f ca="1">IF(ISERROR(IF('Hidrograma afluente'!I96="",0,'Hidrograma afluente'!I96)+Simulação!G89),"",IF('Hidrograma afluente'!I96="",0,'Hidrograma afluente'!I96)+Simulação!G89)</f>
        <v>0</v>
      </c>
      <c r="AG89" s="17">
        <v>0.89863362768325328</v>
      </c>
      <c r="AH89" s="17">
        <v>0.87269105687428461</v>
      </c>
      <c r="AI89" s="27">
        <v>27.75</v>
      </c>
      <c r="AJ89" s="17">
        <v>26.25</v>
      </c>
      <c r="AK89" s="19">
        <f>IF(A89="","",IF('Hidrograma afluente'!I96="",0,'Hidrograma afluente'!I96)+Simulação!B89)</f>
        <v>0</v>
      </c>
    </row>
    <row r="90" spans="1:37" s="17" customFormat="1">
      <c r="A90" s="4">
        <f t="shared" si="19"/>
        <v>85</v>
      </c>
      <c r="B90" s="5">
        <f>IF(A90="","",IF(A90&gt;tc_lot_i+tc,0,IF('Hidrograma afluente'!B97="","",'Hidrograma afluente'!B97)))</f>
        <v>0</v>
      </c>
      <c r="C90" s="21">
        <f t="shared" si="20"/>
        <v>0</v>
      </c>
      <c r="D90" s="21">
        <f t="shared" ca="1" si="21"/>
        <v>77.441074115498651</v>
      </c>
      <c r="E90" s="21">
        <f t="shared" ca="1" si="22"/>
        <v>0</v>
      </c>
      <c r="F90" s="21">
        <f t="shared" ca="1" si="23"/>
        <v>0</v>
      </c>
      <c r="G90" s="21">
        <f t="shared" ca="1" si="24"/>
        <v>0</v>
      </c>
      <c r="H90" s="23">
        <f t="shared" ca="1" si="15"/>
        <v>77.441074115498651</v>
      </c>
      <c r="I90" s="22">
        <f t="shared" ca="1" si="25"/>
        <v>5.5</v>
      </c>
      <c r="J90" s="1"/>
      <c r="K90" s="51"/>
      <c r="M90" s="81">
        <f t="shared" ca="1" si="16"/>
        <v>383.81515810980522</v>
      </c>
      <c r="N90" s="19">
        <f t="shared" si="26"/>
        <v>11.185941906716215</v>
      </c>
      <c r="O90" s="17">
        <f t="shared" si="27"/>
        <v>22.25</v>
      </c>
      <c r="P90" s="19">
        <f ca="1">IF(ISERROR(IF(O90&lt;fi_h/20,0,(OFFSET('Base de dados'!$A$5,IF(O90&lt;20,1,IF(O90&gt;1000,10,MATCH(O90,Cargas,1))),Coluna_fih,1,1))*(1+0.13*0.25)*(PI()*(fi_h/1000)^2/4)*SQRT(2*9.81*(O90/100-fi_h/2/1000))*1000)),"",IF(O90&lt;fi_h/20,0,(OFFSET('Base de dados'!$A$5,IF(O90&lt;20,1,IF(O90&gt;1000,10,MATCH(O90,Cargas,1))),Coluna_fih,1,1))*(PI()*(fi_h/1000)^2/4)*SQRT(2*9.81*(O90/100-fi_h/2/1000))*1000))</f>
        <v>10.950427885931386</v>
      </c>
      <c r="Q90" s="19">
        <f ca="1">IF(O90="","",IF(Tipo_Vertedor="Retangular",IF(O90&lt;=cota_s*100,0,IF(Tipo_Vertedor="Retangular",Cd_sr*Lef_sr*((O90/100-cota_s)^(3/2))*1000)),IF(O90&lt;=cota_s*100+fi_s/20,0,(OFFSET('Base de dados'!$A$4,IF(O90&lt;20,1,IF(O90&gt;1000,10,MATCH(O90,Cargas,1))),Coluna_fis,1,1))*(PI()*(fi_s/1000)^2/4)*(2*9.81*(O90/100-cota_s-fi_s/2/1000))^0.5*1000)))</f>
        <v>0</v>
      </c>
      <c r="R90" s="19">
        <f t="shared" ca="1" si="17"/>
        <v>10.950427885931386</v>
      </c>
      <c r="S90" s="19">
        <f t="shared" ca="1" si="18"/>
        <v>372.86473022387383</v>
      </c>
      <c r="AD90" s="19">
        <f t="shared" si="28"/>
        <v>157.20687119870934</v>
      </c>
      <c r="AE90" s="19">
        <f t="shared" ca="1" si="29"/>
        <v>140.4583097486861</v>
      </c>
      <c r="AF90" s="19">
        <f ca="1">IF(ISERROR(IF('Hidrograma afluente'!I97="",0,'Hidrograma afluente'!I97)+Simulação!G90),"",IF('Hidrograma afluente'!I97="",0,'Hidrograma afluente'!I97)+Simulação!G90)</f>
        <v>0</v>
      </c>
      <c r="AG90" s="17">
        <v>0.87269105687428461</v>
      </c>
      <c r="AH90" s="17">
        <v>0.84595328753634358</v>
      </c>
      <c r="AI90" s="27">
        <v>26.25</v>
      </c>
      <c r="AJ90" s="17">
        <v>24.75</v>
      </c>
      <c r="AK90" s="19">
        <f>IF(A90="","",IF('Hidrograma afluente'!I97="",0,'Hidrograma afluente'!I97)+Simulação!B90)</f>
        <v>0</v>
      </c>
    </row>
    <row r="91" spans="1:37" s="17" customFormat="1">
      <c r="A91" s="4">
        <f t="shared" si="19"/>
        <v>86</v>
      </c>
      <c r="B91" s="5">
        <f>IF(A91="","",IF(A91&gt;tc_lot_i+tc,0,IF('Hidrograma afluente'!B98="","",'Hidrograma afluente'!B98)))</f>
        <v>0</v>
      </c>
      <c r="C91" s="21">
        <f t="shared" si="20"/>
        <v>0</v>
      </c>
      <c r="D91" s="21">
        <f t="shared" ca="1" si="21"/>
        <v>77.441074115498651</v>
      </c>
      <c r="E91" s="21">
        <f t="shared" ca="1" si="22"/>
        <v>0</v>
      </c>
      <c r="F91" s="21">
        <f t="shared" ca="1" si="23"/>
        <v>0</v>
      </c>
      <c r="G91" s="21">
        <f t="shared" ca="1" si="24"/>
        <v>0</v>
      </c>
      <c r="H91" s="23">
        <f t="shared" ref="H91:H154" ca="1" si="30">IF(A91="","",IF(ISERROR(B91+C91+D91-G91),0,B91+C91+D91-G91))</f>
        <v>77.441074115498651</v>
      </c>
      <c r="I91" s="22">
        <f t="shared" ca="1" si="25"/>
        <v>5.5</v>
      </c>
      <c r="J91" s="1"/>
      <c r="K91" s="51"/>
      <c r="M91" s="81">
        <f t="shared" ca="1" si="16"/>
        <v>388.61194014250259</v>
      </c>
      <c r="N91" s="19">
        <f t="shared" si="26"/>
        <v>11.327382348984099</v>
      </c>
      <c r="O91" s="17">
        <f t="shared" si="27"/>
        <v>22.5</v>
      </c>
      <c r="P91" s="19">
        <f ca="1">IF(ISERROR(IF(O91&lt;fi_h/20,0,(OFFSET('Base de dados'!$A$5,IF(O91&lt;20,1,IF(O91&gt;1000,10,MATCH(O91,Cargas,1))),Coluna_fih,1,1))*(1+0.13*0.25)*(PI()*(fi_h/1000)^2/4)*SQRT(2*9.81*(O91/100-fi_h/2/1000))*1000)),"",IF(O91&lt;fi_h/20,0,(OFFSET('Base de dados'!$A$5,IF(O91&lt;20,1,IF(O91&gt;1000,10,MATCH(O91,Cargas,1))),Coluna_fih,1,1))*(PI()*(fi_h/1000)^2/4)*SQRT(2*9.81*(O91/100-fi_h/2/1000))*1000))</f>
        <v>11.032528509699326</v>
      </c>
      <c r="Q91" s="19">
        <f ca="1">IF(O91="","",IF(Tipo_Vertedor="Retangular",IF(O91&lt;=cota_s*100,0,IF(Tipo_Vertedor="Retangular",Cd_sr*Lef_sr*((O91/100-cota_s)^(3/2))*1000)),IF(O91&lt;=cota_s*100+fi_s/20,0,(OFFSET('Base de dados'!$A$4,IF(O91&lt;20,1,IF(O91&gt;1000,10,MATCH(O91,Cargas,1))),Coluna_fis,1,1))*(PI()*(fi_s/1000)^2/4)*(2*9.81*(O91/100-cota_s-fi_s/2/1000))^0.5*1000)))</f>
        <v>0</v>
      </c>
      <c r="R91" s="19">
        <f t="shared" ca="1" si="17"/>
        <v>11.032528509699326</v>
      </c>
      <c r="S91" s="19">
        <f t="shared" ca="1" si="18"/>
        <v>377.57941163280327</v>
      </c>
      <c r="AD91" s="19">
        <f t="shared" si="28"/>
        <v>157.20687119870934</v>
      </c>
      <c r="AE91" s="19">
        <f t="shared" ca="1" si="29"/>
        <v>140.4583097486861</v>
      </c>
      <c r="AF91" s="19">
        <f ca="1">IF(ISERROR(IF('Hidrograma afluente'!I98="",0,'Hidrograma afluente'!I98)+Simulação!G91),"",IF('Hidrograma afluente'!I98="",0,'Hidrograma afluente'!I98)+Simulação!G91)</f>
        <v>0</v>
      </c>
      <c r="AG91" s="17">
        <v>0.84595328753634358</v>
      </c>
      <c r="AH91" s="17">
        <v>0.8183423786159062</v>
      </c>
      <c r="AI91" s="27">
        <v>24.75</v>
      </c>
      <c r="AJ91" s="17">
        <v>23.25</v>
      </c>
      <c r="AK91" s="19">
        <f>IF(A91="","",IF('Hidrograma afluente'!I98="",0,'Hidrograma afluente'!I98)+Simulação!B91)</f>
        <v>0</v>
      </c>
    </row>
    <row r="92" spans="1:37" s="17" customFormat="1">
      <c r="A92" s="4">
        <f t="shared" si="19"/>
        <v>87</v>
      </c>
      <c r="B92" s="5">
        <f>IF(A92="","",IF(A92&gt;tc_lot_i+tc,0,IF('Hidrograma afluente'!B99="","",'Hidrograma afluente'!B99)))</f>
        <v>0</v>
      </c>
      <c r="C92" s="21">
        <f t="shared" si="20"/>
        <v>0</v>
      </c>
      <c r="D92" s="21">
        <f t="shared" ca="1" si="21"/>
        <v>77.441074115498651</v>
      </c>
      <c r="E92" s="21">
        <f t="shared" ca="1" si="22"/>
        <v>0</v>
      </c>
      <c r="F92" s="21">
        <f t="shared" ca="1" si="23"/>
        <v>0</v>
      </c>
      <c r="G92" s="21">
        <f t="shared" ca="1" si="24"/>
        <v>0</v>
      </c>
      <c r="H92" s="23">
        <f t="shared" ca="1" si="30"/>
        <v>77.441074115498651</v>
      </c>
      <c r="I92" s="22">
        <f t="shared" ca="1" si="25"/>
        <v>5.5</v>
      </c>
      <c r="J92" s="1"/>
      <c r="K92" s="51"/>
      <c r="M92" s="81">
        <f t="shared" ca="1" si="16"/>
        <v>393.41464622434796</v>
      </c>
      <c r="N92" s="19">
        <f t="shared" si="26"/>
        <v>11.469018706845844</v>
      </c>
      <c r="O92" s="17">
        <f t="shared" si="27"/>
        <v>22.75</v>
      </c>
      <c r="P92" s="19">
        <f ca="1">IF(ISERROR(IF(O92&lt;fi_h/20,0,(OFFSET('Base de dados'!$A$5,IF(O92&lt;20,1,IF(O92&gt;1000,10,MATCH(O92,Cargas,1))),Coluna_fih,1,1))*(1+0.13*0.25)*(PI()*(fi_h/1000)^2/4)*SQRT(2*9.81*(O92/100-fi_h/2/1000))*1000)),"",IF(O92&lt;fi_h/20,0,(OFFSET('Base de dados'!$A$5,IF(O92&lt;20,1,IF(O92&gt;1000,10,MATCH(O92,Cargas,1))),Coluna_fih,1,1))*(PI()*(fi_h/1000)^2/4)*SQRT(2*9.81*(O92/100-fi_h/2/1000))*1000))</f>
        <v>11.114022662819847</v>
      </c>
      <c r="Q92" s="19">
        <f ca="1">IF(O92="","",IF(Tipo_Vertedor="Retangular",IF(O92&lt;=cota_s*100,0,IF(Tipo_Vertedor="Retangular",Cd_sr*Lef_sr*((O92/100-cota_s)^(3/2))*1000)),IF(O92&lt;=cota_s*100+fi_s/20,0,(OFFSET('Base de dados'!$A$4,IF(O92&lt;20,1,IF(O92&gt;1000,10,MATCH(O92,Cargas,1))),Coluna_fis,1,1))*(PI()*(fi_s/1000)^2/4)*(2*9.81*(O92/100-cota_s-fi_s/2/1000))^0.5*1000)))</f>
        <v>0</v>
      </c>
      <c r="R92" s="19">
        <f t="shared" ca="1" si="17"/>
        <v>11.114022662819847</v>
      </c>
      <c r="S92" s="19">
        <f t="shared" ca="1" si="18"/>
        <v>382.30062356152814</v>
      </c>
      <c r="AD92" s="19">
        <f t="shared" si="28"/>
        <v>157.20687119870934</v>
      </c>
      <c r="AE92" s="19">
        <f t="shared" ca="1" si="29"/>
        <v>140.4583097486861</v>
      </c>
      <c r="AF92" s="19">
        <f ca="1">IF(ISERROR(IF('Hidrograma afluente'!I99="",0,'Hidrograma afluente'!I99)+Simulação!G92),"",IF('Hidrograma afluente'!I99="",0,'Hidrograma afluente'!I99)+Simulação!G92)</f>
        <v>0</v>
      </c>
      <c r="AG92" s="17">
        <v>0.8183423786159062</v>
      </c>
      <c r="AH92" s="17">
        <v>0.78976675834320276</v>
      </c>
      <c r="AI92" s="27">
        <v>23.25</v>
      </c>
      <c r="AJ92" s="17">
        <v>21.75</v>
      </c>
      <c r="AK92" s="19">
        <f>IF(A92="","",IF('Hidrograma afluente'!I99="",0,'Hidrograma afluente'!I99)+Simulação!B92)</f>
        <v>0</v>
      </c>
    </row>
    <row r="93" spans="1:37" s="17" customFormat="1">
      <c r="A93" s="4">
        <f t="shared" si="19"/>
        <v>88</v>
      </c>
      <c r="B93" s="5">
        <f>IF(A93="","",IF(A93&gt;tc_lot_i+tc,0,IF('Hidrograma afluente'!B100="","",'Hidrograma afluente'!B100)))</f>
        <v>0</v>
      </c>
      <c r="C93" s="21">
        <f t="shared" si="20"/>
        <v>0</v>
      </c>
      <c r="D93" s="21">
        <f t="shared" ca="1" si="21"/>
        <v>77.441074115498651</v>
      </c>
      <c r="E93" s="21">
        <f t="shared" ca="1" si="22"/>
        <v>0</v>
      </c>
      <c r="F93" s="21">
        <f t="shared" ca="1" si="23"/>
        <v>0</v>
      </c>
      <c r="G93" s="21">
        <f t="shared" ca="1" si="24"/>
        <v>0</v>
      </c>
      <c r="H93" s="23">
        <f t="shared" ca="1" si="30"/>
        <v>77.441074115498651</v>
      </c>
      <c r="I93" s="22">
        <f t="shared" ca="1" si="25"/>
        <v>5.5</v>
      </c>
      <c r="J93" s="1"/>
      <c r="K93" s="51"/>
      <c r="M93" s="81">
        <f t="shared" ca="1" si="16"/>
        <v>398.22322673030584</v>
      </c>
      <c r="N93" s="19">
        <f t="shared" si="26"/>
        <v>11.610849094214428</v>
      </c>
      <c r="O93" s="17">
        <f t="shared" si="27"/>
        <v>23</v>
      </c>
      <c r="P93" s="19">
        <f ca="1">IF(ISERROR(IF(O93&lt;fi_h/20,0,(OFFSET('Base de dados'!$A$5,IF(O93&lt;20,1,IF(O93&gt;1000,10,MATCH(O93,Cargas,1))),Coluna_fih,1,1))*(1+0.13*0.25)*(PI()*(fi_h/1000)^2/4)*SQRT(2*9.81*(O93/100-fi_h/2/1000))*1000)),"",IF(O93&lt;fi_h/20,0,(OFFSET('Base de dados'!$A$5,IF(O93&lt;20,1,IF(O93&gt;1000,10,MATCH(O93,Cargas,1))),Coluna_fih,1,1))*(PI()*(fi_h/1000)^2/4)*SQRT(2*9.81*(O93/100-fi_h/2/1000))*1000))</f>
        <v>11.194923589824896</v>
      </c>
      <c r="Q93" s="19">
        <f ca="1">IF(O93="","",IF(Tipo_Vertedor="Retangular",IF(O93&lt;=cota_s*100,0,IF(Tipo_Vertedor="Retangular",Cd_sr*Lef_sr*((O93/100-cota_s)^(3/2))*1000)),IF(O93&lt;=cota_s*100+fi_s/20,0,(OFFSET('Base de dados'!$A$4,IF(O93&lt;20,1,IF(O93&gt;1000,10,MATCH(O93,Cargas,1))),Coluna_fis,1,1))*(PI()*(fi_s/1000)^2/4)*(2*9.81*(O93/100-cota_s-fi_s/2/1000))^0.5*1000)))</f>
        <v>0</v>
      </c>
      <c r="R93" s="19">
        <f t="shared" ca="1" si="17"/>
        <v>11.194923589824896</v>
      </c>
      <c r="S93" s="19">
        <f t="shared" ca="1" si="18"/>
        <v>387.02830314048094</v>
      </c>
      <c r="AD93" s="19">
        <f t="shared" si="28"/>
        <v>157.20687119870934</v>
      </c>
      <c r="AE93" s="19">
        <f t="shared" ca="1" si="29"/>
        <v>140.4583097486861</v>
      </c>
      <c r="AF93" s="19">
        <f ca="1">IF(ISERROR(IF('Hidrograma afluente'!I100="",0,'Hidrograma afluente'!I100)+Simulação!G93),"",IF('Hidrograma afluente'!I100="",0,'Hidrograma afluente'!I100)+Simulação!G93)</f>
        <v>0</v>
      </c>
      <c r="AG93" s="17">
        <v>0.78976675834320276</v>
      </c>
      <c r="AH93" s="17">
        <v>0.76513894328955523</v>
      </c>
      <c r="AI93" s="27">
        <v>21.75</v>
      </c>
      <c r="AJ93" s="17">
        <v>20.5</v>
      </c>
      <c r="AK93" s="19">
        <f>IF(A93="","",IF('Hidrograma afluente'!I100="",0,'Hidrograma afluente'!I100)+Simulação!B93)</f>
        <v>0</v>
      </c>
    </row>
    <row r="94" spans="1:37" s="17" customFormat="1">
      <c r="A94" s="4">
        <f t="shared" si="19"/>
        <v>89</v>
      </c>
      <c r="B94" s="5">
        <f>IF(A94="","",IF(A94&gt;tc_lot_i+tc,0,IF('Hidrograma afluente'!B101="","",'Hidrograma afluente'!B101)))</f>
        <v>0</v>
      </c>
      <c r="C94" s="21">
        <f t="shared" si="20"/>
        <v>0</v>
      </c>
      <c r="D94" s="21">
        <f t="shared" ca="1" si="21"/>
        <v>77.441074115498651</v>
      </c>
      <c r="E94" s="21">
        <f t="shared" ca="1" si="22"/>
        <v>0</v>
      </c>
      <c r="F94" s="21">
        <f t="shared" ca="1" si="23"/>
        <v>0</v>
      </c>
      <c r="G94" s="21">
        <f t="shared" ca="1" si="24"/>
        <v>0</v>
      </c>
      <c r="H94" s="23">
        <f t="shared" ca="1" si="30"/>
        <v>77.441074115498651</v>
      </c>
      <c r="I94" s="22">
        <f t="shared" ca="1" si="25"/>
        <v>5.5</v>
      </c>
      <c r="J94" s="1"/>
      <c r="K94" s="51"/>
      <c r="M94" s="81">
        <f t="shared" ca="1" si="16"/>
        <v>403.03763284272009</v>
      </c>
      <c r="N94" s="19">
        <f t="shared" si="26"/>
        <v>11.75287166347921</v>
      </c>
      <c r="O94" s="17">
        <f t="shared" si="27"/>
        <v>23.25</v>
      </c>
      <c r="P94" s="19">
        <f ca="1">IF(ISERROR(IF(O94&lt;fi_h/20,0,(OFFSET('Base de dados'!$A$5,IF(O94&lt;20,1,IF(O94&gt;1000,10,MATCH(O94,Cargas,1))),Coluna_fih,1,1))*(1+0.13*0.25)*(PI()*(fi_h/1000)^2/4)*SQRT(2*9.81*(O94/100-fi_h/2/1000))*1000)),"",IF(O94&lt;fi_h/20,0,(OFFSET('Base de dados'!$A$5,IF(O94&lt;20,1,IF(O94&gt;1000,10,MATCH(O94,Cargas,1))),Coluna_fih,1,1))*(PI()*(fi_h/1000)^2/4)*SQRT(2*9.81*(O94/100-fi_h/2/1000))*1000))</f>
        <v>11.275244060079704</v>
      </c>
      <c r="Q94" s="19">
        <f ca="1">IF(O94="","",IF(Tipo_Vertedor="Retangular",IF(O94&lt;=cota_s*100,0,IF(Tipo_Vertedor="Retangular",Cd_sr*Lef_sr*((O94/100-cota_s)^(3/2))*1000)),IF(O94&lt;=cota_s*100+fi_s/20,0,(OFFSET('Base de dados'!$A$4,IF(O94&lt;20,1,IF(O94&gt;1000,10,MATCH(O94,Cargas,1))),Coluna_fis,1,1))*(PI()*(fi_s/1000)^2/4)*(2*9.81*(O94/100-cota_s-fi_s/2/1000))^0.5*1000)))</f>
        <v>0</v>
      </c>
      <c r="R94" s="19">
        <f t="shared" ca="1" si="17"/>
        <v>11.275244060079704</v>
      </c>
      <c r="S94" s="19">
        <f t="shared" ca="1" si="18"/>
        <v>391.76238878264036</v>
      </c>
      <c r="AD94" s="19">
        <f t="shared" si="28"/>
        <v>157.20687119870934</v>
      </c>
      <c r="AE94" s="19">
        <f t="shared" ca="1" si="29"/>
        <v>140.4583097486861</v>
      </c>
      <c r="AF94" s="19">
        <f ca="1">IF(ISERROR(IF('Hidrograma afluente'!I101="",0,'Hidrograma afluente'!I101)+Simulação!G94),"",IF('Hidrograma afluente'!I101="",0,'Hidrograma afluente'!I101)+Simulação!G94)</f>
        <v>0</v>
      </c>
      <c r="AG94" s="17">
        <v>0.76513894328955523</v>
      </c>
      <c r="AH94" s="17">
        <v>0.73969160634184816</v>
      </c>
      <c r="AI94" s="27">
        <v>20.5</v>
      </c>
      <c r="AJ94" s="17">
        <v>19.25</v>
      </c>
      <c r="AK94" s="19">
        <f>IF(A94="","",IF('Hidrograma afluente'!I101="",0,'Hidrograma afluente'!I101)+Simulação!B94)</f>
        <v>0</v>
      </c>
    </row>
    <row r="95" spans="1:37" s="17" customFormat="1">
      <c r="A95" s="4">
        <f t="shared" si="19"/>
        <v>90</v>
      </c>
      <c r="B95" s="5">
        <f>IF(A95="","",IF(A95&gt;tc_lot_i+tc,0,IF('Hidrograma afluente'!B102="","",'Hidrograma afluente'!B102)))</f>
        <v>0</v>
      </c>
      <c r="C95" s="21" t="str">
        <f t="shared" si="20"/>
        <v/>
      </c>
      <c r="D95" s="21">
        <f t="shared" ca="1" si="21"/>
        <v>77.441074115498651</v>
      </c>
      <c r="E95" s="21">
        <f t="shared" ca="1" si="22"/>
        <v>0</v>
      </c>
      <c r="F95" s="21">
        <f t="shared" ca="1" si="23"/>
        <v>0</v>
      </c>
      <c r="G95" s="21">
        <f t="shared" ca="1" si="24"/>
        <v>0</v>
      </c>
      <c r="H95" s="23">
        <f t="shared" ca="1" si="30"/>
        <v>0</v>
      </c>
      <c r="I95" s="22">
        <f t="shared" ca="1" si="25"/>
        <v>5.5</v>
      </c>
      <c r="J95" s="1"/>
      <c r="K95" s="51"/>
      <c r="M95" s="81">
        <f t="shared" ca="1" si="16"/>
        <v>407.85781653515926</v>
      </c>
      <c r="N95" s="19">
        <f t="shared" si="26"/>
        <v>11.89508460431542</v>
      </c>
      <c r="O95" s="17">
        <f t="shared" si="27"/>
        <v>23.5</v>
      </c>
      <c r="P95" s="19">
        <f ca="1">IF(ISERROR(IF(O95&lt;fi_h/20,0,(OFFSET('Base de dados'!$A$5,IF(O95&lt;20,1,IF(O95&gt;1000,10,MATCH(O95,Cargas,1))),Coluna_fih,1,1))*(1+0.13*0.25)*(PI()*(fi_h/1000)^2/4)*SQRT(2*9.81*(O95/100-fi_h/2/1000))*1000)),"",IF(O95&lt;fi_h/20,0,(OFFSET('Base de dados'!$A$5,IF(O95&lt;20,1,IF(O95&gt;1000,10,MATCH(O95,Cargas,1))),Coluna_fih,1,1))*(PI()*(fi_h/1000)^2/4)*SQRT(2*9.81*(O95/100-fi_h/2/1000))*1000))</f>
        <v>11.354996391311948</v>
      </c>
      <c r="Q95" s="19">
        <f ca="1">IF(O95="","",IF(Tipo_Vertedor="Retangular",IF(O95&lt;=cota_s*100,0,IF(Tipo_Vertedor="Retangular",Cd_sr*Lef_sr*((O95/100-cota_s)^(3/2))*1000)),IF(O95&lt;=cota_s*100+fi_s/20,0,(OFFSET('Base de dados'!$A$4,IF(O95&lt;20,1,IF(O95&gt;1000,10,MATCH(O95,Cargas,1))),Coluna_fis,1,1))*(PI()*(fi_s/1000)^2/4)*(2*9.81*(O95/100-cota_s-fi_s/2/1000))^0.5*1000)))</f>
        <v>0</v>
      </c>
      <c r="R95" s="19">
        <f t="shared" ca="1" si="17"/>
        <v>11.354996391311948</v>
      </c>
      <c r="S95" s="19">
        <f t="shared" ca="1" si="18"/>
        <v>396.50282014384732</v>
      </c>
      <c r="AD95" s="19">
        <f t="shared" si="28"/>
        <v>157.20687119870934</v>
      </c>
      <c r="AE95" s="19">
        <f t="shared" ca="1" si="29"/>
        <v>140.4583097486861</v>
      </c>
      <c r="AF95" s="19">
        <f ca="1">IF(ISERROR(IF('Hidrograma afluente'!I102="",0,'Hidrograma afluente'!I102)+Simulação!G95),"",IF('Hidrograma afluente'!I102="",0,'Hidrograma afluente'!I102)+Simulação!G95)</f>
        <v>0</v>
      </c>
      <c r="AG95" s="17">
        <v>0.73969160634184816</v>
      </c>
      <c r="AH95" s="17">
        <v>0.71333704687679744</v>
      </c>
      <c r="AI95" s="27">
        <v>19.25</v>
      </c>
      <c r="AJ95" s="17">
        <v>18</v>
      </c>
      <c r="AK95" s="19">
        <f>IF(A95="","",IF('Hidrograma afluente'!I102="",0,'Hidrograma afluente'!I102)+Simulação!B95)</f>
        <v>0</v>
      </c>
    </row>
    <row r="96" spans="1:37" s="17" customFormat="1">
      <c r="A96" s="4" t="str">
        <f t="shared" si="19"/>
        <v/>
      </c>
      <c r="B96" s="5" t="str">
        <f>IF(A96="","",IF(A96&gt;tc_lot_i+tc,0,IF('Hidrograma afluente'!B103="","",'Hidrograma afluente'!B103)))</f>
        <v/>
      </c>
      <c r="C96" s="21" t="str">
        <f t="shared" si="20"/>
        <v/>
      </c>
      <c r="D96" s="21" t="str">
        <f t="shared" si="21"/>
        <v/>
      </c>
      <c r="E96" s="21" t="str">
        <f t="shared" si="22"/>
        <v/>
      </c>
      <c r="F96" s="21" t="str">
        <f t="shared" si="23"/>
        <v/>
      </c>
      <c r="G96" s="21" t="str">
        <f t="shared" si="24"/>
        <v/>
      </c>
      <c r="H96" s="23" t="str">
        <f t="shared" si="30"/>
        <v/>
      </c>
      <c r="I96" s="22" t="str">
        <f t="shared" si="25"/>
        <v/>
      </c>
      <c r="J96" s="1"/>
      <c r="K96" s="51"/>
      <c r="M96" s="81">
        <f t="shared" ca="1" si="16"/>
        <v>412.68373055642144</v>
      </c>
      <c r="N96" s="19">
        <f t="shared" si="26"/>
        <v>12.037486142542729</v>
      </c>
      <c r="O96" s="17">
        <f t="shared" si="27"/>
        <v>23.75</v>
      </c>
      <c r="P96" s="19">
        <f ca="1">IF(ISERROR(IF(O96&lt;fi_h/20,0,(OFFSET('Base de dados'!$A$5,IF(O96&lt;20,1,IF(O96&gt;1000,10,MATCH(O96,Cargas,1))),Coluna_fih,1,1))*(1+0.13*0.25)*(PI()*(fi_h/1000)^2/4)*SQRT(2*9.81*(O96/100-fi_h/2/1000))*1000)),"",IF(O96&lt;fi_h/20,0,(OFFSET('Base de dados'!$A$5,IF(O96&lt;20,1,IF(O96&gt;1000,10,MATCH(O96,Cargas,1))),Coluna_fih,1,1))*(PI()*(fi_h/1000)^2/4)*SQRT(2*9.81*(O96/100-fi_h/2/1000))*1000))</f>
        <v>11.434192471663756</v>
      </c>
      <c r="Q96" s="19">
        <f ca="1">IF(O96="","",IF(Tipo_Vertedor="Retangular",IF(O96&lt;=cota_s*100,0,IF(Tipo_Vertedor="Retangular",Cd_sr*Lef_sr*((O96/100-cota_s)^(3/2))*1000)),IF(O96&lt;=cota_s*100+fi_s/20,0,(OFFSET('Base de dados'!$A$4,IF(O96&lt;20,1,IF(O96&gt;1000,10,MATCH(O96,Cargas,1))),Coluna_fis,1,1))*(PI()*(fi_s/1000)^2/4)*(2*9.81*(O96/100-cota_s-fi_s/2/1000))^0.5*1000)))</f>
        <v>0</v>
      </c>
      <c r="R96" s="19">
        <f t="shared" ca="1" si="17"/>
        <v>11.434192471663756</v>
      </c>
      <c r="S96" s="19">
        <f t="shared" ca="1" si="18"/>
        <v>401.24953808475766</v>
      </c>
      <c r="AD96" s="19" t="str">
        <f t="shared" si="28"/>
        <v/>
      </c>
      <c r="AE96" s="19" t="str">
        <f t="shared" si="29"/>
        <v/>
      </c>
      <c r="AF96" s="19" t="str">
        <f>IF(ISERROR(IF('Hidrograma afluente'!I103="",0,'Hidrograma afluente'!I103)+Simulação!G96),"",IF('Hidrograma afluente'!I103="",0,'Hidrograma afluente'!I103)+Simulação!G96)</f>
        <v/>
      </c>
      <c r="AG96" s="17">
        <v>0.71333704687679744</v>
      </c>
      <c r="AH96" s="17">
        <v>0.68597070812188232</v>
      </c>
      <c r="AI96" s="27">
        <v>18</v>
      </c>
      <c r="AJ96" s="17">
        <v>16.75</v>
      </c>
      <c r="AK96" s="19" t="str">
        <f>IF(A96="","",IF('Hidrograma afluente'!I103="",0,'Hidrograma afluente'!I103)+Simulação!B96)</f>
        <v/>
      </c>
    </row>
    <row r="97" spans="1:37" s="17" customFormat="1">
      <c r="A97" s="4" t="str">
        <f t="shared" si="19"/>
        <v/>
      </c>
      <c r="B97" s="5" t="str">
        <f>IF(A97="","",IF(A97&gt;tc_lot_i+tc,0,IF('Hidrograma afluente'!B104="","",'Hidrograma afluente'!B104)))</f>
        <v/>
      </c>
      <c r="C97" s="21" t="str">
        <f t="shared" si="20"/>
        <v/>
      </c>
      <c r="D97" s="21" t="str">
        <f t="shared" si="21"/>
        <v/>
      </c>
      <c r="E97" s="21" t="str">
        <f t="shared" si="22"/>
        <v/>
      </c>
      <c r="F97" s="21" t="str">
        <f t="shared" si="23"/>
        <v/>
      </c>
      <c r="G97" s="21" t="str">
        <f t="shared" si="24"/>
        <v/>
      </c>
      <c r="H97" s="23" t="str">
        <f t="shared" si="30"/>
        <v/>
      </c>
      <c r="I97" s="22" t="str">
        <f t="shared" si="25"/>
        <v/>
      </c>
      <c r="J97" s="1"/>
      <c r="K97" s="51"/>
      <c r="M97" s="81">
        <f t="shared" ca="1" si="16"/>
        <v>417.51532841472704</v>
      </c>
      <c r="N97" s="19">
        <f t="shared" si="26"/>
        <v>12.180074539030461</v>
      </c>
      <c r="O97" s="17">
        <f t="shared" si="27"/>
        <v>24</v>
      </c>
      <c r="P97" s="19">
        <f ca="1">IF(ISERROR(IF(O97&lt;fi_h/20,0,(OFFSET('Base de dados'!$A$5,IF(O97&lt;20,1,IF(O97&gt;1000,10,MATCH(O97,Cargas,1))),Coluna_fih,1,1))*(1+0.13*0.25)*(PI()*(fi_h/1000)^2/4)*SQRT(2*9.81*(O97/100-fi_h/2/1000))*1000)),"",IF(O97&lt;fi_h/20,0,(OFFSET('Base de dados'!$A$5,IF(O97&lt;20,1,IF(O97&gt;1000,10,MATCH(O97,Cargas,1))),Coluna_fih,1,1))*(PI()*(fi_h/1000)^2/4)*SQRT(2*9.81*(O97/100-fi_h/2/1000))*1000))</f>
        <v>11.512843780378365</v>
      </c>
      <c r="Q97" s="19">
        <f ca="1">IF(O97="","",IF(Tipo_Vertedor="Retangular",IF(O97&lt;=cota_s*100,0,IF(Tipo_Vertedor="Retangular",Cd_sr*Lef_sr*((O97/100-cota_s)^(3/2))*1000)),IF(O97&lt;=cota_s*100+fi_s/20,0,(OFFSET('Base de dados'!$A$4,IF(O97&lt;20,1,IF(O97&gt;1000,10,MATCH(O97,Cargas,1))),Coluna_fis,1,1))*(PI()*(fi_s/1000)^2/4)*(2*9.81*(O97/100-cota_s-fi_s/2/1000))^0.5*1000)))</f>
        <v>0</v>
      </c>
      <c r="R97" s="19">
        <f t="shared" ca="1" si="17"/>
        <v>11.512843780378365</v>
      </c>
      <c r="S97" s="19">
        <f t="shared" ca="1" si="18"/>
        <v>406.00248463434866</v>
      </c>
      <c r="AD97" s="19" t="str">
        <f t="shared" si="28"/>
        <v/>
      </c>
      <c r="AE97" s="19" t="str">
        <f t="shared" si="29"/>
        <v/>
      </c>
      <c r="AF97" s="19" t="str">
        <f>IF(ISERROR(IF('Hidrograma afluente'!I104="",0,'Hidrograma afluente'!I104)+Simulação!G97),"",IF('Hidrograma afluente'!I104="",0,'Hidrograma afluente'!I104)+Simulação!G97)</f>
        <v/>
      </c>
      <c r="AG97" s="17">
        <v>0.68597070812188232</v>
      </c>
      <c r="AH97" s="17">
        <v>0.65746625948071513</v>
      </c>
      <c r="AI97" s="27">
        <v>16.75</v>
      </c>
      <c r="AJ97" s="17">
        <v>15.5</v>
      </c>
      <c r="AK97" s="19" t="str">
        <f>IF(A97="","",IF('Hidrograma afluente'!I104="",0,'Hidrograma afluente'!I104)+Simulação!B97)</f>
        <v/>
      </c>
    </row>
    <row r="98" spans="1:37" s="17" customFormat="1">
      <c r="A98" s="4" t="str">
        <f t="shared" si="19"/>
        <v/>
      </c>
      <c r="B98" s="5" t="str">
        <f>IF(A98="","",IF(A98&gt;tc_lot_i+tc,0,IF('Hidrograma afluente'!B105="","",'Hidrograma afluente'!B105)))</f>
        <v/>
      </c>
      <c r="C98" s="21" t="str">
        <f t="shared" si="20"/>
        <v/>
      </c>
      <c r="D98" s="21" t="str">
        <f t="shared" si="21"/>
        <v/>
      </c>
      <c r="E98" s="21" t="str">
        <f t="shared" si="22"/>
        <v/>
      </c>
      <c r="F98" s="21" t="str">
        <f t="shared" si="23"/>
        <v/>
      </c>
      <c r="G98" s="21" t="str">
        <f t="shared" si="24"/>
        <v/>
      </c>
      <c r="H98" s="23" t="str">
        <f t="shared" si="30"/>
        <v/>
      </c>
      <c r="I98" s="22" t="str">
        <f t="shared" si="25"/>
        <v/>
      </c>
      <c r="J98" s="1"/>
      <c r="K98" s="51"/>
      <c r="M98" s="81">
        <f t="shared" ca="1" si="16"/>
        <v>422.35256436212325</v>
      </c>
      <c r="N98" s="19">
        <f t="shared" si="26"/>
        <v>12.322848088646998</v>
      </c>
      <c r="O98" s="17">
        <f t="shared" si="27"/>
        <v>24.25</v>
      </c>
      <c r="P98" s="19">
        <f ca="1">IF(ISERROR(IF(O98&lt;fi_h/20,0,(OFFSET('Base de dados'!$A$5,IF(O98&lt;20,1,IF(O98&gt;1000,10,MATCH(O98,Cargas,1))),Coluna_fih,1,1))*(1+0.13*0.25)*(PI()*(fi_h/1000)^2/4)*SQRT(2*9.81*(O98/100-fi_h/2/1000))*1000)),"",IF(O98&lt;fi_h/20,0,(OFFSET('Base de dados'!$A$5,IF(O98&lt;20,1,IF(O98&gt;1000,10,MATCH(O98,Cargas,1))),Coluna_fih,1,1))*(PI()*(fi_h/1000)^2/4)*SQRT(2*9.81*(O98/100-fi_h/2/1000))*1000))</f>
        <v>11.59096140722337</v>
      </c>
      <c r="Q98" s="19">
        <f ca="1">IF(O98="","",IF(Tipo_Vertedor="Retangular",IF(O98&lt;=cota_s*100,0,IF(Tipo_Vertedor="Retangular",Cd_sr*Lef_sr*((O98/100-cota_s)^(3/2))*1000)),IF(O98&lt;=cota_s*100+fi_s/20,0,(OFFSET('Base de dados'!$A$4,IF(O98&lt;20,1,IF(O98&gt;1000,10,MATCH(O98,Cargas,1))),Coluna_fis,1,1))*(PI()*(fi_s/1000)^2/4)*(2*9.81*(O98/100-cota_s-fi_s/2/1000))^0.5*1000)))</f>
        <v>0</v>
      </c>
      <c r="R98" s="19">
        <f t="shared" ca="1" si="17"/>
        <v>11.59096140722337</v>
      </c>
      <c r="S98" s="19">
        <f t="shared" ca="1" si="18"/>
        <v>410.7616029548999</v>
      </c>
      <c r="AD98" s="19" t="str">
        <f t="shared" si="28"/>
        <v/>
      </c>
      <c r="AE98" s="19" t="str">
        <f t="shared" si="29"/>
        <v/>
      </c>
      <c r="AF98" s="19" t="str">
        <f>IF(ISERROR(IF('Hidrograma afluente'!I105="",0,'Hidrograma afluente'!I105)+Simulação!G98),"",IF('Hidrograma afluente'!I105="",0,'Hidrograma afluente'!I105)+Simulação!G98)</f>
        <v/>
      </c>
      <c r="AG98" s="17">
        <v>0.65746625948071513</v>
      </c>
      <c r="AH98" s="17">
        <v>0.62766866443203095</v>
      </c>
      <c r="AI98" s="27">
        <v>15.5</v>
      </c>
      <c r="AJ98" s="17">
        <v>14.25</v>
      </c>
      <c r="AK98" s="19" t="str">
        <f>IF(A98="","",IF('Hidrograma afluente'!I105="",0,'Hidrograma afluente'!I105)+Simulação!B98)</f>
        <v/>
      </c>
    </row>
    <row r="99" spans="1:37" s="17" customFormat="1">
      <c r="A99" s="4" t="str">
        <f t="shared" si="19"/>
        <v/>
      </c>
      <c r="B99" s="5" t="str">
        <f>IF(A99="","",IF(A99&gt;tc_lot_i+tc,0,IF('Hidrograma afluente'!B106="","",'Hidrograma afluente'!B106)))</f>
        <v/>
      </c>
      <c r="C99" s="21" t="str">
        <f t="shared" si="20"/>
        <v/>
      </c>
      <c r="D99" s="21" t="str">
        <f t="shared" si="21"/>
        <v/>
      </c>
      <c r="E99" s="21" t="str">
        <f t="shared" si="22"/>
        <v/>
      </c>
      <c r="F99" s="21" t="str">
        <f t="shared" si="23"/>
        <v/>
      </c>
      <c r="G99" s="21" t="str">
        <f t="shared" si="24"/>
        <v/>
      </c>
      <c r="H99" s="23" t="str">
        <f t="shared" si="30"/>
        <v/>
      </c>
      <c r="I99" s="22" t="str">
        <f t="shared" si="25"/>
        <v/>
      </c>
      <c r="J99" s="1"/>
      <c r="K99" s="51"/>
      <c r="M99" s="81">
        <f t="shared" ca="1" si="16"/>
        <v>427.19539337911721</v>
      </c>
      <c r="N99" s="19">
        <f t="shared" si="26"/>
        <v>12.465805119251209</v>
      </c>
      <c r="O99" s="17">
        <f t="shared" si="27"/>
        <v>24.5</v>
      </c>
      <c r="P99" s="19">
        <f ca="1">IF(ISERROR(IF(O99&lt;fi_h/20,0,(OFFSET('Base de dados'!$A$5,IF(O99&lt;20,1,IF(O99&gt;1000,10,MATCH(O99,Cargas,1))),Coluna_fih,1,1))*(1+0.13*0.25)*(PI()*(fi_h/1000)^2/4)*SQRT(2*9.81*(O99/100-fi_h/2/1000))*1000)),"",IF(O99&lt;fi_h/20,0,(OFFSET('Base de dados'!$A$5,IF(O99&lt;20,1,IF(O99&gt;1000,10,MATCH(O99,Cargas,1))),Coluna_fih,1,1))*(PI()*(fi_h/1000)^2/4)*SQRT(2*9.81*(O99/100-fi_h/2/1000))*1000))</f>
        <v>11.668556070743556</v>
      </c>
      <c r="Q99" s="19">
        <f ca="1">IF(O99="","",IF(Tipo_Vertedor="Retangular",IF(O99&lt;=cota_s*100,0,IF(Tipo_Vertedor="Retangular",Cd_sr*Lef_sr*((O99/100-cota_s)^(3/2))*1000)),IF(O99&lt;=cota_s*100+fi_s/20,0,(OFFSET('Base de dados'!$A$4,IF(O99&lt;20,1,IF(O99&gt;1000,10,MATCH(O99,Cargas,1))),Coluna_fis,1,1))*(PI()*(fi_s/1000)^2/4)*(2*9.81*(O99/100-cota_s-fi_s/2/1000))^0.5*1000)))</f>
        <v>0</v>
      </c>
      <c r="R99" s="19">
        <f t="shared" ca="1" si="17"/>
        <v>11.668556070743556</v>
      </c>
      <c r="S99" s="19">
        <f t="shared" ca="1" si="18"/>
        <v>415.52683730837367</v>
      </c>
      <c r="AD99" s="19" t="str">
        <f t="shared" si="28"/>
        <v/>
      </c>
      <c r="AE99" s="19" t="str">
        <f t="shared" si="29"/>
        <v/>
      </c>
      <c r="AF99" s="19" t="str">
        <f>IF(ISERROR(IF('Hidrograma afluente'!I106="",0,'Hidrograma afluente'!I106)+Simulação!G99),"",IF('Hidrograma afluente'!I106="",0,'Hidrograma afluente'!I106)+Simulação!G99)</f>
        <v/>
      </c>
      <c r="AG99" s="17">
        <v>0.62766866443203095</v>
      </c>
      <c r="AH99" s="17">
        <v>0.60277094179576263</v>
      </c>
      <c r="AI99" s="27">
        <v>14.25</v>
      </c>
      <c r="AJ99" s="17">
        <v>13.25</v>
      </c>
      <c r="AK99" s="19" t="str">
        <f>IF(A99="","",IF('Hidrograma afluente'!I106="",0,'Hidrograma afluente'!I106)+Simulação!B99)</f>
        <v/>
      </c>
    </row>
    <row r="100" spans="1:37" s="17" customFormat="1">
      <c r="A100" s="4" t="str">
        <f t="shared" si="19"/>
        <v/>
      </c>
      <c r="B100" s="5" t="str">
        <f>IF(A100="","",IF(A100&gt;tc_lot_i+tc,0,IF('Hidrograma afluente'!B107="","",'Hidrograma afluente'!B107)))</f>
        <v/>
      </c>
      <c r="C100" s="21" t="str">
        <f t="shared" si="20"/>
        <v/>
      </c>
      <c r="D100" s="21" t="str">
        <f t="shared" si="21"/>
        <v/>
      </c>
      <c r="E100" s="21" t="str">
        <f t="shared" si="22"/>
        <v/>
      </c>
      <c r="F100" s="21" t="str">
        <f t="shared" si="23"/>
        <v/>
      </c>
      <c r="G100" s="21" t="str">
        <f t="shared" si="24"/>
        <v/>
      </c>
      <c r="H100" s="23" t="str">
        <f t="shared" si="30"/>
        <v/>
      </c>
      <c r="I100" s="22" t="str">
        <f t="shared" si="25"/>
        <v/>
      </c>
      <c r="J100" s="1"/>
      <c r="K100" s="51"/>
      <c r="M100" s="81">
        <f t="shared" ca="1" si="16"/>
        <v>432.04377115955498</v>
      </c>
      <c r="N100" s="19">
        <f t="shared" si="26"/>
        <v>12.608943990723796</v>
      </c>
      <c r="O100" s="17">
        <f t="shared" si="27"/>
        <v>24.75</v>
      </c>
      <c r="P100" s="19">
        <f ca="1">IF(ISERROR(IF(O100&lt;fi_h/20,0,(OFFSET('Base de dados'!$A$5,IF(O100&lt;20,1,IF(O100&gt;1000,10,MATCH(O100,Cargas,1))),Coluna_fih,1,1))*(1+0.13*0.25)*(PI()*(fi_h/1000)^2/4)*SQRT(2*9.81*(O100/100-fi_h/2/1000))*1000)),"",IF(O100&lt;fi_h/20,0,(OFFSET('Base de dados'!$A$5,IF(O100&lt;20,1,IF(O100&gt;1000,10,MATCH(O100,Cargas,1))),Coluna_fih,1,1))*(PI()*(fi_h/1000)^2/4)*SQRT(2*9.81*(O100/100-fi_h/2/1000))*1000))</f>
        <v>11.745638135428445</v>
      </c>
      <c r="Q100" s="19">
        <f ca="1">IF(O100="","",IF(Tipo_Vertedor="Retangular",IF(O100&lt;=cota_s*100,0,IF(Tipo_Vertedor="Retangular",Cd_sr*Lef_sr*((O100/100-cota_s)^(3/2))*1000)),IF(O100&lt;=cota_s*100+fi_s/20,0,(OFFSET('Base de dados'!$A$4,IF(O100&lt;20,1,IF(O100&gt;1000,10,MATCH(O100,Cargas,1))),Coluna_fis,1,1))*(PI()*(fi_s/1000)^2/4)*(2*9.81*(O100/100-cota_s-fi_s/2/1000))^0.5*1000)))</f>
        <v>0</v>
      </c>
      <c r="R100" s="19">
        <f t="shared" ca="1" si="17"/>
        <v>11.745638135428445</v>
      </c>
      <c r="S100" s="19">
        <f t="shared" ca="1" si="18"/>
        <v>420.29813302412651</v>
      </c>
      <c r="AD100" s="19" t="str">
        <f t="shared" si="28"/>
        <v/>
      </c>
      <c r="AE100" s="19" t="str">
        <f t="shared" si="29"/>
        <v/>
      </c>
      <c r="AF100" s="19" t="str">
        <f>IF(ISERROR(IF('Hidrograma afluente'!I107="",0,'Hidrograma afluente'!I107)+Simulação!G100),"",IF('Hidrograma afluente'!I107="",0,'Hidrograma afluente'!I107)+Simulação!G100)</f>
        <v/>
      </c>
      <c r="AG100" s="17">
        <v>0.60277094179576263</v>
      </c>
      <c r="AH100" s="17">
        <v>0.57679950089854604</v>
      </c>
      <c r="AI100" s="27">
        <v>13.25</v>
      </c>
      <c r="AJ100" s="17">
        <v>12.25</v>
      </c>
      <c r="AK100" s="19" t="str">
        <f>IF(A100="","",IF('Hidrograma afluente'!I107="",0,'Hidrograma afluente'!I107)+Simulação!B100)</f>
        <v/>
      </c>
    </row>
    <row r="101" spans="1:37" s="17" customFormat="1">
      <c r="A101" s="4" t="str">
        <f t="shared" si="19"/>
        <v/>
      </c>
      <c r="B101" s="5" t="str">
        <f>IF(A101="","",IF(A101&gt;tc_lot_i+tc,0,IF('Hidrograma afluente'!B108="","",'Hidrograma afluente'!B108)))</f>
        <v/>
      </c>
      <c r="C101" s="21" t="str">
        <f t="shared" si="20"/>
        <v/>
      </c>
      <c r="D101" s="21" t="str">
        <f t="shared" si="21"/>
        <v/>
      </c>
      <c r="E101" s="21" t="str">
        <f t="shared" si="22"/>
        <v/>
      </c>
      <c r="F101" s="21" t="str">
        <f t="shared" si="23"/>
        <v/>
      </c>
      <c r="G101" s="21" t="str">
        <f t="shared" si="24"/>
        <v/>
      </c>
      <c r="H101" s="23" t="str">
        <f t="shared" si="30"/>
        <v/>
      </c>
      <c r="I101" s="22" t="str">
        <f t="shared" si="25"/>
        <v/>
      </c>
      <c r="J101" s="1"/>
      <c r="K101" s="51"/>
      <c r="M101" s="81">
        <f t="shared" ca="1" si="16"/>
        <v>436.89765409575784</v>
      </c>
      <c r="N101" s="19">
        <f t="shared" si="26"/>
        <v>12.752263094036564</v>
      </c>
      <c r="O101" s="17">
        <f t="shared" si="27"/>
        <v>25</v>
      </c>
      <c r="P101" s="19">
        <f ca="1">IF(ISERROR(IF(O101&lt;fi_h/20,0,(OFFSET('Base de dados'!$A$5,IF(O101&lt;20,1,IF(O101&gt;1000,10,MATCH(O101,Cargas,1))),Coluna_fih,1,1))*(1+0.13*0.25)*(PI()*(fi_h/1000)^2/4)*SQRT(2*9.81*(O101/100-fi_h/2/1000))*1000)),"",IF(O101&lt;fi_h/20,0,(OFFSET('Base de dados'!$A$5,IF(O101&lt;20,1,IF(O101&gt;1000,10,MATCH(O101,Cargas,1))),Coluna_fih,1,1))*(PI()*(fi_h/1000)^2/4)*SQRT(2*9.81*(O101/100-fi_h/2/1000))*1000))</f>
        <v>11.82221762787235</v>
      </c>
      <c r="Q101" s="19">
        <f ca="1">IF(O101="","",IF(Tipo_Vertedor="Retangular",IF(O101&lt;=cota_s*100,0,IF(Tipo_Vertedor="Retangular",Cd_sr*Lef_sr*((O101/100-cota_s)^(3/2))*1000)),IF(O101&lt;=cota_s*100+fi_s/20,0,(OFFSET('Base de dados'!$A$4,IF(O101&lt;20,1,IF(O101&gt;1000,10,MATCH(O101,Cargas,1))),Coluna_fis,1,1))*(PI()*(fi_s/1000)^2/4)*(2*9.81*(O101/100-cota_s-fi_s/2/1000))^0.5*1000)))</f>
        <v>0</v>
      </c>
      <c r="R101" s="19">
        <f t="shared" ca="1" si="17"/>
        <v>11.82221762787235</v>
      </c>
      <c r="S101" s="19">
        <f t="shared" ca="1" si="18"/>
        <v>425.07543646788548</v>
      </c>
      <c r="AD101" s="19" t="str">
        <f t="shared" si="28"/>
        <v/>
      </c>
      <c r="AE101" s="19" t="str">
        <f t="shared" si="29"/>
        <v/>
      </c>
      <c r="AF101" s="19" t="str">
        <f>IF(ISERROR(IF('Hidrograma afluente'!I108="",0,'Hidrograma afluente'!I108)+Simulação!G101),"",IF('Hidrograma afluente'!I108="",0,'Hidrograma afluente'!I108)+Simulação!G101)</f>
        <v/>
      </c>
      <c r="AG101" s="17">
        <v>0.57679950089854604</v>
      </c>
      <c r="AH101" s="17">
        <v>0.54960214719401623</v>
      </c>
      <c r="AI101" s="27">
        <v>12.25</v>
      </c>
      <c r="AJ101" s="17">
        <v>11.25</v>
      </c>
      <c r="AK101" s="19" t="str">
        <f>IF(A101="","",IF('Hidrograma afluente'!I108="",0,'Hidrograma afluente'!I108)+Simulação!B101)</f>
        <v/>
      </c>
    </row>
    <row r="102" spans="1:37" s="17" customFormat="1">
      <c r="A102" s="4" t="str">
        <f t="shared" si="19"/>
        <v/>
      </c>
      <c r="B102" s="5" t="str">
        <f>IF(A102="","",IF(A102&gt;tc_lot_i+tc,0,IF('Hidrograma afluente'!B109="","",'Hidrograma afluente'!B109)))</f>
        <v/>
      </c>
      <c r="C102" s="21" t="str">
        <f t="shared" si="20"/>
        <v/>
      </c>
      <c r="D102" s="21" t="str">
        <f t="shared" si="21"/>
        <v/>
      </c>
      <c r="E102" s="21" t="str">
        <f t="shared" si="22"/>
        <v/>
      </c>
      <c r="F102" s="21" t="str">
        <f t="shared" si="23"/>
        <v/>
      </c>
      <c r="G102" s="21" t="str">
        <f t="shared" si="24"/>
        <v/>
      </c>
      <c r="H102" s="23" t="str">
        <f t="shared" si="30"/>
        <v/>
      </c>
      <c r="I102" s="22" t="str">
        <f t="shared" si="25"/>
        <v/>
      </c>
      <c r="J102" s="1"/>
      <c r="K102" s="51"/>
      <c r="M102" s="81">
        <f t="shared" ca="1" si="16"/>
        <v>441.7569992639248</v>
      </c>
      <c r="N102" s="19">
        <f t="shared" si="26"/>
        <v>12.895760850357796</v>
      </c>
      <c r="O102" s="17">
        <f t="shared" si="27"/>
        <v>25.25</v>
      </c>
      <c r="P102" s="19">
        <f ca="1">IF(ISERROR(IF(O102&lt;fi_h/20,0,(OFFSET('Base de dados'!$A$5,IF(O102&lt;20,1,IF(O102&gt;1000,10,MATCH(O102,Cargas,1))),Coluna_fih,1,1))*(1+0.13*0.25)*(PI()*(fi_h/1000)^2/4)*SQRT(2*9.81*(O102/100-fi_h/2/1000))*1000)),"",IF(O102&lt;fi_h/20,0,(OFFSET('Base de dados'!$A$5,IF(O102&lt;20,1,IF(O102&gt;1000,10,MATCH(O102,Cargas,1))),Coluna_fih,1,1))*(PI()*(fi_h/1000)^2/4)*SQRT(2*9.81*(O102/100-fi_h/2/1000))*1000))</f>
        <v>11.898304251998285</v>
      </c>
      <c r="Q102" s="19">
        <f ca="1">IF(O102="","",IF(Tipo_Vertedor="Retangular",IF(O102&lt;=cota_s*100,0,IF(Tipo_Vertedor="Retangular",Cd_sr*Lef_sr*((O102/100-cota_s)^(3/2))*1000)),IF(O102&lt;=cota_s*100+fi_s/20,0,(OFFSET('Base de dados'!$A$4,IF(O102&lt;20,1,IF(O102&gt;1000,10,MATCH(O102,Cargas,1))),Coluna_fis,1,1))*(PI()*(fi_s/1000)^2/4)*(2*9.81*(O102/100-cota_s-fi_s/2/1000))^0.5*1000)))</f>
        <v>0</v>
      </c>
      <c r="R102" s="19">
        <f t="shared" ca="1" si="17"/>
        <v>11.898304251998285</v>
      </c>
      <c r="S102" s="19">
        <f t="shared" ca="1" si="18"/>
        <v>429.8586950119265</v>
      </c>
      <c r="AD102" s="19" t="str">
        <f t="shared" si="28"/>
        <v/>
      </c>
      <c r="AE102" s="19" t="str">
        <f t="shared" si="29"/>
        <v/>
      </c>
      <c r="AF102" s="19" t="str">
        <f>IF(ISERROR(IF('Hidrograma afluente'!I109="",0,'Hidrograma afluente'!I109)+Simulação!G102),"",IF('Hidrograma afluente'!I109="",0,'Hidrograma afluente'!I109)+Simulação!G102)</f>
        <v/>
      </c>
      <c r="AG102" s="17">
        <v>0.54960214719401623</v>
      </c>
      <c r="AH102" s="17">
        <v>0.52098692513702693</v>
      </c>
      <c r="AI102" s="27">
        <v>11.25</v>
      </c>
      <c r="AJ102" s="17">
        <v>10.25</v>
      </c>
      <c r="AK102" s="19" t="str">
        <f>IF(A102="","",IF('Hidrograma afluente'!I109="",0,'Hidrograma afluente'!I109)+Simulação!B102)</f>
        <v/>
      </c>
    </row>
    <row r="103" spans="1:37" s="17" customFormat="1">
      <c r="A103" s="4" t="str">
        <f t="shared" si="19"/>
        <v/>
      </c>
      <c r="B103" s="5" t="str">
        <f>IF(A103="","",IF(A103&gt;tc_lot_i+tc,0,IF('Hidrograma afluente'!B110="","",'Hidrograma afluente'!B110)))</f>
        <v/>
      </c>
      <c r="C103" s="21" t="str">
        <f t="shared" si="20"/>
        <v/>
      </c>
      <c r="D103" s="21" t="str">
        <f t="shared" si="21"/>
        <v/>
      </c>
      <c r="E103" s="21" t="str">
        <f t="shared" si="22"/>
        <v/>
      </c>
      <c r="F103" s="21" t="str">
        <f t="shared" si="23"/>
        <v/>
      </c>
      <c r="G103" s="21" t="str">
        <f t="shared" si="24"/>
        <v/>
      </c>
      <c r="H103" s="23" t="str">
        <f t="shared" si="30"/>
        <v/>
      </c>
      <c r="I103" s="22" t="str">
        <f t="shared" si="25"/>
        <v/>
      </c>
      <c r="J103" s="1"/>
      <c r="K103" s="51"/>
      <c r="M103" s="81">
        <f t="shared" ca="1" si="16"/>
        <v>446.62176440981142</v>
      </c>
      <c r="N103" s="19">
        <f t="shared" si="26"/>
        <v>13.039435710192008</v>
      </c>
      <c r="O103" s="17">
        <f t="shared" si="27"/>
        <v>25.5</v>
      </c>
      <c r="P103" s="19">
        <f ca="1">IF(ISERROR(IF(O103&lt;fi_h/20,0,(OFFSET('Base de dados'!$A$5,IF(O103&lt;20,1,IF(O103&gt;1000,10,MATCH(O103,Cargas,1))),Coluna_fih,1,1))*(1+0.13*0.25)*(PI()*(fi_h/1000)^2/4)*SQRT(2*9.81*(O103/100-fi_h/2/1000))*1000)),"",IF(O103&lt;fi_h/20,0,(OFFSET('Base de dados'!$A$5,IF(O103&lt;20,1,IF(O103&gt;1000,10,MATCH(O103,Cargas,1))),Coluna_fih,1,1))*(PI()*(fi_h/1000)^2/4)*SQRT(2*9.81*(O103/100-fi_h/2/1000))*1000))</f>
        <v>11.973907403411186</v>
      </c>
      <c r="Q103" s="19">
        <f ca="1">IF(O103="","",IF(Tipo_Vertedor="Retangular",IF(O103&lt;=cota_s*100,0,IF(Tipo_Vertedor="Retangular",Cd_sr*Lef_sr*((O103/100-cota_s)^(3/2))*1000)),IF(O103&lt;=cota_s*100+fi_s/20,0,(OFFSET('Base de dados'!$A$4,IF(O103&lt;20,1,IF(O103&gt;1000,10,MATCH(O103,Cargas,1))),Coluna_fis,1,1))*(PI()*(fi_s/1000)^2/4)*(2*9.81*(O103/100-cota_s-fi_s/2/1000))^0.5*1000)))</f>
        <v>0</v>
      </c>
      <c r="R103" s="19">
        <f t="shared" ca="1" si="17"/>
        <v>11.973907403411186</v>
      </c>
      <c r="S103" s="19">
        <f t="shared" ca="1" si="18"/>
        <v>434.64785700640022</v>
      </c>
      <c r="AD103" s="19" t="str">
        <f t="shared" si="28"/>
        <v/>
      </c>
      <c r="AE103" s="19" t="str">
        <f t="shared" si="29"/>
        <v/>
      </c>
      <c r="AF103" s="19" t="str">
        <f>IF(ISERROR(IF('Hidrograma afluente'!I110="",0,'Hidrograma afluente'!I110)+Simulação!G103),"",IF('Hidrograma afluente'!I110="",0,'Hidrograma afluente'!I110)+Simulação!G103)</f>
        <v/>
      </c>
      <c r="AG103" s="17">
        <v>0.52098692513702693</v>
      </c>
      <c r="AH103" s="17">
        <v>0.4907058509200754</v>
      </c>
      <c r="AI103" s="27">
        <v>10.25</v>
      </c>
      <c r="AJ103" s="17">
        <v>9.25</v>
      </c>
      <c r="AK103" s="19" t="str">
        <f>IF(A103="","",IF('Hidrograma afluente'!I110="",0,'Hidrograma afluente'!I110)+Simulação!B103)</f>
        <v/>
      </c>
    </row>
    <row r="104" spans="1:37" s="17" customFormat="1">
      <c r="A104" s="4" t="str">
        <f t="shared" si="19"/>
        <v/>
      </c>
      <c r="B104" s="5" t="str">
        <f>IF(A104="","",IF(A104&gt;tc_lot_i+tc,0,IF('Hidrograma afluente'!B111="","",'Hidrograma afluente'!B111)))</f>
        <v/>
      </c>
      <c r="C104" s="21" t="str">
        <f t="shared" si="20"/>
        <v/>
      </c>
      <c r="D104" s="21" t="str">
        <f t="shared" si="21"/>
        <v/>
      </c>
      <c r="E104" s="21" t="str">
        <f t="shared" si="22"/>
        <v/>
      </c>
      <c r="F104" s="21" t="str">
        <f t="shared" si="23"/>
        <v/>
      </c>
      <c r="G104" s="21" t="str">
        <f t="shared" si="24"/>
        <v/>
      </c>
      <c r="H104" s="23" t="str">
        <f t="shared" si="30"/>
        <v/>
      </c>
      <c r="I104" s="22" t="str">
        <f t="shared" si="25"/>
        <v/>
      </c>
      <c r="J104" s="1"/>
      <c r="K104" s="51"/>
      <c r="M104" s="81">
        <f t="shared" ca="1" si="16"/>
        <v>451.49190793468608</v>
      </c>
      <c r="N104" s="19">
        <f t="shared" si="26"/>
        <v>13.183286152552366</v>
      </c>
      <c r="O104" s="17">
        <f t="shared" si="27"/>
        <v>25.75</v>
      </c>
      <c r="P104" s="19">
        <f ca="1">IF(ISERROR(IF(O104&lt;fi_h/20,0,(OFFSET('Base de dados'!$A$5,IF(O104&lt;20,1,IF(O104&gt;1000,10,MATCH(O104,Cargas,1))),Coluna_fih,1,1))*(1+0.13*0.25)*(PI()*(fi_h/1000)^2/4)*SQRT(2*9.81*(O104/100-fi_h/2/1000))*1000)),"",IF(O104&lt;fi_h/20,0,(OFFSET('Base de dados'!$A$5,IF(O104&lt;20,1,IF(O104&gt;1000,10,MATCH(O104,Cargas,1))),Coluna_fih,1,1))*(PI()*(fi_h/1000)^2/4)*SQRT(2*9.81*(O104/100-fi_h/2/1000))*1000))</f>
        <v>12.049036182940522</v>
      </c>
      <c r="Q104" s="19">
        <f ca="1">IF(O104="","",IF(Tipo_Vertedor="Retangular",IF(O104&lt;=cota_s*100,0,IF(Tipo_Vertedor="Retangular",Cd_sr*Lef_sr*((O104/100-cota_s)^(3/2))*1000)),IF(O104&lt;=cota_s*100+fi_s/20,0,(OFFSET('Base de dados'!$A$4,IF(O104&lt;20,1,IF(O104&gt;1000,10,MATCH(O104,Cargas,1))),Coluna_fis,1,1))*(PI()*(fi_s/1000)^2/4)*(2*9.81*(O104/100-cota_s-fi_s/2/1000))^0.5*1000)))</f>
        <v>0</v>
      </c>
      <c r="R104" s="19">
        <f t="shared" ca="1" si="17"/>
        <v>12.049036182940522</v>
      </c>
      <c r="S104" s="19">
        <f t="shared" ca="1" si="18"/>
        <v>439.44287175174554</v>
      </c>
      <c r="AD104" s="19" t="str">
        <f t="shared" si="28"/>
        <v/>
      </c>
      <c r="AE104" s="19" t="str">
        <f t="shared" si="29"/>
        <v/>
      </c>
      <c r="AF104" s="19" t="str">
        <f>IF(ISERROR(IF('Hidrograma afluente'!I111="",0,'Hidrograma afluente'!I111)+Simulação!G104),"",IF('Hidrograma afluente'!I111="",0,'Hidrograma afluente'!I111)+Simulação!G104)</f>
        <v/>
      </c>
      <c r="AG104" s="17">
        <v>0.4907058509200754</v>
      </c>
      <c r="AH104" s="17">
        <v>0.45842893461326856</v>
      </c>
      <c r="AI104" s="27">
        <v>9.25</v>
      </c>
      <c r="AJ104" s="17">
        <v>8.25</v>
      </c>
      <c r="AK104" s="19" t="str">
        <f>IF(A104="","",IF('Hidrograma afluente'!I111="",0,'Hidrograma afluente'!I111)+Simulação!B104)</f>
        <v/>
      </c>
    </row>
    <row r="105" spans="1:37" s="17" customFormat="1">
      <c r="A105" s="4" t="str">
        <f t="shared" si="19"/>
        <v/>
      </c>
      <c r="B105" s="5" t="str">
        <f>IF(A105="","",IF(A105&gt;tc_lot_i+tc,0,IF('Hidrograma afluente'!B112="","",'Hidrograma afluente'!B112)))</f>
        <v/>
      </c>
      <c r="C105" s="21" t="str">
        <f t="shared" si="20"/>
        <v/>
      </c>
      <c r="D105" s="21" t="str">
        <f t="shared" si="21"/>
        <v/>
      </c>
      <c r="E105" s="21" t="str">
        <f t="shared" si="22"/>
        <v/>
      </c>
      <c r="F105" s="21" t="str">
        <f t="shared" si="23"/>
        <v/>
      </c>
      <c r="G105" s="21" t="str">
        <f t="shared" si="24"/>
        <v/>
      </c>
      <c r="H105" s="23" t="str">
        <f t="shared" si="30"/>
        <v/>
      </c>
      <c r="I105" s="22" t="str">
        <f t="shared" si="25"/>
        <v/>
      </c>
      <c r="J105" s="1"/>
      <c r="K105" s="51"/>
      <c r="M105" s="81">
        <f t="shared" ca="1" si="16"/>
        <v>456.36738888157066</v>
      </c>
      <c r="N105" s="19">
        <f t="shared" si="26"/>
        <v>13.327310684164292</v>
      </c>
      <c r="O105" s="17">
        <f t="shared" si="27"/>
        <v>26</v>
      </c>
      <c r="P105" s="19">
        <f ca="1">IF(ISERROR(IF(O105&lt;fi_h/20,0,(OFFSET('Base de dados'!$A$5,IF(O105&lt;20,1,IF(O105&gt;1000,10,MATCH(O105,Cargas,1))),Coluna_fih,1,1))*(1+0.13*0.25)*(PI()*(fi_h/1000)^2/4)*SQRT(2*9.81*(O105/100-fi_h/2/1000))*1000)),"",IF(O105&lt;fi_h/20,0,(OFFSET('Base de dados'!$A$5,IF(O105&lt;20,1,IF(O105&gt;1000,10,MATCH(O105,Cargas,1))),Coluna_fih,1,1))*(PI()*(fi_h/1000)^2/4)*SQRT(2*9.81*(O105/100-fi_h/2/1000))*1000))</f>
        <v>12.12369940942758</v>
      </c>
      <c r="Q105" s="19">
        <f ca="1">IF(O105="","",IF(Tipo_Vertedor="Retangular",IF(O105&lt;=cota_s*100,0,IF(Tipo_Vertedor="Retangular",Cd_sr*Lef_sr*((O105/100-cota_s)^(3/2))*1000)),IF(O105&lt;=cota_s*100+fi_s/20,0,(OFFSET('Base de dados'!$A$4,IF(O105&lt;20,1,IF(O105&gt;1000,10,MATCH(O105,Cargas,1))),Coluna_fis,1,1))*(PI()*(fi_s/1000)^2/4)*(2*9.81*(O105/100-cota_s-fi_s/2/1000))^0.5*1000)))</f>
        <v>0</v>
      </c>
      <c r="R105" s="19">
        <f t="shared" ca="1" si="17"/>
        <v>12.12369940942758</v>
      </c>
      <c r="S105" s="19">
        <f t="shared" ca="1" si="18"/>
        <v>444.2436894721431</v>
      </c>
      <c r="AD105" s="19" t="str">
        <f t="shared" si="28"/>
        <v/>
      </c>
      <c r="AE105" s="19" t="str">
        <f t="shared" si="29"/>
        <v/>
      </c>
      <c r="AF105" s="19" t="str">
        <f>IF(ISERROR(IF('Hidrograma afluente'!I112="",0,'Hidrograma afluente'!I112)+Simulação!G105),"",IF('Hidrograma afluente'!I112="",0,'Hidrograma afluente'!I112)+Simulação!G105)</f>
        <v/>
      </c>
      <c r="AG105" s="17">
        <v>0.45842893461326856</v>
      </c>
      <c r="AH105" s="17">
        <v>0.43264388365404211</v>
      </c>
      <c r="AI105" s="27">
        <v>8.25</v>
      </c>
      <c r="AJ105" s="17">
        <v>7.5</v>
      </c>
      <c r="AK105" s="19" t="str">
        <f>IF(A105="","",IF('Hidrograma afluente'!I112="",0,'Hidrograma afluente'!I112)+Simulação!B105)</f>
        <v/>
      </c>
    </row>
    <row r="106" spans="1:37" s="17" customFormat="1">
      <c r="A106" s="4" t="str">
        <f t="shared" si="19"/>
        <v/>
      </c>
      <c r="B106" s="5" t="str">
        <f>IF(A106="","",IF(A106&gt;tc_lot_i+tc,0,IF('Hidrograma afluente'!B113="","",'Hidrograma afluente'!B113)))</f>
        <v/>
      </c>
      <c r="C106" s="21" t="str">
        <f t="shared" si="20"/>
        <v/>
      </c>
      <c r="D106" s="21" t="str">
        <f t="shared" si="21"/>
        <v/>
      </c>
      <c r="E106" s="21" t="str">
        <f t="shared" si="22"/>
        <v/>
      </c>
      <c r="F106" s="21" t="str">
        <f t="shared" si="23"/>
        <v/>
      </c>
      <c r="G106" s="21" t="str">
        <f t="shared" si="24"/>
        <v/>
      </c>
      <c r="H106" s="23" t="str">
        <f t="shared" si="30"/>
        <v/>
      </c>
      <c r="I106" s="22" t="str">
        <f t="shared" si="25"/>
        <v/>
      </c>
      <c r="J106" s="1"/>
      <c r="K106" s="51"/>
      <c r="M106" s="81">
        <f t="shared" ca="1" si="16"/>
        <v>461.24816692176631</v>
      </c>
      <c r="N106" s="19">
        <f t="shared" si="26"/>
        <v>13.471507838698743</v>
      </c>
      <c r="O106" s="17">
        <f t="shared" si="27"/>
        <v>26.25</v>
      </c>
      <c r="P106" s="19">
        <f ca="1">IF(ISERROR(IF(O106&lt;fi_h/20,0,(OFFSET('Base de dados'!$A$5,IF(O106&lt;20,1,IF(O106&gt;1000,10,MATCH(O106,Cargas,1))),Coluna_fih,1,1))*(1+0.13*0.25)*(PI()*(fi_h/1000)^2/4)*SQRT(2*9.81*(O106/100-fi_h/2/1000))*1000)),"",IF(O106&lt;fi_h/20,0,(OFFSET('Base de dados'!$A$5,IF(O106&lt;20,1,IF(O106&gt;1000,10,MATCH(O106,Cargas,1))),Coluna_fih,1,1))*(PI()*(fi_h/1000)^2/4)*SQRT(2*9.81*(O106/100-fi_h/2/1000))*1000))</f>
        <v>12.197905631808249</v>
      </c>
      <c r="Q106" s="19">
        <f ca="1">IF(O106="","",IF(Tipo_Vertedor="Retangular",IF(O106&lt;=cota_s*100,0,IF(Tipo_Vertedor="Retangular",Cd_sr*Lef_sr*((O106/100-cota_s)^(3/2))*1000)),IF(O106&lt;=cota_s*100+fi_s/20,0,(OFFSET('Base de dados'!$A$4,IF(O106&lt;20,1,IF(O106&gt;1000,10,MATCH(O106,Cargas,1))),Coluna_fis,1,1))*(PI()*(fi_s/1000)^2/4)*(2*9.81*(O106/100-cota_s-fi_s/2/1000))^0.5*1000)))</f>
        <v>0</v>
      </c>
      <c r="R106" s="19">
        <f t="shared" ca="1" si="17"/>
        <v>12.197905631808249</v>
      </c>
      <c r="S106" s="19">
        <f t="shared" ca="1" si="18"/>
        <v>449.05026128995809</v>
      </c>
      <c r="AD106" s="19" t="str">
        <f t="shared" si="28"/>
        <v/>
      </c>
      <c r="AE106" s="19" t="str">
        <f t="shared" si="29"/>
        <v/>
      </c>
      <c r="AF106" s="19" t="str">
        <f>IF(ISERROR(IF('Hidrograma afluente'!I113="",0,'Hidrograma afluente'!I113)+Simulação!G106),"",IF('Hidrograma afluente'!I113="",0,'Hidrograma afluente'!I113)+Simulação!G106)</f>
        <v/>
      </c>
      <c r="AG106" s="17">
        <v>0.43264388365404211</v>
      </c>
      <c r="AH106" s="17">
        <v>0.40522138644924488</v>
      </c>
      <c r="AI106" s="27">
        <v>7.5</v>
      </c>
      <c r="AJ106" s="17">
        <v>6.75</v>
      </c>
      <c r="AK106" s="19" t="str">
        <f>IF(A106="","",IF('Hidrograma afluente'!I113="",0,'Hidrograma afluente'!I113)+Simulação!B106)</f>
        <v/>
      </c>
    </row>
    <row r="107" spans="1:37" s="17" customFormat="1">
      <c r="A107" s="4" t="str">
        <f t="shared" si="19"/>
        <v/>
      </c>
      <c r="B107" s="5" t="str">
        <f>IF(A107="","",IF(A107&gt;tc_lot_i+tc,0,IF('Hidrograma afluente'!B114="","",'Hidrograma afluente'!B114)))</f>
        <v/>
      </c>
      <c r="C107" s="21" t="str">
        <f t="shared" si="20"/>
        <v/>
      </c>
      <c r="D107" s="21" t="str">
        <f t="shared" si="21"/>
        <v/>
      </c>
      <c r="E107" s="21" t="str">
        <f t="shared" si="22"/>
        <v/>
      </c>
      <c r="F107" s="21" t="str">
        <f t="shared" si="23"/>
        <v/>
      </c>
      <c r="G107" s="21" t="str">
        <f t="shared" si="24"/>
        <v/>
      </c>
      <c r="H107" s="23" t="str">
        <f t="shared" si="30"/>
        <v/>
      </c>
      <c r="I107" s="22" t="str">
        <f t="shared" si="25"/>
        <v/>
      </c>
      <c r="J107" s="1"/>
      <c r="K107" s="51"/>
      <c r="M107" s="81">
        <f t="shared" ca="1" si="16"/>
        <v>466.13420234166659</v>
      </c>
      <c r="N107" s="19">
        <f t="shared" si="26"/>
        <v>13.615876176033851</v>
      </c>
      <c r="O107" s="17">
        <f t="shared" si="27"/>
        <v>26.5</v>
      </c>
      <c r="P107" s="19">
        <f ca="1">IF(ISERROR(IF(O107&lt;fi_h/20,0,(OFFSET('Base de dados'!$A$5,IF(O107&lt;20,1,IF(O107&gt;1000,10,MATCH(O107,Cargas,1))),Coluna_fih,1,1))*(1+0.13*0.25)*(PI()*(fi_h/1000)^2/4)*SQRT(2*9.81*(O107/100-fi_h/2/1000))*1000)),"",IF(O107&lt;fi_h/20,0,(OFFSET('Base de dados'!$A$5,IF(O107&lt;20,1,IF(O107&gt;1000,10,MATCH(O107,Cargas,1))),Coluna_fih,1,1))*(PI()*(fi_h/1000)^2/4)*SQRT(2*9.81*(O107/100-fi_h/2/1000))*1000))</f>
        <v>12.271663140538211</v>
      </c>
      <c r="Q107" s="19">
        <f ca="1">IF(O107="","",IF(Tipo_Vertedor="Retangular",IF(O107&lt;=cota_s*100,0,IF(Tipo_Vertedor="Retangular",Cd_sr*Lef_sr*((O107/100-cota_s)^(3/2))*1000)),IF(O107&lt;=cota_s*100+fi_s/20,0,(OFFSET('Base de dados'!$A$4,IF(O107&lt;20,1,IF(O107&gt;1000,10,MATCH(O107,Cargas,1))),Coluna_fis,1,1))*(PI()*(fi_s/1000)^2/4)*(2*9.81*(O107/100-cota_s-fi_s/2/1000))^0.5*1000)))</f>
        <v>0</v>
      </c>
      <c r="R107" s="19">
        <f t="shared" ca="1" si="17"/>
        <v>12.271663140538211</v>
      </c>
      <c r="S107" s="19">
        <f t="shared" ca="1" si="18"/>
        <v>453.86253920112836</v>
      </c>
      <c r="AD107" s="19" t="str">
        <f t="shared" si="28"/>
        <v/>
      </c>
      <c r="AE107" s="19" t="str">
        <f t="shared" si="29"/>
        <v/>
      </c>
      <c r="AF107" s="19" t="str">
        <f>IF(ISERROR(IF('Hidrograma afluente'!I114="",0,'Hidrograma afluente'!I114)+Simulação!G107),"",IF('Hidrograma afluente'!I114="",0,'Hidrograma afluente'!I114)+Simulação!G107)</f>
        <v/>
      </c>
      <c r="AG107" s="17">
        <v>0.40522138644924488</v>
      </c>
      <c r="AH107" s="17">
        <v>0.3758031585929581</v>
      </c>
      <c r="AI107" s="27">
        <v>6.75</v>
      </c>
      <c r="AJ107" s="17">
        <v>6</v>
      </c>
      <c r="AK107" s="19" t="str">
        <f>IF(A107="","",IF('Hidrograma afluente'!I114="",0,'Hidrograma afluente'!I114)+Simulação!B107)</f>
        <v/>
      </c>
    </row>
    <row r="108" spans="1:37" s="17" customFormat="1">
      <c r="A108" s="4" t="str">
        <f t="shared" si="19"/>
        <v/>
      </c>
      <c r="B108" s="5" t="str">
        <f>IF(A108="","",IF(A108&gt;tc_lot_i+tc,0,IF('Hidrograma afluente'!B115="","",'Hidrograma afluente'!B115)))</f>
        <v/>
      </c>
      <c r="C108" s="21" t="str">
        <f t="shared" si="20"/>
        <v/>
      </c>
      <c r="D108" s="21" t="str">
        <f t="shared" si="21"/>
        <v/>
      </c>
      <c r="E108" s="21" t="str">
        <f t="shared" si="22"/>
        <v/>
      </c>
      <c r="F108" s="21" t="str">
        <f t="shared" si="23"/>
        <v/>
      </c>
      <c r="G108" s="21" t="str">
        <f t="shared" si="24"/>
        <v/>
      </c>
      <c r="H108" s="23" t="str">
        <f t="shared" si="30"/>
        <v/>
      </c>
      <c r="I108" s="22" t="str">
        <f t="shared" si="25"/>
        <v/>
      </c>
      <c r="J108" s="1"/>
      <c r="K108" s="51"/>
      <c r="M108" s="81">
        <f t="shared" ca="1" si="16"/>
        <v>471.02545602985441</v>
      </c>
      <c r="N108" s="19">
        <f t="shared" si="26"/>
        <v>13.76041428154352</v>
      </c>
      <c r="O108" s="17">
        <f t="shared" si="27"/>
        <v>26.75</v>
      </c>
      <c r="P108" s="19">
        <f ca="1">IF(ISERROR(IF(O108&lt;fi_h/20,0,(OFFSET('Base de dados'!$A$5,IF(O108&lt;20,1,IF(O108&gt;1000,10,MATCH(O108,Cargas,1))),Coluna_fih,1,1))*(1+0.13*0.25)*(PI()*(fi_h/1000)^2/4)*SQRT(2*9.81*(O108/100-fi_h/2/1000))*1000)),"",IF(O108&lt;fi_h/20,0,(OFFSET('Base de dados'!$A$5,IF(O108&lt;20,1,IF(O108&gt;1000,10,MATCH(O108,Cargas,1))),Coluna_fih,1,1))*(PI()*(fi_h/1000)^2/4)*SQRT(2*9.81*(O108/100-fi_h/2/1000))*1000))</f>
        <v>12.344979978403725</v>
      </c>
      <c r="Q108" s="19">
        <f ca="1">IF(O108="","",IF(Tipo_Vertedor="Retangular",IF(O108&lt;=cota_s*100,0,IF(Tipo_Vertedor="Retangular",Cd_sr*Lef_sr*((O108/100-cota_s)^(3/2))*1000)),IF(O108&lt;=cota_s*100+fi_s/20,0,(OFFSET('Base de dados'!$A$4,IF(O108&lt;20,1,IF(O108&gt;1000,10,MATCH(O108,Cargas,1))),Coluna_fis,1,1))*(PI()*(fi_s/1000)^2/4)*(2*9.81*(O108/100-cota_s-fi_s/2/1000))^0.5*1000)))</f>
        <v>0</v>
      </c>
      <c r="R108" s="19">
        <f t="shared" ca="1" si="17"/>
        <v>12.344979978403725</v>
      </c>
      <c r="S108" s="19">
        <f t="shared" ca="1" si="18"/>
        <v>458.68047605145068</v>
      </c>
      <c r="AD108" s="19" t="str">
        <f t="shared" si="28"/>
        <v/>
      </c>
      <c r="AE108" s="19" t="str">
        <f t="shared" si="29"/>
        <v/>
      </c>
      <c r="AF108" s="19" t="str">
        <f>IF(ISERROR(IF('Hidrograma afluente'!I115="",0,'Hidrograma afluente'!I115)+Simulação!G108),"",IF('Hidrograma afluente'!I115="",0,'Hidrograma afluente'!I115)+Simulação!G108)</f>
        <v/>
      </c>
      <c r="AG108" s="17">
        <v>0.3758031585929581</v>
      </c>
      <c r="AH108" s="17">
        <v>0.34387738509683924</v>
      </c>
      <c r="AI108" s="27">
        <v>6</v>
      </c>
      <c r="AJ108" s="17">
        <v>5.25</v>
      </c>
      <c r="AK108" s="19" t="str">
        <f>IF(A108="","",IF('Hidrograma afluente'!I115="",0,'Hidrograma afluente'!I115)+Simulação!B108)</f>
        <v/>
      </c>
    </row>
    <row r="109" spans="1:37" s="17" customFormat="1">
      <c r="A109" s="4" t="str">
        <f t="shared" si="19"/>
        <v/>
      </c>
      <c r="B109" s="5" t="str">
        <f>IF(A109="","",IF(A109&gt;tc_lot_i+tc,0,IF('Hidrograma afluente'!B116="","",'Hidrograma afluente'!B116)))</f>
        <v/>
      </c>
      <c r="C109" s="21" t="str">
        <f t="shared" si="20"/>
        <v/>
      </c>
      <c r="D109" s="21" t="str">
        <f t="shared" si="21"/>
        <v/>
      </c>
      <c r="E109" s="21" t="str">
        <f t="shared" si="22"/>
        <v/>
      </c>
      <c r="F109" s="21" t="str">
        <f t="shared" si="23"/>
        <v/>
      </c>
      <c r="G109" s="21" t="str">
        <f t="shared" si="24"/>
        <v/>
      </c>
      <c r="H109" s="23" t="str">
        <f t="shared" si="30"/>
        <v/>
      </c>
      <c r="I109" s="22" t="str">
        <f t="shared" si="25"/>
        <v/>
      </c>
      <c r="J109" s="1"/>
      <c r="K109" s="51"/>
      <c r="M109" s="81">
        <f t="shared" ca="1" si="16"/>
        <v>475.92188946448624</v>
      </c>
      <c r="N109" s="19">
        <f t="shared" si="26"/>
        <v>13.90512076541185</v>
      </c>
      <c r="O109" s="17">
        <f t="shared" si="27"/>
        <v>27</v>
      </c>
      <c r="P109" s="19">
        <f ca="1">IF(ISERROR(IF(O109&lt;fi_h/20,0,(OFFSET('Base de dados'!$A$5,IF(O109&lt;20,1,IF(O109&gt;1000,10,MATCH(O109,Cargas,1))),Coluna_fih,1,1))*(1+0.13*0.25)*(PI()*(fi_h/1000)^2/4)*SQRT(2*9.81*(O109/100-fi_h/2/1000))*1000)),"",IF(O109&lt;fi_h/20,0,(OFFSET('Base de dados'!$A$5,IF(O109&lt;20,1,IF(O109&gt;1000,10,MATCH(O109,Cargas,1))),Coluna_fih,1,1))*(PI()*(fi_h/1000)^2/4)*SQRT(2*9.81*(O109/100-fi_h/2/1000))*1000))</f>
        <v>12.417863950757939</v>
      </c>
      <c r="Q109" s="19">
        <f ca="1">IF(O109="","",IF(Tipo_Vertedor="Retangular",IF(O109&lt;=cota_s*100,0,IF(Tipo_Vertedor="Retangular",Cd_sr*Lef_sr*((O109/100-cota_s)^(3/2))*1000)),IF(O109&lt;=cota_s*100+fi_s/20,0,(OFFSET('Base de dados'!$A$4,IF(O109&lt;20,1,IF(O109&gt;1000,10,MATCH(O109,Cargas,1))),Coluna_fis,1,1))*(PI()*(fi_s/1000)^2/4)*(2*9.81*(O109/100-cota_s-fi_s/2/1000))^0.5*1000)))</f>
        <v>0</v>
      </c>
      <c r="R109" s="19">
        <f t="shared" ca="1" si="17"/>
        <v>12.417863950757939</v>
      </c>
      <c r="S109" s="19">
        <f t="shared" ca="1" si="18"/>
        <v>463.50402551372832</v>
      </c>
      <c r="AD109" s="19" t="str">
        <f t="shared" si="28"/>
        <v/>
      </c>
      <c r="AE109" s="19" t="str">
        <f t="shared" si="29"/>
        <v/>
      </c>
      <c r="AF109" s="19" t="str">
        <f>IF(ISERROR(IF('Hidrograma afluente'!I116="",0,'Hidrograma afluente'!I116)+Simulação!G109),"",IF('Hidrograma afluente'!I116="",0,'Hidrograma afluente'!I116)+Simulação!G109)</f>
        <v/>
      </c>
      <c r="AG109" s="17">
        <v>0.34387738509683924</v>
      </c>
      <c r="AH109" s="17">
        <v>0.3086669693271954</v>
      </c>
      <c r="AI109" s="27">
        <v>5.25</v>
      </c>
      <c r="AJ109" s="17">
        <v>4.5</v>
      </c>
      <c r="AK109" s="19" t="str">
        <f>IF(A109="","",IF('Hidrograma afluente'!I116="",0,'Hidrograma afluente'!I116)+Simulação!B109)</f>
        <v/>
      </c>
    </row>
    <row r="110" spans="1:37" s="17" customFormat="1">
      <c r="A110" s="4" t="str">
        <f t="shared" si="19"/>
        <v/>
      </c>
      <c r="B110" s="5" t="str">
        <f>IF(A110="","",IF(A110&gt;tc_lot_i+tc,0,IF('Hidrograma afluente'!B117="","",'Hidrograma afluente'!B117)))</f>
        <v/>
      </c>
      <c r="C110" s="21" t="str">
        <f t="shared" si="20"/>
        <v/>
      </c>
      <c r="D110" s="21" t="str">
        <f t="shared" si="21"/>
        <v/>
      </c>
      <c r="E110" s="21" t="str">
        <f t="shared" si="22"/>
        <v/>
      </c>
      <c r="F110" s="21" t="str">
        <f t="shared" si="23"/>
        <v/>
      </c>
      <c r="G110" s="21" t="str">
        <f t="shared" si="24"/>
        <v/>
      </c>
      <c r="H110" s="23" t="str">
        <f t="shared" si="30"/>
        <v/>
      </c>
      <c r="I110" s="22" t="str">
        <f t="shared" si="25"/>
        <v/>
      </c>
      <c r="J110" s="1"/>
      <c r="K110" s="51"/>
      <c r="M110" s="81">
        <f t="shared" ca="1" si="16"/>
        <v>480.82346470095803</v>
      </c>
      <c r="N110" s="19">
        <f t="shared" si="26"/>
        <v>14.049994261972154</v>
      </c>
      <c r="O110" s="17">
        <f t="shared" si="27"/>
        <v>27.25</v>
      </c>
      <c r="P110" s="19">
        <f ca="1">IF(ISERROR(IF(O110&lt;fi_h/20,0,(OFFSET('Base de dados'!$A$5,IF(O110&lt;20,1,IF(O110&gt;1000,10,MATCH(O110,Cargas,1))),Coluna_fih,1,1))*(1+0.13*0.25)*(PI()*(fi_h/1000)^2/4)*SQRT(2*9.81*(O110/100-fi_h/2/1000))*1000)),"",IF(O110&lt;fi_h/20,0,(OFFSET('Base de dados'!$A$5,IF(O110&lt;20,1,IF(O110&gt;1000,10,MATCH(O110,Cargas,1))),Coluna_fih,1,1))*(PI()*(fi_h/1000)^2/4)*SQRT(2*9.81*(O110/100-fi_h/2/1000))*1000))</f>
        <v>12.49032263521957</v>
      </c>
      <c r="Q110" s="19">
        <f ca="1">IF(O110="","",IF(Tipo_Vertedor="Retangular",IF(O110&lt;=cota_s*100,0,IF(Tipo_Vertedor="Retangular",Cd_sr*Lef_sr*((O110/100-cota_s)^(3/2))*1000)),IF(O110&lt;=cota_s*100+fi_s/20,0,(OFFSET('Base de dados'!$A$4,IF(O110&lt;20,1,IF(O110&gt;1000,10,MATCH(O110,Cargas,1))),Coluna_fis,1,1))*(PI()*(fi_s/1000)^2/4)*(2*9.81*(O110/100-cota_s-fi_s/2/1000))^0.5*1000)))</f>
        <v>0</v>
      </c>
      <c r="R110" s="19">
        <f t="shared" ca="1" si="17"/>
        <v>12.49032263521957</v>
      </c>
      <c r="S110" s="19">
        <f t="shared" ca="1" si="18"/>
        <v>468.33314206573846</v>
      </c>
      <c r="AD110" s="19" t="str">
        <f t="shared" si="28"/>
        <v/>
      </c>
      <c r="AE110" s="19" t="str">
        <f t="shared" si="29"/>
        <v/>
      </c>
      <c r="AF110" s="19" t="str">
        <f>IF(ISERROR(IF('Hidrograma afluente'!I117="",0,'Hidrograma afluente'!I117)+Simulação!G110),"",IF('Hidrograma afluente'!I117="",0,'Hidrograma afluente'!I117)+Simulação!G110)</f>
        <v/>
      </c>
      <c r="AG110" s="17">
        <v>0.3086669693271954</v>
      </c>
      <c r="AH110" s="17">
        <v>0.282767971905176</v>
      </c>
      <c r="AI110" s="27">
        <v>4.5</v>
      </c>
      <c r="AJ110" s="17">
        <v>4</v>
      </c>
      <c r="AK110" s="19" t="str">
        <f>IF(A110="","",IF('Hidrograma afluente'!I117="",0,'Hidrograma afluente'!I117)+Simulação!B110)</f>
        <v/>
      </c>
    </row>
    <row r="111" spans="1:37" s="17" customFormat="1">
      <c r="A111" s="4" t="str">
        <f t="shared" si="19"/>
        <v/>
      </c>
      <c r="B111" s="5" t="str">
        <f>IF(A111="","",IF(A111&gt;tc_lot_i+tc,0,IF('Hidrograma afluente'!B118="","",'Hidrograma afluente'!B118)))</f>
        <v/>
      </c>
      <c r="C111" s="21" t="str">
        <f t="shared" si="20"/>
        <v/>
      </c>
      <c r="D111" s="21" t="str">
        <f t="shared" si="21"/>
        <v/>
      </c>
      <c r="E111" s="21" t="str">
        <f t="shared" si="22"/>
        <v/>
      </c>
      <c r="F111" s="21" t="str">
        <f t="shared" si="23"/>
        <v/>
      </c>
      <c r="G111" s="21" t="str">
        <f t="shared" si="24"/>
        <v/>
      </c>
      <c r="H111" s="23" t="str">
        <f t="shared" si="30"/>
        <v/>
      </c>
      <c r="I111" s="22" t="str">
        <f t="shared" si="25"/>
        <v/>
      </c>
      <c r="J111" s="1"/>
      <c r="K111" s="51"/>
      <c r="M111" s="81">
        <f t="shared" ca="1" si="16"/>
        <v>485.73014435985181</v>
      </c>
      <c r="N111" s="19">
        <f t="shared" si="26"/>
        <v>14.195033429069511</v>
      </c>
      <c r="O111" s="17">
        <f t="shared" si="27"/>
        <v>27.5</v>
      </c>
      <c r="P111" s="19">
        <f ca="1">IF(ISERROR(IF(O111&lt;fi_h/20,0,(OFFSET('Base de dados'!$A$5,IF(O111&lt;20,1,IF(O111&gt;1000,10,MATCH(O111,Cargas,1))),Coluna_fih,1,1))*(1+0.13*0.25)*(PI()*(fi_h/1000)^2/4)*SQRT(2*9.81*(O111/100-fi_h/2/1000))*1000)),"",IF(O111&lt;fi_h/20,0,(OFFSET('Base de dados'!$A$5,IF(O111&lt;20,1,IF(O111&gt;1000,10,MATCH(O111,Cargas,1))),Coluna_fih,1,1))*(PI()*(fi_h/1000)^2/4)*SQRT(2*9.81*(O111/100-fi_h/2/1000))*1000))</f>
        <v>12.562363390868098</v>
      </c>
      <c r="Q111" s="19">
        <f ca="1">IF(O111="","",IF(Tipo_Vertedor="Retangular",IF(O111&lt;=cota_s*100,0,IF(Tipo_Vertedor="Retangular",Cd_sr*Lef_sr*((O111/100-cota_s)^(3/2))*1000)),IF(O111&lt;=cota_s*100+fi_s/20,0,(OFFSET('Base de dados'!$A$4,IF(O111&lt;20,1,IF(O111&gt;1000,10,MATCH(O111,Cargas,1))),Coluna_fis,1,1))*(PI()*(fi_s/1000)^2/4)*(2*9.81*(O111/100-cota_s-fi_s/2/1000))^0.5*1000)))</f>
        <v>0</v>
      </c>
      <c r="R111" s="19">
        <f t="shared" ca="1" si="17"/>
        <v>12.562363390868098</v>
      </c>
      <c r="S111" s="19">
        <f t="shared" ca="1" si="18"/>
        <v>473.16778096898372</v>
      </c>
      <c r="AD111" s="19" t="str">
        <f t="shared" si="28"/>
        <v/>
      </c>
      <c r="AE111" s="19" t="str">
        <f t="shared" si="29"/>
        <v/>
      </c>
      <c r="AF111" s="19" t="str">
        <f>IF(ISERROR(IF('Hidrograma afluente'!I118="",0,'Hidrograma afluente'!I118)+Simulação!G111),"",IF('Hidrograma afluente'!I118="",0,'Hidrograma afluente'!I118)+Simulação!G111)</f>
        <v/>
      </c>
      <c r="AG111" s="17">
        <v>0.282767971905176</v>
      </c>
      <c r="AH111" s="17">
        <v>0.25424428000861093</v>
      </c>
      <c r="AI111" s="27">
        <v>4</v>
      </c>
      <c r="AJ111" s="17">
        <v>3.5</v>
      </c>
      <c r="AK111" s="19" t="str">
        <f>IF(A111="","",IF('Hidrograma afluente'!I118="",0,'Hidrograma afluente'!I118)+Simulação!B111)</f>
        <v/>
      </c>
    </row>
    <row r="112" spans="1:37" s="17" customFormat="1">
      <c r="A112" s="4" t="str">
        <f t="shared" si="19"/>
        <v/>
      </c>
      <c r="B112" s="5" t="str">
        <f>IF(A112="","",IF(A112&gt;tc_lot_i+tc,0,IF('Hidrograma afluente'!B119="","",'Hidrograma afluente'!B119)))</f>
        <v/>
      </c>
      <c r="C112" s="21" t="str">
        <f t="shared" si="20"/>
        <v/>
      </c>
      <c r="D112" s="21" t="str">
        <f t="shared" si="21"/>
        <v/>
      </c>
      <c r="E112" s="21" t="str">
        <f t="shared" si="22"/>
        <v/>
      </c>
      <c r="F112" s="21" t="str">
        <f t="shared" si="23"/>
        <v/>
      </c>
      <c r="G112" s="21" t="str">
        <f t="shared" si="24"/>
        <v/>
      </c>
      <c r="H112" s="23" t="str">
        <f t="shared" si="30"/>
        <v/>
      </c>
      <c r="I112" s="22" t="str">
        <f t="shared" si="25"/>
        <v/>
      </c>
      <c r="J112" s="1"/>
      <c r="K112" s="51"/>
      <c r="M112" s="81">
        <f t="shared" ca="1" si="16"/>
        <v>490.64189161515895</v>
      </c>
      <c r="N112" s="19">
        <f t="shared" si="26"/>
        <v>14.340236947445756</v>
      </c>
      <c r="O112" s="17">
        <f t="shared" si="27"/>
        <v>27.75</v>
      </c>
      <c r="P112" s="19">
        <f ca="1">IF(ISERROR(IF(O112&lt;fi_h/20,0,(OFFSET('Base de dados'!$A$5,IF(O112&lt;20,1,IF(O112&gt;1000,10,MATCH(O112,Cargas,1))),Coluna_fih,1,1))*(1+0.13*0.25)*(PI()*(fi_h/1000)^2/4)*SQRT(2*9.81*(O112/100-fi_h/2/1000))*1000)),"",IF(O112&lt;fi_h/20,0,(OFFSET('Base de dados'!$A$5,IF(O112&lt;20,1,IF(O112&gt;1000,10,MATCH(O112,Cargas,1))),Coluna_fih,1,1))*(PI()*(fi_h/1000)^2/4)*SQRT(2*9.81*(O112/100-fi_h/2/1000))*1000))</f>
        <v>12.633993366967061</v>
      </c>
      <c r="Q112" s="19">
        <f ca="1">IF(O112="","",IF(Tipo_Vertedor="Retangular",IF(O112&lt;=cota_s*100,0,IF(Tipo_Vertedor="Retangular",Cd_sr*Lef_sr*((O112/100-cota_s)^(3/2))*1000)),IF(O112&lt;=cota_s*100+fi_s/20,0,(OFFSET('Base de dados'!$A$4,IF(O112&lt;20,1,IF(O112&gt;1000,10,MATCH(O112,Cargas,1))),Coluna_fis,1,1))*(PI()*(fi_s/1000)^2/4)*(2*9.81*(O112/100-cota_s-fi_s/2/1000))^0.5*1000)))</f>
        <v>0</v>
      </c>
      <c r="R112" s="19">
        <f t="shared" ca="1" si="17"/>
        <v>12.633993366967061</v>
      </c>
      <c r="S112" s="19">
        <f t="shared" ca="1" si="18"/>
        <v>478.00789824819191</v>
      </c>
      <c r="AD112" s="19" t="str">
        <f t="shared" si="28"/>
        <v/>
      </c>
      <c r="AE112" s="19" t="str">
        <f t="shared" si="29"/>
        <v/>
      </c>
      <c r="AF112" s="19" t="str">
        <f>IF(ISERROR(IF('Hidrograma afluente'!I119="",0,'Hidrograma afluente'!I119)+Simulação!G112),"",IF('Hidrograma afluente'!I119="",0,'Hidrograma afluente'!I119)+Simulação!G112)</f>
        <v/>
      </c>
      <c r="AG112" s="17">
        <v>0.25424428000861093</v>
      </c>
      <c r="AH112" s="17">
        <v>0.22208687916855316</v>
      </c>
      <c r="AI112" s="27">
        <v>3.5</v>
      </c>
      <c r="AJ112" s="17">
        <v>3</v>
      </c>
      <c r="AK112" s="19" t="str">
        <f>IF(A112="","",IF('Hidrograma afluente'!I119="",0,'Hidrograma afluente'!I119)+Simulação!B112)</f>
        <v/>
      </c>
    </row>
    <row r="113" spans="1:37" s="17" customFormat="1">
      <c r="A113" s="4" t="str">
        <f t="shared" si="19"/>
        <v/>
      </c>
      <c r="B113" s="5" t="str">
        <f>IF(A113="","",IF(A113&gt;tc_lot_i+tc,0,IF('Hidrograma afluente'!B120="","",'Hidrograma afluente'!B120)))</f>
        <v/>
      </c>
      <c r="C113" s="21" t="str">
        <f t="shared" si="20"/>
        <v/>
      </c>
      <c r="D113" s="21" t="str">
        <f t="shared" si="21"/>
        <v/>
      </c>
      <c r="E113" s="21" t="str">
        <f t="shared" si="22"/>
        <v/>
      </c>
      <c r="F113" s="21" t="str">
        <f t="shared" si="23"/>
        <v/>
      </c>
      <c r="G113" s="21" t="str">
        <f t="shared" si="24"/>
        <v/>
      </c>
      <c r="H113" s="23" t="str">
        <f t="shared" si="30"/>
        <v/>
      </c>
      <c r="I113" s="22" t="str">
        <f t="shared" si="25"/>
        <v/>
      </c>
      <c r="J113" s="1"/>
      <c r="K113" s="51"/>
      <c r="M113" s="81">
        <f t="shared" ca="1" si="16"/>
        <v>495.5586701827782</v>
      </c>
      <c r="N113" s="19">
        <f t="shared" si="26"/>
        <v>14.485603520146007</v>
      </c>
      <c r="O113" s="17">
        <f t="shared" si="27"/>
        <v>28</v>
      </c>
      <c r="P113" s="19">
        <f ca="1">IF(ISERROR(IF(O113&lt;fi_h/20,0,(OFFSET('Base de dados'!$A$5,IF(O113&lt;20,1,IF(O113&gt;1000,10,MATCH(O113,Cargas,1))),Coluna_fih,1,1))*(1+0.13*0.25)*(PI()*(fi_h/1000)^2/4)*SQRT(2*9.81*(O113/100-fi_h/2/1000))*1000)),"",IF(O113&lt;fi_h/20,0,(OFFSET('Base de dados'!$A$5,IF(O113&lt;20,1,IF(O113&gt;1000,10,MATCH(O113,Cargas,1))),Coluna_fih,1,1))*(PI()*(fi_h/1000)^2/4)*SQRT(2*9.81*(O113/100-fi_h/2/1000))*1000))</f>
        <v>12.705219511244678</v>
      </c>
      <c r="Q113" s="19">
        <f ca="1">IF(O113="","",IF(Tipo_Vertedor="Retangular",IF(O113&lt;=cota_s*100,0,IF(Tipo_Vertedor="Retangular",Cd_sr*Lef_sr*((O113/100-cota_s)^(3/2))*1000)),IF(O113&lt;=cota_s*100+fi_s/20,0,(OFFSET('Base de dados'!$A$4,IF(O113&lt;20,1,IF(O113&gt;1000,10,MATCH(O113,Cargas,1))),Coluna_fis,1,1))*(PI()*(fi_s/1000)^2/4)*(2*9.81*(O113/100-cota_s-fi_s/2/1000))^0.5*1000)))</f>
        <v>0</v>
      </c>
      <c r="R113" s="19">
        <f t="shared" ca="1" si="17"/>
        <v>12.705219511244678</v>
      </c>
      <c r="S113" s="19">
        <f t="shared" ca="1" si="18"/>
        <v>482.85345067153355</v>
      </c>
      <c r="AD113" s="19" t="str">
        <f t="shared" si="28"/>
        <v/>
      </c>
      <c r="AE113" s="19" t="str">
        <f t="shared" si="29"/>
        <v/>
      </c>
      <c r="AF113" s="19" t="str">
        <f>IF(ISERROR(IF('Hidrograma afluente'!I120="",0,'Hidrograma afluente'!I120)+Simulação!G113),"",IF('Hidrograma afluente'!I120="",0,'Hidrograma afluente'!I120)+Simulação!G113)</f>
        <v/>
      </c>
      <c r="AG113" s="17">
        <v>0.22208687916855316</v>
      </c>
      <c r="AH113" s="17">
        <v>0.18440447359149972</v>
      </c>
      <c r="AI113" s="27">
        <v>3</v>
      </c>
      <c r="AJ113" s="17">
        <v>2.5</v>
      </c>
      <c r="AK113" s="19" t="str">
        <f>IF(A113="","",IF('Hidrograma afluente'!I120="",0,'Hidrograma afluente'!I120)+Simulação!B113)</f>
        <v/>
      </c>
    </row>
    <row r="114" spans="1:37" s="17" customFormat="1">
      <c r="A114" s="4" t="str">
        <f t="shared" si="19"/>
        <v/>
      </c>
      <c r="B114" s="5" t="str">
        <f>IF(A114="","",IF(A114&gt;tc_lot_i+tc,0,IF('Hidrograma afluente'!B121="","",'Hidrograma afluente'!B121)))</f>
        <v/>
      </c>
      <c r="C114" s="21" t="str">
        <f t="shared" si="20"/>
        <v/>
      </c>
      <c r="D114" s="21" t="str">
        <f t="shared" si="21"/>
        <v/>
      </c>
      <c r="E114" s="21" t="str">
        <f t="shared" si="22"/>
        <v/>
      </c>
      <c r="F114" s="21" t="str">
        <f t="shared" si="23"/>
        <v/>
      </c>
      <c r="G114" s="21" t="str">
        <f t="shared" si="24"/>
        <v/>
      </c>
      <c r="H114" s="23" t="str">
        <f t="shared" si="30"/>
        <v/>
      </c>
      <c r="I114" s="22" t="str">
        <f t="shared" si="25"/>
        <v/>
      </c>
      <c r="J114" s="1"/>
      <c r="K114" s="51"/>
      <c r="M114" s="81">
        <f t="shared" ca="1" si="16"/>
        <v>500.48044430928201</v>
      </c>
      <c r="N114" s="19">
        <f t="shared" si="26"/>
        <v>14.631131871945692</v>
      </c>
      <c r="O114" s="17">
        <f t="shared" si="27"/>
        <v>28.25</v>
      </c>
      <c r="P114" s="19">
        <f ca="1">IF(ISERROR(IF(O114&lt;fi_h/20,0,(OFFSET('Base de dados'!$A$5,IF(O114&lt;20,1,IF(O114&gt;1000,10,MATCH(O114,Cargas,1))),Coluna_fih,1,1))*(1+0.13*0.25)*(PI()*(fi_h/1000)^2/4)*SQRT(2*9.81*(O114/100-fi_h/2/1000))*1000)),"",IF(O114&lt;fi_h/20,0,(OFFSET('Base de dados'!$A$5,IF(O114&lt;20,1,IF(O114&gt;1000,10,MATCH(O114,Cargas,1))),Coluna_fih,1,1))*(PI()*(fi_h/1000)^2/4)*SQRT(2*9.81*(O114/100-fi_h/2/1000))*1000))</f>
        <v>12.776048577758978</v>
      </c>
      <c r="Q114" s="19">
        <f ca="1">IF(O114="","",IF(Tipo_Vertedor="Retangular",IF(O114&lt;=cota_s*100,0,IF(Tipo_Vertedor="Retangular",Cd_sr*Lef_sr*((O114/100-cota_s)^(3/2))*1000)),IF(O114&lt;=cota_s*100+fi_s/20,0,(OFFSET('Base de dados'!$A$4,IF(O114&lt;20,1,IF(O114&gt;1000,10,MATCH(O114,Cargas,1))),Coluna_fis,1,1))*(PI()*(fi_s/1000)^2/4)*(2*9.81*(O114/100-cota_s-fi_s/2/1000))^0.5*1000)))</f>
        <v>0</v>
      </c>
      <c r="R114" s="19">
        <f t="shared" ca="1" si="17"/>
        <v>12.776048577758978</v>
      </c>
      <c r="S114" s="19">
        <f t="shared" ca="1" si="18"/>
        <v>487.70439573152305</v>
      </c>
      <c r="AD114" s="19" t="str">
        <f t="shared" si="28"/>
        <v/>
      </c>
      <c r="AE114" s="19" t="str">
        <f t="shared" si="29"/>
        <v/>
      </c>
      <c r="AF114" s="19" t="str">
        <f>IF(ISERROR(IF('Hidrograma afluente'!I121="",0,'Hidrograma afluente'!I121)+Simulação!G114),"",IF('Hidrograma afluente'!I121="",0,'Hidrograma afluente'!I121)+Simulação!G114)</f>
        <v/>
      </c>
      <c r="AG114" s="17">
        <v>0.18440447359149972</v>
      </c>
      <c r="AH114" s="17">
        <v>0.1367020038707871</v>
      </c>
      <c r="AI114" s="27">
        <v>2.5</v>
      </c>
      <c r="AJ114" s="17">
        <v>2</v>
      </c>
      <c r="AK114" s="19" t="str">
        <f>IF(A114="","",IF('Hidrograma afluente'!I121="",0,'Hidrograma afluente'!I121)+Simulação!B114)</f>
        <v/>
      </c>
    </row>
    <row r="115" spans="1:37" s="17" customFormat="1">
      <c r="A115" s="4" t="str">
        <f t="shared" si="19"/>
        <v/>
      </c>
      <c r="B115" s="5" t="str">
        <f>IF(A115="","",IF(A115&gt;tc_lot_i+tc,0,IF('Hidrograma afluente'!B122="","",'Hidrograma afluente'!B122)))</f>
        <v/>
      </c>
      <c r="C115" s="21" t="str">
        <f t="shared" si="20"/>
        <v/>
      </c>
      <c r="D115" s="21" t="str">
        <f t="shared" si="21"/>
        <v/>
      </c>
      <c r="E115" s="21" t="str">
        <f t="shared" si="22"/>
        <v/>
      </c>
      <c r="F115" s="21" t="str">
        <f t="shared" si="23"/>
        <v/>
      </c>
      <c r="G115" s="21" t="str">
        <f t="shared" si="24"/>
        <v/>
      </c>
      <c r="H115" s="23" t="str">
        <f t="shared" si="30"/>
        <v/>
      </c>
      <c r="I115" s="22" t="str">
        <f t="shared" si="25"/>
        <v/>
      </c>
      <c r="J115" s="1"/>
      <c r="K115" s="51"/>
      <c r="M115" s="81">
        <f t="shared" ca="1" si="16"/>
        <v>505.40717876094834</v>
      </c>
      <c r="N115" s="19">
        <f t="shared" si="26"/>
        <v>14.77682074879727</v>
      </c>
      <c r="O115" s="17">
        <f t="shared" si="27"/>
        <v>28.5</v>
      </c>
      <c r="P115" s="19">
        <f ca="1">IF(ISERROR(IF(O115&lt;fi_h/20,0,(OFFSET('Base de dados'!$A$5,IF(O115&lt;20,1,IF(O115&gt;1000,10,MATCH(O115,Cargas,1))),Coluna_fih,1,1))*(1+0.13*0.25)*(PI()*(fi_h/1000)^2/4)*SQRT(2*9.81*(O115/100-fi_h/2/1000))*1000)),"",IF(O115&lt;fi_h/20,0,(OFFSET('Base de dados'!$A$5,IF(O115&lt;20,1,IF(O115&gt;1000,10,MATCH(O115,Cargas,1))),Coluna_fih,1,1))*(PI()*(fi_h/1000)^2/4)*SQRT(2*9.81*(O115/100-fi_h/2/1000))*1000))</f>
        <v>12.846487134372644</v>
      </c>
      <c r="Q115" s="19">
        <f ca="1">IF(O115="","",IF(Tipo_Vertedor="Retangular",IF(O115&lt;=cota_s*100,0,IF(Tipo_Vertedor="Retangular",Cd_sr*Lef_sr*((O115/100-cota_s)^(3/2))*1000)),IF(O115&lt;=cota_s*100+fi_s/20,0,(OFFSET('Base de dados'!$A$4,IF(O115&lt;20,1,IF(O115&gt;1000,10,MATCH(O115,Cargas,1))),Coluna_fis,1,1))*(PI()*(fi_s/1000)^2/4)*(2*9.81*(O115/100-cota_s-fi_s/2/1000))^0.5*1000)))</f>
        <v>0</v>
      </c>
      <c r="R115" s="19">
        <f t="shared" ca="1" si="17"/>
        <v>12.846487134372644</v>
      </c>
      <c r="S115" s="19">
        <f t="shared" ca="1" si="18"/>
        <v>492.5606916265757</v>
      </c>
      <c r="AD115" s="19" t="str">
        <f t="shared" si="28"/>
        <v/>
      </c>
      <c r="AE115" s="19" t="str">
        <f t="shared" si="29"/>
        <v/>
      </c>
      <c r="AF115" s="19" t="str">
        <f>IF(ISERROR(IF('Hidrograma afluente'!I122="",0,'Hidrograma afluente'!I122)+Simulação!G115),"",IF('Hidrograma afluente'!I122="",0,'Hidrograma afluente'!I122)+Simulação!G115)</f>
        <v/>
      </c>
      <c r="AG115" s="17">
        <v>0.1367020038707871</v>
      </c>
      <c r="AH115" s="17">
        <v>0.10501738833714151</v>
      </c>
      <c r="AI115" s="27">
        <v>2</v>
      </c>
      <c r="AJ115" s="17">
        <v>1.75</v>
      </c>
      <c r="AK115" s="19" t="str">
        <f>IF(A115="","",IF('Hidrograma afluente'!I122="",0,'Hidrograma afluente'!I122)+Simulação!B115)</f>
        <v/>
      </c>
    </row>
    <row r="116" spans="1:37" s="17" customFormat="1">
      <c r="A116" s="4" t="str">
        <f t="shared" si="19"/>
        <v/>
      </c>
      <c r="B116" s="5" t="str">
        <f>IF(A116="","",IF(A116&gt;tc_lot_i+tc,0,IF('Hidrograma afluente'!B123="","",'Hidrograma afluente'!B123)))</f>
        <v/>
      </c>
      <c r="C116" s="21" t="str">
        <f t="shared" si="20"/>
        <v/>
      </c>
      <c r="D116" s="21" t="str">
        <f t="shared" si="21"/>
        <v/>
      </c>
      <c r="E116" s="21" t="str">
        <f t="shared" si="22"/>
        <v/>
      </c>
      <c r="F116" s="21" t="str">
        <f t="shared" si="23"/>
        <v/>
      </c>
      <c r="G116" s="21" t="str">
        <f t="shared" si="24"/>
        <v/>
      </c>
      <c r="H116" s="23" t="str">
        <f t="shared" si="30"/>
        <v/>
      </c>
      <c r="I116" s="22" t="str">
        <f t="shared" si="25"/>
        <v/>
      </c>
      <c r="J116" s="1"/>
      <c r="K116" s="51"/>
      <c r="M116" s="81">
        <f t="shared" ca="1" si="16"/>
        <v>510.33883881305303</v>
      </c>
      <c r="N116" s="19">
        <f t="shared" si="26"/>
        <v>14.922668917295763</v>
      </c>
      <c r="O116" s="17">
        <f t="shared" si="27"/>
        <v>28.75</v>
      </c>
      <c r="P116" s="19">
        <f ca="1">IF(ISERROR(IF(O116&lt;fi_h/20,0,(OFFSET('Base de dados'!$A$5,IF(O116&lt;20,1,IF(O116&gt;1000,10,MATCH(O116,Cargas,1))),Coluna_fih,1,1))*(1+0.13*0.25)*(PI()*(fi_h/1000)^2/4)*SQRT(2*9.81*(O116/100-fi_h/2/1000))*1000)),"",IF(O116&lt;fi_h/20,0,(OFFSET('Base de dados'!$A$5,IF(O116&lt;20,1,IF(O116&gt;1000,10,MATCH(O116,Cargas,1))),Coluna_fih,1,1))*(PI()*(fi_h/1000)^2/4)*SQRT(2*9.81*(O116/100-fi_h/2/1000))*1000))</f>
        <v>12.916541569860977</v>
      </c>
      <c r="Q116" s="19">
        <f ca="1">IF(O116="","",IF(Tipo_Vertedor="Retangular",IF(O116&lt;=cota_s*100,0,IF(Tipo_Vertedor="Retangular",Cd_sr*Lef_sr*((O116/100-cota_s)^(3/2))*1000)),IF(O116&lt;=cota_s*100+fi_s/20,0,(OFFSET('Base de dados'!$A$4,IF(O116&lt;20,1,IF(O116&gt;1000,10,MATCH(O116,Cargas,1))),Coluna_fis,1,1))*(PI()*(fi_s/1000)^2/4)*(2*9.81*(O116/100-cota_s-fi_s/2/1000))^0.5*1000)))</f>
        <v>0</v>
      </c>
      <c r="R116" s="19">
        <f t="shared" ca="1" si="17"/>
        <v>12.916541569860977</v>
      </c>
      <c r="S116" s="19">
        <f t="shared" ca="1" si="18"/>
        <v>497.42229724319208</v>
      </c>
      <c r="AD116" s="19" t="str">
        <f t="shared" si="28"/>
        <v/>
      </c>
      <c r="AE116" s="19" t="str">
        <f t="shared" si="29"/>
        <v/>
      </c>
      <c r="AF116" s="19" t="str">
        <f>IF(ISERROR(IF('Hidrograma afluente'!I123="",0,'Hidrograma afluente'!I123)+Simulação!G116),"",IF('Hidrograma afluente'!I123="",0,'Hidrograma afluente'!I123)+Simulação!G116)</f>
        <v/>
      </c>
      <c r="AG116" s="17">
        <v>0.10501738833714151</v>
      </c>
      <c r="AH116" s="17">
        <v>5.8050545596223892E-2</v>
      </c>
      <c r="AI116" s="27">
        <v>1.75</v>
      </c>
      <c r="AJ116" s="17">
        <v>1.5</v>
      </c>
      <c r="AK116" s="19" t="str">
        <f>IF(A116="","",IF('Hidrograma afluente'!I123="",0,'Hidrograma afluente'!I123)+Simulação!B116)</f>
        <v/>
      </c>
    </row>
    <row r="117" spans="1:37" s="17" customFormat="1">
      <c r="A117" s="4" t="str">
        <f t="shared" si="19"/>
        <v/>
      </c>
      <c r="B117" s="5" t="str">
        <f>IF(A117="","",IF(A117&gt;tc_lot_i+tc,0,IF('Hidrograma afluente'!B124="","",'Hidrograma afluente'!B124)))</f>
        <v/>
      </c>
      <c r="C117" s="21" t="str">
        <f t="shared" si="20"/>
        <v/>
      </c>
      <c r="D117" s="21" t="str">
        <f t="shared" si="21"/>
        <v/>
      </c>
      <c r="E117" s="21" t="str">
        <f t="shared" si="22"/>
        <v/>
      </c>
      <c r="F117" s="21" t="str">
        <f t="shared" si="23"/>
        <v/>
      </c>
      <c r="G117" s="21" t="str">
        <f t="shared" si="24"/>
        <v/>
      </c>
      <c r="H117" s="23" t="str">
        <f t="shared" si="30"/>
        <v/>
      </c>
      <c r="I117" s="22" t="str">
        <f t="shared" si="25"/>
        <v/>
      </c>
      <c r="J117" s="1"/>
      <c r="K117" s="51"/>
      <c r="M117" s="81">
        <f t="shared" ca="1" si="16"/>
        <v>515.27539023941767</v>
      </c>
      <c r="N117" s="19">
        <f t="shared" si="26"/>
        <v>15.068675164162286</v>
      </c>
      <c r="O117" s="17">
        <f t="shared" si="27"/>
        <v>29</v>
      </c>
      <c r="P117" s="19">
        <f ca="1">IF(ISERROR(IF(O117&lt;fi_h/20,0,(OFFSET('Base de dados'!$A$5,IF(O117&lt;20,1,IF(O117&gt;1000,10,MATCH(O117,Cargas,1))),Coluna_fih,1,1))*(1+0.13*0.25)*(PI()*(fi_h/1000)^2/4)*SQRT(2*9.81*(O117/100-fi_h/2/1000))*1000)),"",IF(O117&lt;fi_h/20,0,(OFFSET('Base de dados'!$A$5,IF(O117&lt;20,1,IF(O117&gt;1000,10,MATCH(O117,Cargas,1))),Coluna_fih,1,1))*(PI()*(fi_h/1000)^2/4)*SQRT(2*9.81*(O117/100-fi_h/2/1000))*1000))</f>
        <v>12.986218100674705</v>
      </c>
      <c r="Q117" s="19">
        <f ca="1">IF(O117="","",IF(Tipo_Vertedor="Retangular",IF(O117&lt;=cota_s*100,0,IF(Tipo_Vertedor="Retangular",Cd_sr*Lef_sr*((O117/100-cota_s)^(3/2))*1000)),IF(O117&lt;=cota_s*100+fi_s/20,0,(OFFSET('Base de dados'!$A$4,IF(O117&lt;20,1,IF(O117&gt;1000,10,MATCH(O117,Cargas,1))),Coluna_fis,1,1))*(PI()*(fi_s/1000)^2/4)*(2*9.81*(O117/100-cota_s-fi_s/2/1000))^0.5*1000)))</f>
        <v>0</v>
      </c>
      <c r="R117" s="19">
        <f t="shared" ca="1" si="17"/>
        <v>12.986218100674705</v>
      </c>
      <c r="S117" s="19">
        <f t="shared" ca="1" si="18"/>
        <v>502.28917213874291</v>
      </c>
      <c r="AD117" s="19" t="str">
        <f t="shared" si="28"/>
        <v/>
      </c>
      <c r="AE117" s="19" t="str">
        <f t="shared" si="29"/>
        <v/>
      </c>
      <c r="AF117" s="19" t="str">
        <f>IF(ISERROR(IF('Hidrograma afluente'!I124="",0,'Hidrograma afluente'!I124)+Simulação!G117),"",IF('Hidrograma afluente'!I124="",0,'Hidrograma afluente'!I124)+Simulação!G117)</f>
        <v/>
      </c>
      <c r="AG117" s="17">
        <v>5.8050545596223892E-2</v>
      </c>
      <c r="AH117" s="17">
        <v>0</v>
      </c>
      <c r="AI117" s="27">
        <v>1.5</v>
      </c>
      <c r="AJ117" s="17">
        <v>1.25</v>
      </c>
      <c r="AK117" s="19" t="str">
        <f>IF(A117="","",IF('Hidrograma afluente'!I124="",0,'Hidrograma afluente'!I124)+Simulação!B117)</f>
        <v/>
      </c>
    </row>
    <row r="118" spans="1:37" s="17" customFormat="1">
      <c r="A118" s="4" t="str">
        <f t="shared" si="19"/>
        <v/>
      </c>
      <c r="B118" s="5" t="str">
        <f>IF(A118="","",IF(A118&gt;tc_lot_i+tc,0,IF('Hidrograma afluente'!B125="","",'Hidrograma afluente'!B125)))</f>
        <v/>
      </c>
      <c r="C118" s="21" t="str">
        <f t="shared" si="20"/>
        <v/>
      </c>
      <c r="D118" s="21" t="str">
        <f t="shared" si="21"/>
        <v/>
      </c>
      <c r="E118" s="21" t="str">
        <f t="shared" si="22"/>
        <v/>
      </c>
      <c r="F118" s="21" t="str">
        <f t="shared" si="23"/>
        <v/>
      </c>
      <c r="G118" s="21" t="str">
        <f t="shared" si="24"/>
        <v/>
      </c>
      <c r="H118" s="23" t="str">
        <f t="shared" si="30"/>
        <v/>
      </c>
      <c r="I118" s="22" t="str">
        <f t="shared" si="25"/>
        <v/>
      </c>
      <c r="J118" s="1"/>
      <c r="K118" s="51"/>
      <c r="M118" s="81">
        <f t="shared" ca="1" si="16"/>
        <v>520.21679930220785</v>
      </c>
      <c r="N118" s="19">
        <f t="shared" si="26"/>
        <v>15.214838295744896</v>
      </c>
      <c r="O118" s="17">
        <f t="shared" si="27"/>
        <v>29.25</v>
      </c>
      <c r="P118" s="19">
        <f ca="1">IF(ISERROR(IF(O118&lt;fi_h/20,0,(OFFSET('Base de dados'!$A$5,IF(O118&lt;20,1,IF(O118&gt;1000,10,MATCH(O118,Cargas,1))),Coluna_fih,1,1))*(1+0.13*0.25)*(PI()*(fi_h/1000)^2/4)*SQRT(2*9.81*(O118/100-fi_h/2/1000))*1000)),"",IF(O118&lt;fi_h/20,0,(OFFSET('Base de dados'!$A$5,IF(O118&lt;20,1,IF(O118&gt;1000,10,MATCH(O118,Cargas,1))),Coluna_fih,1,1))*(PI()*(fi_h/1000)^2/4)*SQRT(2*9.81*(O118/100-fi_h/2/1000))*1000))</f>
        <v>13.055522777378014</v>
      </c>
      <c r="Q118" s="19">
        <f ca="1">IF(O118="","",IF(Tipo_Vertedor="Retangular",IF(O118&lt;=cota_s*100,0,IF(Tipo_Vertedor="Retangular",Cd_sr*Lef_sr*((O118/100-cota_s)^(3/2))*1000)),IF(O118&lt;=cota_s*100+fi_s/20,0,(OFFSET('Base de dados'!$A$4,IF(O118&lt;20,1,IF(O118&gt;1000,10,MATCH(O118,Cargas,1))),Coluna_fis,1,1))*(PI()*(fi_s/1000)^2/4)*(2*9.81*(O118/100-cota_s-fi_s/2/1000))^0.5*1000)))</f>
        <v>0</v>
      </c>
      <c r="R118" s="19">
        <f t="shared" ca="1" si="17"/>
        <v>13.055522777378014</v>
      </c>
      <c r="S118" s="19">
        <f t="shared" ca="1" si="18"/>
        <v>507.16127652482987</v>
      </c>
      <c r="AD118" s="19" t="str">
        <f t="shared" si="28"/>
        <v/>
      </c>
      <c r="AE118" s="19" t="str">
        <f t="shared" si="29"/>
        <v/>
      </c>
      <c r="AF118" s="19" t="str">
        <f>IF(ISERROR(IF('Hidrograma afluente'!I125="",0,'Hidrograma afluente'!I125)+Simulação!G118),"",IF('Hidrograma afluente'!I125="",0,'Hidrograma afluente'!I125)+Simulação!G118)</f>
        <v/>
      </c>
      <c r="AG118" s="17">
        <v>0</v>
      </c>
      <c r="AH118" s="17">
        <v>0</v>
      </c>
      <c r="AI118" s="27">
        <v>1.25</v>
      </c>
      <c r="AJ118" s="17">
        <v>1.25</v>
      </c>
      <c r="AK118" s="19" t="str">
        <f>IF(A118="","",IF('Hidrograma afluente'!I125="",0,'Hidrograma afluente'!I125)+Simulação!B118)</f>
        <v/>
      </c>
    </row>
    <row r="119" spans="1:37" s="17" customFormat="1">
      <c r="A119" s="4" t="str">
        <f t="shared" si="19"/>
        <v/>
      </c>
      <c r="B119" s="5" t="str">
        <f>IF(A119="","",IF(A119&gt;tc_lot_i+tc,0,IF('Hidrograma afluente'!B126="","",'Hidrograma afluente'!B126)))</f>
        <v/>
      </c>
      <c r="C119" s="21" t="str">
        <f t="shared" si="20"/>
        <v/>
      </c>
      <c r="D119" s="21" t="str">
        <f t="shared" si="21"/>
        <v/>
      </c>
      <c r="E119" s="21" t="str">
        <f t="shared" si="22"/>
        <v/>
      </c>
      <c r="F119" s="21" t="str">
        <f t="shared" si="23"/>
        <v/>
      </c>
      <c r="G119" s="21" t="str">
        <f t="shared" si="24"/>
        <v/>
      </c>
      <c r="H119" s="23" t="str">
        <f t="shared" si="30"/>
        <v/>
      </c>
      <c r="I119" s="22" t="str">
        <f t="shared" si="25"/>
        <v/>
      </c>
      <c r="J119" s="1"/>
      <c r="K119" s="51"/>
      <c r="M119" s="81">
        <f t="shared" ca="1" si="16"/>
        <v>525.16303274197844</v>
      </c>
      <c r="N119" s="19">
        <f t="shared" si="26"/>
        <v>15.361157137535939</v>
      </c>
      <c r="O119" s="17">
        <f t="shared" si="27"/>
        <v>29.5</v>
      </c>
      <c r="P119" s="19">
        <f ca="1">IF(ISERROR(IF(O119&lt;fi_h/20,0,(OFFSET('Base de dados'!$A$5,IF(O119&lt;20,1,IF(O119&gt;1000,10,MATCH(O119,Cargas,1))),Coluna_fih,1,1))*(1+0.13*0.25)*(PI()*(fi_h/1000)^2/4)*SQRT(2*9.81*(O119/100-fi_h/2/1000))*1000)),"",IF(O119&lt;fi_h/20,0,(OFFSET('Base de dados'!$A$5,IF(O119&lt;20,1,IF(O119&gt;1000,10,MATCH(O119,Cargas,1))),Coluna_fih,1,1))*(PI()*(fi_h/1000)^2/4)*SQRT(2*9.81*(O119/100-fi_h/2/1000))*1000))</f>
        <v>13.12446149078052</v>
      </c>
      <c r="Q119" s="19">
        <f ca="1">IF(O119="","",IF(Tipo_Vertedor="Retangular",IF(O119&lt;=cota_s*100,0,IF(Tipo_Vertedor="Retangular",Cd_sr*Lef_sr*((O119/100-cota_s)^(3/2))*1000)),IF(O119&lt;=cota_s*100+fi_s/20,0,(OFFSET('Base de dados'!$A$4,IF(O119&lt;20,1,IF(O119&gt;1000,10,MATCH(O119,Cargas,1))),Coluna_fis,1,1))*(PI()*(fi_s/1000)^2/4)*(2*9.81*(O119/100-cota_s-fi_s/2/1000))^0.5*1000)))</f>
        <v>0</v>
      </c>
      <c r="R119" s="19">
        <f t="shared" ca="1" si="17"/>
        <v>13.12446149078052</v>
      </c>
      <c r="S119" s="19">
        <f t="shared" ca="1" si="18"/>
        <v>512.03857125119794</v>
      </c>
      <c r="AD119" s="19" t="str">
        <f t="shared" si="28"/>
        <v/>
      </c>
      <c r="AE119" s="19" t="str">
        <f t="shared" si="29"/>
        <v/>
      </c>
      <c r="AF119" s="19" t="str">
        <f>IF(ISERROR(IF('Hidrograma afluente'!I126="",0,'Hidrograma afluente'!I126)+Simulação!G119),"",IF('Hidrograma afluente'!I126="",0,'Hidrograma afluente'!I126)+Simulação!G119)</f>
        <v/>
      </c>
      <c r="AG119" s="17">
        <v>0</v>
      </c>
      <c r="AH119" s="17">
        <v>0</v>
      </c>
      <c r="AI119" s="27">
        <v>1.25</v>
      </c>
      <c r="AJ119" s="17">
        <v>1.25</v>
      </c>
      <c r="AK119" s="19" t="str">
        <f>IF(A119="","",IF('Hidrograma afluente'!I126="",0,'Hidrograma afluente'!I126)+Simulação!B119)</f>
        <v/>
      </c>
    </row>
    <row r="120" spans="1:37" s="17" customFormat="1">
      <c r="A120" s="4" t="str">
        <f t="shared" si="19"/>
        <v/>
      </c>
      <c r="B120" s="5" t="str">
        <f>IF(A120="","",IF(A120&gt;tc_lot_i+tc,0,IF('Hidrograma afluente'!B127="","",'Hidrograma afluente'!B127)))</f>
        <v/>
      </c>
      <c r="C120" s="21" t="str">
        <f t="shared" si="20"/>
        <v/>
      </c>
      <c r="D120" s="21" t="str">
        <f t="shared" si="21"/>
        <v/>
      </c>
      <c r="E120" s="21" t="str">
        <f t="shared" si="22"/>
        <v/>
      </c>
      <c r="F120" s="21" t="str">
        <f t="shared" si="23"/>
        <v/>
      </c>
      <c r="G120" s="21" t="str">
        <f t="shared" si="24"/>
        <v/>
      </c>
      <c r="H120" s="23" t="str">
        <f t="shared" si="30"/>
        <v/>
      </c>
      <c r="I120" s="22" t="str">
        <f t="shared" si="25"/>
        <v/>
      </c>
      <c r="J120" s="1"/>
      <c r="K120" s="51"/>
      <c r="M120" s="81">
        <f t="shared" ca="1" si="16"/>
        <v>530.11405776795652</v>
      </c>
      <c r="N120" s="19">
        <f t="shared" si="26"/>
        <v>15.507630533705269</v>
      </c>
      <c r="O120" s="17">
        <f t="shared" si="27"/>
        <v>29.75</v>
      </c>
      <c r="P120" s="19">
        <f ca="1">IF(ISERROR(IF(O120&lt;fi_h/20,0,(OFFSET('Base de dados'!$A$5,IF(O120&lt;20,1,IF(O120&gt;1000,10,MATCH(O120,Cargas,1))),Coluna_fih,1,1))*(1+0.13*0.25)*(PI()*(fi_h/1000)^2/4)*SQRT(2*9.81*(O120/100-fi_h/2/1000))*1000)),"",IF(O120&lt;fi_h/20,0,(OFFSET('Base de dados'!$A$5,IF(O120&lt;20,1,IF(O120&gt;1000,10,MATCH(O120,Cargas,1))),Coluna_fih,1,1))*(PI()*(fi_h/1000)^2/4)*SQRT(2*9.81*(O120/100-fi_h/2/1000))*1000))</f>
        <v>13.193039977780918</v>
      </c>
      <c r="Q120" s="19">
        <f ca="1">IF(O120="","",IF(Tipo_Vertedor="Retangular",IF(O120&lt;=cota_s*100,0,IF(Tipo_Vertedor="Retangular",Cd_sr*Lef_sr*((O120/100-cota_s)^(3/2))*1000)),IF(O120&lt;=cota_s*100+fi_s/20,0,(OFFSET('Base de dados'!$A$4,IF(O120&lt;20,1,IF(O120&gt;1000,10,MATCH(O120,Cargas,1))),Coluna_fis,1,1))*(PI()*(fi_s/1000)^2/4)*(2*9.81*(O120/100-cota_s-fi_s/2/1000))^0.5*1000)))</f>
        <v>0</v>
      </c>
      <c r="R120" s="19">
        <f t="shared" ca="1" si="17"/>
        <v>13.193039977780918</v>
      </c>
      <c r="S120" s="19">
        <f t="shared" ca="1" si="18"/>
        <v>516.9210177901756</v>
      </c>
      <c r="AD120" s="19" t="str">
        <f t="shared" si="28"/>
        <v/>
      </c>
      <c r="AE120" s="19" t="str">
        <f t="shared" si="29"/>
        <v/>
      </c>
      <c r="AF120" s="19" t="str">
        <f>IF(ISERROR(IF('Hidrograma afluente'!I127="",0,'Hidrograma afluente'!I127)+Simulação!G120),"",IF('Hidrograma afluente'!I127="",0,'Hidrograma afluente'!I127)+Simulação!G120)</f>
        <v/>
      </c>
      <c r="AG120" s="17">
        <v>0</v>
      </c>
      <c r="AH120" s="17">
        <v>0</v>
      </c>
      <c r="AI120" s="27">
        <v>1.25</v>
      </c>
      <c r="AJ120" s="17">
        <v>1.25</v>
      </c>
      <c r="AK120" s="19" t="str">
        <f>IF(A120="","",IF('Hidrograma afluente'!I127="",0,'Hidrograma afluente'!I127)+Simulação!B120)</f>
        <v/>
      </c>
    </row>
    <row r="121" spans="1:37" s="17" customFormat="1">
      <c r="A121" s="4" t="str">
        <f t="shared" si="19"/>
        <v/>
      </c>
      <c r="B121" s="5" t="str">
        <f>IF(A121="","",IF(A121&gt;tc_lot_i+tc,0,IF('Hidrograma afluente'!B128="","",'Hidrograma afluente'!B128)))</f>
        <v/>
      </c>
      <c r="C121" s="21" t="str">
        <f t="shared" si="20"/>
        <v/>
      </c>
      <c r="D121" s="21" t="str">
        <f t="shared" si="21"/>
        <v/>
      </c>
      <c r="E121" s="21" t="str">
        <f t="shared" si="22"/>
        <v/>
      </c>
      <c r="F121" s="21" t="str">
        <f t="shared" si="23"/>
        <v/>
      </c>
      <c r="G121" s="21" t="str">
        <f t="shared" si="24"/>
        <v/>
      </c>
      <c r="H121" s="23" t="str">
        <f t="shared" si="30"/>
        <v/>
      </c>
      <c r="I121" s="22" t="str">
        <f t="shared" si="25"/>
        <v/>
      </c>
      <c r="J121" s="1"/>
      <c r="K121" s="51"/>
      <c r="M121" s="81">
        <f t="shared" ca="1" si="16"/>
        <v>535.06984204856121</v>
      </c>
      <c r="N121" s="19">
        <f t="shared" si="26"/>
        <v>15.654257346648679</v>
      </c>
      <c r="O121" s="17">
        <f t="shared" si="27"/>
        <v>30</v>
      </c>
      <c r="P121" s="19">
        <f ca="1">IF(ISERROR(IF(O121&lt;fi_h/20,0,(OFFSET('Base de dados'!$A$5,IF(O121&lt;20,1,IF(O121&gt;1000,10,MATCH(O121,Cargas,1))),Coluna_fih,1,1))*(1+0.13*0.25)*(PI()*(fi_h/1000)^2/4)*SQRT(2*9.81*(O121/100-fi_h/2/1000))*1000)),"",IF(O121&lt;fi_h/20,0,(OFFSET('Base de dados'!$A$5,IF(O121&lt;20,1,IF(O121&gt;1000,10,MATCH(O121,Cargas,1))),Coluna_fih,1,1))*(PI()*(fi_h/1000)^2/4)*SQRT(2*9.81*(O121/100-fi_h/2/1000))*1000))</f>
        <v>13.261263826938603</v>
      </c>
      <c r="Q121" s="19">
        <f ca="1">IF(O121="","",IF(Tipo_Vertedor="Retangular",IF(O121&lt;=cota_s*100,0,IF(Tipo_Vertedor="Retangular",Cd_sr*Lef_sr*((O121/100-cota_s)^(3/2))*1000)),IF(O121&lt;=cota_s*100+fi_s/20,0,(OFFSET('Base de dados'!$A$4,IF(O121&lt;20,1,IF(O121&gt;1000,10,MATCH(O121,Cargas,1))),Coluna_fis,1,1))*(PI()*(fi_s/1000)^2/4)*(2*9.81*(O121/100-cota_s-fi_s/2/1000))^0.5*1000)))</f>
        <v>0</v>
      </c>
      <c r="R121" s="19">
        <f t="shared" ca="1" si="17"/>
        <v>13.261263826938603</v>
      </c>
      <c r="S121" s="19">
        <f t="shared" ca="1" si="18"/>
        <v>521.80857822162261</v>
      </c>
      <c r="AD121" s="19" t="str">
        <f t="shared" si="28"/>
        <v/>
      </c>
      <c r="AE121" s="19" t="str">
        <f t="shared" si="29"/>
        <v/>
      </c>
      <c r="AF121" s="19" t="str">
        <f>IF(ISERROR(IF('Hidrograma afluente'!I128="",0,'Hidrograma afluente'!I128)+Simulação!G121),"",IF('Hidrograma afluente'!I128="",0,'Hidrograma afluente'!I128)+Simulação!G121)</f>
        <v/>
      </c>
      <c r="AG121" s="17">
        <v>0</v>
      </c>
      <c r="AH121" s="17">
        <v>0</v>
      </c>
      <c r="AI121" s="27">
        <v>1.25</v>
      </c>
      <c r="AJ121" s="17">
        <v>1.25</v>
      </c>
      <c r="AK121" s="19" t="str">
        <f>IF(A121="","",IF('Hidrograma afluente'!I128="",0,'Hidrograma afluente'!I128)+Simulação!B121)</f>
        <v/>
      </c>
    </row>
    <row r="122" spans="1:37" s="17" customFormat="1">
      <c r="A122" s="4" t="str">
        <f t="shared" si="19"/>
        <v/>
      </c>
      <c r="B122" s="5" t="str">
        <f>IF(A122="","",IF(A122&gt;tc_lot_i+tc,0,IF('Hidrograma afluente'!B129="","",'Hidrograma afluente'!B129)))</f>
        <v/>
      </c>
      <c r="C122" s="21" t="str">
        <f t="shared" si="20"/>
        <v/>
      </c>
      <c r="D122" s="21" t="str">
        <f t="shared" si="21"/>
        <v/>
      </c>
      <c r="E122" s="21" t="str">
        <f t="shared" si="22"/>
        <v/>
      </c>
      <c r="F122" s="21" t="str">
        <f t="shared" si="23"/>
        <v/>
      </c>
      <c r="G122" s="21" t="str">
        <f t="shared" si="24"/>
        <v/>
      </c>
      <c r="H122" s="23" t="str">
        <f t="shared" si="30"/>
        <v/>
      </c>
      <c r="I122" s="22" t="str">
        <f t="shared" si="25"/>
        <v/>
      </c>
      <c r="J122" s="1"/>
      <c r="K122" s="51"/>
      <c r="M122" s="81">
        <f t="shared" ca="1" si="16"/>
        <v>540.03035370215332</v>
      </c>
      <c r="N122" s="19">
        <f t="shared" si="26"/>
        <v>15.801036456550941</v>
      </c>
      <c r="O122" s="17">
        <f t="shared" si="27"/>
        <v>30.25</v>
      </c>
      <c r="P122" s="19">
        <f ca="1">IF(ISERROR(IF(O122&lt;fi_h/20,0,(OFFSET('Base de dados'!$A$5,IF(O122&lt;20,1,IF(O122&gt;1000,10,MATCH(O122,Cargas,1))),Coluna_fih,1,1))*(1+0.13*0.25)*(PI()*(fi_h/1000)^2/4)*SQRT(2*9.81*(O122/100-fi_h/2/1000))*1000)),"",IF(O122&lt;fi_h/20,0,(OFFSET('Base de dados'!$A$5,IF(O122&lt;20,1,IF(O122&gt;1000,10,MATCH(O122,Cargas,1))),Coluna_fih,1,1))*(PI()*(fi_h/1000)^2/4)*SQRT(2*9.81*(O122/100-fi_h/2/1000))*1000))</f>
        <v>13.329138483788627</v>
      </c>
      <c r="Q122" s="19">
        <f ca="1">IF(O122="","",IF(Tipo_Vertedor="Retangular",IF(O122&lt;=cota_s*100,0,IF(Tipo_Vertedor="Retangular",Cd_sr*Lef_sr*((O122/100-cota_s)^(3/2))*1000)),IF(O122&lt;=cota_s*100+fi_s/20,0,(OFFSET('Base de dados'!$A$4,IF(O122&lt;20,1,IF(O122&gt;1000,10,MATCH(O122,Cargas,1))),Coluna_fis,1,1))*(PI()*(fi_s/1000)^2/4)*(2*9.81*(O122/100-cota_s-fi_s/2/1000))^0.5*1000)))</f>
        <v>0</v>
      </c>
      <c r="R122" s="19">
        <f t="shared" ca="1" si="17"/>
        <v>13.329138483788627</v>
      </c>
      <c r="S122" s="19">
        <f t="shared" ca="1" si="18"/>
        <v>526.70121521836472</v>
      </c>
      <c r="AD122" s="19" t="str">
        <f t="shared" si="28"/>
        <v/>
      </c>
      <c r="AE122" s="19" t="str">
        <f t="shared" si="29"/>
        <v/>
      </c>
      <c r="AF122" s="19" t="str">
        <f>IF(ISERROR(IF('Hidrograma afluente'!I129="",0,'Hidrograma afluente'!I129)+Simulação!G122),"",IF('Hidrograma afluente'!I129="",0,'Hidrograma afluente'!I129)+Simulação!G122)</f>
        <v/>
      </c>
      <c r="AG122" s="17">
        <v>0</v>
      </c>
      <c r="AH122" s="17">
        <v>0</v>
      </c>
      <c r="AI122" s="27">
        <v>1.25</v>
      </c>
      <c r="AJ122" s="17">
        <v>1.25</v>
      </c>
      <c r="AK122" s="19" t="str">
        <f>IF(A122="","",IF('Hidrograma afluente'!I129="",0,'Hidrograma afluente'!I129)+Simulação!B122)</f>
        <v/>
      </c>
    </row>
    <row r="123" spans="1:37" s="17" customFormat="1">
      <c r="A123" s="4" t="str">
        <f t="shared" si="19"/>
        <v/>
      </c>
      <c r="B123" s="5" t="str">
        <f>IF(A123="","",IF(A123&gt;tc_lot_i+tc,0,IF('Hidrograma afluente'!B130="","",'Hidrograma afluente'!B130)))</f>
        <v/>
      </c>
      <c r="C123" s="21" t="str">
        <f t="shared" si="20"/>
        <v/>
      </c>
      <c r="D123" s="21" t="str">
        <f t="shared" si="21"/>
        <v/>
      </c>
      <c r="E123" s="21" t="str">
        <f t="shared" si="22"/>
        <v/>
      </c>
      <c r="F123" s="21" t="str">
        <f t="shared" si="23"/>
        <v/>
      </c>
      <c r="G123" s="21" t="str">
        <f t="shared" si="24"/>
        <v/>
      </c>
      <c r="H123" s="23" t="str">
        <f t="shared" si="30"/>
        <v/>
      </c>
      <c r="I123" s="22" t="str">
        <f t="shared" si="25"/>
        <v/>
      </c>
      <c r="J123" s="1"/>
      <c r="K123" s="51"/>
      <c r="M123" s="81">
        <f t="shared" ca="1" si="16"/>
        <v>544.99556128800816</v>
      </c>
      <c r="N123" s="19">
        <f t="shared" si="26"/>
        <v>15.947966760962817</v>
      </c>
      <c r="O123" s="17">
        <f t="shared" si="27"/>
        <v>30.5</v>
      </c>
      <c r="P123" s="19">
        <f ca="1">IF(ISERROR(IF(O123&lt;fi_h/20,0,(OFFSET('Base de dados'!$A$5,IF(O123&lt;20,1,IF(O123&gt;1000,10,MATCH(O123,Cargas,1))),Coluna_fih,1,1))*(1+0.13*0.25)*(PI()*(fi_h/1000)^2/4)*SQRT(2*9.81*(O123/100-fi_h/2/1000))*1000)),"",IF(O123&lt;fi_h/20,0,(OFFSET('Base de dados'!$A$5,IF(O123&lt;20,1,IF(O123&gt;1000,10,MATCH(O123,Cargas,1))),Coluna_fih,1,1))*(PI()*(fi_h/1000)^2/4)*SQRT(2*9.81*(O123/100-fi_h/2/1000))*1000))</f>
        <v>13.396669255914315</v>
      </c>
      <c r="Q123" s="19">
        <f ca="1">IF(O123="","",IF(Tipo_Vertedor="Retangular",IF(O123&lt;=cota_s*100,0,IF(Tipo_Vertedor="Retangular",Cd_sr*Lef_sr*((O123/100-cota_s)^(3/2))*1000)),IF(O123&lt;=cota_s*100+fi_s/20,0,(OFFSET('Base de dados'!$A$4,IF(O123&lt;20,1,IF(O123&gt;1000,10,MATCH(O123,Cargas,1))),Coluna_fis,1,1))*(PI()*(fi_s/1000)^2/4)*(2*9.81*(O123/100-cota_s-fi_s/2/1000))^0.5*1000)))</f>
        <v>0</v>
      </c>
      <c r="R123" s="19">
        <f t="shared" ca="1" si="17"/>
        <v>13.396669255914315</v>
      </c>
      <c r="S123" s="19">
        <f t="shared" ca="1" si="18"/>
        <v>531.59889203209389</v>
      </c>
      <c r="AD123" s="19" t="str">
        <f t="shared" si="28"/>
        <v/>
      </c>
      <c r="AE123" s="19" t="str">
        <f t="shared" si="29"/>
        <v/>
      </c>
      <c r="AF123" s="19" t="str">
        <f>IF(ISERROR(IF('Hidrograma afluente'!I130="",0,'Hidrograma afluente'!I130)+Simulação!G123),"",IF('Hidrograma afluente'!I130="",0,'Hidrograma afluente'!I130)+Simulação!G123)</f>
        <v/>
      </c>
      <c r="AG123" s="17">
        <v>0</v>
      </c>
      <c r="AH123" s="17">
        <v>0</v>
      </c>
      <c r="AI123" s="27">
        <v>1.25</v>
      </c>
      <c r="AJ123" s="17">
        <v>1.25</v>
      </c>
      <c r="AK123" s="19" t="str">
        <f>IF(A123="","",IF('Hidrograma afluente'!I130="",0,'Hidrograma afluente'!I130)+Simulação!B123)</f>
        <v/>
      </c>
    </row>
    <row r="124" spans="1:37" s="17" customFormat="1">
      <c r="A124" s="4" t="str">
        <f t="shared" si="19"/>
        <v/>
      </c>
      <c r="B124" s="5" t="str">
        <f>IF(A124="","",IF(A124&gt;tc_lot_i+tc,0,IF('Hidrograma afluente'!B131="","",'Hidrograma afluente'!B131)))</f>
        <v/>
      </c>
      <c r="C124" s="21" t="str">
        <f t="shared" si="20"/>
        <v/>
      </c>
      <c r="D124" s="21" t="str">
        <f t="shared" si="21"/>
        <v/>
      </c>
      <c r="E124" s="21" t="str">
        <f t="shared" si="22"/>
        <v/>
      </c>
      <c r="F124" s="21" t="str">
        <f t="shared" si="23"/>
        <v/>
      </c>
      <c r="G124" s="21" t="str">
        <f t="shared" si="24"/>
        <v/>
      </c>
      <c r="H124" s="23" t="str">
        <f t="shared" si="30"/>
        <v/>
      </c>
      <c r="I124" s="22" t="str">
        <f t="shared" si="25"/>
        <v/>
      </c>
      <c r="J124" s="1"/>
      <c r="K124" s="51"/>
      <c r="M124" s="81">
        <f t="shared" ca="1" si="16"/>
        <v>549.96543379750835</v>
      </c>
      <c r="N124" s="19">
        <f t="shared" si="26"/>
        <v>16.095047174391528</v>
      </c>
      <c r="O124" s="17">
        <f t="shared" si="27"/>
        <v>30.75</v>
      </c>
      <c r="P124" s="19">
        <f ca="1">IF(ISERROR(IF(O124&lt;fi_h/20,0,(OFFSET('Base de dados'!$A$5,IF(O124&lt;20,1,IF(O124&gt;1000,10,MATCH(O124,Cargas,1))),Coluna_fih,1,1))*(1+0.13*0.25)*(PI()*(fi_h/1000)^2/4)*SQRT(2*9.81*(O124/100-fi_h/2/1000))*1000)),"",IF(O124&lt;fi_h/20,0,(OFFSET('Base de dados'!$A$5,IF(O124&lt;20,1,IF(O124&gt;1000,10,MATCH(O124,Cargas,1))),Coluna_fih,1,1))*(PI()*(fi_h/1000)^2/4)*SQRT(2*9.81*(O124/100-fi_h/2/1000))*1000))</f>
        <v>13.463861317790839</v>
      </c>
      <c r="Q124" s="19">
        <f ca="1">IF(O124="","",IF(Tipo_Vertedor="Retangular",IF(O124&lt;=cota_s*100,0,IF(Tipo_Vertedor="Retangular",Cd_sr*Lef_sr*((O124/100-cota_s)^(3/2))*1000)),IF(O124&lt;=cota_s*100+fi_s/20,0,(OFFSET('Base de dados'!$A$4,IF(O124&lt;20,1,IF(O124&gt;1000,10,MATCH(O124,Cargas,1))),Coluna_fis,1,1))*(PI()*(fi_s/1000)^2/4)*(2*9.81*(O124/100-cota_s-fi_s/2/1000))^0.5*1000)))</f>
        <v>0</v>
      </c>
      <c r="R124" s="19">
        <f t="shared" ca="1" si="17"/>
        <v>13.463861317790839</v>
      </c>
      <c r="S124" s="19">
        <f t="shared" ca="1" si="18"/>
        <v>536.50157247971754</v>
      </c>
      <c r="AD124" s="19" t="str">
        <f t="shared" si="28"/>
        <v/>
      </c>
      <c r="AE124" s="19" t="str">
        <f t="shared" si="29"/>
        <v/>
      </c>
      <c r="AF124" s="19" t="str">
        <f>IF(ISERROR(IF('Hidrograma afluente'!I131="",0,'Hidrograma afluente'!I131)+Simulação!G124),"",IF('Hidrograma afluente'!I131="",0,'Hidrograma afluente'!I131)+Simulação!G124)</f>
        <v/>
      </c>
      <c r="AG124" s="17">
        <v>0</v>
      </c>
      <c r="AH124" s="17">
        <v>0</v>
      </c>
      <c r="AI124" s="27">
        <v>1.25</v>
      </c>
      <c r="AJ124" s="17">
        <v>1.25</v>
      </c>
      <c r="AK124" s="19" t="str">
        <f>IF(A124="","",IF('Hidrograma afluente'!I131="",0,'Hidrograma afluente'!I131)+Simulação!B124)</f>
        <v/>
      </c>
    </row>
    <row r="125" spans="1:37" s="17" customFormat="1">
      <c r="A125" s="4" t="str">
        <f t="shared" si="19"/>
        <v/>
      </c>
      <c r="B125" s="5" t="str">
        <f>IF(A125="","",IF(A125&gt;tc_lot_i+tc,0,IF('Hidrograma afluente'!B132="","",'Hidrograma afluente'!B132)))</f>
        <v/>
      </c>
      <c r="C125" s="21" t="str">
        <f t="shared" si="20"/>
        <v/>
      </c>
      <c r="D125" s="21" t="str">
        <f t="shared" si="21"/>
        <v/>
      </c>
      <c r="E125" s="21" t="str">
        <f t="shared" si="22"/>
        <v/>
      </c>
      <c r="F125" s="21" t="str">
        <f t="shared" si="23"/>
        <v/>
      </c>
      <c r="G125" s="21" t="str">
        <f t="shared" si="24"/>
        <v/>
      </c>
      <c r="H125" s="23" t="str">
        <f t="shared" si="30"/>
        <v/>
      </c>
      <c r="I125" s="22" t="str">
        <f t="shared" si="25"/>
        <v/>
      </c>
      <c r="J125" s="1"/>
      <c r="K125" s="51"/>
      <c r="M125" s="81">
        <f t="shared" ca="1" si="16"/>
        <v>554.93994064555091</v>
      </c>
      <c r="N125" s="19">
        <f t="shared" si="26"/>
        <v>16.242276627904157</v>
      </c>
      <c r="O125" s="17">
        <f t="shared" si="27"/>
        <v>31</v>
      </c>
      <c r="P125" s="19">
        <f ca="1">IF(ISERROR(IF(O125&lt;fi_h/20,0,(OFFSET('Base de dados'!$A$5,IF(O125&lt;20,1,IF(O125&gt;1000,10,MATCH(O125,Cargas,1))),Coluna_fih,1,1))*(1+0.13*0.25)*(PI()*(fi_h/1000)^2/4)*SQRT(2*9.81*(O125/100-fi_h/2/1000))*1000)),"",IF(O125&lt;fi_h/20,0,(OFFSET('Base de dados'!$A$5,IF(O125&lt;20,1,IF(O125&gt;1000,10,MATCH(O125,Cargas,1))),Coluna_fih,1,1))*(PI()*(fi_h/1000)^2/4)*SQRT(2*9.81*(O125/100-fi_h/2/1000))*1000))</f>
        <v>13.530719715412378</v>
      </c>
      <c r="Q125" s="19">
        <f ca="1">IF(O125="","",IF(Tipo_Vertedor="Retangular",IF(O125&lt;=cota_s*100,0,IF(Tipo_Vertedor="Retangular",Cd_sr*Lef_sr*((O125/100-cota_s)^(3/2))*1000)),IF(O125&lt;=cota_s*100+fi_s/20,0,(OFFSET('Base de dados'!$A$4,IF(O125&lt;20,1,IF(O125&gt;1000,10,MATCH(O125,Cargas,1))),Coluna_fis,1,1))*(PI()*(fi_s/1000)^2/4)*(2*9.81*(O125/100-cota_s-fi_s/2/1000))^0.5*1000)))</f>
        <v>0</v>
      </c>
      <c r="R125" s="19">
        <f t="shared" ca="1" si="17"/>
        <v>13.530719715412378</v>
      </c>
      <c r="S125" s="19">
        <f t="shared" ca="1" si="18"/>
        <v>541.40922093013853</v>
      </c>
      <c r="AD125" s="19" t="str">
        <f t="shared" si="28"/>
        <v/>
      </c>
      <c r="AE125" s="19" t="str">
        <f t="shared" si="29"/>
        <v/>
      </c>
      <c r="AF125" s="19" t="str">
        <f>IF(ISERROR(IF('Hidrograma afluente'!I132="",0,'Hidrograma afluente'!I132)+Simulação!G125),"",IF('Hidrograma afluente'!I132="",0,'Hidrograma afluente'!I132)+Simulação!G125)</f>
        <v/>
      </c>
      <c r="AG125" s="17">
        <v>0</v>
      </c>
      <c r="AH125" s="17">
        <v>0</v>
      </c>
      <c r="AI125" s="27">
        <v>1.25</v>
      </c>
      <c r="AJ125" s="17">
        <v>1.25</v>
      </c>
      <c r="AK125" s="19" t="str">
        <f>IF(A125="","",IF('Hidrograma afluente'!I132="",0,'Hidrograma afluente'!I132)+Simulação!B125)</f>
        <v/>
      </c>
    </row>
    <row r="126" spans="1:37" s="17" customFormat="1">
      <c r="A126" s="4" t="str">
        <f t="shared" si="19"/>
        <v/>
      </c>
      <c r="B126" s="5" t="str">
        <f>IF(A126="","",IF(A126&gt;tc_lot_i+tc,0,IF('Hidrograma afluente'!B133="","",'Hidrograma afluente'!B133)))</f>
        <v/>
      </c>
      <c r="C126" s="21" t="str">
        <f t="shared" si="20"/>
        <v/>
      </c>
      <c r="D126" s="21" t="str">
        <f t="shared" si="21"/>
        <v/>
      </c>
      <c r="E126" s="21" t="str">
        <f t="shared" si="22"/>
        <v/>
      </c>
      <c r="F126" s="21" t="str">
        <f t="shared" si="23"/>
        <v/>
      </c>
      <c r="G126" s="21" t="str">
        <f t="shared" si="24"/>
        <v/>
      </c>
      <c r="H126" s="23" t="str">
        <f t="shared" si="30"/>
        <v/>
      </c>
      <c r="I126" s="22" t="str">
        <f t="shared" si="25"/>
        <v/>
      </c>
      <c r="J126" s="1"/>
      <c r="K126" s="51"/>
      <c r="M126" s="81">
        <f t="shared" ca="1" si="16"/>
        <v>559.91905166216168</v>
      </c>
      <c r="N126" s="19">
        <f t="shared" si="26"/>
        <v>16.389654068743418</v>
      </c>
      <c r="O126" s="17">
        <f t="shared" si="27"/>
        <v>31.25</v>
      </c>
      <c r="P126" s="19">
        <f ca="1">IF(ISERROR(IF(O126&lt;fi_h/20,0,(OFFSET('Base de dados'!$A$5,IF(O126&lt;20,1,IF(O126&gt;1000,10,MATCH(O126,Cargas,1))),Coluna_fih,1,1))*(1+0.13*0.25)*(PI()*(fi_h/1000)^2/4)*SQRT(2*9.81*(O126/100-fi_h/2/1000))*1000)),"",IF(O126&lt;fi_h/20,0,(OFFSET('Base de dados'!$A$5,IF(O126&lt;20,1,IF(O126&gt;1000,10,MATCH(O126,Cargas,1))),Coluna_fih,1,1))*(PI()*(fi_h/1000)^2/4)*SQRT(2*9.81*(O126/100-fi_h/2/1000))*1000))</f>
        <v>13.597249370714428</v>
      </c>
      <c r="Q126" s="19">
        <f ca="1">IF(O126="","",IF(Tipo_Vertedor="Retangular",IF(O126&lt;=cota_s*100,0,IF(Tipo_Vertedor="Retangular",Cd_sr*Lef_sr*((O126/100-cota_s)^(3/2))*1000)),IF(O126&lt;=cota_s*100+fi_s/20,0,(OFFSET('Base de dados'!$A$4,IF(O126&lt;20,1,IF(O126&gt;1000,10,MATCH(O126,Cargas,1))),Coluna_fis,1,1))*(PI()*(fi_s/1000)^2/4)*(2*9.81*(O126/100-cota_s-fi_s/2/1000))^0.5*1000)))</f>
        <v>0</v>
      </c>
      <c r="R126" s="19">
        <f t="shared" ca="1" si="17"/>
        <v>13.597249370714428</v>
      </c>
      <c r="S126" s="19">
        <f t="shared" ca="1" si="18"/>
        <v>546.32180229144728</v>
      </c>
      <c r="AD126" s="19" t="str">
        <f t="shared" si="28"/>
        <v/>
      </c>
      <c r="AE126" s="19" t="str">
        <f t="shared" si="29"/>
        <v/>
      </c>
      <c r="AF126" s="19" t="str">
        <f>IF(ISERROR(IF('Hidrograma afluente'!I133="",0,'Hidrograma afluente'!I133)+Simulação!G126),"",IF('Hidrograma afluente'!I133="",0,'Hidrograma afluente'!I133)+Simulação!G126)</f>
        <v/>
      </c>
      <c r="AG126" s="17" t="s">
        <v>160</v>
      </c>
      <c r="AH126" s="17" t="s">
        <v>160</v>
      </c>
      <c r="AI126" s="27" t="s">
        <v>160</v>
      </c>
      <c r="AJ126" s="17" t="s">
        <v>160</v>
      </c>
      <c r="AK126" s="19" t="str">
        <f>IF(A126="","",IF('Hidrograma afluente'!I133="",0,'Hidrograma afluente'!I133)+Simulação!B126)</f>
        <v/>
      </c>
    </row>
    <row r="127" spans="1:37" s="17" customFormat="1">
      <c r="A127" s="4" t="str">
        <f t="shared" si="19"/>
        <v/>
      </c>
      <c r="B127" s="5" t="str">
        <f>IF(A127="","",IF(A127&gt;tc_lot_i+tc,0,IF('Hidrograma afluente'!B134="","",'Hidrograma afluente'!B134)))</f>
        <v/>
      </c>
      <c r="C127" s="21" t="str">
        <f t="shared" si="20"/>
        <v/>
      </c>
      <c r="D127" s="21" t="str">
        <f t="shared" si="21"/>
        <v/>
      </c>
      <c r="E127" s="21" t="str">
        <f t="shared" si="22"/>
        <v/>
      </c>
      <c r="F127" s="21" t="str">
        <f t="shared" si="23"/>
        <v/>
      </c>
      <c r="G127" s="21" t="str">
        <f t="shared" si="24"/>
        <v/>
      </c>
      <c r="H127" s="23" t="str">
        <f t="shared" si="30"/>
        <v/>
      </c>
      <c r="I127" s="22" t="str">
        <f t="shared" si="25"/>
        <v/>
      </c>
      <c r="J127" s="1"/>
      <c r="K127" s="51"/>
      <c r="M127" s="81">
        <f t="shared" ca="1" si="16"/>
        <v>564.90273708431437</v>
      </c>
      <c r="N127" s="19">
        <f t="shared" si="26"/>
        <v>16.537178459955356</v>
      </c>
      <c r="O127" s="17">
        <f t="shared" si="27"/>
        <v>31.5</v>
      </c>
      <c r="P127" s="19">
        <f ca="1">IF(ISERROR(IF(O127&lt;fi_h/20,0,(OFFSET('Base de dados'!$A$5,IF(O127&lt;20,1,IF(O127&gt;1000,10,MATCH(O127,Cargas,1))),Coluna_fih,1,1))*(1+0.13*0.25)*(PI()*(fi_h/1000)^2/4)*SQRT(2*9.81*(O127/100-fi_h/2/1000))*1000)),"",IF(O127&lt;fi_h/20,0,(OFFSET('Base de dados'!$A$5,IF(O127&lt;20,1,IF(O127&gt;1000,10,MATCH(O127,Cargas,1))),Coluna_fih,1,1))*(PI()*(fi_h/1000)^2/4)*SQRT(2*9.81*(O127/100-fi_h/2/1000))*1000))</f>
        <v>13.66345508580237</v>
      </c>
      <c r="Q127" s="19">
        <f ca="1">IF(O127="","",IF(Tipo_Vertedor="Retangular",IF(O127&lt;=cota_s*100,0,IF(Tipo_Vertedor="Retangular",Cd_sr*Lef_sr*((O127/100-cota_s)^(3/2))*1000)),IF(O127&lt;=cota_s*100+fi_s/20,0,(OFFSET('Base de dados'!$A$4,IF(O127&lt;20,1,IF(O127&gt;1000,10,MATCH(O127,Cargas,1))),Coluna_fis,1,1))*(PI()*(fi_s/1000)^2/4)*(2*9.81*(O127/100-cota_s-fi_s/2/1000))^0.5*1000)))</f>
        <v>0</v>
      </c>
      <c r="R127" s="19">
        <f t="shared" ca="1" si="17"/>
        <v>13.66345508580237</v>
      </c>
      <c r="S127" s="19">
        <f t="shared" ca="1" si="18"/>
        <v>551.23928199851196</v>
      </c>
      <c r="AD127" s="19" t="str">
        <f t="shared" si="28"/>
        <v/>
      </c>
      <c r="AE127" s="19" t="str">
        <f t="shared" si="29"/>
        <v/>
      </c>
      <c r="AF127" s="19" t="str">
        <f>IF(ISERROR(IF('Hidrograma afluente'!I134="",0,'Hidrograma afluente'!I134)+Simulação!G127),"",IF('Hidrograma afluente'!I134="",0,'Hidrograma afluente'!I134)+Simulação!G127)</f>
        <v/>
      </c>
      <c r="AG127" s="17" t="s">
        <v>160</v>
      </c>
      <c r="AH127" s="17" t="s">
        <v>160</v>
      </c>
      <c r="AI127" s="27" t="s">
        <v>160</v>
      </c>
      <c r="AJ127" s="17" t="s">
        <v>160</v>
      </c>
      <c r="AK127" s="19" t="str">
        <f>IF(A127="","",IF('Hidrograma afluente'!I134="",0,'Hidrograma afluente'!I134)+Simulação!B127)</f>
        <v/>
      </c>
    </row>
    <row r="128" spans="1:37" s="17" customFormat="1">
      <c r="A128" s="4" t="str">
        <f t="shared" si="19"/>
        <v/>
      </c>
      <c r="B128" s="5" t="str">
        <f>IF(A128="","",IF(A128&gt;tc_lot_i+tc,0,IF('Hidrograma afluente'!B135="","",'Hidrograma afluente'!B135)))</f>
        <v/>
      </c>
      <c r="C128" s="21" t="str">
        <f t="shared" si="20"/>
        <v/>
      </c>
      <c r="D128" s="21" t="str">
        <f t="shared" si="21"/>
        <v/>
      </c>
      <c r="E128" s="21" t="str">
        <f t="shared" si="22"/>
        <v/>
      </c>
      <c r="F128" s="21" t="str">
        <f t="shared" si="23"/>
        <v/>
      </c>
      <c r="G128" s="21" t="str">
        <f t="shared" si="24"/>
        <v/>
      </c>
      <c r="H128" s="23" t="str">
        <f t="shared" si="30"/>
        <v/>
      </c>
      <c r="I128" s="22" t="str">
        <f t="shared" si="25"/>
        <v/>
      </c>
      <c r="J128" s="1"/>
      <c r="K128" s="51"/>
      <c r="M128" s="81">
        <f t="shared" ca="1" si="16"/>
        <v>569.89096754794718</v>
      </c>
      <c r="N128" s="19">
        <f t="shared" si="26"/>
        <v>16.684848780028521</v>
      </c>
      <c r="O128" s="17">
        <f t="shared" si="27"/>
        <v>31.75</v>
      </c>
      <c r="P128" s="19">
        <f ca="1">IF(ISERROR(IF(O128&lt;fi_h/20,0,(OFFSET('Base de dados'!$A$5,IF(O128&lt;20,1,IF(O128&gt;1000,10,MATCH(O128,Cargas,1))),Coluna_fih,1,1))*(1+0.13*0.25)*(PI()*(fi_h/1000)^2/4)*SQRT(2*9.81*(O128/100-fi_h/2/1000))*1000)),"",IF(O128&lt;fi_h/20,0,(OFFSET('Base de dados'!$A$5,IF(O128&lt;20,1,IF(O128&gt;1000,10,MATCH(O128,Cargas,1))),Coluna_fih,1,1))*(PI()*(fi_h/1000)^2/4)*SQRT(2*9.81*(O128/100-fi_h/2/1000))*1000))</f>
        <v>13.729341546996469</v>
      </c>
      <c r="Q128" s="19">
        <f ca="1">IF(O128="","",IF(Tipo_Vertedor="Retangular",IF(O128&lt;=cota_s*100,0,IF(Tipo_Vertedor="Retangular",Cd_sr*Lef_sr*((O128/100-cota_s)^(3/2))*1000)),IF(O128&lt;=cota_s*100+fi_s/20,0,(OFFSET('Base de dados'!$A$4,IF(O128&lt;20,1,IF(O128&gt;1000,10,MATCH(O128,Cargas,1))),Coluna_fis,1,1))*(PI()*(fi_s/1000)^2/4)*(2*9.81*(O128/100-cota_s-fi_s/2/1000))^0.5*1000)))</f>
        <v>0</v>
      </c>
      <c r="R128" s="19">
        <f t="shared" ca="1" si="17"/>
        <v>13.729341546996469</v>
      </c>
      <c r="S128" s="19">
        <f t="shared" ca="1" si="18"/>
        <v>556.16162600095072</v>
      </c>
      <c r="AD128" s="19" t="str">
        <f t="shared" si="28"/>
        <v/>
      </c>
      <c r="AE128" s="19" t="str">
        <f t="shared" si="29"/>
        <v/>
      </c>
      <c r="AF128" s="19" t="str">
        <f>IF(ISERROR(IF('Hidrograma afluente'!I135="",0,'Hidrograma afluente'!I135)+Simulação!G128),"",IF('Hidrograma afluente'!I135="",0,'Hidrograma afluente'!I135)+Simulação!G128)</f>
        <v/>
      </c>
      <c r="AG128" s="17" t="s">
        <v>160</v>
      </c>
      <c r="AH128" s="17" t="s">
        <v>160</v>
      </c>
      <c r="AI128" s="27" t="s">
        <v>160</v>
      </c>
      <c r="AJ128" s="17" t="s">
        <v>160</v>
      </c>
      <c r="AK128" s="19" t="str">
        <f>IF(A128="","",IF('Hidrograma afluente'!I135="",0,'Hidrograma afluente'!I135)+Simulação!B128)</f>
        <v/>
      </c>
    </row>
    <row r="129" spans="1:37" s="17" customFormat="1">
      <c r="A129" s="4" t="str">
        <f t="shared" si="19"/>
        <v/>
      </c>
      <c r="B129" s="5" t="str">
        <f>IF(A129="","",IF(A129&gt;tc_lot_i+tc,0,IF('Hidrograma afluente'!B136="","",'Hidrograma afluente'!B136)))</f>
        <v/>
      </c>
      <c r="C129" s="21" t="str">
        <f t="shared" si="20"/>
        <v/>
      </c>
      <c r="D129" s="21" t="str">
        <f t="shared" si="21"/>
        <v/>
      </c>
      <c r="E129" s="21" t="str">
        <f t="shared" si="22"/>
        <v/>
      </c>
      <c r="F129" s="21" t="str">
        <f t="shared" si="23"/>
        <v/>
      </c>
      <c r="G129" s="21" t="str">
        <f t="shared" si="24"/>
        <v/>
      </c>
      <c r="H129" s="23" t="str">
        <f t="shared" si="30"/>
        <v/>
      </c>
      <c r="I129" s="22" t="str">
        <f t="shared" si="25"/>
        <v/>
      </c>
      <c r="J129" s="1"/>
      <c r="K129" s="51"/>
      <c r="M129" s="81">
        <f t="shared" ca="1" si="16"/>
        <v>574.88371408017429</v>
      </c>
      <c r="N129" s="19">
        <f t="shared" si="26"/>
        <v>16.832664022544137</v>
      </c>
      <c r="O129" s="17">
        <f t="shared" si="27"/>
        <v>32</v>
      </c>
      <c r="P129" s="19">
        <f ca="1">IF(ISERROR(IF(O129&lt;fi_h/20,0,(OFFSET('Base de dados'!$A$5,IF(O129&lt;20,1,IF(O129&gt;1000,10,MATCH(O129,Cargas,1))),Coluna_fih,1,1))*(1+0.13*0.25)*(PI()*(fi_h/1000)^2/4)*SQRT(2*9.81*(O129/100-fi_h/2/1000))*1000)),"",IF(O129&lt;fi_h/20,0,(OFFSET('Base de dados'!$A$5,IF(O129&lt;20,1,IF(O129&gt;1000,10,MATCH(O129,Cargas,1))),Coluna_fih,1,1))*(PI()*(fi_h/1000)^2/4)*SQRT(2*9.81*(O129/100-fi_h/2/1000))*1000))</f>
        <v>13.794913328703014</v>
      </c>
      <c r="Q129" s="19">
        <f ca="1">IF(O129="","",IF(Tipo_Vertedor="Retangular",IF(O129&lt;=cota_s*100,0,IF(Tipo_Vertedor="Retangular",Cd_sr*Lef_sr*((O129/100-cota_s)^(3/2))*1000)),IF(O129&lt;=cota_s*100+fi_s/20,0,(OFFSET('Base de dados'!$A$4,IF(O129&lt;20,1,IF(O129&gt;1000,10,MATCH(O129,Cargas,1))),Coluna_fis,1,1))*(PI()*(fi_s/1000)^2/4)*(2*9.81*(O129/100-cota_s-fi_s/2/1000))^0.5*1000)))</f>
        <v>0</v>
      </c>
      <c r="R129" s="19">
        <f t="shared" ca="1" si="17"/>
        <v>13.794913328703014</v>
      </c>
      <c r="S129" s="19">
        <f t="shared" ca="1" si="18"/>
        <v>561.08880075147124</v>
      </c>
      <c r="AD129" s="19" t="str">
        <f t="shared" si="28"/>
        <v/>
      </c>
      <c r="AE129" s="19" t="str">
        <f t="shared" si="29"/>
        <v/>
      </c>
      <c r="AF129" s="19" t="str">
        <f>IF(ISERROR(IF('Hidrograma afluente'!I136="",0,'Hidrograma afluente'!I136)+Simulação!G129),"",IF('Hidrograma afluente'!I136="",0,'Hidrograma afluente'!I136)+Simulação!G129)</f>
        <v/>
      </c>
      <c r="AG129" s="17" t="s">
        <v>160</v>
      </c>
      <c r="AH129" s="17" t="s">
        <v>160</v>
      </c>
      <c r="AI129" s="27" t="s">
        <v>160</v>
      </c>
      <c r="AJ129" s="17" t="s">
        <v>160</v>
      </c>
      <c r="AK129" s="19" t="str">
        <f>IF(A129="","",IF('Hidrograma afluente'!I136="",0,'Hidrograma afluente'!I136)+Simulação!B129)</f>
        <v/>
      </c>
    </row>
    <row r="130" spans="1:37" s="17" customFormat="1">
      <c r="A130" s="4" t="str">
        <f t="shared" si="19"/>
        <v/>
      </c>
      <c r="B130" s="5" t="str">
        <f>IF(A130="","",IF(A130&gt;tc_lot_i+tc,0,IF('Hidrograma afluente'!B137="","",'Hidrograma afluente'!B137)))</f>
        <v/>
      </c>
      <c r="C130" s="21" t="str">
        <f t="shared" si="20"/>
        <v/>
      </c>
      <c r="D130" s="21" t="str">
        <f t="shared" si="21"/>
        <v/>
      </c>
      <c r="E130" s="21" t="str">
        <f t="shared" si="22"/>
        <v/>
      </c>
      <c r="F130" s="21" t="str">
        <f t="shared" si="23"/>
        <v/>
      </c>
      <c r="G130" s="21" t="str">
        <f t="shared" si="24"/>
        <v/>
      </c>
      <c r="H130" s="23" t="str">
        <f t="shared" si="30"/>
        <v/>
      </c>
      <c r="I130" s="22" t="str">
        <f t="shared" si="25"/>
        <v/>
      </c>
      <c r="J130" s="1"/>
      <c r="K130" s="51"/>
      <c r="M130" s="81">
        <f t="shared" ca="1" si="16"/>
        <v>579.88094809168308</v>
      </c>
      <c r="N130" s="19">
        <f t="shared" si="26"/>
        <v>16.980623195836873</v>
      </c>
      <c r="O130" s="17">
        <f t="shared" si="27"/>
        <v>32.25</v>
      </c>
      <c r="P130" s="19">
        <f ca="1">IF(ISERROR(IF(O130&lt;fi_h/20,0,(OFFSET('Base de dados'!$A$5,IF(O130&lt;20,1,IF(O130&gt;1000,10,MATCH(O130,Cargas,1))),Coluna_fih,1,1))*(1+0.13*0.25)*(PI()*(fi_h/1000)^2/4)*SQRT(2*9.81*(O130/100-fi_h/2/1000))*1000)),"",IF(O130&lt;fi_h/20,0,(OFFSET('Base de dados'!$A$5,IF(O130&lt;20,1,IF(O130&gt;1000,10,MATCH(O130,Cargas,1))),Coluna_fih,1,1))*(PI()*(fi_h/1000)^2/4)*SQRT(2*9.81*(O130/100-fi_h/2/1000))*1000))</f>
        <v>13.860174897120629</v>
      </c>
      <c r="Q130" s="19">
        <f ca="1">IF(O130="","",IF(Tipo_Vertedor="Retangular",IF(O130&lt;=cota_s*100,0,IF(Tipo_Vertedor="Retangular",Cd_sr*Lef_sr*((O130/100-cota_s)^(3/2))*1000)),IF(O130&lt;=cota_s*100+fi_s/20,0,(OFFSET('Base de dados'!$A$4,IF(O130&lt;20,1,IF(O130&gt;1000,10,MATCH(O130,Cargas,1))),Coluna_fis,1,1))*(PI()*(fi_s/1000)^2/4)*(2*9.81*(O130/100-cota_s-fi_s/2/1000))^0.5*1000)))</f>
        <v>0</v>
      </c>
      <c r="R130" s="19">
        <f t="shared" ca="1" si="17"/>
        <v>13.860174897120629</v>
      </c>
      <c r="S130" s="19">
        <f t="shared" ca="1" si="18"/>
        <v>566.02077319456248</v>
      </c>
      <c r="AD130" s="19" t="str">
        <f t="shared" si="28"/>
        <v/>
      </c>
      <c r="AE130" s="19" t="str">
        <f t="shared" si="29"/>
        <v/>
      </c>
      <c r="AF130" s="19" t="str">
        <f>IF(ISERROR(IF('Hidrograma afluente'!I137="",0,'Hidrograma afluente'!I137)+Simulação!G130),"",IF('Hidrograma afluente'!I137="",0,'Hidrograma afluente'!I137)+Simulação!G130)</f>
        <v/>
      </c>
      <c r="AG130" s="17" t="s">
        <v>160</v>
      </c>
      <c r="AH130" s="17" t="s">
        <v>160</v>
      </c>
      <c r="AI130" s="27" t="s">
        <v>160</v>
      </c>
      <c r="AJ130" s="17" t="s">
        <v>160</v>
      </c>
      <c r="AK130" s="19" t="str">
        <f>IF(A130="","",IF('Hidrograma afluente'!I137="",0,'Hidrograma afluente'!I137)+Simulação!B130)</f>
        <v/>
      </c>
    </row>
    <row r="131" spans="1:37" s="17" customFormat="1">
      <c r="A131" s="4" t="str">
        <f t="shared" si="19"/>
        <v/>
      </c>
      <c r="B131" s="5" t="str">
        <f>IF(A131="","",IF(A131&gt;tc_lot_i+tc,0,IF('Hidrograma afluente'!B138="","",'Hidrograma afluente'!B138)))</f>
        <v/>
      </c>
      <c r="C131" s="21" t="str">
        <f t="shared" si="20"/>
        <v/>
      </c>
      <c r="D131" s="21" t="str">
        <f t="shared" si="21"/>
        <v/>
      </c>
      <c r="E131" s="21" t="str">
        <f t="shared" si="22"/>
        <v/>
      </c>
      <c r="F131" s="21" t="str">
        <f t="shared" si="23"/>
        <v/>
      </c>
      <c r="G131" s="21" t="str">
        <f t="shared" si="24"/>
        <v/>
      </c>
      <c r="H131" s="23" t="str">
        <f t="shared" si="30"/>
        <v/>
      </c>
      <c r="I131" s="22" t="str">
        <f t="shared" si="25"/>
        <v/>
      </c>
      <c r="J131" s="1"/>
      <c r="K131" s="51"/>
      <c r="M131" s="81">
        <f t="shared" ca="1" si="16"/>
        <v>584.88264136931775</v>
      </c>
      <c r="N131" s="19">
        <f t="shared" si="26"/>
        <v>17.128725322665826</v>
      </c>
      <c r="O131" s="17">
        <f t="shared" si="27"/>
        <v>32.5</v>
      </c>
      <c r="P131" s="19">
        <f ca="1">IF(ISERROR(IF(O131&lt;fi_h/20,0,(OFFSET('Base de dados'!$A$5,IF(O131&lt;20,1,IF(O131&gt;1000,10,MATCH(O131,Cargas,1))),Coluna_fih,1,1))*(1+0.13*0.25)*(PI()*(fi_h/1000)^2/4)*SQRT(2*9.81*(O131/100-fi_h/2/1000))*1000)),"",IF(O131&lt;fi_h/20,0,(OFFSET('Base de dados'!$A$5,IF(O131&lt;20,1,IF(O131&gt;1000,10,MATCH(O131,Cargas,1))),Coluna_fih,1,1))*(PI()*(fi_h/1000)^2/4)*SQRT(2*9.81*(O131/100-fi_h/2/1000))*1000))</f>
        <v>13.925130613790222</v>
      </c>
      <c r="Q131" s="19">
        <f ca="1">IF(O131="","",IF(Tipo_Vertedor="Retangular",IF(O131&lt;=cota_s*100,0,IF(Tipo_Vertedor="Retangular",Cd_sr*Lef_sr*((O131/100-cota_s)^(3/2))*1000)),IF(O131&lt;=cota_s*100+fi_s/20,0,(OFFSET('Base de dados'!$A$4,IF(O131&lt;20,1,IF(O131&gt;1000,10,MATCH(O131,Cargas,1))),Coluna_fis,1,1))*(PI()*(fi_s/1000)^2/4)*(2*9.81*(O131/100-cota_s-fi_s/2/1000))^0.5*1000)))</f>
        <v>0</v>
      </c>
      <c r="R131" s="19">
        <f t="shared" ca="1" si="17"/>
        <v>13.925130613790222</v>
      </c>
      <c r="S131" s="19">
        <f t="shared" ca="1" si="18"/>
        <v>570.95751075552755</v>
      </c>
      <c r="AD131" s="19" t="str">
        <f t="shared" si="28"/>
        <v/>
      </c>
      <c r="AE131" s="19" t="str">
        <f t="shared" si="29"/>
        <v/>
      </c>
      <c r="AF131" s="19" t="str">
        <f>IF(ISERROR(IF('Hidrograma afluente'!I138="",0,'Hidrograma afluente'!I138)+Simulação!G131),"",IF('Hidrograma afluente'!I138="",0,'Hidrograma afluente'!I138)+Simulação!G131)</f>
        <v/>
      </c>
      <c r="AG131" s="17" t="s">
        <v>160</v>
      </c>
      <c r="AH131" s="17" t="s">
        <v>160</v>
      </c>
      <c r="AI131" s="27" t="s">
        <v>160</v>
      </c>
      <c r="AJ131" s="17" t="s">
        <v>160</v>
      </c>
      <c r="AK131" s="19" t="str">
        <f>IF(A131="","",IF('Hidrograma afluente'!I138="",0,'Hidrograma afluente'!I138)+Simulação!B131)</f>
        <v/>
      </c>
    </row>
    <row r="132" spans="1:37" s="17" customFormat="1">
      <c r="A132" s="4" t="str">
        <f t="shared" si="19"/>
        <v/>
      </c>
      <c r="B132" s="5" t="str">
        <f>IF(A132="","",IF(A132&gt;tc_lot_i+tc,0,IF('Hidrograma afluente'!B139="","",'Hidrograma afluente'!B139)))</f>
        <v/>
      </c>
      <c r="C132" s="21" t="str">
        <f t="shared" si="20"/>
        <v/>
      </c>
      <c r="D132" s="21" t="str">
        <f t="shared" si="21"/>
        <v/>
      </c>
      <c r="E132" s="21" t="str">
        <f t="shared" si="22"/>
        <v/>
      </c>
      <c r="F132" s="21" t="str">
        <f t="shared" si="23"/>
        <v/>
      </c>
      <c r="G132" s="21" t="str">
        <f t="shared" si="24"/>
        <v/>
      </c>
      <c r="H132" s="23" t="str">
        <f t="shared" si="30"/>
        <v/>
      </c>
      <c r="I132" s="22" t="str">
        <f t="shared" si="25"/>
        <v/>
      </c>
      <c r="J132" s="1"/>
      <c r="K132" s="51"/>
      <c r="M132" s="81">
        <f t="shared" ca="1" si="16"/>
        <v>589.88876606883969</v>
      </c>
      <c r="N132" s="19">
        <f t="shared" si="26"/>
        <v>17.276969439895293</v>
      </c>
      <c r="O132" s="17">
        <f t="shared" si="27"/>
        <v>32.75</v>
      </c>
      <c r="P132" s="19">
        <f ca="1">IF(ISERROR(IF(O132&lt;fi_h/20,0,(OFFSET('Base de dados'!$A$5,IF(O132&lt;20,1,IF(O132&gt;1000,10,MATCH(O132,Cargas,1))),Coluna_fih,1,1))*(1+0.13*0.25)*(PI()*(fi_h/1000)^2/4)*SQRT(2*9.81*(O132/100-fi_h/2/1000))*1000)),"",IF(O132&lt;fi_h/20,0,(OFFSET('Base de dados'!$A$5,IF(O132&lt;20,1,IF(O132&gt;1000,10,MATCH(O132,Cargas,1))),Coluna_fih,1,1))*(PI()*(fi_h/1000)^2/4)*SQRT(2*9.81*(O132/100-fi_h/2/1000))*1000))</f>
        <v>13.989784738996605</v>
      </c>
      <c r="Q132" s="19">
        <f ca="1">IF(O132="","",IF(Tipo_Vertedor="Retangular",IF(O132&lt;=cota_s*100,0,IF(Tipo_Vertedor="Retangular",Cd_sr*Lef_sr*((O132/100-cota_s)^(3/2))*1000)),IF(O132&lt;=cota_s*100+fi_s/20,0,(OFFSET('Base de dados'!$A$4,IF(O132&lt;20,1,IF(O132&gt;1000,10,MATCH(O132,Cargas,1))),Coluna_fis,1,1))*(PI()*(fi_s/1000)^2/4)*(2*9.81*(O132/100-cota_s-fi_s/2/1000))^0.5*1000)))</f>
        <v>0</v>
      </c>
      <c r="R132" s="19">
        <f t="shared" ca="1" si="17"/>
        <v>13.989784738996605</v>
      </c>
      <c r="S132" s="19">
        <f t="shared" ca="1" si="18"/>
        <v>575.89898132984308</v>
      </c>
      <c r="AD132" s="19" t="str">
        <f t="shared" si="28"/>
        <v/>
      </c>
      <c r="AE132" s="19" t="str">
        <f t="shared" si="29"/>
        <v/>
      </c>
      <c r="AF132" s="19" t="str">
        <f>IF(ISERROR(IF('Hidrograma afluente'!I139="",0,'Hidrograma afluente'!I139)+Simulação!G132),"",IF('Hidrograma afluente'!I139="",0,'Hidrograma afluente'!I139)+Simulação!G132)</f>
        <v/>
      </c>
      <c r="AG132" s="17" t="s">
        <v>160</v>
      </c>
      <c r="AH132" s="17" t="s">
        <v>160</v>
      </c>
      <c r="AI132" s="27" t="s">
        <v>160</v>
      </c>
      <c r="AJ132" s="17" t="s">
        <v>160</v>
      </c>
      <c r="AK132" s="19" t="str">
        <f>IF(A132="","",IF('Hidrograma afluente'!I139="",0,'Hidrograma afluente'!I139)+Simulação!B132)</f>
        <v/>
      </c>
    </row>
    <row r="133" spans="1:37" s="17" customFormat="1">
      <c r="A133" s="4" t="str">
        <f t="shared" si="19"/>
        <v/>
      </c>
      <c r="B133" s="5" t="str">
        <f>IF(A133="","",IF(A133&gt;tc_lot_i+tc,0,IF('Hidrograma afluente'!B140="","",'Hidrograma afluente'!B140)))</f>
        <v/>
      </c>
      <c r="C133" s="21" t="str">
        <f t="shared" si="20"/>
        <v/>
      </c>
      <c r="D133" s="21" t="str">
        <f t="shared" si="21"/>
        <v/>
      </c>
      <c r="E133" s="21" t="str">
        <f t="shared" si="22"/>
        <v/>
      </c>
      <c r="F133" s="21" t="str">
        <f t="shared" si="23"/>
        <v/>
      </c>
      <c r="G133" s="21" t="str">
        <f t="shared" si="24"/>
        <v/>
      </c>
      <c r="H133" s="23" t="str">
        <f t="shared" si="30"/>
        <v/>
      </c>
      <c r="I133" s="22" t="str">
        <f t="shared" si="25"/>
        <v/>
      </c>
      <c r="J133" s="1"/>
      <c r="K133" s="51"/>
      <c r="M133" s="81">
        <f t="shared" ref="M133:M196" ca="1" si="31">IF(O133="","",2*N133*1000/(Passo*60)+R133)</f>
        <v>594.89929470786285</v>
      </c>
      <c r="N133" s="19">
        <f t="shared" si="26"/>
        <v>17.425354598185006</v>
      </c>
      <c r="O133" s="17">
        <f t="shared" si="27"/>
        <v>33</v>
      </c>
      <c r="P133" s="19">
        <f ca="1">IF(ISERROR(IF(O133&lt;fi_h/20,0,(OFFSET('Base de dados'!$A$5,IF(O133&lt;20,1,IF(O133&gt;1000,10,MATCH(O133,Cargas,1))),Coluna_fih,1,1))*(1+0.13*0.25)*(PI()*(fi_h/1000)^2/4)*SQRT(2*9.81*(O133/100-fi_h/2/1000))*1000)),"",IF(O133&lt;fi_h/20,0,(OFFSET('Base de dados'!$A$5,IF(O133&lt;20,1,IF(O133&gt;1000,10,MATCH(O133,Cargas,1))),Coluna_fih,1,1))*(PI()*(fi_h/1000)^2/4)*SQRT(2*9.81*(O133/100-fi_h/2/1000))*1000))</f>
        <v>14.054141435029289</v>
      </c>
      <c r="Q133" s="19">
        <f ca="1">IF(O133="","",IF(Tipo_Vertedor="Retangular",IF(O133&lt;=cota_s*100,0,IF(Tipo_Vertedor="Retangular",Cd_sr*Lef_sr*((O133/100-cota_s)^(3/2))*1000)),IF(O133&lt;=cota_s*100+fi_s/20,0,(OFFSET('Base de dados'!$A$4,IF(O133&lt;20,1,IF(O133&gt;1000,10,MATCH(O133,Cargas,1))),Coluna_fis,1,1))*(PI()*(fi_s/1000)^2/4)*(2*9.81*(O133/100-cota_s-fi_s/2/1000))^0.5*1000)))</f>
        <v>0</v>
      </c>
      <c r="R133" s="19">
        <f t="shared" ref="R133:R196" ca="1" si="32">IF(O133="","",Q133+P133)</f>
        <v>14.054141435029289</v>
      </c>
      <c r="S133" s="19">
        <f t="shared" ref="S133:S196" ca="1" si="33">IF(M133="","",2*N133*1000/(Passo*60))</f>
        <v>580.84515327283361</v>
      </c>
      <c r="AD133" s="19" t="str">
        <f t="shared" si="28"/>
        <v/>
      </c>
      <c r="AE133" s="19" t="str">
        <f t="shared" si="29"/>
        <v/>
      </c>
      <c r="AF133" s="19" t="str">
        <f>IF(ISERROR(IF('Hidrograma afluente'!I140="",0,'Hidrograma afluente'!I140)+Simulação!G133),"",IF('Hidrograma afluente'!I140="",0,'Hidrograma afluente'!I140)+Simulação!G133)</f>
        <v/>
      </c>
      <c r="AG133" s="17" t="s">
        <v>160</v>
      </c>
      <c r="AH133" s="17" t="s">
        <v>160</v>
      </c>
      <c r="AI133" s="27" t="s">
        <v>160</v>
      </c>
      <c r="AJ133" s="17" t="s">
        <v>160</v>
      </c>
      <c r="AK133" s="19" t="str">
        <f>IF(A133="","",IF('Hidrograma afluente'!I140="",0,'Hidrograma afluente'!I140)+Simulação!B133)</f>
        <v/>
      </c>
    </row>
    <row r="134" spans="1:37" s="17" customFormat="1">
      <c r="A134" s="4" t="str">
        <f t="shared" ref="A134:A197" si="34">IF(ISERROR(IF(A133+Passo&lt;=tempo_simul,A133+Passo,"")),"",IF(A133+Passo&lt;=tempo_simul,A133+Passo,""))</f>
        <v/>
      </c>
      <c r="B134" s="5" t="str">
        <f>IF(A134="","",IF(A134&gt;tc_lot_i+tc,0,IF('Hidrograma afluente'!B141="","",'Hidrograma afluente'!B141)))</f>
        <v/>
      </c>
      <c r="C134" s="21" t="str">
        <f t="shared" ref="C134:C197" si="35">IF(B135=0,0,IF(B135="","",B135))</f>
        <v/>
      </c>
      <c r="D134" s="21" t="str">
        <f t="shared" ref="D134:D197" si="36">IF(A134="","",IF(ISERROR(VLOOKUP(H133,tabela_auxiliar,7,1)),0,VLOOKUP(H133,tabela_auxiliar,7,1)))</f>
        <v/>
      </c>
      <c r="E134" s="21" t="str">
        <f t="shared" ref="E134:E197" si="37">IF(A134="","",IF(ISERROR(VLOOKUP(H133,tabela_auxiliar,4,TRUE)),0,VLOOKUP(H133,tabela_auxiliar,4,TRUE)))</f>
        <v/>
      </c>
      <c r="F134" s="21" t="str">
        <f t="shared" ref="F134:F197" si="38">IF(A134="","",IF(ISERROR(VLOOKUP(H133,tabela_auxiliar,5,TRUE)),0,VLOOKUP(H133,tabela_auxiliar,5,TRUE)))</f>
        <v/>
      </c>
      <c r="G134" s="21" t="str">
        <f t="shared" ref="G134:G197" si="39">IF(A134="","",IF(ISERROR(VLOOKUP(H133,tabela_auxiliar,6,TRUE)),0,VLOOKUP(H133,tabela_auxiliar,6,TRUE)))</f>
        <v/>
      </c>
      <c r="H134" s="23" t="str">
        <f t="shared" si="30"/>
        <v/>
      </c>
      <c r="I134" s="22" t="str">
        <f t="shared" ref="I134:I197" si="40">IF(A134="","",IF(ISERROR(VLOOKUP(H133,tabela_auxiliar,3,TRUE)),0,VLOOKUP(H133,tabela_auxiliar,3,TRUE)))</f>
        <v/>
      </c>
      <c r="J134" s="1"/>
      <c r="K134" s="51"/>
      <c r="M134" s="81">
        <f t="shared" ca="1" si="31"/>
        <v>599.91420015895926</v>
      </c>
      <c r="N134" s="19">
        <f t="shared" ref="N134:N197" si="41">IF(O134="","",b_0*(O134/100)^c_0)</f>
        <v>17.573879861689495</v>
      </c>
      <c r="O134" s="17">
        <f t="shared" ref="O134:O197" si="42">IF(ISERROR(IF(O133+passo_altura&gt;h_max_puls*100,"",O133+passo_altura)),"",IF(O133+passo_altura&gt;h_max_puls*100,"",O133+passo_altura))</f>
        <v>33.25</v>
      </c>
      <c r="P134" s="19">
        <f ca="1">IF(ISERROR(IF(O134&lt;fi_h/20,0,(OFFSET('Base de dados'!$A$5,IF(O134&lt;20,1,IF(O134&gt;1000,10,MATCH(O134,Cargas,1))),Coluna_fih,1,1))*(1+0.13*0.25)*(PI()*(fi_h/1000)^2/4)*SQRT(2*9.81*(O134/100-fi_h/2/1000))*1000)),"",IF(O134&lt;fi_h/20,0,(OFFSET('Base de dados'!$A$5,IF(O134&lt;20,1,IF(O134&gt;1000,10,MATCH(O134,Cargas,1))),Coluna_fih,1,1))*(PI()*(fi_h/1000)^2/4)*SQRT(2*9.81*(O134/100-fi_h/2/1000))*1000))</f>
        <v>14.118204769309438</v>
      </c>
      <c r="Q134" s="19">
        <f ca="1">IF(O134="","",IF(Tipo_Vertedor="Retangular",IF(O134&lt;=cota_s*100,0,IF(Tipo_Vertedor="Retangular",Cd_sr*Lef_sr*((O134/100-cota_s)^(3/2))*1000)),IF(O134&lt;=cota_s*100+fi_s/20,0,(OFFSET('Base de dados'!$A$4,IF(O134&lt;20,1,IF(O134&gt;1000,10,MATCH(O134,Cargas,1))),Coluna_fis,1,1))*(PI()*(fi_s/1000)^2/4)*(2*9.81*(O134/100-cota_s-fi_s/2/1000))^0.5*1000)))</f>
        <v>0</v>
      </c>
      <c r="R134" s="19">
        <f t="shared" ca="1" si="32"/>
        <v>14.118204769309438</v>
      </c>
      <c r="S134" s="19">
        <f t="shared" ca="1" si="33"/>
        <v>585.79599538964987</v>
      </c>
      <c r="AD134" s="19" t="str">
        <f t="shared" ref="AD134:AD197" si="43">IF(A134="","",AVERAGE(B134+B133)*Passo*60/1000+AD133)</f>
        <v/>
      </c>
      <c r="AE134" s="19" t="str">
        <f t="shared" ref="AE134:AE197" si="44">IF(A134="","",AE133+AVERAGE(G134+G133)*Passo*60/1000)</f>
        <v/>
      </c>
      <c r="AF134" s="19" t="str">
        <f>IF(ISERROR(IF('Hidrograma afluente'!I141="",0,'Hidrograma afluente'!I141)+Simulação!G134),"",IF('Hidrograma afluente'!I141="",0,'Hidrograma afluente'!I141)+Simulação!G134)</f>
        <v/>
      </c>
      <c r="AG134" s="17" t="s">
        <v>160</v>
      </c>
      <c r="AH134" s="17" t="s">
        <v>160</v>
      </c>
      <c r="AI134" s="27" t="s">
        <v>160</v>
      </c>
      <c r="AJ134" s="17" t="s">
        <v>160</v>
      </c>
      <c r="AK134" s="19" t="str">
        <f>IF(A134="","",IF('Hidrograma afluente'!I141="",0,'Hidrograma afluente'!I141)+Simulação!B134)</f>
        <v/>
      </c>
    </row>
    <row r="135" spans="1:37" s="17" customFormat="1">
      <c r="A135" s="4" t="str">
        <f t="shared" si="34"/>
        <v/>
      </c>
      <c r="B135" s="5" t="str">
        <f>IF(A135="","",IF(A135&gt;tc_lot_i+tc,0,IF('Hidrograma afluente'!B142="","",'Hidrograma afluente'!B142)))</f>
        <v/>
      </c>
      <c r="C135" s="21" t="str">
        <f t="shared" si="35"/>
        <v/>
      </c>
      <c r="D135" s="21" t="str">
        <f t="shared" si="36"/>
        <v/>
      </c>
      <c r="E135" s="21" t="str">
        <f t="shared" si="37"/>
        <v/>
      </c>
      <c r="F135" s="21" t="str">
        <f t="shared" si="38"/>
        <v/>
      </c>
      <c r="G135" s="21" t="str">
        <f t="shared" si="39"/>
        <v/>
      </c>
      <c r="H135" s="23" t="str">
        <f t="shared" si="30"/>
        <v/>
      </c>
      <c r="I135" s="22" t="str">
        <f t="shared" si="40"/>
        <v/>
      </c>
      <c r="J135" s="1"/>
      <c r="K135" s="51"/>
      <c r="M135" s="81">
        <f t="shared" ca="1" si="31"/>
        <v>604.93345564292758</v>
      </c>
      <c r="N135" s="19">
        <f t="shared" si="41"/>
        <v>17.722544307766132</v>
      </c>
      <c r="O135" s="17">
        <f t="shared" si="42"/>
        <v>33.5</v>
      </c>
      <c r="P135" s="19">
        <f ca="1">IF(ISERROR(IF(O135&lt;fi_h/20,0,(OFFSET('Base de dados'!$A$5,IF(O135&lt;20,1,IF(O135&gt;1000,10,MATCH(O135,Cargas,1))),Coluna_fih,1,1))*(1+0.13*0.25)*(PI()*(fi_h/1000)^2/4)*SQRT(2*9.81*(O135/100-fi_h/2/1000))*1000)),"",IF(O135&lt;fi_h/20,0,(OFFSET('Base de dados'!$A$5,IF(O135&lt;20,1,IF(O135&gt;1000,10,MATCH(O135,Cargas,1))),Coluna_fih,1,1))*(PI()*(fi_h/1000)^2/4)*SQRT(2*9.81*(O135/100-fi_h/2/1000))*1000))</f>
        <v>14.181978717389773</v>
      </c>
      <c r="Q135" s="19">
        <f ca="1">IF(O135="","",IF(Tipo_Vertedor="Retangular",IF(O135&lt;=cota_s*100,0,IF(Tipo_Vertedor="Retangular",Cd_sr*Lef_sr*((O135/100-cota_s)^(3/2))*1000)),IF(O135&lt;=cota_s*100+fi_s/20,0,(OFFSET('Base de dados'!$A$4,IF(O135&lt;20,1,IF(O135&gt;1000,10,MATCH(O135,Cargas,1))),Coluna_fis,1,1))*(PI()*(fi_s/1000)^2/4)*(2*9.81*(O135/100-cota_s-fi_s/2/1000))^0.5*1000)))</f>
        <v>0</v>
      </c>
      <c r="R135" s="19">
        <f t="shared" ca="1" si="32"/>
        <v>14.181978717389773</v>
      </c>
      <c r="S135" s="19">
        <f t="shared" ca="1" si="33"/>
        <v>590.75147692553776</v>
      </c>
      <c r="AD135" s="19" t="str">
        <f t="shared" si="43"/>
        <v/>
      </c>
      <c r="AE135" s="19" t="str">
        <f t="shared" si="44"/>
        <v/>
      </c>
      <c r="AF135" s="19" t="str">
        <f>IF(ISERROR(IF('Hidrograma afluente'!I142="",0,'Hidrograma afluente'!I142)+Simulação!G135),"",IF('Hidrograma afluente'!I142="",0,'Hidrograma afluente'!I142)+Simulação!G135)</f>
        <v/>
      </c>
      <c r="AG135" s="17" t="s">
        <v>160</v>
      </c>
      <c r="AH135" s="17" t="s">
        <v>160</v>
      </c>
      <c r="AI135" s="27" t="s">
        <v>160</v>
      </c>
      <c r="AJ135" s="17" t="s">
        <v>160</v>
      </c>
      <c r="AK135" s="19" t="str">
        <f>IF(A135="","",IF('Hidrograma afluente'!I142="",0,'Hidrograma afluente'!I142)+Simulação!B135)</f>
        <v/>
      </c>
    </row>
    <row r="136" spans="1:37" s="17" customFormat="1">
      <c r="A136" s="4" t="str">
        <f t="shared" si="34"/>
        <v/>
      </c>
      <c r="B136" s="5" t="str">
        <f>IF(A136="","",IF(A136&gt;tc_lot_i+tc,0,IF('Hidrograma afluente'!B143="","",'Hidrograma afluente'!B143)))</f>
        <v/>
      </c>
      <c r="C136" s="21" t="str">
        <f t="shared" si="35"/>
        <v/>
      </c>
      <c r="D136" s="21" t="str">
        <f t="shared" si="36"/>
        <v/>
      </c>
      <c r="E136" s="21" t="str">
        <f t="shared" si="37"/>
        <v/>
      </c>
      <c r="F136" s="21" t="str">
        <f t="shared" si="38"/>
        <v/>
      </c>
      <c r="G136" s="21" t="str">
        <f t="shared" si="39"/>
        <v/>
      </c>
      <c r="H136" s="23" t="str">
        <f t="shared" si="30"/>
        <v/>
      </c>
      <c r="I136" s="22" t="str">
        <f t="shared" si="40"/>
        <v/>
      </c>
      <c r="J136" s="1"/>
      <c r="K136" s="51"/>
      <c r="M136" s="81">
        <f t="shared" ca="1" si="31"/>
        <v>609.95703472222408</v>
      </c>
      <c r="N136" s="19">
        <f t="shared" si="41"/>
        <v>17.871347026691719</v>
      </c>
      <c r="O136" s="17">
        <f t="shared" si="42"/>
        <v>33.75</v>
      </c>
      <c r="P136" s="19">
        <f ca="1">IF(ISERROR(IF(O136&lt;fi_h/20,0,(OFFSET('Base de dados'!$A$5,IF(O136&lt;20,1,IF(O136&gt;1000,10,MATCH(O136,Cargas,1))),Coluna_fih,1,1))*(1+0.13*0.25)*(PI()*(fi_h/1000)^2/4)*SQRT(2*9.81*(O136/100-fi_h/2/1000))*1000)),"",IF(O136&lt;fi_h/20,0,(OFFSET('Base de dados'!$A$5,IF(O136&lt;20,1,IF(O136&gt;1000,10,MATCH(O136,Cargas,1))),Coluna_fih,1,1))*(PI()*(fi_h/1000)^2/4)*SQRT(2*9.81*(O136/100-fi_h/2/1000))*1000))</f>
        <v>14.24546716583353</v>
      </c>
      <c r="Q136" s="19">
        <f ca="1">IF(O136="","",IF(Tipo_Vertedor="Retangular",IF(O136&lt;=cota_s*100,0,IF(Tipo_Vertedor="Retangular",Cd_sr*Lef_sr*((O136/100-cota_s)^(3/2))*1000)),IF(O136&lt;=cota_s*100+fi_s/20,0,(OFFSET('Base de dados'!$A$4,IF(O136&lt;20,1,IF(O136&gt;1000,10,MATCH(O136,Cargas,1))),Coluna_fis,1,1))*(PI()*(fi_s/1000)^2/4)*(2*9.81*(O136/100-cota_s-fi_s/2/1000))^0.5*1000)))</f>
        <v>0</v>
      </c>
      <c r="R136" s="19">
        <f t="shared" ca="1" si="32"/>
        <v>14.24546716583353</v>
      </c>
      <c r="S136" s="19">
        <f t="shared" ca="1" si="33"/>
        <v>595.71156755639061</v>
      </c>
      <c r="AD136" s="19" t="str">
        <f t="shared" si="43"/>
        <v/>
      </c>
      <c r="AE136" s="19" t="str">
        <f t="shared" si="44"/>
        <v/>
      </c>
      <c r="AF136" s="19" t="str">
        <f>IF(ISERROR(IF('Hidrograma afluente'!I143="",0,'Hidrograma afluente'!I143)+Simulação!G136),"",IF('Hidrograma afluente'!I143="",0,'Hidrograma afluente'!I143)+Simulação!G136)</f>
        <v/>
      </c>
      <c r="AG136" s="17" t="s">
        <v>160</v>
      </c>
      <c r="AH136" s="17" t="s">
        <v>160</v>
      </c>
      <c r="AI136" s="27" t="s">
        <v>160</v>
      </c>
      <c r="AJ136" s="17" t="s">
        <v>160</v>
      </c>
      <c r="AK136" s="19" t="str">
        <f>IF(A136="","",IF('Hidrograma afluente'!I143="",0,'Hidrograma afluente'!I143)+Simulação!B136)</f>
        <v/>
      </c>
    </row>
    <row r="137" spans="1:37" s="17" customFormat="1">
      <c r="A137" s="4" t="str">
        <f t="shared" si="34"/>
        <v/>
      </c>
      <c r="B137" s="5" t="str">
        <f>IF(A137="","",IF(A137&gt;tc_lot_i+tc,0,IF('Hidrograma afluente'!B144="","",'Hidrograma afluente'!B144)))</f>
        <v/>
      </c>
      <c r="C137" s="21" t="str">
        <f t="shared" si="35"/>
        <v/>
      </c>
      <c r="D137" s="21" t="str">
        <f t="shared" si="36"/>
        <v/>
      </c>
      <c r="E137" s="21" t="str">
        <f t="shared" si="37"/>
        <v/>
      </c>
      <c r="F137" s="21" t="str">
        <f t="shared" si="38"/>
        <v/>
      </c>
      <c r="G137" s="21" t="str">
        <f t="shared" si="39"/>
        <v/>
      </c>
      <c r="H137" s="23" t="str">
        <f t="shared" si="30"/>
        <v/>
      </c>
      <c r="I137" s="22" t="str">
        <f t="shared" si="40"/>
        <v/>
      </c>
      <c r="J137" s="1"/>
      <c r="K137" s="51"/>
      <c r="M137" s="81">
        <f t="shared" ca="1" si="31"/>
        <v>614.98491129455067</v>
      </c>
      <c r="N137" s="19">
        <f t="shared" si="41"/>
        <v>18.020287121387167</v>
      </c>
      <c r="O137" s="17">
        <f t="shared" si="42"/>
        <v>34</v>
      </c>
      <c r="P137" s="19">
        <f ca="1">IF(ISERROR(IF(O137&lt;fi_h/20,0,(OFFSET('Base de dados'!$A$5,IF(O137&lt;20,1,IF(O137&gt;1000,10,MATCH(O137,Cargas,1))),Coluna_fih,1,1))*(1+0.13*0.25)*(PI()*(fi_h/1000)^2/4)*SQRT(2*9.81*(O137/100-fi_h/2/1000))*1000)),"",IF(O137&lt;fi_h/20,0,(OFFSET('Base de dados'!$A$5,IF(O137&lt;20,1,IF(O137&gt;1000,10,MATCH(O137,Cargas,1))),Coluna_fih,1,1))*(PI()*(fi_h/1000)^2/4)*SQRT(2*9.81*(O137/100-fi_h/2/1000))*1000))</f>
        <v>14.308673914978494</v>
      </c>
      <c r="Q137" s="19">
        <f ca="1">IF(O137="","",IF(Tipo_Vertedor="Retangular",IF(O137&lt;=cota_s*100,0,IF(Tipo_Vertedor="Retangular",Cd_sr*Lef_sr*((O137/100-cota_s)^(3/2))*1000)),IF(O137&lt;=cota_s*100+fi_s/20,0,(OFFSET('Base de dados'!$A$4,IF(O137&lt;20,1,IF(O137&gt;1000,10,MATCH(O137,Cargas,1))),Coluna_fis,1,1))*(PI()*(fi_s/1000)^2/4)*(2*9.81*(O137/100-cota_s-fi_s/2/1000))^0.5*1000)))</f>
        <v>0</v>
      </c>
      <c r="R137" s="19">
        <f t="shared" ca="1" si="32"/>
        <v>14.308673914978494</v>
      </c>
      <c r="S137" s="19">
        <f t="shared" ca="1" si="33"/>
        <v>600.67623737957217</v>
      </c>
      <c r="AD137" s="19" t="str">
        <f t="shared" si="43"/>
        <v/>
      </c>
      <c r="AE137" s="19" t="str">
        <f t="shared" si="44"/>
        <v/>
      </c>
      <c r="AF137" s="19" t="str">
        <f>IF(ISERROR(IF('Hidrograma afluente'!I144="",0,'Hidrograma afluente'!I144)+Simulação!G137),"",IF('Hidrograma afluente'!I144="",0,'Hidrograma afluente'!I144)+Simulação!G137)</f>
        <v/>
      </c>
      <c r="AG137" s="17" t="s">
        <v>160</v>
      </c>
      <c r="AH137" s="17" t="s">
        <v>160</v>
      </c>
      <c r="AI137" s="27" t="s">
        <v>160</v>
      </c>
      <c r="AJ137" s="17" t="s">
        <v>160</v>
      </c>
      <c r="AK137" s="19" t="str">
        <f>IF(A137="","",IF('Hidrograma afluente'!I144="",0,'Hidrograma afluente'!I144)+Simulação!B137)</f>
        <v/>
      </c>
    </row>
    <row r="138" spans="1:37" s="17" customFormat="1">
      <c r="A138" s="4" t="str">
        <f t="shared" si="34"/>
        <v/>
      </c>
      <c r="B138" s="5" t="str">
        <f>IF(A138="","",IF(A138&gt;tc_lot_i+tc,0,IF('Hidrograma afluente'!B145="","",'Hidrograma afluente'!B145)))</f>
        <v/>
      </c>
      <c r="C138" s="21" t="str">
        <f t="shared" si="35"/>
        <v/>
      </c>
      <c r="D138" s="21" t="str">
        <f t="shared" si="36"/>
        <v/>
      </c>
      <c r="E138" s="21" t="str">
        <f t="shared" si="37"/>
        <v/>
      </c>
      <c r="F138" s="21" t="str">
        <f t="shared" si="38"/>
        <v/>
      </c>
      <c r="G138" s="21" t="str">
        <f t="shared" si="39"/>
        <v/>
      </c>
      <c r="H138" s="23" t="str">
        <f t="shared" si="30"/>
        <v/>
      </c>
      <c r="I138" s="22" t="str">
        <f t="shared" si="40"/>
        <v/>
      </c>
      <c r="J138" s="1"/>
      <c r="K138" s="51"/>
      <c r="M138" s="81">
        <f t="shared" ca="1" si="31"/>
        <v>620.01705958659136</v>
      </c>
      <c r="N138" s="19">
        <f t="shared" si="41"/>
        <v>18.169363707149991</v>
      </c>
      <c r="O138" s="17">
        <f t="shared" si="42"/>
        <v>34.25</v>
      </c>
      <c r="P138" s="19">
        <f ca="1">IF(ISERROR(IF(O138&lt;fi_h/20,0,(OFFSET('Base de dados'!$A$5,IF(O138&lt;20,1,IF(O138&gt;1000,10,MATCH(O138,Cargas,1))),Coluna_fih,1,1))*(1+0.13*0.25)*(PI()*(fi_h/1000)^2/4)*SQRT(2*9.81*(O138/100-fi_h/2/1000))*1000)),"",IF(O138&lt;fi_h/20,0,(OFFSET('Base de dados'!$A$5,IF(O138&lt;20,1,IF(O138&gt;1000,10,MATCH(O138,Cargas,1))),Coluna_fih,1,1))*(PI()*(fi_h/1000)^2/4)*SQRT(2*9.81*(O138/100-fi_h/2/1000))*1000))</f>
        <v>14.371602681591595</v>
      </c>
      <c r="Q138" s="19">
        <f ca="1">IF(O138="","",IF(Tipo_Vertedor="Retangular",IF(O138&lt;=cota_s*100,0,IF(Tipo_Vertedor="Retangular",Cd_sr*Lef_sr*((O138/100-cota_s)^(3/2))*1000)),IF(O138&lt;=cota_s*100+fi_s/20,0,(OFFSET('Base de dados'!$A$4,IF(O138&lt;20,1,IF(O138&gt;1000,10,MATCH(O138,Cargas,1))),Coluna_fis,1,1))*(PI()*(fi_s/1000)^2/4)*(2*9.81*(O138/100-cota_s-fi_s/2/1000))^0.5*1000)))</f>
        <v>0</v>
      </c>
      <c r="R138" s="19">
        <f t="shared" ca="1" si="32"/>
        <v>14.371602681591595</v>
      </c>
      <c r="S138" s="19">
        <f t="shared" ca="1" si="33"/>
        <v>605.64545690499972</v>
      </c>
      <c r="AD138" s="19" t="str">
        <f t="shared" si="43"/>
        <v/>
      </c>
      <c r="AE138" s="19" t="str">
        <f t="shared" si="44"/>
        <v/>
      </c>
      <c r="AF138" s="19" t="str">
        <f>IF(ISERROR(IF('Hidrograma afluente'!I145="",0,'Hidrograma afluente'!I145)+Simulação!G138),"",IF('Hidrograma afluente'!I145="",0,'Hidrograma afluente'!I145)+Simulação!G138)</f>
        <v/>
      </c>
      <c r="AG138" s="17" t="s">
        <v>160</v>
      </c>
      <c r="AH138" s="17" t="s">
        <v>160</v>
      </c>
      <c r="AI138" s="27" t="s">
        <v>160</v>
      </c>
      <c r="AJ138" s="17" t="s">
        <v>160</v>
      </c>
      <c r="AK138" s="19" t="str">
        <f>IF(A138="","",IF('Hidrograma afluente'!I145="",0,'Hidrograma afluente'!I145)+Simulação!B138)</f>
        <v/>
      </c>
    </row>
    <row r="139" spans="1:37" s="17" customFormat="1">
      <c r="A139" s="4" t="str">
        <f t="shared" si="34"/>
        <v/>
      </c>
      <c r="B139" s="5" t="str">
        <f>IF(A139="","",IF(A139&gt;tc_lot_i+tc,0,IF('Hidrograma afluente'!B146="","",'Hidrograma afluente'!B146)))</f>
        <v/>
      </c>
      <c r="C139" s="21" t="str">
        <f t="shared" si="35"/>
        <v/>
      </c>
      <c r="D139" s="21" t="str">
        <f t="shared" si="36"/>
        <v/>
      </c>
      <c r="E139" s="21" t="str">
        <f t="shared" si="37"/>
        <v/>
      </c>
      <c r="F139" s="21" t="str">
        <f t="shared" si="38"/>
        <v/>
      </c>
      <c r="G139" s="21" t="str">
        <f t="shared" si="39"/>
        <v/>
      </c>
      <c r="H139" s="23" t="str">
        <f t="shared" si="30"/>
        <v/>
      </c>
      <c r="I139" s="22" t="str">
        <f t="shared" si="40"/>
        <v/>
      </c>
      <c r="J139" s="1"/>
      <c r="K139" s="51"/>
      <c r="M139" s="81">
        <f t="shared" ca="1" si="31"/>
        <v>625.05345414790236</v>
      </c>
      <c r="N139" s="19">
        <f t="shared" si="41"/>
        <v>18.31857591139449</v>
      </c>
      <c r="O139" s="17">
        <f t="shared" si="42"/>
        <v>34.5</v>
      </c>
      <c r="P139" s="19">
        <f ca="1">IF(ISERROR(IF(O139&lt;fi_h/20,0,(OFFSET('Base de dados'!$A$5,IF(O139&lt;20,1,IF(O139&gt;1000,10,MATCH(O139,Cargas,1))),Coluna_fih,1,1))*(1+0.13*0.25)*(PI()*(fi_h/1000)^2/4)*SQRT(2*9.81*(O139/100-fi_h/2/1000))*1000)),"",IF(O139&lt;fi_h/20,0,(OFFSET('Base de dados'!$A$5,IF(O139&lt;20,1,IF(O139&gt;1000,10,MATCH(O139,Cargas,1))),Coluna_fih,1,1))*(PI()*(fi_h/1000)^2/4)*SQRT(2*9.81*(O139/100-fi_h/2/1000))*1000))</f>
        <v>14.434257101419364</v>
      </c>
      <c r="Q139" s="19">
        <f ca="1">IF(O139="","",IF(Tipo_Vertedor="Retangular",IF(O139&lt;=cota_s*100,0,IF(Tipo_Vertedor="Retangular",Cd_sr*Lef_sr*((O139/100-cota_s)^(3/2))*1000)),IF(O139&lt;=cota_s*100+fi_s/20,0,(OFFSET('Base de dados'!$A$4,IF(O139&lt;20,1,IF(O139&gt;1000,10,MATCH(O139,Cargas,1))),Coluna_fis,1,1))*(PI()*(fi_s/1000)^2/4)*(2*9.81*(O139/100-cota_s-fi_s/2/1000))^0.5*1000)))</f>
        <v>0</v>
      </c>
      <c r="R139" s="19">
        <f t="shared" ca="1" si="32"/>
        <v>14.434257101419364</v>
      </c>
      <c r="S139" s="19">
        <f t="shared" ca="1" si="33"/>
        <v>610.61919704648301</v>
      </c>
      <c r="AD139" s="19" t="str">
        <f t="shared" si="43"/>
        <v/>
      </c>
      <c r="AE139" s="19" t="str">
        <f t="shared" si="44"/>
        <v/>
      </c>
      <c r="AF139" s="19" t="str">
        <f>IF(ISERROR(IF('Hidrograma afluente'!I146="",0,'Hidrograma afluente'!I146)+Simulação!G139),"",IF('Hidrograma afluente'!I146="",0,'Hidrograma afluente'!I146)+Simulação!G139)</f>
        <v/>
      </c>
      <c r="AG139" s="17" t="s">
        <v>160</v>
      </c>
      <c r="AH139" s="17" t="s">
        <v>160</v>
      </c>
      <c r="AI139" s="27" t="s">
        <v>160</v>
      </c>
      <c r="AJ139" s="17" t="s">
        <v>160</v>
      </c>
      <c r="AK139" s="19" t="str">
        <f>IF(A139="","",IF('Hidrograma afluente'!I146="",0,'Hidrograma afluente'!I146)+Simulação!B139)</f>
        <v/>
      </c>
    </row>
    <row r="140" spans="1:37" s="17" customFormat="1">
      <c r="A140" s="4" t="str">
        <f t="shared" si="34"/>
        <v/>
      </c>
      <c r="B140" s="5" t="str">
        <f>IF(A140="","",IF(A140&gt;tc_lot_i+tc,0,IF('Hidrograma afluente'!B147="","",'Hidrograma afluente'!B147)))</f>
        <v/>
      </c>
      <c r="C140" s="21" t="str">
        <f t="shared" si="35"/>
        <v/>
      </c>
      <c r="D140" s="21" t="str">
        <f t="shared" si="36"/>
        <v/>
      </c>
      <c r="E140" s="21" t="str">
        <f t="shared" si="37"/>
        <v/>
      </c>
      <c r="F140" s="21" t="str">
        <f t="shared" si="38"/>
        <v/>
      </c>
      <c r="G140" s="21" t="str">
        <f t="shared" si="39"/>
        <v/>
      </c>
      <c r="H140" s="23" t="str">
        <f t="shared" si="30"/>
        <v/>
      </c>
      <c r="I140" s="22" t="str">
        <f t="shared" si="40"/>
        <v/>
      </c>
      <c r="J140" s="1"/>
      <c r="K140" s="51"/>
      <c r="M140" s="81">
        <f t="shared" ca="1" si="31"/>
        <v>630.09406984494217</v>
      </c>
      <c r="N140" s="19">
        <f t="shared" si="41"/>
        <v>18.46792287339909</v>
      </c>
      <c r="O140" s="17">
        <f t="shared" si="42"/>
        <v>34.75</v>
      </c>
      <c r="P140" s="19">
        <f ca="1">IF(ISERROR(IF(O140&lt;fi_h/20,0,(OFFSET('Base de dados'!$A$5,IF(O140&lt;20,1,IF(O140&gt;1000,10,MATCH(O140,Cargas,1))),Coluna_fih,1,1))*(1+0.13*0.25)*(PI()*(fi_h/1000)^2/4)*SQRT(2*9.81*(O140/100-fi_h/2/1000))*1000)),"",IF(O140&lt;fi_h/20,0,(OFFSET('Base de dados'!$A$5,IF(O140&lt;20,1,IF(O140&gt;1000,10,MATCH(O140,Cargas,1))),Coluna_fih,1,1))*(PI()*(fi_h/1000)^2/4)*SQRT(2*9.81*(O140/100-fi_h/2/1000))*1000))</f>
        <v>14.496640731639181</v>
      </c>
      <c r="Q140" s="19">
        <f ca="1">IF(O140="","",IF(Tipo_Vertedor="Retangular",IF(O140&lt;=cota_s*100,0,IF(Tipo_Vertedor="Retangular",Cd_sr*Lef_sr*((O140/100-cota_s)^(3/2))*1000)),IF(O140&lt;=cota_s*100+fi_s/20,0,(OFFSET('Base de dados'!$A$4,IF(O140&lt;20,1,IF(O140&gt;1000,10,MATCH(O140,Cargas,1))),Coluna_fis,1,1))*(PI()*(fi_s/1000)^2/4)*(2*9.81*(O140/100-cota_s-fi_s/2/1000))^0.5*1000)))</f>
        <v>0</v>
      </c>
      <c r="R140" s="19">
        <f t="shared" ca="1" si="32"/>
        <v>14.496640731639181</v>
      </c>
      <c r="S140" s="19">
        <f t="shared" ca="1" si="33"/>
        <v>615.59742911330295</v>
      </c>
      <c r="AD140" s="19" t="str">
        <f t="shared" si="43"/>
        <v/>
      </c>
      <c r="AE140" s="19" t="str">
        <f t="shared" si="44"/>
        <v/>
      </c>
      <c r="AF140" s="19" t="str">
        <f>IF(ISERROR(IF('Hidrograma afluente'!I147="",0,'Hidrograma afluente'!I147)+Simulação!G140),"",IF('Hidrograma afluente'!I147="",0,'Hidrograma afluente'!I147)+Simulação!G140)</f>
        <v/>
      </c>
      <c r="AG140" s="17" t="s">
        <v>160</v>
      </c>
      <c r="AH140" s="17" t="s">
        <v>160</v>
      </c>
      <c r="AI140" s="27" t="s">
        <v>160</v>
      </c>
      <c r="AJ140" s="17" t="s">
        <v>160</v>
      </c>
      <c r="AK140" s="19" t="str">
        <f>IF(A140="","",IF('Hidrograma afluente'!I147="",0,'Hidrograma afluente'!I147)+Simulação!B140)</f>
        <v/>
      </c>
    </row>
    <row r="141" spans="1:37" s="17" customFormat="1">
      <c r="A141" s="4" t="str">
        <f t="shared" si="34"/>
        <v/>
      </c>
      <c r="B141" s="5" t="str">
        <f>IF(A141="","",IF(A141&gt;tc_lot_i+tc,0,IF('Hidrograma afluente'!B148="","",'Hidrograma afluente'!B148)))</f>
        <v/>
      </c>
      <c r="C141" s="21" t="str">
        <f t="shared" si="35"/>
        <v/>
      </c>
      <c r="D141" s="21" t="str">
        <f t="shared" si="36"/>
        <v/>
      </c>
      <c r="E141" s="21" t="str">
        <f t="shared" si="37"/>
        <v/>
      </c>
      <c r="F141" s="21" t="str">
        <f t="shared" si="38"/>
        <v/>
      </c>
      <c r="G141" s="21" t="str">
        <f t="shared" si="39"/>
        <v/>
      </c>
      <c r="H141" s="23" t="str">
        <f t="shared" si="30"/>
        <v/>
      </c>
      <c r="I141" s="22" t="str">
        <f t="shared" si="40"/>
        <v/>
      </c>
      <c r="J141" s="1"/>
      <c r="K141" s="51"/>
      <c r="M141" s="81">
        <f t="shared" ca="1" si="31"/>
        <v>635.13888185524331</v>
      </c>
      <c r="N141" s="19">
        <f t="shared" si="41"/>
        <v>18.617403744060823</v>
      </c>
      <c r="O141" s="17">
        <f t="shared" si="42"/>
        <v>35</v>
      </c>
      <c r="P141" s="19">
        <f ca="1">IF(ISERROR(IF(O141&lt;fi_h/20,0,(OFFSET('Base de dados'!$A$5,IF(O141&lt;20,1,IF(O141&gt;1000,10,MATCH(O141,Cargas,1))),Coluna_fih,1,1))*(1+0.13*0.25)*(PI()*(fi_h/1000)^2/4)*SQRT(2*9.81*(O141/100-fi_h/2/1000))*1000)),"",IF(O141&lt;fi_h/20,0,(OFFSET('Base de dados'!$A$5,IF(O141&lt;20,1,IF(O141&gt;1000,10,MATCH(O141,Cargas,1))),Coluna_fih,1,1))*(PI()*(fi_h/1000)^2/4)*SQRT(2*9.81*(O141/100-fi_h/2/1000))*1000))</f>
        <v>14.558757053215938</v>
      </c>
      <c r="Q141" s="19">
        <f ca="1">IF(O141="","",IF(Tipo_Vertedor="Retangular",IF(O141&lt;=cota_s*100,0,IF(Tipo_Vertedor="Retangular",Cd_sr*Lef_sr*((O141/100-cota_s)^(3/2))*1000)),IF(O141&lt;=cota_s*100+fi_s/20,0,(OFFSET('Base de dados'!$A$4,IF(O141&lt;20,1,IF(O141&gt;1000,10,MATCH(O141,Cargas,1))),Coluna_fis,1,1))*(PI()*(fi_s/1000)^2/4)*(2*9.81*(O141/100-cota_s-fi_s/2/1000))^0.5*1000)))</f>
        <v>0</v>
      </c>
      <c r="R141" s="19">
        <f t="shared" ca="1" si="32"/>
        <v>14.558757053215938</v>
      </c>
      <c r="S141" s="19">
        <f t="shared" ca="1" si="33"/>
        <v>620.5801248020274</v>
      </c>
      <c r="AD141" s="19" t="str">
        <f t="shared" si="43"/>
        <v/>
      </c>
      <c r="AE141" s="19" t="str">
        <f t="shared" si="44"/>
        <v/>
      </c>
      <c r="AF141" s="19" t="str">
        <f>IF(ISERROR(IF('Hidrograma afluente'!I148="",0,'Hidrograma afluente'!I148)+Simulação!G141),"",IF('Hidrograma afluente'!I148="",0,'Hidrograma afluente'!I148)+Simulação!G141)</f>
        <v/>
      </c>
      <c r="AG141" s="17" t="s">
        <v>160</v>
      </c>
      <c r="AH141" s="17" t="s">
        <v>160</v>
      </c>
      <c r="AI141" s="27" t="s">
        <v>160</v>
      </c>
      <c r="AJ141" s="17" t="s">
        <v>160</v>
      </c>
      <c r="AK141" s="19" t="str">
        <f>IF(A141="","",IF('Hidrograma afluente'!I148="",0,'Hidrograma afluente'!I148)+Simulação!B141)</f>
        <v/>
      </c>
    </row>
    <row r="142" spans="1:37" s="17" customFormat="1">
      <c r="A142" s="4" t="str">
        <f t="shared" si="34"/>
        <v/>
      </c>
      <c r="B142" s="5" t="str">
        <f>IF(A142="","",IF(A142&gt;tc_lot_i+tc,0,IF('Hidrograma afluente'!B149="","",'Hidrograma afluente'!B149)))</f>
        <v/>
      </c>
      <c r="C142" s="21" t="str">
        <f t="shared" si="35"/>
        <v/>
      </c>
      <c r="D142" s="21" t="str">
        <f t="shared" si="36"/>
        <v/>
      </c>
      <c r="E142" s="21" t="str">
        <f t="shared" si="37"/>
        <v/>
      </c>
      <c r="F142" s="21" t="str">
        <f t="shared" si="38"/>
        <v/>
      </c>
      <c r="G142" s="21" t="str">
        <f t="shared" si="39"/>
        <v/>
      </c>
      <c r="H142" s="23" t="str">
        <f t="shared" si="30"/>
        <v/>
      </c>
      <c r="I142" s="22" t="str">
        <f t="shared" si="40"/>
        <v/>
      </c>
      <c r="J142" s="1"/>
      <c r="K142" s="51"/>
      <c r="M142" s="81">
        <f t="shared" ca="1" si="31"/>
        <v>640.18786566172139</v>
      </c>
      <c r="N142" s="19">
        <f t="shared" si="41"/>
        <v>18.767017685656583</v>
      </c>
      <c r="O142" s="17">
        <f t="shared" si="42"/>
        <v>35.25</v>
      </c>
      <c r="P142" s="19">
        <f ca="1">IF(ISERROR(IF(O142&lt;fi_h/20,0,(OFFSET('Base de dados'!$A$5,IF(O142&lt;20,1,IF(O142&gt;1000,10,MATCH(O142,Cargas,1))),Coluna_fih,1,1))*(1+0.13*0.25)*(PI()*(fi_h/1000)^2/4)*SQRT(2*9.81*(O142/100-fi_h/2/1000))*1000)),"",IF(O142&lt;fi_h/20,0,(OFFSET('Base de dados'!$A$5,IF(O142&lt;20,1,IF(O142&gt;1000,10,MATCH(O142,Cargas,1))),Coluna_fih,1,1))*(PI()*(fi_h/1000)^2/4)*SQRT(2*9.81*(O142/100-fi_h/2/1000))*1000))</f>
        <v>14.620609473168674</v>
      </c>
      <c r="Q142" s="19">
        <f ca="1">IF(O142="","",IF(Tipo_Vertedor="Retangular",IF(O142&lt;=cota_s*100,0,IF(Tipo_Vertedor="Retangular",Cd_sr*Lef_sr*((O142/100-cota_s)^(3/2))*1000)),IF(O142&lt;=cota_s*100+fi_s/20,0,(OFFSET('Base de dados'!$A$4,IF(O142&lt;20,1,IF(O142&gt;1000,10,MATCH(O142,Cargas,1))),Coluna_fis,1,1))*(PI()*(fi_s/1000)^2/4)*(2*9.81*(O142/100-cota_s-fi_s/2/1000))^0.5*1000)))</f>
        <v>0</v>
      </c>
      <c r="R142" s="19">
        <f t="shared" ca="1" si="32"/>
        <v>14.620609473168674</v>
      </c>
      <c r="S142" s="19">
        <f t="shared" ca="1" si="33"/>
        <v>625.56725618855273</v>
      </c>
      <c r="AD142" s="19" t="str">
        <f t="shared" si="43"/>
        <v/>
      </c>
      <c r="AE142" s="19" t="str">
        <f t="shared" si="44"/>
        <v/>
      </c>
      <c r="AF142" s="19" t="str">
        <f>IF(ISERROR(IF('Hidrograma afluente'!I149="",0,'Hidrograma afluente'!I149)+Simulação!G142),"",IF('Hidrograma afluente'!I149="",0,'Hidrograma afluente'!I149)+Simulação!G142)</f>
        <v/>
      </c>
      <c r="AG142" s="17" t="s">
        <v>160</v>
      </c>
      <c r="AH142" s="17" t="s">
        <v>160</v>
      </c>
      <c r="AI142" s="27" t="s">
        <v>160</v>
      </c>
      <c r="AJ142" s="17" t="s">
        <v>160</v>
      </c>
      <c r="AK142" s="19" t="str">
        <f>IF(A142="","",IF('Hidrograma afluente'!I149="",0,'Hidrograma afluente'!I149)+Simulação!B142)</f>
        <v/>
      </c>
    </row>
    <row r="143" spans="1:37" s="17" customFormat="1">
      <c r="A143" s="4" t="str">
        <f t="shared" si="34"/>
        <v/>
      </c>
      <c r="B143" s="5" t="str">
        <f>IF(A143="","",IF(A143&gt;tc_lot_i+tc,0,IF('Hidrograma afluente'!B150="","",'Hidrograma afluente'!B150)))</f>
        <v/>
      </c>
      <c r="C143" s="21" t="str">
        <f t="shared" si="35"/>
        <v/>
      </c>
      <c r="D143" s="21" t="str">
        <f t="shared" si="36"/>
        <v/>
      </c>
      <c r="E143" s="21" t="str">
        <f t="shared" si="37"/>
        <v/>
      </c>
      <c r="F143" s="21" t="str">
        <f t="shared" si="38"/>
        <v/>
      </c>
      <c r="G143" s="21" t="str">
        <f t="shared" si="39"/>
        <v/>
      </c>
      <c r="H143" s="23" t="str">
        <f t="shared" si="30"/>
        <v/>
      </c>
      <c r="I143" s="22" t="str">
        <f t="shared" si="40"/>
        <v/>
      </c>
      <c r="J143" s="1"/>
      <c r="K143" s="51"/>
      <c r="M143" s="81">
        <f t="shared" ca="1" si="31"/>
        <v>645.24099704711546</v>
      </c>
      <c r="N143" s="19">
        <f t="shared" si="41"/>
        <v>18.916763871610929</v>
      </c>
      <c r="O143" s="17">
        <f t="shared" si="42"/>
        <v>35.5</v>
      </c>
      <c r="P143" s="19">
        <f ca="1">IF(ISERROR(IF(O143&lt;fi_h/20,0,(OFFSET('Base de dados'!$A$5,IF(O143&lt;20,1,IF(O143&gt;1000,10,MATCH(O143,Cargas,1))),Coluna_fih,1,1))*(1+0.13*0.25)*(PI()*(fi_h/1000)^2/4)*SQRT(2*9.81*(O143/100-fi_h/2/1000))*1000)),"",IF(O143&lt;fi_h/20,0,(OFFSET('Base de dados'!$A$5,IF(O143&lt;20,1,IF(O143&gt;1000,10,MATCH(O143,Cargas,1))),Coluna_fih,1,1))*(PI()*(fi_h/1000)^2/4)*SQRT(2*9.81*(O143/100-fi_h/2/1000))*1000))</f>
        <v>14.682201326751187</v>
      </c>
      <c r="Q143" s="19">
        <f ca="1">IF(O143="","",IF(Tipo_Vertedor="Retangular",IF(O143&lt;=cota_s*100,0,IF(Tipo_Vertedor="Retangular",Cd_sr*Lef_sr*((O143/100-cota_s)^(3/2))*1000)),IF(O143&lt;=cota_s*100+fi_s/20,0,(OFFSET('Base de dados'!$A$4,IF(O143&lt;20,1,IF(O143&gt;1000,10,MATCH(O143,Cargas,1))),Coluna_fis,1,1))*(PI()*(fi_s/1000)^2/4)*(2*9.81*(O143/100-cota_s-fi_s/2/1000))^0.5*1000)))</f>
        <v>0</v>
      </c>
      <c r="R143" s="19">
        <f t="shared" ca="1" si="32"/>
        <v>14.682201326751187</v>
      </c>
      <c r="S143" s="19">
        <f t="shared" ca="1" si="33"/>
        <v>630.55879572036429</v>
      </c>
      <c r="AD143" s="19" t="str">
        <f t="shared" si="43"/>
        <v/>
      </c>
      <c r="AE143" s="19" t="str">
        <f t="shared" si="44"/>
        <v/>
      </c>
      <c r="AF143" s="19" t="str">
        <f>IF(ISERROR(IF('Hidrograma afluente'!I150="",0,'Hidrograma afluente'!I150)+Simulação!G143),"",IF('Hidrograma afluente'!I150="",0,'Hidrograma afluente'!I150)+Simulação!G143)</f>
        <v/>
      </c>
      <c r="AG143" s="17" t="s">
        <v>160</v>
      </c>
      <c r="AH143" s="17" t="s">
        <v>160</v>
      </c>
      <c r="AI143" s="27" t="s">
        <v>160</v>
      </c>
      <c r="AJ143" s="17" t="s">
        <v>160</v>
      </c>
      <c r="AK143" s="19" t="str">
        <f>IF(A143="","",IF('Hidrograma afluente'!I150="",0,'Hidrograma afluente'!I150)+Simulação!B143)</f>
        <v/>
      </c>
    </row>
    <row r="144" spans="1:37" s="17" customFormat="1">
      <c r="A144" s="4" t="str">
        <f t="shared" si="34"/>
        <v/>
      </c>
      <c r="B144" s="5" t="str">
        <f>IF(A144="","",IF(A144&gt;tc_lot_i+tc,0,IF('Hidrograma afluente'!B151="","",'Hidrograma afluente'!B151)))</f>
        <v/>
      </c>
      <c r="C144" s="21" t="str">
        <f t="shared" si="35"/>
        <v/>
      </c>
      <c r="D144" s="21" t="str">
        <f t="shared" si="36"/>
        <v/>
      </c>
      <c r="E144" s="21" t="str">
        <f t="shared" si="37"/>
        <v/>
      </c>
      <c r="F144" s="21" t="str">
        <f t="shared" si="38"/>
        <v/>
      </c>
      <c r="G144" s="21" t="str">
        <f t="shared" si="39"/>
        <v/>
      </c>
      <c r="H144" s="23" t="str">
        <f t="shared" si="30"/>
        <v/>
      </c>
      <c r="I144" s="22" t="str">
        <f t="shared" si="40"/>
        <v/>
      </c>
      <c r="J144" s="1"/>
      <c r="K144" s="51"/>
      <c r="M144" s="81">
        <f t="shared" ca="1" si="31"/>
        <v>650.29825208855937</v>
      </c>
      <c r="N144" s="19">
        <f t="shared" si="41"/>
        <v>19.066641486270264</v>
      </c>
      <c r="O144" s="17">
        <f t="shared" si="42"/>
        <v>35.75</v>
      </c>
      <c r="P144" s="19">
        <f ca="1">IF(ISERROR(IF(O144&lt;fi_h/20,0,(OFFSET('Base de dados'!$A$5,IF(O144&lt;20,1,IF(O144&gt;1000,10,MATCH(O144,Cargas,1))),Coluna_fih,1,1))*(1+0.13*0.25)*(PI()*(fi_h/1000)^2/4)*SQRT(2*9.81*(O144/100-fi_h/2/1000))*1000)),"",IF(O144&lt;fi_h/20,0,(OFFSET('Base de dados'!$A$5,IF(O144&lt;20,1,IF(O144&gt;1000,10,MATCH(O144,Cargas,1))),Coluna_fih,1,1))*(PI()*(fi_h/1000)^2/4)*SQRT(2*9.81*(O144/100-fi_h/2/1000))*1000))</f>
        <v>14.743535879550706</v>
      </c>
      <c r="Q144" s="19">
        <f ca="1">IF(O144="","",IF(Tipo_Vertedor="Retangular",IF(O144&lt;=cota_s*100,0,IF(Tipo_Vertedor="Retangular",Cd_sr*Lef_sr*((O144/100-cota_s)^(3/2))*1000)),IF(O144&lt;=cota_s*100+fi_s/20,0,(OFFSET('Base de dados'!$A$4,IF(O144&lt;20,1,IF(O144&gt;1000,10,MATCH(O144,Cargas,1))),Coluna_fis,1,1))*(PI()*(fi_s/1000)^2/4)*(2*9.81*(O144/100-cota_s-fi_s/2/1000))^0.5*1000)))</f>
        <v>0</v>
      </c>
      <c r="R144" s="19">
        <f t="shared" ca="1" si="32"/>
        <v>14.743535879550706</v>
      </c>
      <c r="S144" s="19">
        <f t="shared" ca="1" si="33"/>
        <v>635.55471620900869</v>
      </c>
      <c r="AD144" s="19" t="str">
        <f t="shared" si="43"/>
        <v/>
      </c>
      <c r="AE144" s="19" t="str">
        <f t="shared" si="44"/>
        <v/>
      </c>
      <c r="AF144" s="19" t="str">
        <f>IF(ISERROR(IF('Hidrograma afluente'!I151="",0,'Hidrograma afluente'!I151)+Simulação!G144),"",IF('Hidrograma afluente'!I151="",0,'Hidrograma afluente'!I151)+Simulação!G144)</f>
        <v/>
      </c>
      <c r="AG144" s="17" t="s">
        <v>160</v>
      </c>
      <c r="AH144" s="17" t="s">
        <v>160</v>
      </c>
      <c r="AI144" s="27" t="s">
        <v>160</v>
      </c>
      <c r="AJ144" s="17" t="s">
        <v>160</v>
      </c>
      <c r="AK144" s="19" t="str">
        <f>IF(A144="","",IF('Hidrograma afluente'!I151="",0,'Hidrograma afluente'!I151)+Simulação!B144)</f>
        <v/>
      </c>
    </row>
    <row r="145" spans="1:37" s="17" customFormat="1">
      <c r="A145" s="4" t="str">
        <f t="shared" si="34"/>
        <v/>
      </c>
      <c r="B145" s="5" t="str">
        <f>IF(A145="","",IF(A145&gt;tc_lot_i+tc,0,IF('Hidrograma afluente'!B152="","",'Hidrograma afluente'!B152)))</f>
        <v/>
      </c>
      <c r="C145" s="21" t="str">
        <f t="shared" si="35"/>
        <v/>
      </c>
      <c r="D145" s="21" t="str">
        <f t="shared" si="36"/>
        <v/>
      </c>
      <c r="E145" s="21" t="str">
        <f t="shared" si="37"/>
        <v/>
      </c>
      <c r="F145" s="21" t="str">
        <f t="shared" si="38"/>
        <v/>
      </c>
      <c r="G145" s="21" t="str">
        <f t="shared" si="39"/>
        <v/>
      </c>
      <c r="H145" s="23" t="str">
        <f t="shared" si="30"/>
        <v/>
      </c>
      <c r="I145" s="22" t="str">
        <f t="shared" si="40"/>
        <v/>
      </c>
      <c r="J145" s="1"/>
      <c r="K145" s="51"/>
      <c r="M145" s="81">
        <f t="shared" ca="1" si="31"/>
        <v>655.35960715227839</v>
      </c>
      <c r="N145" s="19">
        <f t="shared" si="41"/>
        <v>19.216649724683101</v>
      </c>
      <c r="O145" s="17">
        <f t="shared" si="42"/>
        <v>36</v>
      </c>
      <c r="P145" s="19">
        <f ca="1">IF(ISERROR(IF(O145&lt;fi_h/20,0,(OFFSET('Base de dados'!$A$5,IF(O145&lt;20,1,IF(O145&gt;1000,10,MATCH(O145,Cargas,1))),Coluna_fih,1,1))*(1+0.13*0.25)*(PI()*(fi_h/1000)^2/4)*SQRT(2*9.81*(O145/100-fi_h/2/1000))*1000)),"",IF(O145&lt;fi_h/20,0,(OFFSET('Base de dados'!$A$5,IF(O145&lt;20,1,IF(O145&gt;1000,10,MATCH(O145,Cargas,1))),Coluna_fih,1,1))*(PI()*(fi_h/1000)^2/4)*SQRT(2*9.81*(O145/100-fi_h/2/1000))*1000))</f>
        <v>14.804616329508299</v>
      </c>
      <c r="Q145" s="19">
        <f ca="1">IF(O145="","",IF(Tipo_Vertedor="Retangular",IF(O145&lt;=cota_s*100,0,IF(Tipo_Vertedor="Retangular",Cd_sr*Lef_sr*((O145/100-cota_s)^(3/2))*1000)),IF(O145&lt;=cota_s*100+fi_s/20,0,(OFFSET('Base de dados'!$A$4,IF(O145&lt;20,1,IF(O145&gt;1000,10,MATCH(O145,Cargas,1))),Coluna_fis,1,1))*(PI()*(fi_s/1000)^2/4)*(2*9.81*(O145/100-cota_s-fi_s/2/1000))^0.5*1000)))</f>
        <v>0</v>
      </c>
      <c r="R145" s="19">
        <f t="shared" ca="1" si="32"/>
        <v>14.804616329508299</v>
      </c>
      <c r="S145" s="19">
        <f t="shared" ca="1" si="33"/>
        <v>640.55499082277004</v>
      </c>
      <c r="AD145" s="19" t="str">
        <f t="shared" si="43"/>
        <v/>
      </c>
      <c r="AE145" s="19" t="str">
        <f t="shared" si="44"/>
        <v/>
      </c>
      <c r="AF145" s="19" t="str">
        <f>IF(ISERROR(IF('Hidrograma afluente'!I152="",0,'Hidrograma afluente'!I152)+Simulação!G145),"",IF('Hidrograma afluente'!I152="",0,'Hidrograma afluente'!I152)+Simulação!G145)</f>
        <v/>
      </c>
      <c r="AG145" s="17" t="s">
        <v>160</v>
      </c>
      <c r="AH145" s="17" t="s">
        <v>160</v>
      </c>
      <c r="AI145" s="27" t="s">
        <v>160</v>
      </c>
      <c r="AJ145" s="17" t="s">
        <v>160</v>
      </c>
      <c r="AK145" s="19" t="str">
        <f>IF(A145="","",IF('Hidrograma afluente'!I152="",0,'Hidrograma afluente'!I152)+Simulação!B145)</f>
        <v/>
      </c>
    </row>
    <row r="146" spans="1:37" s="17" customFormat="1">
      <c r="A146" s="4" t="str">
        <f t="shared" si="34"/>
        <v/>
      </c>
      <c r="B146" s="5" t="str">
        <f>IF(A146="","",IF(A146&gt;tc_lot_i+tc,0,IF('Hidrograma afluente'!B153="","",'Hidrograma afluente'!B153)))</f>
        <v/>
      </c>
      <c r="C146" s="21" t="str">
        <f t="shared" si="35"/>
        <v/>
      </c>
      <c r="D146" s="21" t="str">
        <f t="shared" si="36"/>
        <v/>
      </c>
      <c r="E146" s="21" t="str">
        <f t="shared" si="37"/>
        <v/>
      </c>
      <c r="F146" s="21" t="str">
        <f t="shared" si="38"/>
        <v/>
      </c>
      <c r="G146" s="21" t="str">
        <f t="shared" si="39"/>
        <v/>
      </c>
      <c r="H146" s="23" t="str">
        <f t="shared" si="30"/>
        <v/>
      </c>
      <c r="I146" s="22" t="str">
        <f t="shared" si="40"/>
        <v/>
      </c>
      <c r="J146" s="1"/>
      <c r="K146" s="51"/>
      <c r="M146" s="81">
        <f t="shared" ca="1" si="31"/>
        <v>660.42503888840713</v>
      </c>
      <c r="N146" s="19">
        <f t="shared" si="41"/>
        <v>19.366787792386276</v>
      </c>
      <c r="O146" s="17">
        <f t="shared" si="42"/>
        <v>36.25</v>
      </c>
      <c r="P146" s="19">
        <f ca="1">IF(ISERROR(IF(O146&lt;fi_h/20,0,(OFFSET('Base de dados'!$A$5,IF(O146&lt;20,1,IF(O146&gt;1000,10,MATCH(O146,Cargas,1))),Coluna_fih,1,1))*(1+0.13*0.25)*(PI()*(fi_h/1000)^2/4)*SQRT(2*9.81*(O146/100-fi_h/2/1000))*1000)),"",IF(O146&lt;fi_h/20,0,(OFFSET('Base de dados'!$A$5,IF(O146&lt;20,1,IF(O146&gt;1000,10,MATCH(O146,Cargas,1))),Coluna_fih,1,1))*(PI()*(fi_h/1000)^2/4)*SQRT(2*9.81*(O146/100-fi_h/2/1000))*1000))</f>
        <v>14.865445808864546</v>
      </c>
      <c r="Q146" s="19">
        <f ca="1">IF(O146="","",IF(Tipo_Vertedor="Retangular",IF(O146&lt;=cota_s*100,0,IF(Tipo_Vertedor="Retangular",Cd_sr*Lef_sr*((O146/100-cota_s)^(3/2))*1000)),IF(O146&lt;=cota_s*100+fi_s/20,0,(OFFSET('Base de dados'!$A$4,IF(O146&lt;20,1,IF(O146&gt;1000,10,MATCH(O146,Cargas,1))),Coluna_fis,1,1))*(PI()*(fi_s/1000)^2/4)*(2*9.81*(O146/100-cota_s-fi_s/2/1000))^0.5*1000)))</f>
        <v>0</v>
      </c>
      <c r="R146" s="19">
        <f t="shared" ca="1" si="32"/>
        <v>14.865445808864546</v>
      </c>
      <c r="S146" s="19">
        <f t="shared" ca="1" si="33"/>
        <v>645.55959307954254</v>
      </c>
      <c r="AD146" s="19" t="str">
        <f t="shared" si="43"/>
        <v/>
      </c>
      <c r="AE146" s="19" t="str">
        <f t="shared" si="44"/>
        <v/>
      </c>
      <c r="AF146" s="19" t="str">
        <f>IF(ISERROR(IF('Hidrograma afluente'!I153="",0,'Hidrograma afluente'!I153)+Simulação!G146),"",IF('Hidrograma afluente'!I153="",0,'Hidrograma afluente'!I153)+Simulação!G146)</f>
        <v/>
      </c>
      <c r="AG146" s="17" t="s">
        <v>160</v>
      </c>
      <c r="AH146" s="17" t="s">
        <v>160</v>
      </c>
      <c r="AI146" s="27" t="s">
        <v>160</v>
      </c>
      <c r="AJ146" s="17" t="s">
        <v>160</v>
      </c>
      <c r="AK146" s="19" t="str">
        <f>IF(A146="","",IF('Hidrograma afluente'!I153="",0,'Hidrograma afluente'!I153)+Simulação!B146)</f>
        <v/>
      </c>
    </row>
    <row r="147" spans="1:37" s="17" customFormat="1">
      <c r="A147" s="4" t="str">
        <f t="shared" si="34"/>
        <v/>
      </c>
      <c r="B147" s="5" t="str">
        <f>IF(A147="","",IF(A147&gt;tc_lot_i+tc,0,IF('Hidrograma afluente'!B154="","",'Hidrograma afluente'!B154)))</f>
        <v/>
      </c>
      <c r="C147" s="21" t="str">
        <f t="shared" si="35"/>
        <v/>
      </c>
      <c r="D147" s="21" t="str">
        <f t="shared" si="36"/>
        <v/>
      </c>
      <c r="E147" s="21" t="str">
        <f t="shared" si="37"/>
        <v/>
      </c>
      <c r="F147" s="21" t="str">
        <f t="shared" si="38"/>
        <v/>
      </c>
      <c r="G147" s="21" t="str">
        <f t="shared" si="39"/>
        <v/>
      </c>
      <c r="H147" s="23" t="str">
        <f t="shared" si="30"/>
        <v/>
      </c>
      <c r="I147" s="22" t="str">
        <f t="shared" si="40"/>
        <v/>
      </c>
      <c r="J147" s="1"/>
      <c r="K147" s="51"/>
      <c r="M147" s="81">
        <f t="shared" ca="1" si="31"/>
        <v>665.49452422592833</v>
      </c>
      <c r="N147" s="19">
        <f t="shared" si="41"/>
        <v>19.517054905196833</v>
      </c>
      <c r="O147" s="17">
        <f t="shared" si="42"/>
        <v>36.5</v>
      </c>
      <c r="P147" s="19">
        <f ca="1">IF(ISERROR(IF(O147&lt;fi_h/20,0,(OFFSET('Base de dados'!$A$5,IF(O147&lt;20,1,IF(O147&gt;1000,10,MATCH(O147,Cargas,1))),Coluna_fih,1,1))*(1+0.13*0.25)*(PI()*(fi_h/1000)^2/4)*SQRT(2*9.81*(O147/100-fi_h/2/1000))*1000)),"",IF(O147&lt;fi_h/20,0,(OFFSET('Base de dados'!$A$5,IF(O147&lt;20,1,IF(O147&gt;1000,10,MATCH(O147,Cargas,1))),Coluna_fih,1,1))*(PI()*(fi_h/1000)^2/4)*SQRT(2*9.81*(O147/100-fi_h/2/1000))*1000))</f>
        <v>14.926027386033876</v>
      </c>
      <c r="Q147" s="19">
        <f ca="1">IF(O147="","",IF(Tipo_Vertedor="Retangular",IF(O147&lt;=cota_s*100,0,IF(Tipo_Vertedor="Retangular",Cd_sr*Lef_sr*((O147/100-cota_s)^(3/2))*1000)),IF(O147&lt;=cota_s*100+fi_s/20,0,(OFFSET('Base de dados'!$A$4,IF(O147&lt;20,1,IF(O147&gt;1000,10,MATCH(O147,Cargas,1))),Coluna_fis,1,1))*(PI()*(fi_s/1000)^2/4)*(2*9.81*(O147/100-cota_s-fi_s/2/1000))^0.5*1000)))</f>
        <v>0</v>
      </c>
      <c r="R147" s="19">
        <f t="shared" ca="1" si="32"/>
        <v>14.926027386033876</v>
      </c>
      <c r="S147" s="19">
        <f t="shared" ca="1" si="33"/>
        <v>650.56849683989446</v>
      </c>
      <c r="AD147" s="19" t="str">
        <f t="shared" si="43"/>
        <v/>
      </c>
      <c r="AE147" s="19" t="str">
        <f t="shared" si="44"/>
        <v/>
      </c>
      <c r="AF147" s="19" t="str">
        <f>IF(ISERROR(IF('Hidrograma afluente'!I154="",0,'Hidrograma afluente'!I154)+Simulação!G147),"",IF('Hidrograma afluente'!I154="",0,'Hidrograma afluente'!I154)+Simulação!G147)</f>
        <v/>
      </c>
      <c r="AG147" s="17" t="s">
        <v>160</v>
      </c>
      <c r="AH147" s="17" t="s">
        <v>160</v>
      </c>
      <c r="AI147" s="27" t="s">
        <v>160</v>
      </c>
      <c r="AJ147" s="17" t="s">
        <v>160</v>
      </c>
      <c r="AK147" s="19" t="str">
        <f>IF(A147="","",IF('Hidrograma afluente'!I154="",0,'Hidrograma afluente'!I154)+Simulação!B147)</f>
        <v/>
      </c>
    </row>
    <row r="148" spans="1:37" s="17" customFormat="1">
      <c r="A148" s="4" t="str">
        <f t="shared" si="34"/>
        <v/>
      </c>
      <c r="B148" s="5" t="str">
        <f>IF(A148="","",IF(A148&gt;tc_lot_i+tc,0,IF('Hidrograma afluente'!B155="","",'Hidrograma afluente'!B155)))</f>
        <v/>
      </c>
      <c r="C148" s="21" t="str">
        <f t="shared" si="35"/>
        <v/>
      </c>
      <c r="D148" s="21" t="str">
        <f t="shared" si="36"/>
        <v/>
      </c>
      <c r="E148" s="21" t="str">
        <f t="shared" si="37"/>
        <v/>
      </c>
      <c r="F148" s="21" t="str">
        <f t="shared" si="38"/>
        <v/>
      </c>
      <c r="G148" s="21" t="str">
        <f t="shared" si="39"/>
        <v/>
      </c>
      <c r="H148" s="23" t="str">
        <f t="shared" si="30"/>
        <v/>
      </c>
      <c r="I148" s="22" t="str">
        <f t="shared" si="40"/>
        <v/>
      </c>
      <c r="J148" s="1"/>
      <c r="K148" s="51"/>
      <c r="M148" s="81">
        <f t="shared" ca="1" si="31"/>
        <v>670.56804036772792</v>
      </c>
      <c r="N148" s="19">
        <f t="shared" si="41"/>
        <v>19.667450289009516</v>
      </c>
      <c r="O148" s="17">
        <f t="shared" si="42"/>
        <v>36.75</v>
      </c>
      <c r="P148" s="19">
        <f ca="1">IF(ISERROR(IF(O148&lt;fi_h/20,0,(OFFSET('Base de dados'!$A$5,IF(O148&lt;20,1,IF(O148&gt;1000,10,MATCH(O148,Cargas,1))),Coluna_fih,1,1))*(1+0.13*0.25)*(PI()*(fi_h/1000)^2/4)*SQRT(2*9.81*(O148/100-fi_h/2/1000))*1000)),"",IF(O148&lt;fi_h/20,0,(OFFSET('Base de dados'!$A$5,IF(O148&lt;20,1,IF(O148&gt;1000,10,MATCH(O148,Cargas,1))),Coluna_fih,1,1))*(PI()*(fi_h/1000)^2/4)*SQRT(2*9.81*(O148/100-fi_h/2/1000))*1000))</f>
        <v>14.98636406741068</v>
      </c>
      <c r="Q148" s="19">
        <f ca="1">IF(O148="","",IF(Tipo_Vertedor="Retangular",IF(O148&lt;=cota_s*100,0,IF(Tipo_Vertedor="Retangular",Cd_sr*Lef_sr*((O148/100-cota_s)^(3/2))*1000)),IF(O148&lt;=cota_s*100+fi_s/20,0,(OFFSET('Base de dados'!$A$4,IF(O148&lt;20,1,IF(O148&gt;1000,10,MATCH(O148,Cargas,1))),Coluna_fis,1,1))*(PI()*(fi_s/1000)^2/4)*(2*9.81*(O148/100-cota_s-fi_s/2/1000))^0.5*1000)))</f>
        <v>0</v>
      </c>
      <c r="R148" s="19">
        <f t="shared" ca="1" si="32"/>
        <v>14.98636406741068</v>
      </c>
      <c r="S148" s="19">
        <f t="shared" ca="1" si="33"/>
        <v>655.58167630031721</v>
      </c>
      <c r="AD148" s="19" t="str">
        <f t="shared" si="43"/>
        <v/>
      </c>
      <c r="AE148" s="19" t="str">
        <f t="shared" si="44"/>
        <v/>
      </c>
      <c r="AF148" s="19" t="str">
        <f>IF(ISERROR(IF('Hidrograma afluente'!I155="",0,'Hidrograma afluente'!I155)+Simulação!G148),"",IF('Hidrograma afluente'!I155="",0,'Hidrograma afluente'!I155)+Simulação!G148)</f>
        <v/>
      </c>
      <c r="AG148" s="17" t="s">
        <v>160</v>
      </c>
      <c r="AH148" s="17" t="s">
        <v>160</v>
      </c>
      <c r="AI148" s="27" t="s">
        <v>160</v>
      </c>
      <c r="AJ148" s="17" t="s">
        <v>160</v>
      </c>
      <c r="AK148" s="19" t="str">
        <f>IF(A148="","",IF('Hidrograma afluente'!I155="",0,'Hidrograma afluente'!I155)+Simulação!B148)</f>
        <v/>
      </c>
    </row>
    <row r="149" spans="1:37" s="17" customFormat="1">
      <c r="A149" s="4" t="str">
        <f t="shared" si="34"/>
        <v/>
      </c>
      <c r="B149" s="5" t="str">
        <f>IF(A149="","",IF(A149&gt;tc_lot_i+tc,0,IF('Hidrograma afluente'!B156="","",'Hidrograma afluente'!B156)))</f>
        <v/>
      </c>
      <c r="C149" s="21" t="str">
        <f t="shared" si="35"/>
        <v/>
      </c>
      <c r="D149" s="21" t="str">
        <f t="shared" si="36"/>
        <v/>
      </c>
      <c r="E149" s="21" t="str">
        <f t="shared" si="37"/>
        <v/>
      </c>
      <c r="F149" s="21" t="str">
        <f t="shared" si="38"/>
        <v/>
      </c>
      <c r="G149" s="21" t="str">
        <f t="shared" si="39"/>
        <v/>
      </c>
      <c r="H149" s="23" t="str">
        <f t="shared" si="30"/>
        <v/>
      </c>
      <c r="I149" s="22" t="str">
        <f t="shared" si="40"/>
        <v/>
      </c>
      <c r="J149" s="1"/>
      <c r="K149" s="51"/>
      <c r="M149" s="81">
        <f t="shared" ca="1" si="31"/>
        <v>675.64556478576003</v>
      </c>
      <c r="N149" s="19">
        <f t="shared" si="41"/>
        <v>19.817973179599491</v>
      </c>
      <c r="O149" s="17">
        <f t="shared" si="42"/>
        <v>37</v>
      </c>
      <c r="P149" s="19">
        <f ca="1">IF(ISERROR(IF(O149&lt;fi_h/20,0,(OFFSET('Base de dados'!$A$5,IF(O149&lt;20,1,IF(O149&gt;1000,10,MATCH(O149,Cargas,1))),Coluna_fih,1,1))*(1+0.13*0.25)*(PI()*(fi_h/1000)^2/4)*SQRT(2*9.81*(O149/100-fi_h/2/1000))*1000)),"",IF(O149&lt;fi_h/20,0,(OFFSET('Base de dados'!$A$5,IF(O149&lt;20,1,IF(O149&gt;1000,10,MATCH(O149,Cargas,1))),Coluna_fih,1,1))*(PI()*(fi_h/1000)^2/4)*SQRT(2*9.81*(O149/100-fi_h/2/1000))*1000))</f>
        <v>15.046458799110264</v>
      </c>
      <c r="Q149" s="19">
        <f ca="1">IF(O149="","",IF(Tipo_Vertedor="Retangular",IF(O149&lt;=cota_s*100,0,IF(Tipo_Vertedor="Retangular",Cd_sr*Lef_sr*((O149/100-cota_s)^(3/2))*1000)),IF(O149&lt;=cota_s*100+fi_s/20,0,(OFFSET('Base de dados'!$A$4,IF(O149&lt;20,1,IF(O149&gt;1000,10,MATCH(O149,Cargas,1))),Coluna_fis,1,1))*(PI()*(fi_s/1000)^2/4)*(2*9.81*(O149/100-cota_s-fi_s/2/1000))^0.5*1000)))</f>
        <v>0</v>
      </c>
      <c r="R149" s="19">
        <f t="shared" ca="1" si="32"/>
        <v>15.046458799110264</v>
      </c>
      <c r="S149" s="19">
        <f t="shared" ca="1" si="33"/>
        <v>660.59910598664976</v>
      </c>
      <c r="AD149" s="19" t="str">
        <f t="shared" si="43"/>
        <v/>
      </c>
      <c r="AE149" s="19" t="str">
        <f t="shared" si="44"/>
        <v/>
      </c>
      <c r="AF149" s="19" t="str">
        <f>IF(ISERROR(IF('Hidrograma afluente'!I156="",0,'Hidrograma afluente'!I156)+Simulação!G149),"",IF('Hidrograma afluente'!I156="",0,'Hidrograma afluente'!I156)+Simulação!G149)</f>
        <v/>
      </c>
      <c r="AG149" s="17" t="s">
        <v>160</v>
      </c>
      <c r="AH149" s="17" t="s">
        <v>160</v>
      </c>
      <c r="AI149" s="27" t="s">
        <v>160</v>
      </c>
      <c r="AJ149" s="17" t="s">
        <v>160</v>
      </c>
      <c r="AK149" s="19" t="str">
        <f>IF(A149="","",IF('Hidrograma afluente'!I156="",0,'Hidrograma afluente'!I156)+Simulação!B149)</f>
        <v/>
      </c>
    </row>
    <row r="150" spans="1:37" s="17" customFormat="1">
      <c r="A150" s="4" t="str">
        <f t="shared" si="34"/>
        <v/>
      </c>
      <c r="B150" s="5" t="str">
        <f>IF(A150="","",IF(A150&gt;tc_lot_i+tc,0,IF('Hidrograma afluente'!B157="","",'Hidrograma afluente'!B157)))</f>
        <v/>
      </c>
      <c r="C150" s="21" t="str">
        <f t="shared" si="35"/>
        <v/>
      </c>
      <c r="D150" s="21" t="str">
        <f t="shared" si="36"/>
        <v/>
      </c>
      <c r="E150" s="21" t="str">
        <f t="shared" si="37"/>
        <v/>
      </c>
      <c r="F150" s="21" t="str">
        <f t="shared" si="38"/>
        <v/>
      </c>
      <c r="G150" s="21" t="str">
        <f t="shared" si="39"/>
        <v/>
      </c>
      <c r="H150" s="23" t="str">
        <f t="shared" si="30"/>
        <v/>
      </c>
      <c r="I150" s="22" t="str">
        <f t="shared" si="40"/>
        <v/>
      </c>
      <c r="J150" s="1"/>
      <c r="K150" s="51"/>
      <c r="M150" s="81">
        <f t="shared" ca="1" si="31"/>
        <v>680.72707521632606</v>
      </c>
      <c r="N150" s="19">
        <f t="shared" si="41"/>
        <v>19.968622822430355</v>
      </c>
      <c r="O150" s="17">
        <f t="shared" si="42"/>
        <v>37.25</v>
      </c>
      <c r="P150" s="19">
        <f ca="1">IF(ISERROR(IF(O150&lt;fi_h/20,0,(OFFSET('Base de dados'!$A$5,IF(O150&lt;20,1,IF(O150&gt;1000,10,MATCH(O150,Cargas,1))),Coluna_fih,1,1))*(1+0.13*0.25)*(PI()*(fi_h/1000)^2/4)*SQRT(2*9.81*(O150/100-fi_h/2/1000))*1000)),"",IF(O150&lt;fi_h/20,0,(OFFSET('Base de dados'!$A$5,IF(O150&lt;20,1,IF(O150&gt;1000,10,MATCH(O150,Cargas,1))),Coluna_fih,1,1))*(PI()*(fi_h/1000)^2/4)*SQRT(2*9.81*(O150/100-fi_h/2/1000))*1000))</f>
        <v>15.106314468647453</v>
      </c>
      <c r="Q150" s="19">
        <f ca="1">IF(O150="","",IF(Tipo_Vertedor="Retangular",IF(O150&lt;=cota_s*100,0,IF(Tipo_Vertedor="Retangular",Cd_sr*Lef_sr*((O150/100-cota_s)^(3/2))*1000)),IF(O150&lt;=cota_s*100+fi_s/20,0,(OFFSET('Base de dados'!$A$4,IF(O150&lt;20,1,IF(O150&gt;1000,10,MATCH(O150,Cargas,1))),Coluna_fis,1,1))*(PI()*(fi_s/1000)^2/4)*(2*9.81*(O150/100-cota_s-fi_s/2/1000))^0.5*1000)))</f>
        <v>0</v>
      </c>
      <c r="R150" s="19">
        <f t="shared" ca="1" si="32"/>
        <v>15.106314468647453</v>
      </c>
      <c r="S150" s="19">
        <f t="shared" ca="1" si="33"/>
        <v>665.62076074767856</v>
      </c>
      <c r="AD150" s="19" t="str">
        <f t="shared" si="43"/>
        <v/>
      </c>
      <c r="AE150" s="19" t="str">
        <f t="shared" si="44"/>
        <v/>
      </c>
      <c r="AF150" s="19" t="str">
        <f>IF(ISERROR(IF('Hidrograma afluente'!I157="",0,'Hidrograma afluente'!I157)+Simulação!G150),"",IF('Hidrograma afluente'!I157="",0,'Hidrograma afluente'!I157)+Simulação!G150)</f>
        <v/>
      </c>
      <c r="AG150" s="17" t="s">
        <v>160</v>
      </c>
      <c r="AH150" s="17" t="s">
        <v>160</v>
      </c>
      <c r="AI150" s="27" t="s">
        <v>160</v>
      </c>
      <c r="AJ150" s="17" t="s">
        <v>160</v>
      </c>
      <c r="AK150" s="19" t="str">
        <f>IF(A150="","",IF('Hidrograma afluente'!I157="",0,'Hidrograma afluente'!I157)+Simulação!B150)</f>
        <v/>
      </c>
    </row>
    <row r="151" spans="1:37" s="17" customFormat="1">
      <c r="A151" s="4" t="str">
        <f t="shared" si="34"/>
        <v/>
      </c>
      <c r="B151" s="5" t="str">
        <f>IF(A151="","",IF(A151&gt;tc_lot_i+tc,0,IF('Hidrograma afluente'!B158="","",'Hidrograma afluente'!B158)))</f>
        <v/>
      </c>
      <c r="C151" s="21" t="str">
        <f t="shared" si="35"/>
        <v/>
      </c>
      <c r="D151" s="21" t="str">
        <f t="shared" si="36"/>
        <v/>
      </c>
      <c r="E151" s="21" t="str">
        <f t="shared" si="37"/>
        <v/>
      </c>
      <c r="F151" s="21" t="str">
        <f t="shared" si="38"/>
        <v/>
      </c>
      <c r="G151" s="21" t="str">
        <f t="shared" si="39"/>
        <v/>
      </c>
      <c r="H151" s="23" t="str">
        <f t="shared" si="30"/>
        <v/>
      </c>
      <c r="I151" s="22" t="str">
        <f t="shared" si="40"/>
        <v/>
      </c>
      <c r="J151" s="1"/>
      <c r="K151" s="51"/>
      <c r="M151" s="81">
        <f t="shared" ca="1" si="31"/>
        <v>685.81254965545725</v>
      </c>
      <c r="N151" s="19">
        <f t="shared" si="41"/>
        <v>20.119398472467051</v>
      </c>
      <c r="O151" s="17">
        <f t="shared" si="42"/>
        <v>37.5</v>
      </c>
      <c r="P151" s="19">
        <f ca="1">IF(ISERROR(IF(O151&lt;fi_h/20,0,(OFFSET('Base de dados'!$A$5,IF(O151&lt;20,1,IF(O151&gt;1000,10,MATCH(O151,Cargas,1))),Coluna_fih,1,1))*(1+0.13*0.25)*(PI()*(fi_h/1000)^2/4)*SQRT(2*9.81*(O151/100-fi_h/2/1000))*1000)),"",IF(O151&lt;fi_h/20,0,(OFFSET('Base de dados'!$A$5,IF(O151&lt;20,1,IF(O151&gt;1000,10,MATCH(O151,Cargas,1))),Coluna_fih,1,1))*(PI()*(fi_h/1000)^2/4)*SQRT(2*9.81*(O151/100-fi_h/2/1000))*1000))</f>
        <v>15.165933906555578</v>
      </c>
      <c r="Q151" s="19">
        <f ca="1">IF(O151="","",IF(Tipo_Vertedor="Retangular",IF(O151&lt;=cota_s*100,0,IF(Tipo_Vertedor="Retangular",Cd_sr*Lef_sr*((O151/100-cota_s)^(3/2))*1000)),IF(O151&lt;=cota_s*100+fi_s/20,0,(OFFSET('Base de dados'!$A$4,IF(O151&lt;20,1,IF(O151&gt;1000,10,MATCH(O151,Cargas,1))),Coluna_fis,1,1))*(PI()*(fi_s/1000)^2/4)*(2*9.81*(O151/100-cota_s-fi_s/2/1000))^0.5*1000)))</f>
        <v>0</v>
      </c>
      <c r="R151" s="19">
        <f t="shared" ca="1" si="32"/>
        <v>15.165933906555578</v>
      </c>
      <c r="S151" s="19">
        <f t="shared" ca="1" si="33"/>
        <v>670.6466157489017</v>
      </c>
      <c r="AD151" s="19" t="str">
        <f t="shared" si="43"/>
        <v/>
      </c>
      <c r="AE151" s="19" t="str">
        <f t="shared" si="44"/>
        <v/>
      </c>
      <c r="AF151" s="19" t="str">
        <f>IF(ISERROR(IF('Hidrograma afluente'!I158="",0,'Hidrograma afluente'!I158)+Simulação!G151),"",IF('Hidrograma afluente'!I158="",0,'Hidrograma afluente'!I158)+Simulação!G151)</f>
        <v/>
      </c>
      <c r="AG151" s="17" t="s">
        <v>160</v>
      </c>
      <c r="AH151" s="17" t="s">
        <v>160</v>
      </c>
      <c r="AI151" s="27" t="s">
        <v>160</v>
      </c>
      <c r="AJ151" s="17" t="s">
        <v>160</v>
      </c>
      <c r="AK151" s="19" t="str">
        <f>IF(A151="","",IF('Hidrograma afluente'!I158="",0,'Hidrograma afluente'!I158)+Simulação!B151)</f>
        <v/>
      </c>
    </row>
    <row r="152" spans="1:37" s="17" customFormat="1">
      <c r="A152" s="4" t="str">
        <f t="shared" si="34"/>
        <v/>
      </c>
      <c r="B152" s="5" t="str">
        <f>IF(A152="","",IF(A152&gt;tc_lot_i+tc,0,IF('Hidrograma afluente'!B159="","",'Hidrograma afluente'!B159)))</f>
        <v/>
      </c>
      <c r="C152" s="21" t="str">
        <f t="shared" si="35"/>
        <v/>
      </c>
      <c r="D152" s="21" t="str">
        <f t="shared" si="36"/>
        <v/>
      </c>
      <c r="E152" s="21" t="str">
        <f t="shared" si="37"/>
        <v/>
      </c>
      <c r="F152" s="21" t="str">
        <f t="shared" si="38"/>
        <v/>
      </c>
      <c r="G152" s="21" t="str">
        <f t="shared" si="39"/>
        <v/>
      </c>
      <c r="H152" s="23" t="str">
        <f t="shared" si="30"/>
        <v/>
      </c>
      <c r="I152" s="22" t="str">
        <f t="shared" si="40"/>
        <v/>
      </c>
      <c r="J152" s="1"/>
      <c r="K152" s="51"/>
      <c r="M152" s="81">
        <f t="shared" ca="1" si="31"/>
        <v>690.90196635440282</v>
      </c>
      <c r="N152" s="19">
        <f t="shared" si="41"/>
        <v>20.270299393993632</v>
      </c>
      <c r="O152" s="17">
        <f t="shared" si="42"/>
        <v>37.75</v>
      </c>
      <c r="P152" s="19">
        <f ca="1">IF(ISERROR(IF(O152&lt;fi_h/20,0,(OFFSET('Base de dados'!$A$5,IF(O152&lt;20,1,IF(O152&gt;1000,10,MATCH(O152,Cargas,1))),Coluna_fih,1,1))*(1+0.13*0.25)*(PI()*(fi_h/1000)^2/4)*SQRT(2*9.81*(O152/100-fi_h/2/1000))*1000)),"",IF(O152&lt;fi_h/20,0,(OFFSET('Base de dados'!$A$5,IF(O152&lt;20,1,IF(O152&gt;1000,10,MATCH(O152,Cargas,1))),Coluna_fih,1,1))*(PI()*(fi_h/1000)^2/4)*SQRT(2*9.81*(O152/100-fi_h/2/1000))*1000))</f>
        <v>15.225319887948393</v>
      </c>
      <c r="Q152" s="19">
        <f ca="1">IF(O152="","",IF(Tipo_Vertedor="Retangular",IF(O152&lt;=cota_s*100,0,IF(Tipo_Vertedor="Retangular",Cd_sr*Lef_sr*((O152/100-cota_s)^(3/2))*1000)),IF(O152&lt;=cota_s*100+fi_s/20,0,(OFFSET('Base de dados'!$A$4,IF(O152&lt;20,1,IF(O152&gt;1000,10,MATCH(O152,Cargas,1))),Coluna_fis,1,1))*(PI()*(fi_s/1000)^2/4)*(2*9.81*(O152/100-cota_s-fi_s/2/1000))^0.5*1000)))</f>
        <v>0</v>
      </c>
      <c r="R152" s="19">
        <f t="shared" ca="1" si="32"/>
        <v>15.225319887948393</v>
      </c>
      <c r="S152" s="19">
        <f t="shared" ca="1" si="33"/>
        <v>675.67664646645437</v>
      </c>
      <c r="AD152" s="19" t="str">
        <f t="shared" si="43"/>
        <v/>
      </c>
      <c r="AE152" s="19" t="str">
        <f t="shared" si="44"/>
        <v/>
      </c>
      <c r="AF152" s="19" t="str">
        <f>IF(ISERROR(IF('Hidrograma afluente'!I159="",0,'Hidrograma afluente'!I159)+Simulação!G152),"",IF('Hidrograma afluente'!I159="",0,'Hidrograma afluente'!I159)+Simulação!G152)</f>
        <v/>
      </c>
      <c r="AG152" s="17" t="s">
        <v>160</v>
      </c>
      <c r="AH152" s="17" t="s">
        <v>160</v>
      </c>
      <c r="AI152" s="27" t="s">
        <v>160</v>
      </c>
      <c r="AJ152" s="17" t="s">
        <v>160</v>
      </c>
      <c r="AK152" s="19" t="str">
        <f>IF(A152="","",IF('Hidrograma afluente'!I159="",0,'Hidrograma afluente'!I159)+Simulação!B152)</f>
        <v/>
      </c>
    </row>
    <row r="153" spans="1:37" s="17" customFormat="1">
      <c r="A153" s="4" t="str">
        <f t="shared" si="34"/>
        <v/>
      </c>
      <c r="B153" s="5" t="str">
        <f>IF(A153="","",IF(A153&gt;tc_lot_i+tc,0,IF('Hidrograma afluente'!B160="","",'Hidrograma afluente'!B160)))</f>
        <v/>
      </c>
      <c r="C153" s="21" t="str">
        <f t="shared" si="35"/>
        <v/>
      </c>
      <c r="D153" s="21" t="str">
        <f t="shared" si="36"/>
        <v/>
      </c>
      <c r="E153" s="21" t="str">
        <f t="shared" si="37"/>
        <v/>
      </c>
      <c r="F153" s="21" t="str">
        <f t="shared" si="38"/>
        <v/>
      </c>
      <c r="G153" s="21" t="str">
        <f t="shared" si="39"/>
        <v/>
      </c>
      <c r="H153" s="23" t="str">
        <f t="shared" si="30"/>
        <v/>
      </c>
      <c r="I153" s="22" t="str">
        <f t="shared" si="40"/>
        <v/>
      </c>
      <c r="J153" s="1"/>
      <c r="K153" s="51"/>
      <c r="M153" s="81">
        <f t="shared" ca="1" si="31"/>
        <v>695.99530381522004</v>
      </c>
      <c r="N153" s="19">
        <f t="shared" si="41"/>
        <v>20.421324860435778</v>
      </c>
      <c r="O153" s="17">
        <f t="shared" si="42"/>
        <v>38</v>
      </c>
      <c r="P153" s="19">
        <f ca="1">IF(ISERROR(IF(O153&lt;fi_h/20,0,(OFFSET('Base de dados'!$A$5,IF(O153&lt;20,1,IF(O153&gt;1000,10,MATCH(O153,Cargas,1))),Coluna_fih,1,1))*(1+0.13*0.25)*(PI()*(fi_h/1000)^2/4)*SQRT(2*9.81*(O153/100-fi_h/2/1000))*1000)),"",IF(O153&lt;fi_h/20,0,(OFFSET('Base de dados'!$A$5,IF(O153&lt;20,1,IF(O153&gt;1000,10,MATCH(O153,Cargas,1))),Coluna_fih,1,1))*(PI()*(fi_h/1000)^2/4)*SQRT(2*9.81*(O153/100-fi_h/2/1000))*1000))</f>
        <v>15.284475134027391</v>
      </c>
      <c r="Q153" s="19">
        <f ca="1">IF(O153="","",IF(Tipo_Vertedor="Retangular",IF(O153&lt;=cota_s*100,0,IF(Tipo_Vertedor="Retangular",Cd_sr*Lef_sr*((O153/100-cota_s)^(3/2))*1000)),IF(O153&lt;=cota_s*100+fi_s/20,0,(OFFSET('Base de dados'!$A$4,IF(O153&lt;20,1,IF(O153&gt;1000,10,MATCH(O153,Cargas,1))),Coluna_fis,1,1))*(PI()*(fi_s/1000)^2/4)*(2*9.81*(O153/100-cota_s-fi_s/2/1000))^0.5*1000)))</f>
        <v>0</v>
      </c>
      <c r="R153" s="19">
        <f t="shared" ca="1" si="32"/>
        <v>15.284475134027391</v>
      </c>
      <c r="S153" s="19">
        <f t="shared" ca="1" si="33"/>
        <v>680.71082868119265</v>
      </c>
      <c r="AD153" s="19" t="str">
        <f t="shared" si="43"/>
        <v/>
      </c>
      <c r="AE153" s="19" t="str">
        <f t="shared" si="44"/>
        <v/>
      </c>
      <c r="AF153" s="19" t="str">
        <f>IF(ISERROR(IF('Hidrograma afluente'!I160="",0,'Hidrograma afluente'!I160)+Simulação!G153),"",IF('Hidrograma afluente'!I160="",0,'Hidrograma afluente'!I160)+Simulação!G153)</f>
        <v/>
      </c>
      <c r="AG153" s="17" t="s">
        <v>160</v>
      </c>
      <c r="AH153" s="17" t="s">
        <v>160</v>
      </c>
      <c r="AI153" s="27" t="s">
        <v>160</v>
      </c>
      <c r="AJ153" s="17" t="s">
        <v>160</v>
      </c>
      <c r="AK153" s="19" t="str">
        <f>IF(A153="","",IF('Hidrograma afluente'!I160="",0,'Hidrograma afluente'!I160)+Simulação!B153)</f>
        <v/>
      </c>
    </row>
    <row r="154" spans="1:37" s="17" customFormat="1">
      <c r="A154" s="4" t="str">
        <f t="shared" si="34"/>
        <v/>
      </c>
      <c r="B154" s="5" t="str">
        <f>IF(A154="","",IF(A154&gt;tc_lot_i+tc,0,IF('Hidrograma afluente'!B161="","",'Hidrograma afluente'!B161)))</f>
        <v/>
      </c>
      <c r="C154" s="21" t="str">
        <f t="shared" si="35"/>
        <v/>
      </c>
      <c r="D154" s="21" t="str">
        <f t="shared" si="36"/>
        <v/>
      </c>
      <c r="E154" s="21" t="str">
        <f t="shared" si="37"/>
        <v/>
      </c>
      <c r="F154" s="21" t="str">
        <f t="shared" si="38"/>
        <v/>
      </c>
      <c r="G154" s="21" t="str">
        <f t="shared" si="39"/>
        <v/>
      </c>
      <c r="H154" s="23" t="str">
        <f t="shared" si="30"/>
        <v/>
      </c>
      <c r="I154" s="22" t="str">
        <f t="shared" si="40"/>
        <v/>
      </c>
      <c r="J154" s="1"/>
      <c r="K154" s="51"/>
      <c r="M154" s="81">
        <f t="shared" ca="1" si="31"/>
        <v>701.09254078646154</v>
      </c>
      <c r="N154" s="19">
        <f t="shared" si="41"/>
        <v>20.572474154187741</v>
      </c>
      <c r="O154" s="17">
        <f t="shared" si="42"/>
        <v>38.25</v>
      </c>
      <c r="P154" s="19">
        <f ca="1">IF(ISERROR(IF(O154&lt;fi_h/20,0,(OFFSET('Base de dados'!$A$5,IF(O154&lt;20,1,IF(O154&gt;1000,10,MATCH(O154,Cargas,1))),Coluna_fih,1,1))*(1+0.13*0.25)*(PI()*(fi_h/1000)^2/4)*SQRT(2*9.81*(O154/100-fi_h/2/1000))*1000)),"",IF(O154&lt;fi_h/20,0,(OFFSET('Base de dados'!$A$5,IF(O154&lt;20,1,IF(O154&gt;1000,10,MATCH(O154,Cargas,1))),Coluna_fih,1,1))*(PI()*(fi_h/1000)^2/4)*SQRT(2*9.81*(O154/100-fi_h/2/1000))*1000))</f>
        <v>15.343402313536796</v>
      </c>
      <c r="Q154" s="19">
        <f ca="1">IF(O154="","",IF(Tipo_Vertedor="Retangular",IF(O154&lt;=cota_s*100,0,IF(Tipo_Vertedor="Retangular",Cd_sr*Lef_sr*((O154/100-cota_s)^(3/2))*1000)),IF(O154&lt;=cota_s*100+fi_s/20,0,(OFFSET('Base de dados'!$A$4,IF(O154&lt;20,1,IF(O154&gt;1000,10,MATCH(O154,Cargas,1))),Coluna_fis,1,1))*(PI()*(fi_s/1000)^2/4)*(2*9.81*(O154/100-cota_s-fi_s/2/1000))^0.5*1000)))</f>
        <v>0</v>
      </c>
      <c r="R154" s="19">
        <f t="shared" ca="1" si="32"/>
        <v>15.343402313536796</v>
      </c>
      <c r="S154" s="19">
        <f t="shared" ca="1" si="33"/>
        <v>685.74913847292476</v>
      </c>
      <c r="AD154" s="19" t="str">
        <f t="shared" si="43"/>
        <v/>
      </c>
      <c r="AE154" s="19" t="str">
        <f t="shared" si="44"/>
        <v/>
      </c>
      <c r="AF154" s="19" t="str">
        <f>IF(ISERROR(IF('Hidrograma afluente'!I161="",0,'Hidrograma afluente'!I161)+Simulação!G154),"",IF('Hidrograma afluente'!I161="",0,'Hidrograma afluente'!I161)+Simulação!G154)</f>
        <v/>
      </c>
      <c r="AG154" s="17" t="s">
        <v>160</v>
      </c>
      <c r="AH154" s="17" t="s">
        <v>160</v>
      </c>
      <c r="AI154" s="27" t="s">
        <v>160</v>
      </c>
      <c r="AJ154" s="17" t="s">
        <v>160</v>
      </c>
      <c r="AK154" s="19" t="str">
        <f>IF(A154="","",IF('Hidrograma afluente'!I161="",0,'Hidrograma afluente'!I161)+Simulação!B154)</f>
        <v/>
      </c>
    </row>
    <row r="155" spans="1:37" s="17" customFormat="1">
      <c r="A155" s="4" t="str">
        <f t="shared" si="34"/>
        <v/>
      </c>
      <c r="B155" s="5" t="str">
        <f>IF(A155="","",IF(A155&gt;tc_lot_i+tc,0,IF('Hidrograma afluente'!B162="","",'Hidrograma afluente'!B162)))</f>
        <v/>
      </c>
      <c r="C155" s="21" t="str">
        <f t="shared" si="35"/>
        <v/>
      </c>
      <c r="D155" s="21" t="str">
        <f t="shared" si="36"/>
        <v/>
      </c>
      <c r="E155" s="21" t="str">
        <f t="shared" si="37"/>
        <v/>
      </c>
      <c r="F155" s="21" t="str">
        <f t="shared" si="38"/>
        <v/>
      </c>
      <c r="G155" s="21" t="str">
        <f t="shared" si="39"/>
        <v/>
      </c>
      <c r="H155" s="23" t="str">
        <f t="shared" ref="H155:H218" si="45">IF(A155="","",IF(ISERROR(B155+C155+D155-G155),0,B155+C155+D155-G155))</f>
        <v/>
      </c>
      <c r="I155" s="22" t="str">
        <f t="shared" si="40"/>
        <v/>
      </c>
      <c r="J155" s="1"/>
      <c r="K155" s="51"/>
      <c r="M155" s="81">
        <f t="shared" ca="1" si="31"/>
        <v>706.19365625895932</v>
      </c>
      <c r="N155" s="19">
        <f t="shared" si="41"/>
        <v>20.723746566443726</v>
      </c>
      <c r="O155" s="17">
        <f t="shared" si="42"/>
        <v>38.5</v>
      </c>
      <c r="P155" s="19">
        <f ca="1">IF(ISERROR(IF(O155&lt;fi_h/20,0,(OFFSET('Base de dados'!$A$5,IF(O155&lt;20,1,IF(O155&gt;1000,10,MATCH(O155,Cargas,1))),Coluna_fih,1,1))*(1+0.13*0.25)*(PI()*(fi_h/1000)^2/4)*SQRT(2*9.81*(O155/100-fi_h/2/1000))*1000)),"",IF(O155&lt;fi_h/20,0,(OFFSET('Base de dados'!$A$5,IF(O155&lt;20,1,IF(O155&gt;1000,10,MATCH(O155,Cargas,1))),Coluna_fih,1,1))*(PI()*(fi_h/1000)^2/4)*SQRT(2*9.81*(O155/100-fi_h/2/1000))*1000))</f>
        <v>15.402104044168482</v>
      </c>
      <c r="Q155" s="19">
        <f ca="1">IF(O155="","",IF(Tipo_Vertedor="Retangular",IF(O155&lt;=cota_s*100,0,IF(Tipo_Vertedor="Retangular",Cd_sr*Lef_sr*((O155/100-cota_s)^(3/2))*1000)),IF(O155&lt;=cota_s*100+fi_s/20,0,(OFFSET('Base de dados'!$A$4,IF(O155&lt;20,1,IF(O155&gt;1000,10,MATCH(O155,Cargas,1))),Coluna_fis,1,1))*(PI()*(fi_s/1000)^2/4)*(2*9.81*(O155/100-cota_s-fi_s/2/1000))^0.5*1000)))</f>
        <v>0</v>
      </c>
      <c r="R155" s="19">
        <f t="shared" ca="1" si="32"/>
        <v>15.402104044168482</v>
      </c>
      <c r="S155" s="19">
        <f t="shared" ca="1" si="33"/>
        <v>690.79155221479084</v>
      </c>
      <c r="AD155" s="19" t="str">
        <f t="shared" si="43"/>
        <v/>
      </c>
      <c r="AE155" s="19" t="str">
        <f t="shared" si="44"/>
        <v/>
      </c>
      <c r="AF155" s="19" t="str">
        <f>IF(ISERROR(IF('Hidrograma afluente'!I162="",0,'Hidrograma afluente'!I162)+Simulação!G155),"",IF('Hidrograma afluente'!I162="",0,'Hidrograma afluente'!I162)+Simulação!G155)</f>
        <v/>
      </c>
      <c r="AG155" s="17" t="s">
        <v>160</v>
      </c>
      <c r="AH155" s="17" t="s">
        <v>160</v>
      </c>
      <c r="AI155" s="27" t="s">
        <v>160</v>
      </c>
      <c r="AJ155" s="17" t="s">
        <v>160</v>
      </c>
      <c r="AK155" s="19" t="str">
        <f>IF(A155="","",IF('Hidrograma afluente'!I162="",0,'Hidrograma afluente'!I162)+Simulação!B155)</f>
        <v/>
      </c>
    </row>
    <row r="156" spans="1:37" s="17" customFormat="1">
      <c r="A156" s="4" t="str">
        <f t="shared" si="34"/>
        <v/>
      </c>
      <c r="B156" s="5" t="str">
        <f>IF(A156="","",IF(A156&gt;tc_lot_i+tc,0,IF('Hidrograma afluente'!B163="","",'Hidrograma afluente'!B163)))</f>
        <v/>
      </c>
      <c r="C156" s="21" t="str">
        <f t="shared" si="35"/>
        <v/>
      </c>
      <c r="D156" s="21" t="str">
        <f t="shared" si="36"/>
        <v/>
      </c>
      <c r="E156" s="21" t="str">
        <f t="shared" si="37"/>
        <v/>
      </c>
      <c r="F156" s="21" t="str">
        <f t="shared" si="38"/>
        <v/>
      </c>
      <c r="G156" s="21" t="str">
        <f t="shared" si="39"/>
        <v/>
      </c>
      <c r="H156" s="23" t="str">
        <f t="shared" si="45"/>
        <v/>
      </c>
      <c r="I156" s="22" t="str">
        <f t="shared" si="40"/>
        <v/>
      </c>
      <c r="J156" s="1"/>
      <c r="K156" s="51"/>
      <c r="M156" s="81">
        <f t="shared" ca="1" si="31"/>
        <v>711.29862946170306</v>
      </c>
      <c r="N156" s="19">
        <f t="shared" si="41"/>
        <v>20.875141397033527</v>
      </c>
      <c r="O156" s="17">
        <f t="shared" si="42"/>
        <v>38.75</v>
      </c>
      <c r="P156" s="19">
        <f ca="1">IF(ISERROR(IF(O156&lt;fi_h/20,0,(OFFSET('Base de dados'!$A$5,IF(O156&lt;20,1,IF(O156&gt;1000,10,MATCH(O156,Cargas,1))),Coluna_fih,1,1))*(1+0.13*0.25)*(PI()*(fi_h/1000)^2/4)*SQRT(2*9.81*(O156/100-fi_h/2/1000))*1000)),"",IF(O156&lt;fi_h/20,0,(OFFSET('Base de dados'!$A$5,IF(O156&lt;20,1,IF(O156&gt;1000,10,MATCH(O156,Cargas,1))),Coluna_fih,1,1))*(PI()*(fi_h/1000)^2/4)*SQRT(2*9.81*(O156/100-fi_h/2/1000))*1000))</f>
        <v>15.460582893918838</v>
      </c>
      <c r="Q156" s="19">
        <f ca="1">IF(O156="","",IF(Tipo_Vertedor="Retangular",IF(O156&lt;=cota_s*100,0,IF(Tipo_Vertedor="Retangular",Cd_sr*Lef_sr*((O156/100-cota_s)^(3/2))*1000)),IF(O156&lt;=cota_s*100+fi_s/20,0,(OFFSET('Base de dados'!$A$4,IF(O156&lt;20,1,IF(O156&gt;1000,10,MATCH(O156,Cargas,1))),Coluna_fis,1,1))*(PI()*(fi_s/1000)^2/4)*(2*9.81*(O156/100-cota_s-fi_s/2/1000))^0.5*1000)))</f>
        <v>0</v>
      </c>
      <c r="R156" s="19">
        <f t="shared" ca="1" si="32"/>
        <v>15.460582893918838</v>
      </c>
      <c r="S156" s="19">
        <f t="shared" ca="1" si="33"/>
        <v>695.8380465677842</v>
      </c>
      <c r="AD156" s="19" t="str">
        <f t="shared" si="43"/>
        <v/>
      </c>
      <c r="AE156" s="19" t="str">
        <f t="shared" si="44"/>
        <v/>
      </c>
      <c r="AF156" s="19" t="str">
        <f>IF(ISERROR(IF('Hidrograma afluente'!I163="",0,'Hidrograma afluente'!I163)+Simulação!G156),"",IF('Hidrograma afluente'!I163="",0,'Hidrograma afluente'!I163)+Simulação!G156)</f>
        <v/>
      </c>
      <c r="AG156" s="17" t="s">
        <v>160</v>
      </c>
      <c r="AH156" s="17" t="s">
        <v>160</v>
      </c>
      <c r="AI156" s="27" t="s">
        <v>160</v>
      </c>
      <c r="AJ156" s="17" t="s">
        <v>160</v>
      </c>
      <c r="AK156" s="19" t="str">
        <f>IF(A156="","",IF('Hidrograma afluente'!I163="",0,'Hidrograma afluente'!I163)+Simulação!B156)</f>
        <v/>
      </c>
    </row>
    <row r="157" spans="1:37" s="17" customFormat="1">
      <c r="A157" s="4" t="str">
        <f t="shared" si="34"/>
        <v/>
      </c>
      <c r="B157" s="5" t="str">
        <f>IF(A157="","",IF(A157&gt;tc_lot_i+tc,0,IF('Hidrograma afluente'!B164="","",'Hidrograma afluente'!B164)))</f>
        <v/>
      </c>
      <c r="C157" s="21" t="str">
        <f t="shared" si="35"/>
        <v/>
      </c>
      <c r="D157" s="21" t="str">
        <f t="shared" si="36"/>
        <v/>
      </c>
      <c r="E157" s="21" t="str">
        <f t="shared" si="37"/>
        <v/>
      </c>
      <c r="F157" s="21" t="str">
        <f t="shared" si="38"/>
        <v/>
      </c>
      <c r="G157" s="21" t="str">
        <f t="shared" si="39"/>
        <v/>
      </c>
      <c r="H157" s="23" t="str">
        <f t="shared" si="45"/>
        <v/>
      </c>
      <c r="I157" s="22" t="str">
        <f t="shared" si="40"/>
        <v/>
      </c>
      <c r="J157" s="1"/>
      <c r="K157" s="51"/>
      <c r="M157" s="81">
        <f t="shared" ca="1" si="31"/>
        <v>716.40743985780796</v>
      </c>
      <c r="N157" s="19">
        <f t="shared" si="41"/>
        <v>21.026657954262244</v>
      </c>
      <c r="O157" s="17">
        <f t="shared" si="42"/>
        <v>39</v>
      </c>
      <c r="P157" s="19">
        <f ca="1">IF(ISERROR(IF(O157&lt;fi_h/20,0,(OFFSET('Base de dados'!$A$5,IF(O157&lt;20,1,IF(O157&gt;1000,10,MATCH(O157,Cargas,1))),Coluna_fih,1,1))*(1+0.13*0.25)*(PI()*(fi_h/1000)^2/4)*SQRT(2*9.81*(O157/100-fi_h/2/1000))*1000)),"",IF(O157&lt;fi_h/20,0,(OFFSET('Base de dados'!$A$5,IF(O157&lt;20,1,IF(O157&gt;1000,10,MATCH(O157,Cargas,1))),Coluna_fih,1,1))*(PI()*(fi_h/1000)^2/4)*SQRT(2*9.81*(O157/100-fi_h/2/1000))*1000))</f>
        <v>15.518841382399671</v>
      </c>
      <c r="Q157" s="19">
        <f ca="1">IF(O157="","",IF(Tipo_Vertedor="Retangular",IF(O157&lt;=cota_s*100,0,IF(Tipo_Vertedor="Retangular",Cd_sr*Lef_sr*((O157/100-cota_s)^(3/2))*1000)),IF(O157&lt;=cota_s*100+fi_s/20,0,(OFFSET('Base de dados'!$A$4,IF(O157&lt;20,1,IF(O157&gt;1000,10,MATCH(O157,Cargas,1))),Coluna_fis,1,1))*(PI()*(fi_s/1000)^2/4)*(2*9.81*(O157/100-cota_s-fi_s/2/1000))^0.5*1000)))</f>
        <v>0</v>
      </c>
      <c r="R157" s="19">
        <f t="shared" ca="1" si="32"/>
        <v>15.518841382399671</v>
      </c>
      <c r="S157" s="19">
        <f t="shared" ca="1" si="33"/>
        <v>700.88859847540823</v>
      </c>
      <c r="AD157" s="19" t="str">
        <f t="shared" si="43"/>
        <v/>
      </c>
      <c r="AE157" s="19" t="str">
        <f t="shared" si="44"/>
        <v/>
      </c>
      <c r="AF157" s="19" t="str">
        <f>IF(ISERROR(IF('Hidrograma afluente'!I164="",0,'Hidrograma afluente'!I164)+Simulação!G157),"",IF('Hidrograma afluente'!I164="",0,'Hidrograma afluente'!I164)+Simulação!G157)</f>
        <v/>
      </c>
      <c r="AG157" s="17" t="s">
        <v>160</v>
      </c>
      <c r="AH157" s="17" t="s">
        <v>160</v>
      </c>
      <c r="AI157" s="27" t="s">
        <v>160</v>
      </c>
      <c r="AJ157" s="17" t="s">
        <v>160</v>
      </c>
      <c r="AK157" s="19" t="str">
        <f>IF(A157="","",IF('Hidrograma afluente'!I164="",0,'Hidrograma afluente'!I164)+Simulação!B157)</f>
        <v/>
      </c>
    </row>
    <row r="158" spans="1:37" s="17" customFormat="1">
      <c r="A158" s="4" t="str">
        <f t="shared" si="34"/>
        <v/>
      </c>
      <c r="B158" s="5" t="str">
        <f>IF(A158="","",IF(A158&gt;tc_lot_i+tc,0,IF('Hidrograma afluente'!B165="","",'Hidrograma afluente'!B165)))</f>
        <v/>
      </c>
      <c r="C158" s="21" t="str">
        <f t="shared" si="35"/>
        <v/>
      </c>
      <c r="D158" s="21" t="str">
        <f t="shared" si="36"/>
        <v/>
      </c>
      <c r="E158" s="21" t="str">
        <f t="shared" si="37"/>
        <v/>
      </c>
      <c r="F158" s="21" t="str">
        <f t="shared" si="38"/>
        <v/>
      </c>
      <c r="G158" s="21" t="str">
        <f t="shared" si="39"/>
        <v/>
      </c>
      <c r="H158" s="23" t="str">
        <f t="shared" si="45"/>
        <v/>
      </c>
      <c r="I158" s="22" t="str">
        <f t="shared" si="40"/>
        <v/>
      </c>
      <c r="J158" s="1"/>
      <c r="K158" s="51"/>
      <c r="M158" s="81">
        <f t="shared" ca="1" si="31"/>
        <v>721.52006714057177</v>
      </c>
      <c r="N158" s="19">
        <f t="shared" si="41"/>
        <v>21.178295554754005</v>
      </c>
      <c r="O158" s="17">
        <f t="shared" si="42"/>
        <v>39.25</v>
      </c>
      <c r="P158" s="19">
        <f ca="1">IF(ISERROR(IF(O158&lt;fi_h/20,0,(OFFSET('Base de dados'!$A$5,IF(O158&lt;20,1,IF(O158&gt;1000,10,MATCH(O158,Cargas,1))),Coluna_fih,1,1))*(1+0.13*0.25)*(PI()*(fi_h/1000)^2/4)*SQRT(2*9.81*(O158/100-fi_h/2/1000))*1000)),"",IF(O158&lt;fi_h/20,0,(OFFSET('Base de dados'!$A$5,IF(O158&lt;20,1,IF(O158&gt;1000,10,MATCH(O158,Cargas,1))),Coluna_fih,1,1))*(PI()*(fi_h/1000)^2/4)*SQRT(2*9.81*(O158/100-fi_h/2/1000))*1000))</f>
        <v>15.576881982104931</v>
      </c>
      <c r="Q158" s="19">
        <f ca="1">IF(O158="","",IF(Tipo_Vertedor="Retangular",IF(O158&lt;=cota_s*100,0,IF(Tipo_Vertedor="Retangular",Cd_sr*Lef_sr*((O158/100-cota_s)^(3/2))*1000)),IF(O158&lt;=cota_s*100+fi_s/20,0,(OFFSET('Base de dados'!$A$4,IF(O158&lt;20,1,IF(O158&gt;1000,10,MATCH(O158,Cargas,1))),Coluna_fis,1,1))*(PI()*(fi_s/1000)^2/4)*(2*9.81*(O158/100-cota_s-fi_s/2/1000))^0.5*1000)))</f>
        <v>0</v>
      </c>
      <c r="R158" s="19">
        <f t="shared" ca="1" si="32"/>
        <v>15.576881982104931</v>
      </c>
      <c r="S158" s="19">
        <f t="shared" ca="1" si="33"/>
        <v>705.9431851584668</v>
      </c>
      <c r="AD158" s="19" t="str">
        <f t="shared" si="43"/>
        <v/>
      </c>
      <c r="AE158" s="19" t="str">
        <f t="shared" si="44"/>
        <v/>
      </c>
      <c r="AF158" s="19" t="str">
        <f>IF(ISERROR(IF('Hidrograma afluente'!I165="",0,'Hidrograma afluente'!I165)+Simulação!G158),"",IF('Hidrograma afluente'!I165="",0,'Hidrograma afluente'!I165)+Simulação!G158)</f>
        <v/>
      </c>
      <c r="AG158" s="17" t="s">
        <v>160</v>
      </c>
      <c r="AH158" s="17" t="s">
        <v>160</v>
      </c>
      <c r="AI158" s="27" t="s">
        <v>160</v>
      </c>
      <c r="AJ158" s="17" t="s">
        <v>160</v>
      </c>
      <c r="AK158" s="19" t="str">
        <f>IF(A158="","",IF('Hidrograma afluente'!I165="",0,'Hidrograma afluente'!I165)+Simulação!B158)</f>
        <v/>
      </c>
    </row>
    <row r="159" spans="1:37" s="17" customFormat="1">
      <c r="A159" s="4" t="str">
        <f t="shared" si="34"/>
        <v/>
      </c>
      <c r="B159" s="5" t="str">
        <f>IF(A159="","",IF(A159&gt;tc_lot_i+tc,0,IF('Hidrograma afluente'!B166="","",'Hidrograma afluente'!B166)))</f>
        <v/>
      </c>
      <c r="C159" s="21" t="str">
        <f t="shared" si="35"/>
        <v/>
      </c>
      <c r="D159" s="21" t="str">
        <f t="shared" si="36"/>
        <v/>
      </c>
      <c r="E159" s="21" t="str">
        <f t="shared" si="37"/>
        <v/>
      </c>
      <c r="F159" s="21" t="str">
        <f t="shared" si="38"/>
        <v/>
      </c>
      <c r="G159" s="21" t="str">
        <f t="shared" si="39"/>
        <v/>
      </c>
      <c r="H159" s="23" t="str">
        <f t="shared" si="45"/>
        <v/>
      </c>
      <c r="I159" s="22" t="str">
        <f t="shared" si="40"/>
        <v/>
      </c>
      <c r="J159" s="1"/>
      <c r="K159" s="51"/>
      <c r="M159" s="81">
        <f t="shared" ca="1" si="31"/>
        <v>726.6364912296192</v>
      </c>
      <c r="N159" s="19">
        <f t="shared" si="41"/>
        <v>21.330053523299526</v>
      </c>
      <c r="O159" s="17">
        <f t="shared" si="42"/>
        <v>39.5</v>
      </c>
      <c r="P159" s="19">
        <f ca="1">IF(ISERROR(IF(O159&lt;fi_h/20,0,(OFFSET('Base de dados'!$A$5,IF(O159&lt;20,1,IF(O159&gt;1000,10,MATCH(O159,Cargas,1))),Coluna_fih,1,1))*(1+0.13*0.25)*(PI()*(fi_h/1000)^2/4)*SQRT(2*9.81*(O159/100-fi_h/2/1000))*1000)),"",IF(O159&lt;fi_h/20,0,(OFFSET('Base de dados'!$A$5,IF(O159&lt;20,1,IF(O159&gt;1000,10,MATCH(O159,Cargas,1))),Coluna_fih,1,1))*(PI()*(fi_h/1000)^2/4)*SQRT(2*9.81*(O159/100-fi_h/2/1000))*1000))</f>
        <v>15.63470711963515</v>
      </c>
      <c r="Q159" s="19">
        <f ca="1">IF(O159="","",IF(Tipo_Vertedor="Retangular",IF(O159&lt;=cota_s*100,0,IF(Tipo_Vertedor="Retangular",Cd_sr*Lef_sr*((O159/100-cota_s)^(3/2))*1000)),IF(O159&lt;=cota_s*100+fi_s/20,0,(OFFSET('Base de dados'!$A$4,IF(O159&lt;20,1,IF(O159&gt;1000,10,MATCH(O159,Cargas,1))),Coluna_fis,1,1))*(PI()*(fi_s/1000)^2/4)*(2*9.81*(O159/100-cota_s-fi_s/2/1000))^0.5*1000)))</f>
        <v>0</v>
      </c>
      <c r="R159" s="19">
        <f t="shared" ca="1" si="32"/>
        <v>15.63470711963515</v>
      </c>
      <c r="S159" s="19">
        <f t="shared" ca="1" si="33"/>
        <v>711.0017841099841</v>
      </c>
      <c r="AD159" s="19" t="str">
        <f t="shared" si="43"/>
        <v/>
      </c>
      <c r="AE159" s="19" t="str">
        <f t="shared" si="44"/>
        <v/>
      </c>
      <c r="AF159" s="19" t="str">
        <f>IF(ISERROR(IF('Hidrograma afluente'!I166="",0,'Hidrograma afluente'!I166)+Simulação!G159),"",IF('Hidrograma afluente'!I166="",0,'Hidrograma afluente'!I166)+Simulação!G159)</f>
        <v/>
      </c>
      <c r="AG159" s="17" t="s">
        <v>160</v>
      </c>
      <c r="AH159" s="17" t="s">
        <v>160</v>
      </c>
      <c r="AI159" s="27" t="s">
        <v>160</v>
      </c>
      <c r="AJ159" s="17" t="s">
        <v>160</v>
      </c>
      <c r="AK159" s="19" t="str">
        <f>IF(A159="","",IF('Hidrograma afluente'!I166="",0,'Hidrograma afluente'!I166)+Simulação!B159)</f>
        <v/>
      </c>
    </row>
    <row r="160" spans="1:37" s="17" customFormat="1">
      <c r="A160" s="4" t="str">
        <f t="shared" si="34"/>
        <v/>
      </c>
      <c r="B160" s="5" t="str">
        <f>IF(A160="","",IF(A160&gt;tc_lot_i+tc,0,IF('Hidrograma afluente'!B167="","",'Hidrograma afluente'!B167)))</f>
        <v/>
      </c>
      <c r="C160" s="21" t="str">
        <f t="shared" si="35"/>
        <v/>
      </c>
      <c r="D160" s="21" t="str">
        <f t="shared" si="36"/>
        <v/>
      </c>
      <c r="E160" s="21" t="str">
        <f t="shared" si="37"/>
        <v/>
      </c>
      <c r="F160" s="21" t="str">
        <f t="shared" si="38"/>
        <v/>
      </c>
      <c r="G160" s="21" t="str">
        <f t="shared" si="39"/>
        <v/>
      </c>
      <c r="H160" s="23" t="str">
        <f t="shared" si="45"/>
        <v/>
      </c>
      <c r="I160" s="22" t="str">
        <f t="shared" si="40"/>
        <v/>
      </c>
      <c r="J160" s="1"/>
      <c r="K160" s="51"/>
      <c r="M160" s="81">
        <f t="shared" ca="1" si="31"/>
        <v>731.75669226712921</v>
      </c>
      <c r="N160" s="19">
        <f t="shared" si="41"/>
        <v>21.481931192707439</v>
      </c>
      <c r="O160" s="17">
        <f t="shared" si="42"/>
        <v>39.75</v>
      </c>
      <c r="P160" s="19">
        <f ca="1">IF(ISERROR(IF(O160&lt;fi_h/20,0,(OFFSET('Base de dados'!$A$5,IF(O160&lt;20,1,IF(O160&gt;1000,10,MATCH(O160,Cargas,1))),Coluna_fih,1,1))*(1+0.13*0.25)*(PI()*(fi_h/1000)^2/4)*SQRT(2*9.81*(O160/100-fi_h/2/1000))*1000)),"",IF(O160&lt;fi_h/20,0,(OFFSET('Base de dados'!$A$5,IF(O160&lt;20,1,IF(O160&gt;1000,10,MATCH(O160,Cargas,1))),Coluna_fih,1,1))*(PI()*(fi_h/1000)^2/4)*SQRT(2*9.81*(O160/100-fi_h/2/1000))*1000))</f>
        <v>15.692319176881238</v>
      </c>
      <c r="Q160" s="19">
        <f ca="1">IF(O160="","",IF(Tipo_Vertedor="Retangular",IF(O160&lt;=cota_s*100,0,IF(Tipo_Vertedor="Retangular",Cd_sr*Lef_sr*((O160/100-cota_s)^(3/2))*1000)),IF(O160&lt;=cota_s*100+fi_s/20,0,(OFFSET('Base de dados'!$A$4,IF(O160&lt;20,1,IF(O160&gt;1000,10,MATCH(O160,Cargas,1))),Coluna_fis,1,1))*(PI()*(fi_s/1000)^2/4)*(2*9.81*(O160/100-cota_s-fi_s/2/1000))^0.5*1000)))</f>
        <v>0</v>
      </c>
      <c r="R160" s="19">
        <f t="shared" ca="1" si="32"/>
        <v>15.692319176881238</v>
      </c>
      <c r="S160" s="19">
        <f t="shared" ca="1" si="33"/>
        <v>716.06437309024795</v>
      </c>
      <c r="AD160" s="19" t="str">
        <f t="shared" si="43"/>
        <v/>
      </c>
      <c r="AE160" s="19" t="str">
        <f t="shared" si="44"/>
        <v/>
      </c>
      <c r="AF160" s="19" t="str">
        <f>IF(ISERROR(IF('Hidrograma afluente'!I167="",0,'Hidrograma afluente'!I167)+Simulação!G160),"",IF('Hidrograma afluente'!I167="",0,'Hidrograma afluente'!I167)+Simulação!G160)</f>
        <v/>
      </c>
      <c r="AG160" s="17" t="s">
        <v>160</v>
      </c>
      <c r="AH160" s="17" t="s">
        <v>160</v>
      </c>
      <c r="AI160" s="27" t="s">
        <v>160</v>
      </c>
      <c r="AJ160" s="17" t="s">
        <v>160</v>
      </c>
      <c r="AK160" s="19" t="str">
        <f>IF(A160="","",IF('Hidrograma afluente'!I167="",0,'Hidrograma afluente'!I167)+Simulação!B160)</f>
        <v/>
      </c>
    </row>
    <row r="161" spans="1:37" s="17" customFormat="1">
      <c r="A161" s="4" t="str">
        <f t="shared" si="34"/>
        <v/>
      </c>
      <c r="B161" s="5" t="str">
        <f>IF(A161="","",IF(A161&gt;tc_lot_i+tc,0,IF('Hidrograma afluente'!B168="","",'Hidrograma afluente'!B168)))</f>
        <v/>
      </c>
      <c r="C161" s="21" t="str">
        <f t="shared" si="35"/>
        <v/>
      </c>
      <c r="D161" s="21" t="str">
        <f t="shared" si="36"/>
        <v/>
      </c>
      <c r="E161" s="21" t="str">
        <f t="shared" si="37"/>
        <v/>
      </c>
      <c r="F161" s="21" t="str">
        <f t="shared" si="38"/>
        <v/>
      </c>
      <c r="G161" s="21" t="str">
        <f t="shared" si="39"/>
        <v/>
      </c>
      <c r="H161" s="23" t="str">
        <f t="shared" si="45"/>
        <v/>
      </c>
      <c r="I161" s="22" t="str">
        <f t="shared" si="40"/>
        <v/>
      </c>
      <c r="J161" s="1"/>
      <c r="K161" s="51"/>
      <c r="M161" s="81">
        <f t="shared" ca="1" si="31"/>
        <v>736.90659743538311</v>
      </c>
      <c r="N161" s="19">
        <f t="shared" si="41"/>
        <v>21.633927903659238</v>
      </c>
      <c r="O161" s="17">
        <f t="shared" si="42"/>
        <v>40</v>
      </c>
      <c r="P161" s="19">
        <f ca="1">IF(ISERROR(IF(O161&lt;fi_h/20,0,(OFFSET('Base de dados'!$A$5,IF(O161&lt;20,1,IF(O161&gt;1000,10,MATCH(O161,Cargas,1))),Coluna_fih,1,1))*(1+0.13*0.25)*(PI()*(fi_h/1000)^2/4)*SQRT(2*9.81*(O161/100-fi_h/2/1000))*1000)),"",IF(O161&lt;fi_h/20,0,(OFFSET('Base de dados'!$A$5,IF(O161&lt;20,1,IF(O161&gt;1000,10,MATCH(O161,Cargas,1))),Coluna_fih,1,1))*(PI()*(fi_h/1000)^2/4)*SQRT(2*9.81*(O161/100-fi_h/2/1000))*1000))</f>
        <v>15.775667313408515</v>
      </c>
      <c r="Q161" s="19">
        <f ca="1">IF(O161="","",IF(Tipo_Vertedor="Retangular",IF(O161&lt;=cota_s*100,0,IF(Tipo_Vertedor="Retangular",Cd_sr*Lef_sr*((O161/100-cota_s)^(3/2))*1000)),IF(O161&lt;=cota_s*100+fi_s/20,0,(OFFSET('Base de dados'!$A$4,IF(O161&lt;20,1,IF(O161&gt;1000,10,MATCH(O161,Cargas,1))),Coluna_fis,1,1))*(PI()*(fi_s/1000)^2/4)*(2*9.81*(O161/100-cota_s-fi_s/2/1000))^0.5*1000)))</f>
        <v>0</v>
      </c>
      <c r="R161" s="19">
        <f t="shared" ca="1" si="32"/>
        <v>15.775667313408515</v>
      </c>
      <c r="S161" s="19">
        <f t="shared" ca="1" si="33"/>
        <v>721.13093012197464</v>
      </c>
      <c r="AD161" s="19" t="str">
        <f t="shared" si="43"/>
        <v/>
      </c>
      <c r="AE161" s="19" t="str">
        <f t="shared" si="44"/>
        <v/>
      </c>
      <c r="AF161" s="19" t="str">
        <f>IF(ISERROR(IF('Hidrograma afluente'!I168="",0,'Hidrograma afluente'!I168)+Simulação!G161),"",IF('Hidrograma afluente'!I168="",0,'Hidrograma afluente'!I168)+Simulação!G161)</f>
        <v/>
      </c>
      <c r="AG161" s="17" t="s">
        <v>160</v>
      </c>
      <c r="AH161" s="17" t="s">
        <v>160</v>
      </c>
      <c r="AI161" s="27" t="s">
        <v>160</v>
      </c>
      <c r="AJ161" s="17" t="s">
        <v>160</v>
      </c>
      <c r="AK161" s="19" t="str">
        <f>IF(A161="","",IF('Hidrograma afluente'!I168="",0,'Hidrograma afluente'!I168)+Simulação!B161)</f>
        <v/>
      </c>
    </row>
    <row r="162" spans="1:37" s="17" customFormat="1">
      <c r="A162" s="4" t="str">
        <f t="shared" si="34"/>
        <v/>
      </c>
      <c r="B162" s="5" t="str">
        <f>IF(A162="","",IF(A162&gt;tc_lot_i+tc,0,IF('Hidrograma afluente'!B169="","",'Hidrograma afluente'!B169)))</f>
        <v/>
      </c>
      <c r="C162" s="21" t="str">
        <f t="shared" si="35"/>
        <v/>
      </c>
      <c r="D162" s="21" t="str">
        <f t="shared" si="36"/>
        <v/>
      </c>
      <c r="E162" s="21" t="str">
        <f t="shared" si="37"/>
        <v/>
      </c>
      <c r="F162" s="21" t="str">
        <f t="shared" si="38"/>
        <v/>
      </c>
      <c r="G162" s="21" t="str">
        <f t="shared" si="39"/>
        <v/>
      </c>
      <c r="H162" s="23" t="str">
        <f t="shared" si="45"/>
        <v/>
      </c>
      <c r="I162" s="22" t="str">
        <f t="shared" si="40"/>
        <v/>
      </c>
      <c r="J162" s="1"/>
      <c r="K162" s="51"/>
      <c r="M162" s="81">
        <f t="shared" ca="1" si="31"/>
        <v>742.03438789038773</v>
      </c>
      <c r="N162" s="19">
        <f t="shared" si="41"/>
        <v>21.786043004567713</v>
      </c>
      <c r="O162" s="17">
        <f t="shared" si="42"/>
        <v>40.25</v>
      </c>
      <c r="P162" s="19">
        <f ca="1">IF(ISERROR(IF(O162&lt;fi_h/20,0,(OFFSET('Base de dados'!$A$5,IF(O162&lt;20,1,IF(O162&gt;1000,10,MATCH(O162,Cargas,1))),Coluna_fih,1,1))*(1+0.13*0.25)*(PI()*(fi_h/1000)^2/4)*SQRT(2*9.81*(O162/100-fi_h/2/1000))*1000)),"",IF(O162&lt;fi_h/20,0,(OFFSET('Base de dados'!$A$5,IF(O162&lt;20,1,IF(O162&gt;1000,10,MATCH(O162,Cargas,1))),Coluna_fih,1,1))*(PI()*(fi_h/1000)^2/4)*SQRT(2*9.81*(O162/100-fi_h/2/1000))*1000))</f>
        <v>15.832954404797258</v>
      </c>
      <c r="Q162" s="19">
        <f ca="1">IF(O162="","",IF(Tipo_Vertedor="Retangular",IF(O162&lt;=cota_s*100,0,IF(Tipo_Vertedor="Retangular",Cd_sr*Lef_sr*((O162/100-cota_s)^(3/2))*1000)),IF(O162&lt;=cota_s*100+fi_s/20,0,(OFFSET('Base de dados'!$A$4,IF(O162&lt;20,1,IF(O162&gt;1000,10,MATCH(O162,Cargas,1))),Coluna_fis,1,1))*(PI()*(fi_s/1000)^2/4)*(2*9.81*(O162/100-cota_s-fi_s/2/1000))^0.5*1000)))</f>
        <v>0</v>
      </c>
      <c r="R162" s="19">
        <f t="shared" ca="1" si="32"/>
        <v>15.832954404797258</v>
      </c>
      <c r="S162" s="19">
        <f t="shared" ca="1" si="33"/>
        <v>726.20143348559043</v>
      </c>
      <c r="AD162" s="19" t="str">
        <f t="shared" si="43"/>
        <v/>
      </c>
      <c r="AE162" s="19" t="str">
        <f t="shared" si="44"/>
        <v/>
      </c>
      <c r="AF162" s="19" t="str">
        <f>IF(ISERROR(IF('Hidrograma afluente'!I169="",0,'Hidrograma afluente'!I169)+Simulação!G162),"",IF('Hidrograma afluente'!I169="",0,'Hidrograma afluente'!I169)+Simulação!G162)</f>
        <v/>
      </c>
      <c r="AG162" s="17" t="s">
        <v>160</v>
      </c>
      <c r="AH162" s="17" t="s">
        <v>160</v>
      </c>
      <c r="AI162" s="27" t="s">
        <v>160</v>
      </c>
      <c r="AJ162" s="17" t="s">
        <v>160</v>
      </c>
      <c r="AK162" s="19" t="str">
        <f>IF(A162="","",IF('Hidrograma afluente'!I169="",0,'Hidrograma afluente'!I169)+Simulação!B162)</f>
        <v/>
      </c>
    </row>
    <row r="163" spans="1:37" s="17" customFormat="1">
      <c r="A163" s="4" t="str">
        <f t="shared" si="34"/>
        <v/>
      </c>
      <c r="B163" s="5" t="str">
        <f>IF(A163="","",IF(A163&gt;tc_lot_i+tc,0,IF('Hidrograma afluente'!B170="","",'Hidrograma afluente'!B170)))</f>
        <v/>
      </c>
      <c r="C163" s="21" t="str">
        <f t="shared" si="35"/>
        <v/>
      </c>
      <c r="D163" s="21" t="str">
        <f t="shared" si="36"/>
        <v/>
      </c>
      <c r="E163" s="21" t="str">
        <f t="shared" si="37"/>
        <v/>
      </c>
      <c r="F163" s="21" t="str">
        <f t="shared" si="38"/>
        <v/>
      </c>
      <c r="G163" s="21" t="str">
        <f t="shared" si="39"/>
        <v/>
      </c>
      <c r="H163" s="23" t="str">
        <f t="shared" si="45"/>
        <v/>
      </c>
      <c r="I163" s="22" t="str">
        <f t="shared" si="40"/>
        <v/>
      </c>
      <c r="J163" s="1"/>
      <c r="K163" s="51"/>
      <c r="M163" s="81">
        <f t="shared" ca="1" si="31"/>
        <v>747.16589667951791</v>
      </c>
      <c r="N163" s="19">
        <f t="shared" si="41"/>
        <v>21.938275851438835</v>
      </c>
      <c r="O163" s="17">
        <f t="shared" si="42"/>
        <v>40.5</v>
      </c>
      <c r="P163" s="19">
        <f ca="1">IF(ISERROR(IF(O163&lt;fi_h/20,0,(OFFSET('Base de dados'!$A$5,IF(O163&lt;20,1,IF(O163&gt;1000,10,MATCH(O163,Cargas,1))),Coluna_fih,1,1))*(1+0.13*0.25)*(PI()*(fi_h/1000)^2/4)*SQRT(2*9.81*(O163/100-fi_h/2/1000))*1000)),"",IF(O163&lt;fi_h/20,0,(OFFSET('Base de dados'!$A$5,IF(O163&lt;20,1,IF(O163&gt;1000,10,MATCH(O163,Cargas,1))),Coluna_fih,1,1))*(PI()*(fi_h/1000)^2/4)*SQRT(2*9.81*(O163/100-fi_h/2/1000))*1000))</f>
        <v>15.890034964890159</v>
      </c>
      <c r="Q163" s="19">
        <f ca="1">IF(O163="","",IF(Tipo_Vertedor="Retangular",IF(O163&lt;=cota_s*100,0,IF(Tipo_Vertedor="Retangular",Cd_sr*Lef_sr*((O163/100-cota_s)^(3/2))*1000)),IF(O163&lt;=cota_s*100+fi_s/20,0,(OFFSET('Base de dados'!$A$4,IF(O163&lt;20,1,IF(O163&gt;1000,10,MATCH(O163,Cargas,1))),Coluna_fis,1,1))*(PI()*(fi_s/1000)^2/4)*(2*9.81*(O163/100-cota_s-fi_s/2/1000))^0.5*1000)))</f>
        <v>0</v>
      </c>
      <c r="R163" s="19">
        <f t="shared" ca="1" si="32"/>
        <v>15.890034964890159</v>
      </c>
      <c r="S163" s="19">
        <f t="shared" ca="1" si="33"/>
        <v>731.27586171462781</v>
      </c>
      <c r="AD163" s="19" t="str">
        <f t="shared" si="43"/>
        <v/>
      </c>
      <c r="AE163" s="19" t="str">
        <f t="shared" si="44"/>
        <v/>
      </c>
      <c r="AF163" s="19" t="str">
        <f>IF(ISERROR(IF('Hidrograma afluente'!I170="",0,'Hidrograma afluente'!I170)+Simulação!G163),"",IF('Hidrograma afluente'!I170="",0,'Hidrograma afluente'!I170)+Simulação!G163)</f>
        <v/>
      </c>
      <c r="AG163" s="17" t="s">
        <v>160</v>
      </c>
      <c r="AH163" s="17" t="s">
        <v>160</v>
      </c>
      <c r="AI163" s="27" t="s">
        <v>160</v>
      </c>
      <c r="AJ163" s="17" t="s">
        <v>160</v>
      </c>
      <c r="AK163" s="19" t="str">
        <f>IF(A163="","",IF('Hidrograma afluente'!I170="",0,'Hidrograma afluente'!I170)+Simulação!B163)</f>
        <v/>
      </c>
    </row>
    <row r="164" spans="1:37" s="17" customFormat="1">
      <c r="A164" s="4" t="str">
        <f t="shared" si="34"/>
        <v/>
      </c>
      <c r="B164" s="5" t="str">
        <f>IF(A164="","",IF(A164&gt;tc_lot_i+tc,0,IF('Hidrograma afluente'!B171="","",'Hidrograma afluente'!B171)))</f>
        <v/>
      </c>
      <c r="C164" s="21" t="str">
        <f t="shared" si="35"/>
        <v/>
      </c>
      <c r="D164" s="21" t="str">
        <f t="shared" si="36"/>
        <v/>
      </c>
      <c r="E164" s="21" t="str">
        <f t="shared" si="37"/>
        <v/>
      </c>
      <c r="F164" s="21" t="str">
        <f t="shared" si="38"/>
        <v/>
      </c>
      <c r="G164" s="21" t="str">
        <f t="shared" si="39"/>
        <v/>
      </c>
      <c r="H164" s="23" t="str">
        <f t="shared" si="45"/>
        <v/>
      </c>
      <c r="I164" s="22" t="str">
        <f t="shared" si="40"/>
        <v/>
      </c>
      <c r="J164" s="1"/>
      <c r="K164" s="51"/>
      <c r="M164" s="81">
        <f t="shared" ca="1" si="31"/>
        <v>752.30110480269866</v>
      </c>
      <c r="N164" s="19">
        <f t="shared" si="41"/>
        <v>22.090625807736892</v>
      </c>
      <c r="O164" s="17">
        <f t="shared" si="42"/>
        <v>40.75</v>
      </c>
      <c r="P164" s="19">
        <f ca="1">IF(ISERROR(IF(O164&lt;fi_h/20,0,(OFFSET('Base de dados'!$A$5,IF(O164&lt;20,1,IF(O164&gt;1000,10,MATCH(O164,Cargas,1))),Coluna_fih,1,1))*(1+0.13*0.25)*(PI()*(fi_h/1000)^2/4)*SQRT(2*9.81*(O164/100-fi_h/2/1000))*1000)),"",IF(O164&lt;fi_h/20,0,(OFFSET('Base de dados'!$A$5,IF(O164&lt;20,1,IF(O164&gt;1000,10,MATCH(O164,Cargas,1))),Coluna_fih,1,1))*(PI()*(fi_h/1000)^2/4)*SQRT(2*9.81*(O164/100-fi_h/2/1000))*1000))</f>
        <v>15.946911211468969</v>
      </c>
      <c r="Q164" s="19">
        <f ca="1">IF(O164="","",IF(Tipo_Vertedor="Retangular",IF(O164&lt;=cota_s*100,0,IF(Tipo_Vertedor="Retangular",Cd_sr*Lef_sr*((O164/100-cota_s)^(3/2))*1000)),IF(O164&lt;=cota_s*100+fi_s/20,0,(OFFSET('Base de dados'!$A$4,IF(O164&lt;20,1,IF(O164&gt;1000,10,MATCH(O164,Cargas,1))),Coluna_fis,1,1))*(PI()*(fi_s/1000)^2/4)*(2*9.81*(O164/100-cota_s-fi_s/2/1000))^0.5*1000)))</f>
        <v>0</v>
      </c>
      <c r="R164" s="19">
        <f t="shared" ca="1" si="32"/>
        <v>15.946911211468969</v>
      </c>
      <c r="S164" s="19">
        <f t="shared" ca="1" si="33"/>
        <v>736.35419359122966</v>
      </c>
      <c r="AD164" s="19" t="str">
        <f t="shared" si="43"/>
        <v/>
      </c>
      <c r="AE164" s="19" t="str">
        <f t="shared" si="44"/>
        <v/>
      </c>
      <c r="AF164" s="19" t="str">
        <f>IF(ISERROR(IF('Hidrograma afluente'!I171="",0,'Hidrograma afluente'!I171)+Simulação!G164),"",IF('Hidrograma afluente'!I171="",0,'Hidrograma afluente'!I171)+Simulação!G164)</f>
        <v/>
      </c>
      <c r="AG164" s="17" t="s">
        <v>160</v>
      </c>
      <c r="AH164" s="17" t="s">
        <v>160</v>
      </c>
      <c r="AI164" s="27" t="s">
        <v>160</v>
      </c>
      <c r="AJ164" s="17" t="s">
        <v>160</v>
      </c>
      <c r="AK164" s="19" t="str">
        <f>IF(A164="","",IF('Hidrograma afluente'!I171="",0,'Hidrograma afluente'!I171)+Simulação!B164)</f>
        <v/>
      </c>
    </row>
    <row r="165" spans="1:37" s="17" customFormat="1">
      <c r="A165" s="4" t="str">
        <f t="shared" si="34"/>
        <v/>
      </c>
      <c r="B165" s="5" t="str">
        <f>IF(A165="","",IF(A165&gt;tc_lot_i+tc,0,IF('Hidrograma afluente'!B172="","",'Hidrograma afluente'!B172)))</f>
        <v/>
      </c>
      <c r="C165" s="21" t="str">
        <f t="shared" si="35"/>
        <v/>
      </c>
      <c r="D165" s="21" t="str">
        <f t="shared" si="36"/>
        <v/>
      </c>
      <c r="E165" s="21" t="str">
        <f t="shared" si="37"/>
        <v/>
      </c>
      <c r="F165" s="21" t="str">
        <f t="shared" si="38"/>
        <v/>
      </c>
      <c r="G165" s="21" t="str">
        <f t="shared" si="39"/>
        <v/>
      </c>
      <c r="H165" s="23" t="str">
        <f t="shared" si="45"/>
        <v/>
      </c>
      <c r="I165" s="22" t="str">
        <f t="shared" si="40"/>
        <v/>
      </c>
      <c r="J165" s="1"/>
      <c r="K165" s="51"/>
      <c r="M165" s="81">
        <f t="shared" ca="1" si="31"/>
        <v>757.43999346466956</v>
      </c>
      <c r="N165" s="19">
        <f t="shared" si="41"/>
        <v>22.243092244252921</v>
      </c>
      <c r="O165" s="17">
        <f t="shared" si="42"/>
        <v>41</v>
      </c>
      <c r="P165" s="19">
        <f ca="1">IF(ISERROR(IF(O165&lt;fi_h/20,0,(OFFSET('Base de dados'!$A$5,IF(O165&lt;20,1,IF(O165&gt;1000,10,MATCH(O165,Cargas,1))),Coluna_fih,1,1))*(1+0.13*0.25)*(PI()*(fi_h/1000)^2/4)*SQRT(2*9.81*(O165/100-fi_h/2/1000))*1000)),"",IF(O165&lt;fi_h/20,0,(OFFSET('Base de dados'!$A$5,IF(O165&lt;20,1,IF(O165&gt;1000,10,MATCH(O165,Cargas,1))),Coluna_fih,1,1))*(PI()*(fi_h/1000)^2/4)*SQRT(2*9.81*(O165/100-fi_h/2/1000))*1000))</f>
        <v>16.003585322905543</v>
      </c>
      <c r="Q165" s="19">
        <f ca="1">IF(O165="","",IF(Tipo_Vertedor="Retangular",IF(O165&lt;=cota_s*100,0,IF(Tipo_Vertedor="Retangular",Cd_sr*Lef_sr*((O165/100-cota_s)^(3/2))*1000)),IF(O165&lt;=cota_s*100+fi_s/20,0,(OFFSET('Base de dados'!$A$4,IF(O165&lt;20,1,IF(O165&gt;1000,10,MATCH(O165,Cargas,1))),Coluna_fis,1,1))*(PI()*(fi_s/1000)^2/4)*(2*9.81*(O165/100-cota_s-fi_s/2/1000))^0.5*1000)))</f>
        <v>0</v>
      </c>
      <c r="R165" s="19">
        <f t="shared" ca="1" si="32"/>
        <v>16.003585322905543</v>
      </c>
      <c r="S165" s="19">
        <f t="shared" ca="1" si="33"/>
        <v>741.43640814176399</v>
      </c>
      <c r="AD165" s="19" t="str">
        <f t="shared" si="43"/>
        <v/>
      </c>
      <c r="AE165" s="19" t="str">
        <f t="shared" si="44"/>
        <v/>
      </c>
      <c r="AF165" s="19" t="str">
        <f>IF(ISERROR(IF('Hidrograma afluente'!I172="",0,'Hidrograma afluente'!I172)+Simulação!G165),"",IF('Hidrograma afluente'!I172="",0,'Hidrograma afluente'!I172)+Simulação!G165)</f>
        <v/>
      </c>
      <c r="AG165" s="17" t="s">
        <v>160</v>
      </c>
      <c r="AH165" s="17" t="s">
        <v>160</v>
      </c>
      <c r="AI165" s="27" t="s">
        <v>160</v>
      </c>
      <c r="AJ165" s="17" t="s">
        <v>160</v>
      </c>
      <c r="AK165" s="19" t="str">
        <f>IF(A165="","",IF('Hidrograma afluente'!I172="",0,'Hidrograma afluente'!I172)+Simulação!B165)</f>
        <v/>
      </c>
    </row>
    <row r="166" spans="1:37" s="17" customFormat="1">
      <c r="A166" s="4" t="str">
        <f t="shared" si="34"/>
        <v/>
      </c>
      <c r="B166" s="5" t="str">
        <f>IF(A166="","",IF(A166&gt;tc_lot_i+tc,0,IF('Hidrograma afluente'!B173="","",'Hidrograma afluente'!B173)))</f>
        <v/>
      </c>
      <c r="C166" s="21" t="str">
        <f t="shared" si="35"/>
        <v/>
      </c>
      <c r="D166" s="21" t="str">
        <f t="shared" si="36"/>
        <v/>
      </c>
      <c r="E166" s="21" t="str">
        <f t="shared" si="37"/>
        <v/>
      </c>
      <c r="F166" s="21" t="str">
        <f t="shared" si="38"/>
        <v/>
      </c>
      <c r="G166" s="21" t="str">
        <f t="shared" si="39"/>
        <v/>
      </c>
      <c r="H166" s="23" t="str">
        <f t="shared" si="45"/>
        <v/>
      </c>
      <c r="I166" s="22" t="str">
        <f t="shared" si="40"/>
        <v/>
      </c>
      <c r="J166" s="1"/>
      <c r="K166" s="51"/>
      <c r="M166" s="81">
        <f t="shared" ca="1" si="31"/>
        <v>762.5825440716734</v>
      </c>
      <c r="N166" s="19">
        <f t="shared" si="41"/>
        <v>22.395674538976142</v>
      </c>
      <c r="O166" s="17">
        <f t="shared" si="42"/>
        <v>41.25</v>
      </c>
      <c r="P166" s="19">
        <f ca="1">IF(ISERROR(IF(O166&lt;fi_h/20,0,(OFFSET('Base de dados'!$A$5,IF(O166&lt;20,1,IF(O166&gt;1000,10,MATCH(O166,Cargas,1))),Coluna_fih,1,1))*(1+0.13*0.25)*(PI()*(fi_h/1000)^2/4)*SQRT(2*9.81*(O166/100-fi_h/2/1000))*1000)),"",IF(O166&lt;fi_h/20,0,(OFFSET('Base de dados'!$A$5,IF(O166&lt;20,1,IF(O166&gt;1000,10,MATCH(O166,Cargas,1))),Coluna_fih,1,1))*(PI()*(fi_h/1000)^2/4)*SQRT(2*9.81*(O166/100-fi_h/2/1000))*1000))</f>
        <v>16.060059439135358</v>
      </c>
      <c r="Q166" s="19">
        <f ca="1">IF(O166="","",IF(Tipo_Vertedor="Retangular",IF(O166&lt;=cota_s*100,0,IF(Tipo_Vertedor="Retangular",Cd_sr*Lef_sr*((O166/100-cota_s)^(3/2))*1000)),IF(O166&lt;=cota_s*100+fi_s/20,0,(OFFSET('Base de dados'!$A$4,IF(O166&lt;20,1,IF(O166&gt;1000,10,MATCH(O166,Cargas,1))),Coluna_fis,1,1))*(PI()*(fi_s/1000)^2/4)*(2*9.81*(O166/100-cota_s-fi_s/2/1000))^0.5*1000)))</f>
        <v>0</v>
      </c>
      <c r="R166" s="19">
        <f t="shared" ca="1" si="32"/>
        <v>16.060059439135358</v>
      </c>
      <c r="S166" s="19">
        <f t="shared" ca="1" si="33"/>
        <v>746.52248463253807</v>
      </c>
      <c r="AD166" s="19" t="str">
        <f t="shared" si="43"/>
        <v/>
      </c>
      <c r="AE166" s="19" t="str">
        <f t="shared" si="44"/>
        <v/>
      </c>
      <c r="AF166" s="19" t="str">
        <f>IF(ISERROR(IF('Hidrograma afluente'!I173="",0,'Hidrograma afluente'!I173)+Simulação!G166),"",IF('Hidrograma afluente'!I173="",0,'Hidrograma afluente'!I173)+Simulação!G166)</f>
        <v/>
      </c>
      <c r="AG166" s="17" t="s">
        <v>160</v>
      </c>
      <c r="AH166" s="17" t="s">
        <v>160</v>
      </c>
      <c r="AI166" s="27" t="s">
        <v>160</v>
      </c>
      <c r="AJ166" s="17" t="s">
        <v>160</v>
      </c>
      <c r="AK166" s="19" t="str">
        <f>IF(A166="","",IF('Hidrograma afluente'!I173="",0,'Hidrograma afluente'!I173)+Simulação!B166)</f>
        <v/>
      </c>
    </row>
    <row r="167" spans="1:37" s="17" customFormat="1">
      <c r="A167" s="4" t="str">
        <f t="shared" si="34"/>
        <v/>
      </c>
      <c r="B167" s="5" t="str">
        <f>IF(A167="","",IF(A167&gt;tc_lot_i+tc,0,IF('Hidrograma afluente'!B174="","",'Hidrograma afluente'!B174)))</f>
        <v/>
      </c>
      <c r="C167" s="21" t="str">
        <f t="shared" si="35"/>
        <v/>
      </c>
      <c r="D167" s="21" t="str">
        <f t="shared" si="36"/>
        <v/>
      </c>
      <c r="E167" s="21" t="str">
        <f t="shared" si="37"/>
        <v/>
      </c>
      <c r="F167" s="21" t="str">
        <f t="shared" si="38"/>
        <v/>
      </c>
      <c r="G167" s="21" t="str">
        <f t="shared" si="39"/>
        <v/>
      </c>
      <c r="H167" s="23" t="str">
        <f t="shared" si="45"/>
        <v/>
      </c>
      <c r="I167" s="22" t="str">
        <f t="shared" si="40"/>
        <v/>
      </c>
      <c r="J167" s="1"/>
      <c r="K167" s="51"/>
      <c r="M167" s="81">
        <f t="shared" ca="1" si="31"/>
        <v>767.72873822821634</v>
      </c>
      <c r="N167" s="19">
        <f t="shared" si="41"/>
        <v>22.54837207696848</v>
      </c>
      <c r="O167" s="17">
        <f t="shared" si="42"/>
        <v>41.5</v>
      </c>
      <c r="P167" s="19">
        <f ca="1">IF(ISERROR(IF(O167&lt;fi_h/20,0,(OFFSET('Base de dados'!$A$5,IF(O167&lt;20,1,IF(O167&gt;1000,10,MATCH(O167,Cargas,1))),Coluna_fih,1,1))*(1+0.13*0.25)*(PI()*(fi_h/1000)^2/4)*SQRT(2*9.81*(O167/100-fi_h/2/1000))*1000)),"",IF(O167&lt;fi_h/20,0,(OFFSET('Base de dados'!$A$5,IF(O167&lt;20,1,IF(O167&gt;1000,10,MATCH(O167,Cargas,1))),Coluna_fih,1,1))*(PI()*(fi_h/1000)^2/4)*SQRT(2*9.81*(O167/100-fi_h/2/1000))*1000))</f>
        <v>16.116335662600342</v>
      </c>
      <c r="Q167" s="19">
        <f ca="1">IF(O167="","",IF(Tipo_Vertedor="Retangular",IF(O167&lt;=cota_s*100,0,IF(Tipo_Vertedor="Retangular",Cd_sr*Lef_sr*((O167/100-cota_s)^(3/2))*1000)),IF(O167&lt;=cota_s*100+fi_s/20,0,(OFFSET('Base de dados'!$A$4,IF(O167&lt;20,1,IF(O167&gt;1000,10,MATCH(O167,Cargas,1))),Coluna_fis,1,1))*(PI()*(fi_s/1000)^2/4)*(2*9.81*(O167/100-cota_s-fi_s/2/1000))^0.5*1000)))</f>
        <v>0</v>
      </c>
      <c r="R167" s="19">
        <f t="shared" ca="1" si="32"/>
        <v>16.116335662600342</v>
      </c>
      <c r="S167" s="19">
        <f t="shared" ca="1" si="33"/>
        <v>751.61240256561598</v>
      </c>
      <c r="AD167" s="19" t="str">
        <f t="shared" si="43"/>
        <v/>
      </c>
      <c r="AE167" s="19" t="str">
        <f t="shared" si="44"/>
        <v/>
      </c>
      <c r="AF167" s="19" t="str">
        <f>IF(ISERROR(IF('Hidrograma afluente'!I174="",0,'Hidrograma afluente'!I174)+Simulação!G167),"",IF('Hidrograma afluente'!I174="",0,'Hidrograma afluente'!I174)+Simulação!G167)</f>
        <v/>
      </c>
      <c r="AG167" s="17" t="s">
        <v>160</v>
      </c>
      <c r="AH167" s="17" t="s">
        <v>160</v>
      </c>
      <c r="AI167" s="27" t="s">
        <v>160</v>
      </c>
      <c r="AJ167" s="17" t="s">
        <v>160</v>
      </c>
      <c r="AK167" s="19" t="str">
        <f>IF(A167="","",IF('Hidrograma afluente'!I174="",0,'Hidrograma afluente'!I174)+Simulação!B167)</f>
        <v/>
      </c>
    </row>
    <row r="168" spans="1:37" s="17" customFormat="1">
      <c r="A168" s="4" t="str">
        <f t="shared" si="34"/>
        <v/>
      </c>
      <c r="B168" s="5" t="str">
        <f>IF(A168="","",IF(A168&gt;tc_lot_i+tc,0,IF('Hidrograma afluente'!B175="","",'Hidrograma afluente'!B175)))</f>
        <v/>
      </c>
      <c r="C168" s="21" t="str">
        <f t="shared" si="35"/>
        <v/>
      </c>
      <c r="D168" s="21" t="str">
        <f t="shared" si="36"/>
        <v/>
      </c>
      <c r="E168" s="21" t="str">
        <f t="shared" si="37"/>
        <v/>
      </c>
      <c r="F168" s="21" t="str">
        <f t="shared" si="38"/>
        <v/>
      </c>
      <c r="G168" s="21" t="str">
        <f t="shared" si="39"/>
        <v/>
      </c>
      <c r="H168" s="23" t="str">
        <f t="shared" si="45"/>
        <v/>
      </c>
      <c r="I168" s="22" t="str">
        <f t="shared" si="40"/>
        <v/>
      </c>
      <c r="J168" s="1"/>
      <c r="K168" s="51"/>
      <c r="M168" s="81">
        <f t="shared" ca="1" si="31"/>
        <v>772.87855773389663</v>
      </c>
      <c r="N168" s="19">
        <f t="shared" si="41"/>
        <v>22.701184250242033</v>
      </c>
      <c r="O168" s="17">
        <f t="shared" si="42"/>
        <v>41.75</v>
      </c>
      <c r="P168" s="19">
        <f ca="1">IF(ISERROR(IF(O168&lt;fi_h/20,0,(OFFSET('Base de dados'!$A$5,IF(O168&lt;20,1,IF(O168&gt;1000,10,MATCH(O168,Cargas,1))),Coluna_fih,1,1))*(1+0.13*0.25)*(PI()*(fi_h/1000)^2/4)*SQRT(2*9.81*(O168/100-fi_h/2/1000))*1000)),"",IF(O168&lt;fi_h/20,0,(OFFSET('Base de dados'!$A$5,IF(O168&lt;20,1,IF(O168&gt;1000,10,MATCH(O168,Cargas,1))),Coluna_fih,1,1))*(PI()*(fi_h/1000)^2/4)*SQRT(2*9.81*(O168/100-fi_h/2/1000))*1000))</f>
        <v>16.172416059162174</v>
      </c>
      <c r="Q168" s="19">
        <f ca="1">IF(O168="","",IF(Tipo_Vertedor="Retangular",IF(O168&lt;=cota_s*100,0,IF(Tipo_Vertedor="Retangular",Cd_sr*Lef_sr*((O168/100-cota_s)^(3/2))*1000)),IF(O168&lt;=cota_s*100+fi_s/20,0,(OFFSET('Base de dados'!$A$4,IF(O168&lt;20,1,IF(O168&gt;1000,10,MATCH(O168,Cargas,1))),Coluna_fis,1,1))*(PI()*(fi_s/1000)^2/4)*(2*9.81*(O168/100-cota_s-fi_s/2/1000))^0.5*1000)))</f>
        <v>0</v>
      </c>
      <c r="R168" s="19">
        <f t="shared" ca="1" si="32"/>
        <v>16.172416059162174</v>
      </c>
      <c r="S168" s="19">
        <f t="shared" ca="1" si="33"/>
        <v>756.70614167473445</v>
      </c>
      <c r="V168" s="17" t="e">
        <f ca="1">Cd_sr*Lef_sr*((O168/100-cota_s-fi_s/2/1000)^(3/2))*1000</f>
        <v>#NUM!</v>
      </c>
      <c r="AD168" s="19" t="str">
        <f t="shared" si="43"/>
        <v/>
      </c>
      <c r="AE168" s="19" t="str">
        <f t="shared" si="44"/>
        <v/>
      </c>
      <c r="AF168" s="19" t="str">
        <f>IF(ISERROR(IF('Hidrograma afluente'!I175="",0,'Hidrograma afluente'!I175)+Simulação!G168),"",IF('Hidrograma afluente'!I175="",0,'Hidrograma afluente'!I175)+Simulação!G168)</f>
        <v/>
      </c>
      <c r="AG168" s="17" t="s">
        <v>160</v>
      </c>
      <c r="AH168" s="17" t="s">
        <v>160</v>
      </c>
      <c r="AI168" s="27" t="s">
        <v>160</v>
      </c>
      <c r="AJ168" s="17" t="s">
        <v>160</v>
      </c>
      <c r="AK168" s="19" t="str">
        <f>IF(A168="","",IF('Hidrograma afluente'!I175="",0,'Hidrograma afluente'!I175)+Simulação!B168)</f>
        <v/>
      </c>
    </row>
    <row r="169" spans="1:37" s="17" customFormat="1">
      <c r="A169" s="4" t="str">
        <f t="shared" si="34"/>
        <v/>
      </c>
      <c r="B169" s="5" t="str">
        <f>IF(A169="","",IF(A169&gt;tc_lot_i+tc,0,IF('Hidrograma afluente'!B176="","",'Hidrograma afluente'!B176)))</f>
        <v/>
      </c>
      <c r="C169" s="21" t="str">
        <f t="shared" si="35"/>
        <v/>
      </c>
      <c r="D169" s="21" t="str">
        <f t="shared" si="36"/>
        <v/>
      </c>
      <c r="E169" s="21" t="str">
        <f t="shared" si="37"/>
        <v/>
      </c>
      <c r="F169" s="21" t="str">
        <f t="shared" si="38"/>
        <v/>
      </c>
      <c r="G169" s="21" t="str">
        <f t="shared" si="39"/>
        <v/>
      </c>
      <c r="H169" s="23" t="str">
        <f t="shared" si="45"/>
        <v/>
      </c>
      <c r="I169" s="22" t="str">
        <f t="shared" si="40"/>
        <v/>
      </c>
      <c r="J169" s="1"/>
      <c r="K169" s="51"/>
      <c r="M169" s="81">
        <f t="shared" ca="1" si="31"/>
        <v>778.03198458029749</v>
      </c>
      <c r="N169" s="19">
        <f t="shared" si="41"/>
        <v>22.854110457639312</v>
      </c>
      <c r="O169" s="17">
        <f t="shared" si="42"/>
        <v>42</v>
      </c>
      <c r="P169" s="19">
        <f ca="1">IF(ISERROR(IF(O169&lt;fi_h/20,0,(OFFSET('Base de dados'!$A$5,IF(O169&lt;20,1,IF(O169&gt;1000,10,MATCH(O169,Cargas,1))),Coluna_fih,1,1))*(1+0.13*0.25)*(PI()*(fi_h/1000)^2/4)*SQRT(2*9.81*(O169/100-fi_h/2/1000))*1000)),"",IF(O169&lt;fi_h/20,0,(OFFSET('Base de dados'!$A$5,IF(O169&lt;20,1,IF(O169&gt;1000,10,MATCH(O169,Cargas,1))),Coluna_fih,1,1))*(PI()*(fi_h/1000)^2/4)*SQRT(2*9.81*(O169/100-fi_h/2/1000))*1000))</f>
        <v>16.228302658987158</v>
      </c>
      <c r="Q169" s="19">
        <f ca="1">IF(O169="","",IF(Tipo_Vertedor="Retangular",IF(O169&lt;=cota_s*100,0,IF(Tipo_Vertedor="Retangular",Cd_sr*Lef_sr*((O169/100-cota_s)^(3/2))*1000)),IF(O169&lt;=cota_s*100+fi_s/20,0,(OFFSET('Base de dados'!$A$4,IF(O169&lt;20,1,IF(O169&gt;1000,10,MATCH(O169,Cargas,1))),Coluna_fis,1,1))*(PI()*(fi_s/1000)^2/4)*(2*9.81*(O169/100-cota_s-fi_s/2/1000))^0.5*1000)))</f>
        <v>0</v>
      </c>
      <c r="R169" s="19">
        <f t="shared" ca="1" si="32"/>
        <v>16.228302658987158</v>
      </c>
      <c r="S169" s="19">
        <f t="shared" ca="1" si="33"/>
        <v>761.80368192131039</v>
      </c>
      <c r="AD169" s="19" t="str">
        <f t="shared" si="43"/>
        <v/>
      </c>
      <c r="AE169" s="19" t="str">
        <f t="shared" si="44"/>
        <v/>
      </c>
      <c r="AF169" s="19" t="str">
        <f>IF(ISERROR(IF('Hidrograma afluente'!I176="",0,'Hidrograma afluente'!I176)+Simulação!G169),"",IF('Hidrograma afluente'!I176="",0,'Hidrograma afluente'!I176)+Simulação!G169)</f>
        <v/>
      </c>
      <c r="AG169" s="17" t="s">
        <v>160</v>
      </c>
      <c r="AH169" s="17" t="s">
        <v>160</v>
      </c>
      <c r="AI169" s="27" t="s">
        <v>160</v>
      </c>
      <c r="AJ169" s="17" t="s">
        <v>160</v>
      </c>
      <c r="AK169" s="19" t="str">
        <f>IF(A169="","",IF('Hidrograma afluente'!I176="",0,'Hidrograma afluente'!I176)+Simulação!B169)</f>
        <v/>
      </c>
    </row>
    <row r="170" spans="1:37" s="17" customFormat="1">
      <c r="A170" s="4" t="str">
        <f t="shared" si="34"/>
        <v/>
      </c>
      <c r="B170" s="5" t="str">
        <f>IF(A170="","",IF(A170&gt;tc_lot_i+tc,0,IF('Hidrograma afluente'!B177="","",'Hidrograma afluente'!B177)))</f>
        <v/>
      </c>
      <c r="C170" s="21" t="str">
        <f t="shared" si="35"/>
        <v/>
      </c>
      <c r="D170" s="21" t="str">
        <f t="shared" si="36"/>
        <v/>
      </c>
      <c r="E170" s="21" t="str">
        <f t="shared" si="37"/>
        <v/>
      </c>
      <c r="F170" s="21" t="str">
        <f t="shared" si="38"/>
        <v/>
      </c>
      <c r="G170" s="21" t="str">
        <f t="shared" si="39"/>
        <v/>
      </c>
      <c r="H170" s="23" t="str">
        <f t="shared" si="45"/>
        <v/>
      </c>
      <c r="I170" s="22" t="str">
        <f t="shared" si="40"/>
        <v/>
      </c>
      <c r="J170" s="1"/>
      <c r="K170" s="51"/>
      <c r="M170" s="81">
        <f t="shared" ca="1" si="31"/>
        <v>783.18900094794787</v>
      </c>
      <c r="N170" s="19">
        <f t="shared" si="41"/>
        <v>23.00715010471632</v>
      </c>
      <c r="O170" s="17">
        <f t="shared" si="42"/>
        <v>42.25</v>
      </c>
      <c r="P170" s="19">
        <f ca="1">IF(ISERROR(IF(O170&lt;fi_h/20,0,(OFFSET('Base de dados'!$A$5,IF(O170&lt;20,1,IF(O170&gt;1000,10,MATCH(O170,Cargas,1))),Coluna_fih,1,1))*(1+0.13*0.25)*(PI()*(fi_h/1000)^2/4)*SQRT(2*9.81*(O170/100-fi_h/2/1000))*1000)),"",IF(O170&lt;fi_h/20,0,(OFFSET('Base de dados'!$A$5,IF(O170&lt;20,1,IF(O170&gt;1000,10,MATCH(O170,Cargas,1))),Coluna_fih,1,1))*(PI()*(fi_h/1000)^2/4)*SQRT(2*9.81*(O170/100-fi_h/2/1000))*1000))</f>
        <v>16.283997457403775</v>
      </c>
      <c r="Q170" s="19">
        <f ca="1">IF(O170="","",IF(Tipo_Vertedor="Retangular",IF(O170&lt;=cota_s*100,0,IF(Tipo_Vertedor="Retangular",Cd_sr*Lef_sr*((O170/100-cota_s)^(3/2))*1000)),IF(O170&lt;=cota_s*100+fi_s/20,0,(OFFSET('Base de dados'!$A$4,IF(O170&lt;20,1,IF(O170&gt;1000,10,MATCH(O170,Cargas,1))),Coluna_fis,1,1))*(PI()*(fi_s/1000)^2/4)*(2*9.81*(O170/100-cota_s-fi_s/2/1000))^0.5*1000)))</f>
        <v>0</v>
      </c>
      <c r="R170" s="19">
        <f t="shared" ca="1" si="32"/>
        <v>16.283997457403775</v>
      </c>
      <c r="S170" s="19">
        <f t="shared" ca="1" si="33"/>
        <v>766.90500349054412</v>
      </c>
      <c r="AD170" s="19" t="str">
        <f t="shared" si="43"/>
        <v/>
      </c>
      <c r="AE170" s="19" t="str">
        <f t="shared" si="44"/>
        <v/>
      </c>
      <c r="AF170" s="19" t="str">
        <f>IF(ISERROR(IF('Hidrograma afluente'!I177="",0,'Hidrograma afluente'!I177)+Simulação!G170),"",IF('Hidrograma afluente'!I177="",0,'Hidrograma afluente'!I177)+Simulação!G170)</f>
        <v/>
      </c>
      <c r="AG170" s="17" t="s">
        <v>160</v>
      </c>
      <c r="AH170" s="17" t="s">
        <v>160</v>
      </c>
      <c r="AI170" s="27" t="s">
        <v>160</v>
      </c>
      <c r="AJ170" s="17" t="s">
        <v>160</v>
      </c>
      <c r="AK170" s="19" t="str">
        <f>IF(A170="","",IF('Hidrograma afluente'!I177="",0,'Hidrograma afluente'!I177)+Simulação!B170)</f>
        <v/>
      </c>
    </row>
    <row r="171" spans="1:37" s="17" customFormat="1">
      <c r="A171" s="4" t="str">
        <f t="shared" si="34"/>
        <v/>
      </c>
      <c r="B171" s="5" t="str">
        <f>IF(A171="","",IF(A171&gt;tc_lot_i+tc,0,IF('Hidrograma afluente'!B178="","",'Hidrograma afluente'!B178)))</f>
        <v/>
      </c>
      <c r="C171" s="21" t="str">
        <f t="shared" si="35"/>
        <v/>
      </c>
      <c r="D171" s="21" t="str">
        <f t="shared" si="36"/>
        <v/>
      </c>
      <c r="E171" s="21" t="str">
        <f t="shared" si="37"/>
        <v/>
      </c>
      <c r="F171" s="21" t="str">
        <f t="shared" si="38"/>
        <v/>
      </c>
      <c r="G171" s="21" t="str">
        <f t="shared" si="39"/>
        <v/>
      </c>
      <c r="H171" s="23" t="str">
        <f t="shared" si="45"/>
        <v/>
      </c>
      <c r="I171" s="22" t="str">
        <f t="shared" si="40"/>
        <v/>
      </c>
      <c r="J171" s="1"/>
      <c r="K171" s="51"/>
      <c r="M171" s="81">
        <f t="shared" ca="1" si="31"/>
        <v>788.34958920334304</v>
      </c>
      <c r="N171" s="19">
        <f t="shared" si="41"/>
        <v>23.160302603628271</v>
      </c>
      <c r="O171" s="17">
        <f t="shared" si="42"/>
        <v>42.5</v>
      </c>
      <c r="P171" s="19">
        <f ca="1">IF(ISERROR(IF(O171&lt;fi_h/20,0,(OFFSET('Base de dados'!$A$5,IF(O171&lt;20,1,IF(O171&gt;1000,10,MATCH(O171,Cargas,1))),Coluna_fih,1,1))*(1+0.13*0.25)*(PI()*(fi_h/1000)^2/4)*SQRT(2*9.81*(O171/100-fi_h/2/1000))*1000)),"",IF(O171&lt;fi_h/20,0,(OFFSET('Base de dados'!$A$5,IF(O171&lt;20,1,IF(O171&gt;1000,10,MATCH(O171,Cargas,1))),Coluna_fih,1,1))*(PI()*(fi_h/1000)^2/4)*SQRT(2*9.81*(O171/100-fi_h/2/1000))*1000))</f>
        <v>16.33950241573395</v>
      </c>
      <c r="Q171" s="19">
        <f ca="1">IF(O171="","",IF(Tipo_Vertedor="Retangular",IF(O171&lt;=cota_s*100,0,IF(Tipo_Vertedor="Retangular",Cd_sr*Lef_sr*((O171/100-cota_s)^(3/2))*1000)),IF(O171&lt;=cota_s*100+fi_s/20,0,(OFFSET('Base de dados'!$A$4,IF(O171&lt;20,1,IF(O171&gt;1000,10,MATCH(O171,Cargas,1))),Coluna_fis,1,1))*(PI()*(fi_s/1000)^2/4)*(2*9.81*(O171/100-cota_s-fi_s/2/1000))^0.5*1000)))</f>
        <v>0</v>
      </c>
      <c r="R171" s="19">
        <f t="shared" ca="1" si="32"/>
        <v>16.33950241573395</v>
      </c>
      <c r="S171" s="19">
        <f t="shared" ca="1" si="33"/>
        <v>772.01008678760911</v>
      </c>
      <c r="AD171" s="19" t="str">
        <f t="shared" si="43"/>
        <v/>
      </c>
      <c r="AE171" s="19" t="str">
        <f t="shared" si="44"/>
        <v/>
      </c>
      <c r="AF171" s="19" t="str">
        <f>IF(ISERROR(IF('Hidrograma afluente'!I178="",0,'Hidrograma afluente'!I178)+Simulação!G171),"",IF('Hidrograma afluente'!I178="",0,'Hidrograma afluente'!I178)+Simulação!G171)</f>
        <v/>
      </c>
      <c r="AG171" s="17" t="s">
        <v>160</v>
      </c>
      <c r="AH171" s="17" t="s">
        <v>160</v>
      </c>
      <c r="AI171" s="27" t="s">
        <v>160</v>
      </c>
      <c r="AJ171" s="17" t="s">
        <v>160</v>
      </c>
      <c r="AK171" s="19" t="str">
        <f>IF(A171="","",IF('Hidrograma afluente'!I178="",0,'Hidrograma afluente'!I178)+Simulação!B171)</f>
        <v/>
      </c>
    </row>
    <row r="172" spans="1:37" s="17" customFormat="1">
      <c r="A172" s="4" t="str">
        <f t="shared" si="34"/>
        <v/>
      </c>
      <c r="B172" s="5" t="str">
        <f>IF(A172="","",IF(A172&gt;tc_lot_i+tc,0,IF('Hidrograma afluente'!B179="","",'Hidrograma afluente'!B179)))</f>
        <v/>
      </c>
      <c r="C172" s="21" t="str">
        <f t="shared" si="35"/>
        <v/>
      </c>
      <c r="D172" s="21" t="str">
        <f t="shared" si="36"/>
        <v/>
      </c>
      <c r="E172" s="21" t="str">
        <f t="shared" si="37"/>
        <v/>
      </c>
      <c r="F172" s="21" t="str">
        <f t="shared" si="38"/>
        <v/>
      </c>
      <c r="G172" s="21" t="str">
        <f t="shared" si="39"/>
        <v/>
      </c>
      <c r="H172" s="23" t="str">
        <f t="shared" si="45"/>
        <v/>
      </c>
      <c r="I172" s="22" t="str">
        <f t="shared" si="40"/>
        <v/>
      </c>
      <c r="J172" s="1"/>
      <c r="K172" s="51"/>
      <c r="M172" s="81">
        <f t="shared" ca="1" si="31"/>
        <v>793.51373189602941</v>
      </c>
      <c r="N172" s="19">
        <f t="shared" si="41"/>
        <v>23.313567373017911</v>
      </c>
      <c r="O172" s="17">
        <f t="shared" si="42"/>
        <v>42.75</v>
      </c>
      <c r="P172" s="19">
        <f ca="1">IF(ISERROR(IF(O172&lt;fi_h/20,0,(OFFSET('Base de dados'!$A$5,IF(O172&lt;20,1,IF(O172&gt;1000,10,MATCH(O172,Cargas,1))),Coluna_fih,1,1))*(1+0.13*0.25)*(PI()*(fi_h/1000)^2/4)*SQRT(2*9.81*(O172/100-fi_h/2/1000))*1000)),"",IF(O172&lt;fi_h/20,0,(OFFSET('Base de dados'!$A$5,IF(O172&lt;20,1,IF(O172&gt;1000,10,MATCH(O172,Cargas,1))),Coluna_fih,1,1))*(PI()*(fi_h/1000)^2/4)*SQRT(2*9.81*(O172/100-fi_h/2/1000))*1000))</f>
        <v>16.394819462098951</v>
      </c>
      <c r="Q172" s="19">
        <f ca="1">IF(O172="","",IF(Tipo_Vertedor="Retangular",IF(O172&lt;=cota_s*100,0,IF(Tipo_Vertedor="Retangular",Cd_sr*Lef_sr*((O172/100-cota_s)^(3/2))*1000)),IF(O172&lt;=cota_s*100+fi_s/20,0,(OFFSET('Base de dados'!$A$4,IF(O172&lt;20,1,IF(O172&gt;1000,10,MATCH(O172,Cargas,1))),Coluna_fis,1,1))*(PI()*(fi_s/1000)^2/4)*(2*9.81*(O172/100-cota_s-fi_s/2/1000))^0.5*1000)))</f>
        <v>0</v>
      </c>
      <c r="R172" s="19">
        <f t="shared" ca="1" si="32"/>
        <v>16.394819462098951</v>
      </c>
      <c r="S172" s="19">
        <f t="shared" ca="1" si="33"/>
        <v>777.1189124339304</v>
      </c>
      <c r="AD172" s="19" t="str">
        <f t="shared" si="43"/>
        <v/>
      </c>
      <c r="AE172" s="19" t="str">
        <f t="shared" si="44"/>
        <v/>
      </c>
      <c r="AF172" s="19" t="str">
        <f>IF(ISERROR(IF('Hidrograma afluente'!I179="",0,'Hidrograma afluente'!I179)+Simulação!G172),"",IF('Hidrograma afluente'!I179="",0,'Hidrograma afluente'!I179)+Simulação!G172)</f>
        <v/>
      </c>
      <c r="AG172" s="17" t="s">
        <v>160</v>
      </c>
      <c r="AH172" s="17" t="s">
        <v>160</v>
      </c>
      <c r="AI172" s="27" t="s">
        <v>160</v>
      </c>
      <c r="AJ172" s="17" t="s">
        <v>160</v>
      </c>
      <c r="AK172" s="19" t="str">
        <f>IF(A172="","",IF('Hidrograma afluente'!I179="",0,'Hidrograma afluente'!I179)+Simulação!B172)</f>
        <v/>
      </c>
    </row>
    <row r="173" spans="1:37" s="17" customFormat="1">
      <c r="A173" s="4" t="str">
        <f t="shared" si="34"/>
        <v/>
      </c>
      <c r="B173" s="5" t="str">
        <f>IF(A173="","",IF(A173&gt;tc_lot_i+tc,0,IF('Hidrograma afluente'!B180="","",'Hidrograma afluente'!B180)))</f>
        <v/>
      </c>
      <c r="C173" s="21" t="str">
        <f t="shared" si="35"/>
        <v/>
      </c>
      <c r="D173" s="21" t="str">
        <f t="shared" si="36"/>
        <v/>
      </c>
      <c r="E173" s="21" t="str">
        <f t="shared" si="37"/>
        <v/>
      </c>
      <c r="F173" s="21" t="str">
        <f t="shared" si="38"/>
        <v/>
      </c>
      <c r="G173" s="21" t="str">
        <f t="shared" si="39"/>
        <v/>
      </c>
      <c r="H173" s="23" t="str">
        <f t="shared" si="45"/>
        <v/>
      </c>
      <c r="I173" s="22" t="str">
        <f t="shared" si="40"/>
        <v/>
      </c>
      <c r="J173" s="1"/>
      <c r="K173" s="51"/>
      <c r="M173" s="81">
        <f t="shared" ca="1" si="31"/>
        <v>798.68141175574829</v>
      </c>
      <c r="N173" s="19">
        <f t="shared" si="41"/>
        <v>23.46694383790642</v>
      </c>
      <c r="O173" s="17">
        <f t="shared" si="42"/>
        <v>43</v>
      </c>
      <c r="P173" s="19">
        <f ca="1">IF(ISERROR(IF(O173&lt;fi_h/20,0,(OFFSET('Base de dados'!$A$5,IF(O173&lt;20,1,IF(O173&gt;1000,10,MATCH(O173,Cargas,1))),Coluna_fih,1,1))*(1+0.13*0.25)*(PI()*(fi_h/1000)^2/4)*SQRT(2*9.81*(O173/100-fi_h/2/1000))*1000)),"",IF(O173&lt;fi_h/20,0,(OFFSET('Base de dados'!$A$5,IF(O173&lt;20,1,IF(O173&gt;1000,10,MATCH(O173,Cargas,1))),Coluna_fih,1,1))*(PI()*(fi_h/1000)^2/4)*SQRT(2*9.81*(O173/100-fi_h/2/1000))*1000))</f>
        <v>16.449950492200927</v>
      </c>
      <c r="Q173" s="19">
        <f ca="1">IF(O173="","",IF(Tipo_Vertedor="Retangular",IF(O173&lt;=cota_s*100,0,IF(Tipo_Vertedor="Retangular",Cd_sr*Lef_sr*((O173/100-cota_s)^(3/2))*1000)),IF(O173&lt;=cota_s*100+fi_s/20,0,(OFFSET('Base de dados'!$A$4,IF(O173&lt;20,1,IF(O173&gt;1000,10,MATCH(O173,Cargas,1))),Coluna_fis,1,1))*(PI()*(fi_s/1000)^2/4)*(2*9.81*(O173/100-cota_s-fi_s/2/1000))^0.5*1000)))</f>
        <v>0</v>
      </c>
      <c r="R173" s="19">
        <f t="shared" ca="1" si="32"/>
        <v>16.449950492200927</v>
      </c>
      <c r="S173" s="19">
        <f t="shared" ca="1" si="33"/>
        <v>782.23146126354732</v>
      </c>
      <c r="AD173" s="19" t="str">
        <f t="shared" si="43"/>
        <v/>
      </c>
      <c r="AE173" s="19" t="str">
        <f t="shared" si="44"/>
        <v/>
      </c>
      <c r="AF173" s="19" t="str">
        <f>IF(ISERROR(IF('Hidrograma afluente'!I180="",0,'Hidrograma afluente'!I180)+Simulação!G173),"",IF('Hidrograma afluente'!I180="",0,'Hidrograma afluente'!I180)+Simulação!G173)</f>
        <v/>
      </c>
      <c r="AG173" s="17" t="s">
        <v>160</v>
      </c>
      <c r="AH173" s="17" t="s">
        <v>160</v>
      </c>
      <c r="AI173" s="27" t="s">
        <v>160</v>
      </c>
      <c r="AJ173" s="17" t="s">
        <v>160</v>
      </c>
      <c r="AK173" s="19" t="str">
        <f>IF(A173="","",IF('Hidrograma afluente'!I180="",0,'Hidrograma afluente'!I180)+Simulação!B173)</f>
        <v/>
      </c>
    </row>
    <row r="174" spans="1:37" s="17" customFormat="1">
      <c r="A174" s="4" t="str">
        <f t="shared" si="34"/>
        <v/>
      </c>
      <c r="B174" s="5" t="str">
        <f>IF(A174="","",IF(A174&gt;tc_lot_i+tc,0,IF('Hidrograma afluente'!B181="","",'Hidrograma afluente'!B181)))</f>
        <v/>
      </c>
      <c r="C174" s="21" t="str">
        <f t="shared" si="35"/>
        <v/>
      </c>
      <c r="D174" s="21" t="str">
        <f t="shared" si="36"/>
        <v/>
      </c>
      <c r="E174" s="21" t="str">
        <f t="shared" si="37"/>
        <v/>
      </c>
      <c r="F174" s="21" t="str">
        <f t="shared" si="38"/>
        <v/>
      </c>
      <c r="G174" s="21" t="str">
        <f t="shared" si="39"/>
        <v/>
      </c>
      <c r="H174" s="23" t="str">
        <f t="shared" si="45"/>
        <v/>
      </c>
      <c r="I174" s="22" t="str">
        <f t="shared" si="40"/>
        <v/>
      </c>
      <c r="J174" s="1"/>
      <c r="K174" s="51"/>
      <c r="M174" s="81">
        <f t="shared" ca="1" si="31"/>
        <v>803.85261168963746</v>
      </c>
      <c r="N174" s="19">
        <f t="shared" si="41"/>
        <v>23.620431429586699</v>
      </c>
      <c r="O174" s="17">
        <f t="shared" si="42"/>
        <v>43.25</v>
      </c>
      <c r="P174" s="19">
        <f ca="1">IF(ISERROR(IF(O174&lt;fi_h/20,0,(OFFSET('Base de dados'!$A$5,IF(O174&lt;20,1,IF(O174&gt;1000,10,MATCH(O174,Cargas,1))),Coluna_fih,1,1))*(1+0.13*0.25)*(PI()*(fi_h/1000)^2/4)*SQRT(2*9.81*(O174/100-fi_h/2/1000))*1000)),"",IF(O174&lt;fi_h/20,0,(OFFSET('Base de dados'!$A$5,IF(O174&lt;20,1,IF(O174&gt;1000,10,MATCH(O174,Cargas,1))),Coluna_fih,1,1))*(PI()*(fi_h/1000)^2/4)*SQRT(2*9.81*(O174/100-fi_h/2/1000))*1000))</f>
        <v>16.504897370080933</v>
      </c>
      <c r="Q174" s="19">
        <f ca="1">IF(O174="","",IF(Tipo_Vertedor="Retangular",IF(O174&lt;=cota_s*100,0,IF(Tipo_Vertedor="Retangular",Cd_sr*Lef_sr*((O174/100-cota_s)^(3/2))*1000)),IF(O174&lt;=cota_s*100+fi_s/20,0,(OFFSET('Base de dados'!$A$4,IF(O174&lt;20,1,IF(O174&gt;1000,10,MATCH(O174,Cargas,1))),Coluna_fis,1,1))*(PI()*(fi_s/1000)^2/4)*(2*9.81*(O174/100-cota_s-fi_s/2/1000))^0.5*1000)))</f>
        <v>0</v>
      </c>
      <c r="R174" s="19">
        <f t="shared" ca="1" si="32"/>
        <v>16.504897370080933</v>
      </c>
      <c r="S174" s="19">
        <f t="shared" ca="1" si="33"/>
        <v>787.34771431955653</v>
      </c>
      <c r="AD174" s="19" t="str">
        <f t="shared" si="43"/>
        <v/>
      </c>
      <c r="AE174" s="19" t="str">
        <f t="shared" si="44"/>
        <v/>
      </c>
      <c r="AF174" s="19" t="str">
        <f>IF(ISERROR(IF('Hidrograma afluente'!I181="",0,'Hidrograma afluente'!I181)+Simulação!G174),"",IF('Hidrograma afluente'!I181="",0,'Hidrograma afluente'!I181)+Simulação!G174)</f>
        <v/>
      </c>
      <c r="AG174" s="17" t="s">
        <v>160</v>
      </c>
      <c r="AH174" s="17" t="s">
        <v>160</v>
      </c>
      <c r="AI174" s="27" t="s">
        <v>160</v>
      </c>
      <c r="AJ174" s="17" t="s">
        <v>160</v>
      </c>
      <c r="AK174" s="19" t="str">
        <f>IF(A174="","",IF('Hidrograma afluente'!I181="",0,'Hidrograma afluente'!I181)+Simulação!B174)</f>
        <v/>
      </c>
    </row>
    <row r="175" spans="1:37" s="17" customFormat="1">
      <c r="A175" s="4" t="str">
        <f t="shared" si="34"/>
        <v/>
      </c>
      <c r="B175" s="5" t="str">
        <f>IF(A175="","",IF(A175&gt;tc_lot_i+tc,0,IF('Hidrograma afluente'!B182="","",'Hidrograma afluente'!B182)))</f>
        <v/>
      </c>
      <c r="C175" s="21" t="str">
        <f t="shared" si="35"/>
        <v/>
      </c>
      <c r="D175" s="21" t="str">
        <f t="shared" si="36"/>
        <v/>
      </c>
      <c r="E175" s="21" t="str">
        <f t="shared" si="37"/>
        <v/>
      </c>
      <c r="F175" s="21" t="str">
        <f t="shared" si="38"/>
        <v/>
      </c>
      <c r="G175" s="21" t="str">
        <f t="shared" si="39"/>
        <v/>
      </c>
      <c r="H175" s="23" t="str">
        <f t="shared" si="45"/>
        <v/>
      </c>
      <c r="I175" s="22" t="str">
        <f t="shared" si="40"/>
        <v/>
      </c>
      <c r="J175" s="1"/>
      <c r="K175" s="51"/>
      <c r="M175" s="81">
        <f t="shared" ca="1" si="31"/>
        <v>809.02731477949169</v>
      </c>
      <c r="N175" s="19">
        <f t="shared" si="41"/>
        <v>23.77402958551912</v>
      </c>
      <c r="O175" s="17">
        <f t="shared" si="42"/>
        <v>43.5</v>
      </c>
      <c r="P175" s="19">
        <f ca="1">IF(ISERROR(IF(O175&lt;fi_h/20,0,(OFFSET('Base de dados'!$A$5,IF(O175&lt;20,1,IF(O175&gt;1000,10,MATCH(O175,Cargas,1))),Coluna_fih,1,1))*(1+0.13*0.25)*(PI()*(fi_h/1000)^2/4)*SQRT(2*9.81*(O175/100-fi_h/2/1000))*1000)),"",IF(O175&lt;fi_h/20,0,(OFFSET('Base de dados'!$A$5,IF(O175&lt;20,1,IF(O175&gt;1000,10,MATCH(O175,Cargas,1))),Coluna_fih,1,1))*(PI()*(fi_h/1000)^2/4)*SQRT(2*9.81*(O175/100-fi_h/2/1000))*1000))</f>
        <v>16.559661928854325</v>
      </c>
      <c r="Q175" s="19">
        <f ca="1">IF(O175="","",IF(Tipo_Vertedor="Retangular",IF(O175&lt;=cota_s*100,0,IF(Tipo_Vertedor="Retangular",Cd_sr*Lef_sr*((O175/100-cota_s)^(3/2))*1000)),IF(O175&lt;=cota_s*100+fi_s/20,0,(OFFSET('Base de dados'!$A$4,IF(O175&lt;20,1,IF(O175&gt;1000,10,MATCH(O175,Cargas,1))),Coluna_fis,1,1))*(PI()*(fi_s/1000)^2/4)*(2*9.81*(O175/100-cota_s-fi_s/2/1000))^0.5*1000)))</f>
        <v>0</v>
      </c>
      <c r="R175" s="19">
        <f t="shared" ca="1" si="32"/>
        <v>16.559661928854325</v>
      </c>
      <c r="S175" s="19">
        <f t="shared" ca="1" si="33"/>
        <v>792.46765285063736</v>
      </c>
      <c r="AD175" s="19" t="str">
        <f t="shared" si="43"/>
        <v/>
      </c>
      <c r="AE175" s="19" t="str">
        <f t="shared" si="44"/>
        <v/>
      </c>
      <c r="AF175" s="19" t="str">
        <f>IF(ISERROR(IF('Hidrograma afluente'!I182="",0,'Hidrograma afluente'!I182)+Simulação!G175),"",IF('Hidrograma afluente'!I182="",0,'Hidrograma afluente'!I182)+Simulação!G175)</f>
        <v/>
      </c>
      <c r="AG175" s="17" t="s">
        <v>160</v>
      </c>
      <c r="AH175" s="17" t="s">
        <v>160</v>
      </c>
      <c r="AI175" s="27" t="s">
        <v>160</v>
      </c>
      <c r="AJ175" s="17" t="s">
        <v>160</v>
      </c>
      <c r="AK175" s="19" t="str">
        <f>IF(A175="","",IF('Hidrograma afluente'!I182="",0,'Hidrograma afluente'!I182)+Simulação!B175)</f>
        <v/>
      </c>
    </row>
    <row r="176" spans="1:37" s="17" customFormat="1">
      <c r="A176" s="4" t="str">
        <f t="shared" si="34"/>
        <v/>
      </c>
      <c r="B176" s="5" t="str">
        <f>IF(A176="","",IF(A176&gt;tc_lot_i+tc,0,IF('Hidrograma afluente'!B183="","",'Hidrograma afluente'!B183)))</f>
        <v/>
      </c>
      <c r="C176" s="21" t="str">
        <f t="shared" si="35"/>
        <v/>
      </c>
      <c r="D176" s="21" t="str">
        <f t="shared" si="36"/>
        <v/>
      </c>
      <c r="E176" s="21" t="str">
        <f t="shared" si="37"/>
        <v/>
      </c>
      <c r="F176" s="21" t="str">
        <f t="shared" si="38"/>
        <v/>
      </c>
      <c r="G176" s="21" t="str">
        <f t="shared" si="39"/>
        <v/>
      </c>
      <c r="H176" s="23" t="str">
        <f t="shared" si="45"/>
        <v/>
      </c>
      <c r="I176" s="22" t="str">
        <f t="shared" si="40"/>
        <v/>
      </c>
      <c r="J176" s="1"/>
      <c r="K176" s="51"/>
      <c r="M176" s="81">
        <f t="shared" ca="1" si="31"/>
        <v>814.20550427907585</v>
      </c>
      <c r="N176" s="19">
        <f t="shared" si="41"/>
        <v>23.927737749229546</v>
      </c>
      <c r="O176" s="17">
        <f t="shared" si="42"/>
        <v>43.75</v>
      </c>
      <c r="P176" s="19">
        <f ca="1">IF(ISERROR(IF(O176&lt;fi_h/20,0,(OFFSET('Base de dados'!$A$5,IF(O176&lt;20,1,IF(O176&gt;1000,10,MATCH(O176,Cargas,1))),Coluna_fih,1,1))*(1+0.13*0.25)*(PI()*(fi_h/1000)^2/4)*SQRT(2*9.81*(O176/100-fi_h/2/1000))*1000)),"",IF(O176&lt;fi_h/20,0,(OFFSET('Base de dados'!$A$5,IF(O176&lt;20,1,IF(O176&gt;1000,10,MATCH(O176,Cargas,1))),Coluna_fih,1,1))*(PI()*(fi_h/1000)^2/4)*SQRT(2*9.81*(O176/100-fi_h/2/1000))*1000))</f>
        <v>16.614245971424353</v>
      </c>
      <c r="Q176" s="19">
        <f ca="1">IF(O176="","",IF(Tipo_Vertedor="Retangular",IF(O176&lt;=cota_s*100,0,IF(Tipo_Vertedor="Retangular",Cd_sr*Lef_sr*((O176/100-cota_s)^(3/2))*1000)),IF(O176&lt;=cota_s*100+fi_s/20,0,(OFFSET('Base de dados'!$A$4,IF(O176&lt;20,1,IF(O176&gt;1000,10,MATCH(O176,Cargas,1))),Coluna_fis,1,1))*(PI()*(fi_s/1000)^2/4)*(2*9.81*(O176/100-cota_s-fi_s/2/1000))^0.5*1000)))</f>
        <v>0</v>
      </c>
      <c r="R176" s="19">
        <f t="shared" ca="1" si="32"/>
        <v>16.614245971424353</v>
      </c>
      <c r="S176" s="19">
        <f t="shared" ca="1" si="33"/>
        <v>797.59125830765151</v>
      </c>
      <c r="AD176" s="19" t="str">
        <f t="shared" si="43"/>
        <v/>
      </c>
      <c r="AE176" s="19" t="str">
        <f t="shared" si="44"/>
        <v/>
      </c>
      <c r="AF176" s="19" t="str">
        <f>IF(ISERROR(IF('Hidrograma afluente'!I183="",0,'Hidrograma afluente'!I183)+Simulação!G176),"",IF('Hidrograma afluente'!I183="",0,'Hidrograma afluente'!I183)+Simulação!G176)</f>
        <v/>
      </c>
      <c r="AG176" s="17" t="s">
        <v>160</v>
      </c>
      <c r="AH176" s="17" t="s">
        <v>160</v>
      </c>
      <c r="AI176" s="27" t="s">
        <v>160</v>
      </c>
      <c r="AJ176" s="17" t="s">
        <v>160</v>
      </c>
      <c r="AK176" s="19" t="str">
        <f>IF(A176="","",IF('Hidrograma afluente'!I183="",0,'Hidrograma afluente'!I183)+Simulação!B176)</f>
        <v/>
      </c>
    </row>
    <row r="177" spans="1:37" s="17" customFormat="1">
      <c r="A177" s="4" t="str">
        <f t="shared" si="34"/>
        <v/>
      </c>
      <c r="B177" s="5" t="str">
        <f>IF(A177="","",IF(A177&gt;tc_lot_i+tc,0,IF('Hidrograma afluente'!B184="","",'Hidrograma afluente'!B184)))</f>
        <v/>
      </c>
      <c r="C177" s="21" t="str">
        <f t="shared" si="35"/>
        <v/>
      </c>
      <c r="D177" s="21" t="str">
        <f t="shared" si="36"/>
        <v/>
      </c>
      <c r="E177" s="21" t="str">
        <f t="shared" si="37"/>
        <v/>
      </c>
      <c r="F177" s="21" t="str">
        <f t="shared" si="38"/>
        <v/>
      </c>
      <c r="G177" s="21" t="str">
        <f t="shared" si="39"/>
        <v/>
      </c>
      <c r="H177" s="23" t="str">
        <f t="shared" si="45"/>
        <v/>
      </c>
      <c r="I177" s="22" t="str">
        <f t="shared" si="40"/>
        <v/>
      </c>
      <c r="J177" s="1"/>
      <c r="K177" s="51"/>
      <c r="M177" s="81">
        <f t="shared" ca="1" si="31"/>
        <v>819.38716361149625</v>
      </c>
      <c r="N177" s="19">
        <f t="shared" si="41"/>
        <v>24.081555370209649</v>
      </c>
      <c r="O177" s="17">
        <f t="shared" si="42"/>
        <v>44</v>
      </c>
      <c r="P177" s="19">
        <f ca="1">IF(ISERROR(IF(O177&lt;fi_h/20,0,(OFFSET('Base de dados'!$A$5,IF(O177&lt;20,1,IF(O177&gt;1000,10,MATCH(O177,Cargas,1))),Coluna_fih,1,1))*(1+0.13*0.25)*(PI()*(fi_h/1000)^2/4)*SQRT(2*9.81*(O177/100-fi_h/2/1000))*1000)),"",IF(O177&lt;fi_h/20,0,(OFFSET('Base de dados'!$A$5,IF(O177&lt;20,1,IF(O177&gt;1000,10,MATCH(O177,Cargas,1))),Coluna_fih,1,1))*(PI()*(fi_h/1000)^2/4)*SQRT(2*9.81*(O177/100-fi_h/2/1000))*1000))</f>
        <v>16.668651271174681</v>
      </c>
      <c r="Q177" s="19">
        <f ca="1">IF(O177="","",IF(Tipo_Vertedor="Retangular",IF(O177&lt;=cota_s*100,0,IF(Tipo_Vertedor="Retangular",Cd_sr*Lef_sr*((O177/100-cota_s)^(3/2))*1000)),IF(O177&lt;=cota_s*100+fi_s/20,0,(OFFSET('Base de dados'!$A$4,IF(O177&lt;20,1,IF(O177&gt;1000,10,MATCH(O177,Cargas,1))),Coluna_fis,1,1))*(PI()*(fi_s/1000)^2/4)*(2*9.81*(O177/100-cota_s-fi_s/2/1000))^0.5*1000)))</f>
        <v>0</v>
      </c>
      <c r="R177" s="19">
        <f t="shared" ca="1" si="32"/>
        <v>16.668651271174681</v>
      </c>
      <c r="S177" s="19">
        <f t="shared" ca="1" si="33"/>
        <v>802.71851234032158</v>
      </c>
      <c r="AD177" s="19" t="str">
        <f t="shared" si="43"/>
        <v/>
      </c>
      <c r="AE177" s="19" t="str">
        <f t="shared" si="44"/>
        <v/>
      </c>
      <c r="AF177" s="19" t="str">
        <f>IF(ISERROR(IF('Hidrograma afluente'!I184="",0,'Hidrograma afluente'!I184)+Simulação!G177),"",IF('Hidrograma afluente'!I184="",0,'Hidrograma afluente'!I184)+Simulação!G177)</f>
        <v/>
      </c>
      <c r="AG177" s="17" t="s">
        <v>160</v>
      </c>
      <c r="AH177" s="17" t="s">
        <v>160</v>
      </c>
      <c r="AI177" s="27" t="s">
        <v>160</v>
      </c>
      <c r="AJ177" s="17" t="s">
        <v>160</v>
      </c>
      <c r="AK177" s="19" t="str">
        <f>IF(A177="","",IF('Hidrograma afluente'!I184="",0,'Hidrograma afluente'!I184)+Simulação!B177)</f>
        <v/>
      </c>
    </row>
    <row r="178" spans="1:37" s="17" customFormat="1">
      <c r="A178" s="4" t="str">
        <f t="shared" si="34"/>
        <v/>
      </c>
      <c r="B178" s="5" t="str">
        <f>IF(A178="","",IF(A178&gt;tc_lot_i+tc,0,IF('Hidrograma afluente'!B185="","",'Hidrograma afluente'!B185)))</f>
        <v/>
      </c>
      <c r="C178" s="21" t="str">
        <f t="shared" si="35"/>
        <v/>
      </c>
      <c r="D178" s="21" t="str">
        <f t="shared" si="36"/>
        <v/>
      </c>
      <c r="E178" s="21" t="str">
        <f t="shared" si="37"/>
        <v/>
      </c>
      <c r="F178" s="21" t="str">
        <f t="shared" si="38"/>
        <v/>
      </c>
      <c r="G178" s="21" t="str">
        <f t="shared" si="39"/>
        <v/>
      </c>
      <c r="H178" s="23" t="str">
        <f t="shared" si="45"/>
        <v/>
      </c>
      <c r="I178" s="22" t="str">
        <f t="shared" si="40"/>
        <v/>
      </c>
      <c r="J178" s="1"/>
      <c r="K178" s="51"/>
      <c r="M178" s="81">
        <f t="shared" ca="1" si="31"/>
        <v>824.57227636662117</v>
      </c>
      <c r="N178" s="19">
        <f t="shared" si="41"/>
        <v>24.235481903819384</v>
      </c>
      <c r="O178" s="17">
        <f t="shared" si="42"/>
        <v>44.25</v>
      </c>
      <c r="P178" s="19">
        <f ca="1">IF(ISERROR(IF(O178&lt;fi_h/20,0,(OFFSET('Base de dados'!$A$5,IF(O178&lt;20,1,IF(O178&gt;1000,10,MATCH(O178,Cargas,1))),Coluna_fih,1,1))*(1+0.13*0.25)*(PI()*(fi_h/1000)^2/4)*SQRT(2*9.81*(O178/100-fi_h/2/1000))*1000)),"",IF(O178&lt;fi_h/20,0,(OFFSET('Base de dados'!$A$5,IF(O178&lt;20,1,IF(O178&gt;1000,10,MATCH(O178,Cargas,1))),Coluna_fih,1,1))*(PI()*(fi_h/1000)^2/4)*SQRT(2*9.81*(O178/100-fi_h/2/1000))*1000))</f>
        <v>16.722879572641681</v>
      </c>
      <c r="Q178" s="19">
        <f ca="1">IF(O178="","",IF(Tipo_Vertedor="Retangular",IF(O178&lt;=cota_s*100,0,IF(Tipo_Vertedor="Retangular",Cd_sr*Lef_sr*((O178/100-cota_s)^(3/2))*1000)),IF(O178&lt;=cota_s*100+fi_s/20,0,(OFFSET('Base de dados'!$A$4,IF(O178&lt;20,1,IF(O178&gt;1000,10,MATCH(O178,Cargas,1))),Coluna_fis,1,1))*(PI()*(fi_s/1000)^2/4)*(2*9.81*(O178/100-cota_s-fi_s/2/1000))^0.5*1000)))</f>
        <v>0</v>
      </c>
      <c r="R178" s="19">
        <f t="shared" ca="1" si="32"/>
        <v>16.722879572641681</v>
      </c>
      <c r="S178" s="19">
        <f t="shared" ca="1" si="33"/>
        <v>807.84939679397951</v>
      </c>
      <c r="AD178" s="19" t="str">
        <f t="shared" si="43"/>
        <v/>
      </c>
      <c r="AE178" s="19" t="str">
        <f t="shared" si="44"/>
        <v/>
      </c>
      <c r="AF178" s="19" t="str">
        <f>IF(ISERROR(IF('Hidrograma afluente'!I185="",0,'Hidrograma afluente'!I185)+Simulação!G178),"",IF('Hidrograma afluente'!I185="",0,'Hidrograma afluente'!I185)+Simulação!G178)</f>
        <v/>
      </c>
      <c r="AG178" s="17" t="s">
        <v>160</v>
      </c>
      <c r="AH178" s="17" t="s">
        <v>160</v>
      </c>
      <c r="AI178" s="27" t="s">
        <v>160</v>
      </c>
      <c r="AJ178" s="17" t="s">
        <v>160</v>
      </c>
      <c r="AK178" s="19" t="str">
        <f>IF(A178="","",IF('Hidrograma afluente'!I185="",0,'Hidrograma afluente'!I185)+Simulação!B178)</f>
        <v/>
      </c>
    </row>
    <row r="179" spans="1:37" s="17" customFormat="1">
      <c r="A179" s="4" t="str">
        <f t="shared" si="34"/>
        <v/>
      </c>
      <c r="B179" s="5" t="str">
        <f>IF(A179="","",IF(A179&gt;tc_lot_i+tc,0,IF('Hidrograma afluente'!B186="","",'Hidrograma afluente'!B186)))</f>
        <v/>
      </c>
      <c r="C179" s="21" t="str">
        <f t="shared" si="35"/>
        <v/>
      </c>
      <c r="D179" s="21" t="str">
        <f t="shared" si="36"/>
        <v/>
      </c>
      <c r="E179" s="21" t="str">
        <f t="shared" si="37"/>
        <v/>
      </c>
      <c r="F179" s="21" t="str">
        <f t="shared" si="38"/>
        <v/>
      </c>
      <c r="G179" s="21" t="str">
        <f t="shared" si="39"/>
        <v/>
      </c>
      <c r="H179" s="23" t="str">
        <f t="shared" si="45"/>
        <v/>
      </c>
      <c r="I179" s="22" t="str">
        <f t="shared" si="40"/>
        <v/>
      </c>
      <c r="J179" s="1"/>
      <c r="K179" s="51"/>
      <c r="M179" s="81">
        <f t="shared" ca="1" si="31"/>
        <v>829.76082629855512</v>
      </c>
      <c r="N179" s="19">
        <f t="shared" si="41"/>
        <v>24.38951681119164</v>
      </c>
      <c r="O179" s="17">
        <f t="shared" si="42"/>
        <v>44.5</v>
      </c>
      <c r="P179" s="19">
        <f ca="1">IF(ISERROR(IF(O179&lt;fi_h/20,0,(OFFSET('Base de dados'!$A$5,IF(O179&lt;20,1,IF(O179&gt;1000,10,MATCH(O179,Cargas,1))),Coluna_fih,1,1))*(1+0.13*0.25)*(PI()*(fi_h/1000)^2/4)*SQRT(2*9.81*(O179/100-fi_h/2/1000))*1000)),"",IF(O179&lt;fi_h/20,0,(OFFSET('Base de dados'!$A$5,IF(O179&lt;20,1,IF(O179&gt;1000,10,MATCH(O179,Cargas,1))),Coluna_fih,1,1))*(PI()*(fi_h/1000)^2/4)*SQRT(2*9.81*(O179/100-fi_h/2/1000))*1000))</f>
        <v>16.776932592167118</v>
      </c>
      <c r="Q179" s="19">
        <f ca="1">IF(O179="","",IF(Tipo_Vertedor="Retangular",IF(O179&lt;=cota_s*100,0,IF(Tipo_Vertedor="Retangular",Cd_sr*Lef_sr*((O179/100-cota_s)^(3/2))*1000)),IF(O179&lt;=cota_s*100+fi_s/20,0,(OFFSET('Base de dados'!$A$4,IF(O179&lt;20,1,IF(O179&gt;1000,10,MATCH(O179,Cargas,1))),Coluna_fis,1,1))*(PI()*(fi_s/1000)^2/4)*(2*9.81*(O179/100-cota_s-fi_s/2/1000))^0.5*1000)))</f>
        <v>0</v>
      </c>
      <c r="R179" s="19">
        <f t="shared" ca="1" si="32"/>
        <v>16.776932592167118</v>
      </c>
      <c r="S179" s="19">
        <f t="shared" ca="1" si="33"/>
        <v>812.98389370638802</v>
      </c>
      <c r="AD179" s="19" t="str">
        <f t="shared" si="43"/>
        <v/>
      </c>
      <c r="AE179" s="19" t="str">
        <f t="shared" si="44"/>
        <v/>
      </c>
      <c r="AF179" s="19" t="str">
        <f>IF(ISERROR(IF('Hidrograma afluente'!I186="",0,'Hidrograma afluente'!I186)+Simulação!G179),"",IF('Hidrograma afluente'!I186="",0,'Hidrograma afluente'!I186)+Simulação!G179)</f>
        <v/>
      </c>
      <c r="AG179" s="17" t="s">
        <v>160</v>
      </c>
      <c r="AH179" s="17" t="s">
        <v>160</v>
      </c>
      <c r="AI179" s="27" t="s">
        <v>160</v>
      </c>
      <c r="AJ179" s="17" t="s">
        <v>160</v>
      </c>
      <c r="AK179" s="19" t="str">
        <f>IF(A179="","",IF('Hidrograma afluente'!I186="",0,'Hidrograma afluente'!I186)+Simulação!B179)</f>
        <v/>
      </c>
    </row>
    <row r="180" spans="1:37" s="17" customFormat="1">
      <c r="A180" s="4" t="str">
        <f t="shared" si="34"/>
        <v/>
      </c>
      <c r="B180" s="5" t="str">
        <f>IF(A180="","",IF(A180&gt;tc_lot_i+tc,0,IF('Hidrograma afluente'!B187="","",'Hidrograma afluente'!B187)))</f>
        <v/>
      </c>
      <c r="C180" s="21" t="str">
        <f t="shared" si="35"/>
        <v/>
      </c>
      <c r="D180" s="21" t="str">
        <f t="shared" si="36"/>
        <v/>
      </c>
      <c r="E180" s="21" t="str">
        <f t="shared" si="37"/>
        <v/>
      </c>
      <c r="F180" s="21" t="str">
        <f t="shared" si="38"/>
        <v/>
      </c>
      <c r="G180" s="21" t="str">
        <f t="shared" si="39"/>
        <v/>
      </c>
      <c r="H180" s="23" t="str">
        <f t="shared" si="45"/>
        <v/>
      </c>
      <c r="I180" s="22" t="str">
        <f t="shared" si="40"/>
        <v/>
      </c>
      <c r="J180" s="1"/>
      <c r="K180" s="51"/>
      <c r="M180" s="81">
        <f t="shared" ca="1" si="31"/>
        <v>834.9527973231634</v>
      </c>
      <c r="N180" s="19">
        <f t="shared" si="41"/>
        <v>24.543659559138941</v>
      </c>
      <c r="O180" s="17">
        <f t="shared" si="42"/>
        <v>44.75</v>
      </c>
      <c r="P180" s="19">
        <f ca="1">IF(ISERROR(IF(O180&lt;fi_h/20,0,(OFFSET('Base de dados'!$A$5,IF(O180&lt;20,1,IF(O180&gt;1000,10,MATCH(O180,Cargas,1))),Coluna_fih,1,1))*(1+0.13*0.25)*(PI()*(fi_h/1000)^2/4)*SQRT(2*9.81*(O180/100-fi_h/2/1000))*1000)),"",IF(O180&lt;fi_h/20,0,(OFFSET('Base de dados'!$A$5,IF(O180&lt;20,1,IF(O180&gt;1000,10,MATCH(O180,Cargas,1))),Coluna_fih,1,1))*(PI()*(fi_h/1000)^2/4)*SQRT(2*9.81*(O180/100-fi_h/2/1000))*1000))</f>
        <v>16.830812018532033</v>
      </c>
      <c r="Q180" s="19">
        <f ca="1">IF(O180="","",IF(Tipo_Vertedor="Retangular",IF(O180&lt;=cota_s*100,0,IF(Tipo_Vertedor="Retangular",Cd_sr*Lef_sr*((O180/100-cota_s)^(3/2))*1000)),IF(O180&lt;=cota_s*100+fi_s/20,0,(OFFSET('Base de dados'!$A$4,IF(O180&lt;20,1,IF(O180&gt;1000,10,MATCH(O180,Cargas,1))),Coluna_fis,1,1))*(PI()*(fi_s/1000)^2/4)*(2*9.81*(O180/100-cota_s-fi_s/2/1000))^0.5*1000)))</f>
        <v>0</v>
      </c>
      <c r="R180" s="19">
        <f t="shared" ca="1" si="32"/>
        <v>16.830812018532033</v>
      </c>
      <c r="S180" s="19">
        <f t="shared" ca="1" si="33"/>
        <v>818.12198530463138</v>
      </c>
      <c r="AD180" s="19" t="str">
        <f t="shared" si="43"/>
        <v/>
      </c>
      <c r="AE180" s="19" t="str">
        <f t="shared" si="44"/>
        <v/>
      </c>
      <c r="AF180" s="19" t="str">
        <f>IF(ISERROR(IF('Hidrograma afluente'!I187="",0,'Hidrograma afluente'!I187)+Simulação!G180),"",IF('Hidrograma afluente'!I187="",0,'Hidrograma afluente'!I187)+Simulação!G180)</f>
        <v/>
      </c>
      <c r="AG180" s="17" t="s">
        <v>160</v>
      </c>
      <c r="AH180" s="17" t="s">
        <v>160</v>
      </c>
      <c r="AI180" s="27" t="s">
        <v>160</v>
      </c>
      <c r="AJ180" s="17" t="s">
        <v>160</v>
      </c>
      <c r="AK180" s="19" t="str">
        <f>IF(A180="","",IF('Hidrograma afluente'!I187="",0,'Hidrograma afluente'!I187)+Simulação!B180)</f>
        <v/>
      </c>
    </row>
    <row r="181" spans="1:37" s="17" customFormat="1">
      <c r="A181" s="4" t="str">
        <f t="shared" si="34"/>
        <v/>
      </c>
      <c r="B181" s="5" t="str">
        <f>IF(A181="","",IF(A181&gt;tc_lot_i+tc,0,IF('Hidrograma afluente'!B188="","",'Hidrograma afluente'!B188)))</f>
        <v/>
      </c>
      <c r="C181" s="21" t="str">
        <f t="shared" si="35"/>
        <v/>
      </c>
      <c r="D181" s="21" t="str">
        <f t="shared" si="36"/>
        <v/>
      </c>
      <c r="E181" s="21" t="str">
        <f t="shared" si="37"/>
        <v/>
      </c>
      <c r="F181" s="21" t="str">
        <f t="shared" si="38"/>
        <v/>
      </c>
      <c r="G181" s="21" t="str">
        <f t="shared" si="39"/>
        <v/>
      </c>
      <c r="H181" s="23" t="str">
        <f t="shared" si="45"/>
        <v/>
      </c>
      <c r="I181" s="22" t="str">
        <f t="shared" si="40"/>
        <v/>
      </c>
      <c r="J181" s="1"/>
      <c r="K181" s="51"/>
      <c r="M181" s="81">
        <f t="shared" ca="1" si="31"/>
        <v>840.14817351564511</v>
      </c>
      <c r="N181" s="19">
        <f t="shared" si="41"/>
        <v>24.697909620062184</v>
      </c>
      <c r="O181" s="17">
        <f t="shared" si="42"/>
        <v>45</v>
      </c>
      <c r="P181" s="19">
        <f ca="1">IF(ISERROR(IF(O181&lt;fi_h/20,0,(OFFSET('Base de dados'!$A$5,IF(O181&lt;20,1,IF(O181&gt;1000,10,MATCH(O181,Cargas,1))),Coluna_fih,1,1))*(1+0.13*0.25)*(PI()*(fi_h/1000)^2/4)*SQRT(2*9.81*(O181/100-fi_h/2/1000))*1000)),"",IF(O181&lt;fi_h/20,0,(OFFSET('Base de dados'!$A$5,IF(O181&lt;20,1,IF(O181&gt;1000,10,MATCH(O181,Cargas,1))),Coluna_fih,1,1))*(PI()*(fi_h/1000)^2/4)*SQRT(2*9.81*(O181/100-fi_h/2/1000))*1000))</f>
        <v>16.884519513572343</v>
      </c>
      <c r="Q181" s="19">
        <f ca="1">IF(O181="","",IF(Tipo_Vertedor="Retangular",IF(O181&lt;=cota_s*100,0,IF(Tipo_Vertedor="Retangular",Cd_sr*Lef_sr*((O181/100-cota_s)^(3/2))*1000)),IF(O181&lt;=cota_s*100+fi_s/20,0,(OFFSET('Base de dados'!$A$4,IF(O181&lt;20,1,IF(O181&gt;1000,10,MATCH(O181,Cargas,1))),Coluna_fis,1,1))*(PI()*(fi_s/1000)^2/4)*(2*9.81*(O181/100-cota_s-fi_s/2/1000))^0.5*1000)))</f>
        <v>0</v>
      </c>
      <c r="R181" s="19">
        <f t="shared" ca="1" si="32"/>
        <v>16.884519513572343</v>
      </c>
      <c r="S181" s="19">
        <f t="shared" ca="1" si="33"/>
        <v>823.26365400207271</v>
      </c>
      <c r="AD181" s="19" t="str">
        <f t="shared" si="43"/>
        <v/>
      </c>
      <c r="AE181" s="19" t="str">
        <f t="shared" si="44"/>
        <v/>
      </c>
      <c r="AF181" s="19" t="str">
        <f>IF(ISERROR(IF('Hidrograma afluente'!I188="",0,'Hidrograma afluente'!I188)+Simulação!G181),"",IF('Hidrograma afluente'!I188="",0,'Hidrograma afluente'!I188)+Simulação!G181)</f>
        <v/>
      </c>
      <c r="AG181" s="17" t="s">
        <v>160</v>
      </c>
      <c r="AH181" s="17" t="s">
        <v>160</v>
      </c>
      <c r="AI181" s="27" t="s">
        <v>160</v>
      </c>
      <c r="AJ181" s="17" t="s">
        <v>160</v>
      </c>
      <c r="AK181" s="19" t="str">
        <f>IF(A181="","",IF('Hidrograma afluente'!I188="",0,'Hidrograma afluente'!I188)+Simulação!B181)</f>
        <v/>
      </c>
    </row>
    <row r="182" spans="1:37" s="17" customFormat="1">
      <c r="A182" s="4" t="str">
        <f t="shared" si="34"/>
        <v/>
      </c>
      <c r="B182" s="5" t="str">
        <f>IF(A182="","",IF(A182&gt;tc_lot_i+tc,0,IF('Hidrograma afluente'!B189="","",'Hidrograma afluente'!B189)))</f>
        <v/>
      </c>
      <c r="C182" s="21" t="str">
        <f t="shared" si="35"/>
        <v/>
      </c>
      <c r="D182" s="21" t="str">
        <f t="shared" si="36"/>
        <v/>
      </c>
      <c r="E182" s="21" t="str">
        <f t="shared" si="37"/>
        <v/>
      </c>
      <c r="F182" s="21" t="str">
        <f t="shared" si="38"/>
        <v/>
      </c>
      <c r="G182" s="21" t="str">
        <f t="shared" si="39"/>
        <v/>
      </c>
      <c r="H182" s="23" t="str">
        <f t="shared" si="45"/>
        <v/>
      </c>
      <c r="I182" s="22" t="str">
        <f t="shared" si="40"/>
        <v/>
      </c>
      <c r="J182" s="1"/>
      <c r="K182" s="51"/>
      <c r="M182" s="81">
        <f t="shared" ca="1" si="31"/>
        <v>845.34693910815406</v>
      </c>
      <c r="N182" s="19">
        <f t="shared" si="41"/>
        <v>24.852266471861313</v>
      </c>
      <c r="O182" s="17">
        <f t="shared" si="42"/>
        <v>45.25</v>
      </c>
      <c r="P182" s="19">
        <f ca="1">IF(ISERROR(IF(O182&lt;fi_h/20,0,(OFFSET('Base de dados'!$A$5,IF(O182&lt;20,1,IF(O182&gt;1000,10,MATCH(O182,Cargas,1))),Coluna_fih,1,1))*(1+0.13*0.25)*(PI()*(fi_h/1000)^2/4)*SQRT(2*9.81*(O182/100-fi_h/2/1000))*1000)),"",IF(O182&lt;fi_h/20,0,(OFFSET('Base de dados'!$A$5,IF(O182&lt;20,1,IF(O182&gt;1000,10,MATCH(O182,Cargas,1))),Coluna_fih,1,1))*(PI()*(fi_h/1000)^2/4)*SQRT(2*9.81*(O182/100-fi_h/2/1000))*1000))</f>
        <v>16.938056712776948</v>
      </c>
      <c r="Q182" s="19">
        <f ca="1">IF(O182="","",IF(Tipo_Vertedor="Retangular",IF(O182&lt;=cota_s*100,0,IF(Tipo_Vertedor="Retangular",Cd_sr*Lef_sr*((O182/100-cota_s)^(3/2))*1000)),IF(O182&lt;=cota_s*100+fi_s/20,0,(OFFSET('Base de dados'!$A$4,IF(O182&lt;20,1,IF(O182&gt;1000,10,MATCH(O182,Cargas,1))),Coluna_fis,1,1))*(PI()*(fi_s/1000)^2/4)*(2*9.81*(O182/100-cota_s-fi_s/2/1000))^0.5*1000)))</f>
        <v>0</v>
      </c>
      <c r="R182" s="19">
        <f t="shared" ca="1" si="32"/>
        <v>16.938056712776948</v>
      </c>
      <c r="S182" s="19">
        <f t="shared" ca="1" si="33"/>
        <v>828.40888239537708</v>
      </c>
      <c r="AD182" s="19" t="str">
        <f t="shared" si="43"/>
        <v/>
      </c>
      <c r="AE182" s="19" t="str">
        <f t="shared" si="44"/>
        <v/>
      </c>
      <c r="AF182" s="19" t="str">
        <f>IF(ISERROR(IF('Hidrograma afluente'!I189="",0,'Hidrograma afluente'!I189)+Simulação!G182),"",IF('Hidrograma afluente'!I189="",0,'Hidrograma afluente'!I189)+Simulação!G182)</f>
        <v/>
      </c>
      <c r="AG182" s="17" t="s">
        <v>160</v>
      </c>
      <c r="AH182" s="17" t="s">
        <v>160</v>
      </c>
      <c r="AI182" s="27" t="s">
        <v>160</v>
      </c>
      <c r="AJ182" s="17" t="s">
        <v>160</v>
      </c>
      <c r="AK182" s="19" t="str">
        <f>IF(A182="","",IF('Hidrograma afluente'!I189="",0,'Hidrograma afluente'!I189)+Simulação!B182)</f>
        <v/>
      </c>
    </row>
    <row r="183" spans="1:37" s="17" customFormat="1">
      <c r="A183" s="4" t="str">
        <f t="shared" si="34"/>
        <v/>
      </c>
      <c r="B183" s="5" t="str">
        <f>IF(A183="","",IF(A183&gt;tc_lot_i+tc,0,IF('Hidrograma afluente'!B190="","",'Hidrograma afluente'!B190)))</f>
        <v/>
      </c>
      <c r="C183" s="21" t="str">
        <f t="shared" si="35"/>
        <v/>
      </c>
      <c r="D183" s="21" t="str">
        <f t="shared" si="36"/>
        <v/>
      </c>
      <c r="E183" s="21" t="str">
        <f t="shared" si="37"/>
        <v/>
      </c>
      <c r="F183" s="21" t="str">
        <f t="shared" si="38"/>
        <v/>
      </c>
      <c r="G183" s="21" t="str">
        <f t="shared" si="39"/>
        <v/>
      </c>
      <c r="H183" s="23" t="str">
        <f t="shared" si="45"/>
        <v/>
      </c>
      <c r="I183" s="22" t="str">
        <f t="shared" si="40"/>
        <v/>
      </c>
      <c r="J183" s="1"/>
      <c r="K183" s="51"/>
      <c r="M183" s="81">
        <f t="shared" ca="1" si="31"/>
        <v>850.54907848746723</v>
      </c>
      <c r="N183" s="19">
        <f t="shared" si="41"/>
        <v>25.006729597847951</v>
      </c>
      <c r="O183" s="17">
        <f t="shared" si="42"/>
        <v>45.5</v>
      </c>
      <c r="P183" s="19">
        <f ca="1">IF(ISERROR(IF(O183&lt;fi_h/20,0,(OFFSET('Base de dados'!$A$5,IF(O183&lt;20,1,IF(O183&gt;1000,10,MATCH(O183,Cargas,1))),Coluna_fih,1,1))*(1+0.13*0.25)*(PI()*(fi_h/1000)^2/4)*SQRT(2*9.81*(O183/100-fi_h/2/1000))*1000)),"",IF(O183&lt;fi_h/20,0,(OFFSET('Base de dados'!$A$5,IF(O183&lt;20,1,IF(O183&gt;1000,10,MATCH(O183,Cargas,1))),Coluna_fih,1,1))*(PI()*(fi_h/1000)^2/4)*SQRT(2*9.81*(O183/100-fi_h/2/1000))*1000))</f>
        <v>16.991425225868817</v>
      </c>
      <c r="Q183" s="19">
        <f ca="1">IF(O183="","",IF(Tipo_Vertedor="Retangular",IF(O183&lt;=cota_s*100,0,IF(Tipo_Vertedor="Retangular",Cd_sr*Lef_sr*((O183/100-cota_s)^(3/2))*1000)),IF(O183&lt;=cota_s*100+fi_s/20,0,(OFFSET('Base de dados'!$A$4,IF(O183&lt;20,1,IF(O183&gt;1000,10,MATCH(O183,Cargas,1))),Coluna_fis,1,1))*(PI()*(fi_s/1000)^2/4)*(2*9.81*(O183/100-cota_s-fi_s/2/1000))^0.5*1000)))</f>
        <v>0</v>
      </c>
      <c r="R183" s="19">
        <f t="shared" ca="1" si="32"/>
        <v>16.991425225868817</v>
      </c>
      <c r="S183" s="19">
        <f t="shared" ca="1" si="33"/>
        <v>833.55765326159838</v>
      </c>
      <c r="AD183" s="19" t="str">
        <f t="shared" si="43"/>
        <v/>
      </c>
      <c r="AE183" s="19" t="str">
        <f t="shared" si="44"/>
        <v/>
      </c>
      <c r="AF183" s="19" t="str">
        <f>IF(ISERROR(IF('Hidrograma afluente'!I190="",0,'Hidrograma afluente'!I190)+Simulação!G183),"",IF('Hidrograma afluente'!I190="",0,'Hidrograma afluente'!I190)+Simulação!G183)</f>
        <v/>
      </c>
      <c r="AG183" s="17" t="s">
        <v>160</v>
      </c>
      <c r="AH183" s="17" t="s">
        <v>160</v>
      </c>
      <c r="AI183" s="27" t="s">
        <v>160</v>
      </c>
      <c r="AJ183" s="17" t="s">
        <v>160</v>
      </c>
      <c r="AK183" s="19" t="str">
        <f>IF(A183="","",IF('Hidrograma afluente'!I190="",0,'Hidrograma afluente'!I190)+Simulação!B183)</f>
        <v/>
      </c>
    </row>
    <row r="184" spans="1:37" s="17" customFormat="1">
      <c r="A184" s="4" t="str">
        <f t="shared" si="34"/>
        <v/>
      </c>
      <c r="B184" s="5" t="str">
        <f>IF(A184="","",IF(A184&gt;tc_lot_i+tc,0,IF('Hidrograma afluente'!B191="","",'Hidrograma afluente'!B191)))</f>
        <v/>
      </c>
      <c r="C184" s="21" t="str">
        <f t="shared" si="35"/>
        <v/>
      </c>
      <c r="D184" s="21" t="str">
        <f t="shared" si="36"/>
        <v/>
      </c>
      <c r="E184" s="21" t="str">
        <f t="shared" si="37"/>
        <v/>
      </c>
      <c r="F184" s="21" t="str">
        <f t="shared" si="38"/>
        <v/>
      </c>
      <c r="G184" s="21" t="str">
        <f t="shared" si="39"/>
        <v/>
      </c>
      <c r="H184" s="23" t="str">
        <f t="shared" si="45"/>
        <v/>
      </c>
      <c r="I184" s="22" t="str">
        <f t="shared" si="40"/>
        <v/>
      </c>
      <c r="J184" s="1"/>
      <c r="K184" s="51"/>
      <c r="M184" s="81">
        <f t="shared" ca="1" si="31"/>
        <v>855.75457619269844</v>
      </c>
      <c r="N184" s="19">
        <f t="shared" si="41"/>
        <v>25.161298486659859</v>
      </c>
      <c r="O184" s="17">
        <f t="shared" si="42"/>
        <v>45.75</v>
      </c>
      <c r="P184" s="19">
        <f ca="1">IF(ISERROR(IF(O184&lt;fi_h/20,0,(OFFSET('Base de dados'!$A$5,IF(O184&lt;20,1,IF(O184&gt;1000,10,MATCH(O184,Cargas,1))),Coluna_fih,1,1))*(1+0.13*0.25)*(PI()*(fi_h/1000)^2/4)*SQRT(2*9.81*(O184/100-fi_h/2/1000))*1000)),"",IF(O184&lt;fi_h/20,0,(OFFSET('Base de dados'!$A$5,IF(O184&lt;20,1,IF(O184&gt;1000,10,MATCH(O184,Cargas,1))),Coluna_fih,1,1))*(PI()*(fi_h/1000)^2/4)*SQRT(2*9.81*(O184/100-fi_h/2/1000))*1000))</f>
        <v>17.044626637369745</v>
      </c>
      <c r="Q184" s="19">
        <f ca="1">IF(O184="","",IF(Tipo_Vertedor="Retangular",IF(O184&lt;=cota_s*100,0,IF(Tipo_Vertedor="Retangular",Cd_sr*Lef_sr*((O184/100-cota_s)^(3/2))*1000)),IF(O184&lt;=cota_s*100+fi_s/20,0,(OFFSET('Base de dados'!$A$4,IF(O184&lt;20,1,IF(O184&gt;1000,10,MATCH(O184,Cargas,1))),Coluna_fis,1,1))*(PI()*(fi_s/1000)^2/4)*(2*9.81*(O184/100-cota_s-fi_s/2/1000))^0.5*1000)))</f>
        <v>0</v>
      </c>
      <c r="R184" s="19">
        <f t="shared" ca="1" si="32"/>
        <v>17.044626637369745</v>
      </c>
      <c r="S184" s="19">
        <f t="shared" ca="1" si="33"/>
        <v>838.70994955532865</v>
      </c>
      <c r="AD184" s="19" t="str">
        <f t="shared" si="43"/>
        <v/>
      </c>
      <c r="AE184" s="19" t="str">
        <f t="shared" si="44"/>
        <v/>
      </c>
      <c r="AF184" s="19" t="str">
        <f>IF(ISERROR(IF('Hidrograma afluente'!I191="",0,'Hidrograma afluente'!I191)+Simulação!G184),"",IF('Hidrograma afluente'!I191="",0,'Hidrograma afluente'!I191)+Simulação!G184)</f>
        <v/>
      </c>
      <c r="AG184" s="17" t="s">
        <v>160</v>
      </c>
      <c r="AH184" s="17" t="s">
        <v>160</v>
      </c>
      <c r="AI184" s="27" t="s">
        <v>160</v>
      </c>
      <c r="AJ184" s="17" t="s">
        <v>160</v>
      </c>
      <c r="AK184" s="19" t="str">
        <f>IF(A184="","",IF('Hidrograma afluente'!I191="",0,'Hidrograma afluente'!I191)+Simulação!B184)</f>
        <v/>
      </c>
    </row>
    <row r="185" spans="1:37" s="17" customFormat="1">
      <c r="A185" s="4" t="str">
        <f t="shared" si="34"/>
        <v/>
      </c>
      <c r="B185" s="5" t="str">
        <f>IF(A185="","",IF(A185&gt;tc_lot_i+tc,0,IF('Hidrograma afluente'!B192="","",'Hidrograma afluente'!B192)))</f>
        <v/>
      </c>
      <c r="C185" s="21" t="str">
        <f t="shared" si="35"/>
        <v/>
      </c>
      <c r="D185" s="21" t="str">
        <f t="shared" si="36"/>
        <v/>
      </c>
      <c r="E185" s="21" t="str">
        <f t="shared" si="37"/>
        <v/>
      </c>
      <c r="F185" s="21" t="str">
        <f t="shared" si="38"/>
        <v/>
      </c>
      <c r="G185" s="21" t="str">
        <f t="shared" si="39"/>
        <v/>
      </c>
      <c r="H185" s="23" t="str">
        <f t="shared" si="45"/>
        <v/>
      </c>
      <c r="I185" s="22" t="str">
        <f t="shared" si="40"/>
        <v/>
      </c>
      <c r="J185" s="1"/>
      <c r="K185" s="51"/>
      <c r="M185" s="81">
        <f t="shared" ca="1" si="31"/>
        <v>860.96341691305668</v>
      </c>
      <c r="N185" s="19">
        <f t="shared" si="41"/>
        <v>25.315972632177221</v>
      </c>
      <c r="O185" s="17">
        <f t="shared" si="42"/>
        <v>46</v>
      </c>
      <c r="P185" s="19">
        <f ca="1">IF(ISERROR(IF(O185&lt;fi_h/20,0,(OFFSET('Base de dados'!$A$5,IF(O185&lt;20,1,IF(O185&gt;1000,10,MATCH(O185,Cargas,1))),Coluna_fih,1,1))*(1+0.13*0.25)*(PI()*(fi_h/1000)^2/4)*SQRT(2*9.81*(O185/100-fi_h/2/1000))*1000)),"",IF(O185&lt;fi_h/20,0,(OFFSET('Base de dados'!$A$5,IF(O185&lt;20,1,IF(O185&gt;1000,10,MATCH(O185,Cargas,1))),Coluna_fih,1,1))*(PI()*(fi_h/1000)^2/4)*SQRT(2*9.81*(O185/100-fi_h/2/1000))*1000))</f>
        <v>17.097662507149249</v>
      </c>
      <c r="Q185" s="19">
        <f ca="1">IF(O185="","",IF(Tipo_Vertedor="Retangular",IF(O185&lt;=cota_s*100,0,IF(Tipo_Vertedor="Retangular",Cd_sr*Lef_sr*((O185/100-cota_s)^(3/2))*1000)),IF(O185&lt;=cota_s*100+fi_s/20,0,(OFFSET('Base de dados'!$A$4,IF(O185&lt;20,1,IF(O185&gt;1000,10,MATCH(O185,Cargas,1))),Coluna_fis,1,1))*(PI()*(fi_s/1000)^2/4)*(2*9.81*(O185/100-cota_s-fi_s/2/1000))^0.5*1000)))</f>
        <v>0</v>
      </c>
      <c r="R185" s="19">
        <f t="shared" ca="1" si="32"/>
        <v>17.097662507149249</v>
      </c>
      <c r="S185" s="19">
        <f t="shared" ca="1" si="33"/>
        <v>843.86575440590741</v>
      </c>
      <c r="AD185" s="19" t="str">
        <f t="shared" si="43"/>
        <v/>
      </c>
      <c r="AE185" s="19" t="str">
        <f t="shared" si="44"/>
        <v/>
      </c>
      <c r="AF185" s="19" t="str">
        <f>IF(ISERROR(IF('Hidrograma afluente'!I192="",0,'Hidrograma afluente'!I192)+Simulação!G185),"",IF('Hidrograma afluente'!I192="",0,'Hidrograma afluente'!I192)+Simulação!G185)</f>
        <v/>
      </c>
      <c r="AG185" s="17" t="s">
        <v>160</v>
      </c>
      <c r="AH185" s="17" t="s">
        <v>160</v>
      </c>
      <c r="AI185" s="27" t="s">
        <v>160</v>
      </c>
      <c r="AJ185" s="17" t="s">
        <v>160</v>
      </c>
      <c r="AK185" s="19" t="str">
        <f>IF(A185="","",IF('Hidrograma afluente'!I192="",0,'Hidrograma afluente'!I192)+Simulação!B185)</f>
        <v/>
      </c>
    </row>
    <row r="186" spans="1:37" s="17" customFormat="1">
      <c r="A186" s="4" t="str">
        <f t="shared" si="34"/>
        <v/>
      </c>
      <c r="B186" s="5" t="str">
        <f>IF(A186="","",IF(A186&gt;tc_lot_i+tc,0,IF('Hidrograma afluente'!B193="","",'Hidrograma afluente'!B193)))</f>
        <v/>
      </c>
      <c r="C186" s="21" t="str">
        <f t="shared" si="35"/>
        <v/>
      </c>
      <c r="D186" s="21" t="str">
        <f t="shared" si="36"/>
        <v/>
      </c>
      <c r="E186" s="21" t="str">
        <f t="shared" si="37"/>
        <v/>
      </c>
      <c r="F186" s="21" t="str">
        <f t="shared" si="38"/>
        <v/>
      </c>
      <c r="G186" s="21" t="str">
        <f t="shared" si="39"/>
        <v/>
      </c>
      <c r="H186" s="23" t="str">
        <f t="shared" si="45"/>
        <v/>
      </c>
      <c r="I186" s="22" t="str">
        <f t="shared" si="40"/>
        <v/>
      </c>
      <c r="J186" s="1"/>
      <c r="K186" s="51"/>
      <c r="M186" s="81">
        <f t="shared" ca="1" si="31"/>
        <v>866.17558548564762</v>
      </c>
      <c r="N186" s="19">
        <f t="shared" si="41"/>
        <v>25.47075153344068</v>
      </c>
      <c r="O186" s="17">
        <f t="shared" si="42"/>
        <v>46.25</v>
      </c>
      <c r="P186" s="19">
        <f ca="1">IF(ISERROR(IF(O186&lt;fi_h/20,0,(OFFSET('Base de dados'!$A$5,IF(O186&lt;20,1,IF(O186&gt;1000,10,MATCH(O186,Cargas,1))),Coluna_fih,1,1))*(1+0.13*0.25)*(PI()*(fi_h/1000)^2/4)*SQRT(2*9.81*(O186/100-fi_h/2/1000))*1000)),"",IF(O186&lt;fi_h/20,0,(OFFSET('Base de dados'!$A$5,IF(O186&lt;20,1,IF(O186&gt;1000,10,MATCH(O186,Cargas,1))),Coluna_fih,1,1))*(PI()*(fi_h/1000)^2/4)*SQRT(2*9.81*(O186/100-fi_h/2/1000))*1000))</f>
        <v>17.150534370958244</v>
      </c>
      <c r="Q186" s="19">
        <f ca="1">IF(O186="","",IF(Tipo_Vertedor="Retangular",IF(O186&lt;=cota_s*100,0,IF(Tipo_Vertedor="Retangular",Cd_sr*Lef_sr*((O186/100-cota_s)^(3/2))*1000)),IF(O186&lt;=cota_s*100+fi_s/20,0,(OFFSET('Base de dados'!$A$4,IF(O186&lt;20,1,IF(O186&gt;1000,10,MATCH(O186,Cargas,1))),Coluna_fis,1,1))*(PI()*(fi_s/1000)^2/4)*(2*9.81*(O186/100-cota_s-fi_s/2/1000))^0.5*1000)))</f>
        <v>0</v>
      </c>
      <c r="R186" s="19">
        <f t="shared" ca="1" si="32"/>
        <v>17.150534370958244</v>
      </c>
      <c r="S186" s="19">
        <f t="shared" ca="1" si="33"/>
        <v>849.0250511146894</v>
      </c>
      <c r="AD186" s="19" t="str">
        <f t="shared" si="43"/>
        <v/>
      </c>
      <c r="AE186" s="19" t="str">
        <f t="shared" si="44"/>
        <v/>
      </c>
      <c r="AF186" s="19" t="str">
        <f>IF(ISERROR(IF('Hidrograma afluente'!I193="",0,'Hidrograma afluente'!I193)+Simulação!G186),"",IF('Hidrograma afluente'!I193="",0,'Hidrograma afluente'!I193)+Simulação!G186)</f>
        <v/>
      </c>
      <c r="AG186" s="17" t="s">
        <v>160</v>
      </c>
      <c r="AH186" s="17" t="s">
        <v>160</v>
      </c>
      <c r="AI186" s="27" t="s">
        <v>160</v>
      </c>
      <c r="AJ186" s="17" t="s">
        <v>160</v>
      </c>
      <c r="AK186" s="19" t="str">
        <f>IF(A186="","",IF('Hidrograma afluente'!I193="",0,'Hidrograma afluente'!I193)+Simulação!B186)</f>
        <v/>
      </c>
    </row>
    <row r="187" spans="1:37" s="17" customFormat="1">
      <c r="A187" s="4" t="str">
        <f t="shared" si="34"/>
        <v/>
      </c>
      <c r="B187" s="5" t="str">
        <f>IF(A187="","",IF(A187&gt;tc_lot_i+tc,0,IF('Hidrograma afluente'!B194="","",'Hidrograma afluente'!B194)))</f>
        <v/>
      </c>
      <c r="C187" s="21" t="str">
        <f t="shared" si="35"/>
        <v/>
      </c>
      <c r="D187" s="21" t="str">
        <f t="shared" si="36"/>
        <v/>
      </c>
      <c r="E187" s="21" t="str">
        <f t="shared" si="37"/>
        <v/>
      </c>
      <c r="F187" s="21" t="str">
        <f t="shared" si="38"/>
        <v/>
      </c>
      <c r="G187" s="21" t="str">
        <f t="shared" si="39"/>
        <v/>
      </c>
      <c r="H187" s="23" t="str">
        <f t="shared" si="45"/>
        <v/>
      </c>
      <c r="I187" s="22" t="str">
        <f t="shared" si="40"/>
        <v/>
      </c>
      <c r="J187" s="1"/>
      <c r="K187" s="51"/>
      <c r="M187" s="81">
        <f t="shared" ca="1" si="31"/>
        <v>871.39106689331857</v>
      </c>
      <c r="N187" s="19">
        <f t="shared" si="41"/>
        <v>25.625634694571119</v>
      </c>
      <c r="O187" s="17">
        <f t="shared" si="42"/>
        <v>46.5</v>
      </c>
      <c r="P187" s="19">
        <f ca="1">IF(ISERROR(IF(O187&lt;fi_h/20,0,(OFFSET('Base de dados'!$A$5,IF(O187&lt;20,1,IF(O187&gt;1000,10,MATCH(O187,Cargas,1))),Coluna_fih,1,1))*(1+0.13*0.25)*(PI()*(fi_h/1000)^2/4)*SQRT(2*9.81*(O187/100-fi_h/2/1000))*1000)),"",IF(O187&lt;fi_h/20,0,(OFFSET('Base de dados'!$A$5,IF(O187&lt;20,1,IF(O187&gt;1000,10,MATCH(O187,Cargas,1))),Coluna_fih,1,1))*(PI()*(fi_h/1000)^2/4)*SQRT(2*9.81*(O187/100-fi_h/2/1000))*1000))</f>
        <v>17.203243740947901</v>
      </c>
      <c r="Q187" s="19">
        <f ca="1">IF(O187="","",IF(Tipo_Vertedor="Retangular",IF(O187&lt;=cota_s*100,0,IF(Tipo_Vertedor="Retangular",Cd_sr*Lef_sr*((O187/100-cota_s)^(3/2))*1000)),IF(O187&lt;=cota_s*100+fi_s/20,0,(OFFSET('Base de dados'!$A$4,IF(O187&lt;20,1,IF(O187&gt;1000,10,MATCH(O187,Cargas,1))),Coluna_fis,1,1))*(PI()*(fi_s/1000)^2/4)*(2*9.81*(O187/100-cota_s-fi_s/2/1000))^0.5*1000)))</f>
        <v>0</v>
      </c>
      <c r="R187" s="19">
        <f t="shared" ca="1" si="32"/>
        <v>17.203243740947901</v>
      </c>
      <c r="S187" s="19">
        <f t="shared" ca="1" si="33"/>
        <v>854.1878231523707</v>
      </c>
      <c r="AD187" s="19" t="str">
        <f t="shared" si="43"/>
        <v/>
      </c>
      <c r="AE187" s="19" t="str">
        <f t="shared" si="44"/>
        <v/>
      </c>
      <c r="AF187" s="19" t="str">
        <f>IF(ISERROR(IF('Hidrograma afluente'!I194="",0,'Hidrograma afluente'!I194)+Simulação!G187),"",IF('Hidrograma afluente'!I194="",0,'Hidrograma afluente'!I194)+Simulação!G187)</f>
        <v/>
      </c>
      <c r="AG187" s="17" t="s">
        <v>160</v>
      </c>
      <c r="AH187" s="17" t="s">
        <v>160</v>
      </c>
      <c r="AI187" s="27" t="s">
        <v>160</v>
      </c>
      <c r="AJ187" s="17" t="s">
        <v>160</v>
      </c>
      <c r="AK187" s="19" t="str">
        <f>IF(A187="","",IF('Hidrograma afluente'!I194="",0,'Hidrograma afluente'!I194)+Simulação!B187)</f>
        <v/>
      </c>
    </row>
    <row r="188" spans="1:37" s="17" customFormat="1">
      <c r="A188" s="4" t="str">
        <f t="shared" si="34"/>
        <v/>
      </c>
      <c r="B188" s="5" t="str">
        <f>IF(A188="","",IF(A188&gt;tc_lot_i+tc,0,IF('Hidrograma afluente'!B195="","",'Hidrograma afluente'!B195)))</f>
        <v/>
      </c>
      <c r="C188" s="21" t="str">
        <f t="shared" si="35"/>
        <v/>
      </c>
      <c r="D188" s="21" t="str">
        <f t="shared" si="36"/>
        <v/>
      </c>
      <c r="E188" s="21" t="str">
        <f t="shared" si="37"/>
        <v/>
      </c>
      <c r="F188" s="21" t="str">
        <f t="shared" si="38"/>
        <v/>
      </c>
      <c r="G188" s="21" t="str">
        <f t="shared" si="39"/>
        <v/>
      </c>
      <c r="H188" s="23" t="str">
        <f t="shared" si="45"/>
        <v/>
      </c>
      <c r="I188" s="22" t="str">
        <f t="shared" si="40"/>
        <v/>
      </c>
      <c r="J188" s="1"/>
      <c r="K188" s="51"/>
      <c r="M188" s="81">
        <f t="shared" ca="1" si="31"/>
        <v>876.60984626254344</v>
      </c>
      <c r="N188" s="19">
        <f t="shared" si="41"/>
        <v>25.780621624691076</v>
      </c>
      <c r="O188" s="17">
        <f t="shared" si="42"/>
        <v>46.75</v>
      </c>
      <c r="P188" s="19">
        <f ca="1">IF(ISERROR(IF(O188&lt;fi_h/20,0,(OFFSET('Base de dados'!$A$5,IF(O188&lt;20,1,IF(O188&gt;1000,10,MATCH(O188,Cargas,1))),Coluna_fih,1,1))*(1+0.13*0.25)*(PI()*(fi_h/1000)^2/4)*SQRT(2*9.81*(O188/100-fi_h/2/1000))*1000)),"",IF(O188&lt;fi_h/20,0,(OFFSET('Base de dados'!$A$5,IF(O188&lt;20,1,IF(O188&gt;1000,10,MATCH(O188,Cargas,1))),Coluna_fih,1,1))*(PI()*(fi_h/1000)^2/4)*SQRT(2*9.81*(O188/100-fi_h/2/1000))*1000))</f>
        <v>17.255792106174265</v>
      </c>
      <c r="Q188" s="19">
        <f ca="1">IF(O188="","",IF(Tipo_Vertedor="Retangular",IF(O188&lt;=cota_s*100,0,IF(Tipo_Vertedor="Retangular",Cd_sr*Lef_sr*((O188/100-cota_s)^(3/2))*1000)),IF(O188&lt;=cota_s*100+fi_s/20,0,(OFFSET('Base de dados'!$A$4,IF(O188&lt;20,1,IF(O188&gt;1000,10,MATCH(O188,Cargas,1))),Coluna_fis,1,1))*(PI()*(fi_s/1000)^2/4)*(2*9.81*(O188/100-cota_s-fi_s/2/1000))^0.5*1000)))</f>
        <v>0</v>
      </c>
      <c r="R188" s="19">
        <f t="shared" ca="1" si="32"/>
        <v>17.255792106174265</v>
      </c>
      <c r="S188" s="19">
        <f t="shared" ca="1" si="33"/>
        <v>859.35405415636922</v>
      </c>
      <c r="AD188" s="19" t="str">
        <f t="shared" si="43"/>
        <v/>
      </c>
      <c r="AE188" s="19" t="str">
        <f t="shared" si="44"/>
        <v/>
      </c>
      <c r="AF188" s="19" t="str">
        <f>IF(ISERROR(IF('Hidrograma afluente'!I195="",0,'Hidrograma afluente'!I195)+Simulação!G188),"",IF('Hidrograma afluente'!I195="",0,'Hidrograma afluente'!I195)+Simulação!G188)</f>
        <v/>
      </c>
      <c r="AG188" s="17" t="s">
        <v>160</v>
      </c>
      <c r="AH188" s="17" t="s">
        <v>160</v>
      </c>
      <c r="AI188" s="27" t="s">
        <v>160</v>
      </c>
      <c r="AJ188" s="17" t="s">
        <v>160</v>
      </c>
      <c r="AK188" s="19" t="str">
        <f>IF(A188="","",IF('Hidrograma afluente'!I195="",0,'Hidrograma afluente'!I195)+Simulação!B188)</f>
        <v/>
      </c>
    </row>
    <row r="189" spans="1:37" s="17" customFormat="1">
      <c r="A189" s="4" t="str">
        <f t="shared" si="34"/>
        <v/>
      </c>
      <c r="B189" s="5" t="str">
        <f>IF(A189="","",IF(A189&gt;tc_lot_i+tc,0,IF('Hidrograma afluente'!B196="","",'Hidrograma afluente'!B196)))</f>
        <v/>
      </c>
      <c r="C189" s="21" t="str">
        <f t="shared" si="35"/>
        <v/>
      </c>
      <c r="D189" s="21" t="str">
        <f t="shared" si="36"/>
        <v/>
      </c>
      <c r="E189" s="21" t="str">
        <f t="shared" si="37"/>
        <v/>
      </c>
      <c r="F189" s="21" t="str">
        <f t="shared" si="38"/>
        <v/>
      </c>
      <c r="G189" s="21" t="str">
        <f t="shared" si="39"/>
        <v/>
      </c>
      <c r="H189" s="23" t="str">
        <f t="shared" si="45"/>
        <v/>
      </c>
      <c r="I189" s="22" t="str">
        <f t="shared" si="40"/>
        <v/>
      </c>
      <c r="J189" s="1"/>
      <c r="K189" s="51"/>
      <c r="M189" s="81">
        <f t="shared" ca="1" si="31"/>
        <v>881.8319088613498</v>
      </c>
      <c r="N189" s="19">
        <f t="shared" si="41"/>
        <v>25.935711837847819</v>
      </c>
      <c r="O189" s="17">
        <f t="shared" si="42"/>
        <v>47</v>
      </c>
      <c r="P189" s="19">
        <f ca="1">IF(ISERROR(IF(O189&lt;fi_h/20,0,(OFFSET('Base de dados'!$A$5,IF(O189&lt;20,1,IF(O189&gt;1000,10,MATCH(O189,Cargas,1))),Coluna_fih,1,1))*(1+0.13*0.25)*(PI()*(fi_h/1000)^2/4)*SQRT(2*9.81*(O189/100-fi_h/2/1000))*1000)),"",IF(O189&lt;fi_h/20,0,(OFFSET('Base de dados'!$A$5,IF(O189&lt;20,1,IF(O189&gt;1000,10,MATCH(O189,Cargas,1))),Coluna_fih,1,1))*(PI()*(fi_h/1000)^2/4)*SQRT(2*9.81*(O189/100-fi_h/2/1000))*1000))</f>
        <v>17.308180933089098</v>
      </c>
      <c r="Q189" s="19">
        <f ca="1">IF(O189="","",IF(Tipo_Vertedor="Retangular",IF(O189&lt;=cota_s*100,0,IF(Tipo_Vertedor="Retangular",Cd_sr*Lef_sr*((O189/100-cota_s)^(3/2))*1000)),IF(O189&lt;=cota_s*100+fi_s/20,0,(OFFSET('Base de dados'!$A$4,IF(O189&lt;20,1,IF(O189&gt;1000,10,MATCH(O189,Cargas,1))),Coluna_fis,1,1))*(PI()*(fi_s/1000)^2/4)*(2*9.81*(O189/100-cota_s-fi_s/2/1000))^0.5*1000)))</f>
        <v>0</v>
      </c>
      <c r="R189" s="19">
        <f t="shared" ca="1" si="32"/>
        <v>17.308180933089098</v>
      </c>
      <c r="S189" s="19">
        <f t="shared" ca="1" si="33"/>
        <v>864.52372792826066</v>
      </c>
      <c r="AD189" s="19" t="str">
        <f t="shared" si="43"/>
        <v/>
      </c>
      <c r="AE189" s="19" t="str">
        <f t="shared" si="44"/>
        <v/>
      </c>
      <c r="AF189" s="19" t="str">
        <f>IF(ISERROR(IF('Hidrograma afluente'!I196="",0,'Hidrograma afluente'!I196)+Simulação!G189),"",IF('Hidrograma afluente'!I196="",0,'Hidrograma afluente'!I196)+Simulação!G189)</f>
        <v/>
      </c>
      <c r="AG189" s="17" t="s">
        <v>160</v>
      </c>
      <c r="AH189" s="17" t="s">
        <v>160</v>
      </c>
      <c r="AI189" s="27" t="s">
        <v>160</v>
      </c>
      <c r="AJ189" s="17" t="s">
        <v>160</v>
      </c>
      <c r="AK189" s="19" t="str">
        <f>IF(A189="","",IF('Hidrograma afluente'!I196="",0,'Hidrograma afluente'!I196)+Simulação!B189)</f>
        <v/>
      </c>
    </row>
    <row r="190" spans="1:37" s="17" customFormat="1">
      <c r="A190" s="4" t="str">
        <f t="shared" si="34"/>
        <v/>
      </c>
      <c r="B190" s="5" t="str">
        <f>IF(A190="","",IF(A190&gt;tc_lot_i+tc,0,IF('Hidrograma afluente'!B197="","",'Hidrograma afluente'!B197)))</f>
        <v/>
      </c>
      <c r="C190" s="21" t="str">
        <f t="shared" si="35"/>
        <v/>
      </c>
      <c r="D190" s="21" t="str">
        <f t="shared" si="36"/>
        <v/>
      </c>
      <c r="E190" s="21" t="str">
        <f t="shared" si="37"/>
        <v/>
      </c>
      <c r="F190" s="21" t="str">
        <f t="shared" si="38"/>
        <v/>
      </c>
      <c r="G190" s="21" t="str">
        <f t="shared" si="39"/>
        <v/>
      </c>
      <c r="H190" s="23" t="str">
        <f t="shared" si="45"/>
        <v/>
      </c>
      <c r="I190" s="22" t="str">
        <f t="shared" si="40"/>
        <v/>
      </c>
      <c r="J190" s="1"/>
      <c r="K190" s="51"/>
      <c r="M190" s="81">
        <f t="shared" ca="1" si="31"/>
        <v>887.05724009728397</v>
      </c>
      <c r="N190" s="19">
        <f t="shared" si="41"/>
        <v>26.090904852937999</v>
      </c>
      <c r="O190" s="17">
        <f t="shared" si="42"/>
        <v>47.25</v>
      </c>
      <c r="P190" s="19">
        <f ca="1">IF(ISERROR(IF(O190&lt;fi_h/20,0,(OFFSET('Base de dados'!$A$5,IF(O190&lt;20,1,IF(O190&gt;1000,10,MATCH(O190,Cargas,1))),Coluna_fih,1,1))*(1+0.13*0.25)*(PI()*(fi_h/1000)^2/4)*SQRT(2*9.81*(O190/100-fi_h/2/1000))*1000)),"",IF(O190&lt;fi_h/20,0,(OFFSET('Base de dados'!$A$5,IF(O190&lt;20,1,IF(O190&gt;1000,10,MATCH(O190,Cargas,1))),Coluna_fih,1,1))*(PI()*(fi_h/1000)^2/4)*SQRT(2*9.81*(O190/100-fi_h/2/1000))*1000))</f>
        <v>17.36041166601737</v>
      </c>
      <c r="Q190" s="19">
        <f ca="1">IF(O190="","",IF(Tipo_Vertedor="Retangular",IF(O190&lt;=cota_s*100,0,IF(Tipo_Vertedor="Retangular",Cd_sr*Lef_sr*((O190/100-cota_s)^(3/2))*1000)),IF(O190&lt;=cota_s*100+fi_s/20,0,(OFFSET('Base de dados'!$A$4,IF(O190&lt;20,1,IF(O190&gt;1000,10,MATCH(O190,Cargas,1))),Coluna_fis,1,1))*(PI()*(fi_s/1000)^2/4)*(2*9.81*(O190/100-cota_s-fi_s/2/1000))^0.5*1000)))</f>
        <v>0</v>
      </c>
      <c r="R190" s="19">
        <f t="shared" ca="1" si="32"/>
        <v>17.36041166601737</v>
      </c>
      <c r="S190" s="19">
        <f t="shared" ca="1" si="33"/>
        <v>869.69682843126657</v>
      </c>
      <c r="AD190" s="19" t="str">
        <f t="shared" si="43"/>
        <v/>
      </c>
      <c r="AE190" s="19" t="str">
        <f t="shared" si="44"/>
        <v/>
      </c>
      <c r="AF190" s="19" t="str">
        <f>IF(ISERROR(IF('Hidrograma afluente'!I197="",0,'Hidrograma afluente'!I197)+Simulação!G190),"",IF('Hidrograma afluente'!I197="",0,'Hidrograma afluente'!I197)+Simulação!G190)</f>
        <v/>
      </c>
      <c r="AG190" s="17" t="s">
        <v>160</v>
      </c>
      <c r="AH190" s="17" t="s">
        <v>160</v>
      </c>
      <c r="AI190" s="27" t="s">
        <v>160</v>
      </c>
      <c r="AJ190" s="17" t="s">
        <v>160</v>
      </c>
      <c r="AK190" s="19" t="str">
        <f>IF(A190="","",IF('Hidrograma afluente'!I197="",0,'Hidrograma afluente'!I197)+Simulação!B190)</f>
        <v/>
      </c>
    </row>
    <row r="191" spans="1:37" s="17" customFormat="1">
      <c r="A191" s="4" t="str">
        <f t="shared" si="34"/>
        <v/>
      </c>
      <c r="B191" s="5" t="str">
        <f>IF(A191="","",IF(A191&gt;tc_lot_i+tc,0,IF('Hidrograma afluente'!B198="","",'Hidrograma afluente'!B198)))</f>
        <v/>
      </c>
      <c r="C191" s="21" t="str">
        <f t="shared" si="35"/>
        <v/>
      </c>
      <c r="D191" s="21" t="str">
        <f t="shared" si="36"/>
        <v/>
      </c>
      <c r="E191" s="21" t="str">
        <f t="shared" si="37"/>
        <v/>
      </c>
      <c r="F191" s="21" t="str">
        <f t="shared" si="38"/>
        <v/>
      </c>
      <c r="G191" s="21" t="str">
        <f t="shared" si="39"/>
        <v/>
      </c>
      <c r="H191" s="23" t="str">
        <f t="shared" si="45"/>
        <v/>
      </c>
      <c r="I191" s="22" t="str">
        <f t="shared" si="40"/>
        <v/>
      </c>
      <c r="J191" s="1"/>
      <c r="K191" s="51"/>
      <c r="M191" s="81">
        <f t="shared" ca="1" si="31"/>
        <v>892.28582551541717</v>
      </c>
      <c r="N191" s="19">
        <f t="shared" si="41"/>
        <v>26.246200193633861</v>
      </c>
      <c r="O191" s="17">
        <f t="shared" si="42"/>
        <v>47.5</v>
      </c>
      <c r="P191" s="19">
        <f ca="1">IF(ISERROR(IF(O191&lt;fi_h/20,0,(OFFSET('Base de dados'!$A$5,IF(O191&lt;20,1,IF(O191&gt;1000,10,MATCH(O191,Cargas,1))),Coluna_fih,1,1))*(1+0.13*0.25)*(PI()*(fi_h/1000)^2/4)*SQRT(2*9.81*(O191/100-fi_h/2/1000))*1000)),"",IF(O191&lt;fi_h/20,0,(OFFSET('Base de dados'!$A$5,IF(O191&lt;20,1,IF(O191&gt;1000,10,MATCH(O191,Cargas,1))),Coluna_fih,1,1))*(PI()*(fi_h/1000)^2/4)*SQRT(2*9.81*(O191/100-fi_h/2/1000))*1000))</f>
        <v>17.41248572762186</v>
      </c>
      <c r="Q191" s="19">
        <f ca="1">IF(O191="","",IF(Tipo_Vertedor="Retangular",IF(O191&lt;=cota_s*100,0,IF(Tipo_Vertedor="Retangular",Cd_sr*Lef_sr*((O191/100-cota_s)^(3/2))*1000)),IF(O191&lt;=cota_s*100+fi_s/20,0,(OFFSET('Base de dados'!$A$4,IF(O191&lt;20,1,IF(O191&gt;1000,10,MATCH(O191,Cargas,1))),Coluna_fis,1,1))*(PI()*(fi_s/1000)^2/4)*(2*9.81*(O191/100-cota_s-fi_s/2/1000))^0.5*1000)))</f>
        <v>0</v>
      </c>
      <c r="R191" s="19">
        <f t="shared" ca="1" si="32"/>
        <v>17.41248572762186</v>
      </c>
      <c r="S191" s="19">
        <f t="shared" ca="1" si="33"/>
        <v>874.87333978779532</v>
      </c>
      <c r="AD191" s="19" t="str">
        <f t="shared" si="43"/>
        <v/>
      </c>
      <c r="AE191" s="19" t="str">
        <f t="shared" si="44"/>
        <v/>
      </c>
      <c r="AF191" s="19" t="str">
        <f>IF(ISERROR(IF('Hidrograma afluente'!I198="",0,'Hidrograma afluente'!I198)+Simulação!G191),"",IF('Hidrograma afluente'!I198="",0,'Hidrograma afluente'!I198)+Simulação!G191)</f>
        <v/>
      </c>
      <c r="AG191" s="17" t="s">
        <v>160</v>
      </c>
      <c r="AH191" s="17" t="s">
        <v>160</v>
      </c>
      <c r="AI191" s="27" t="s">
        <v>160</v>
      </c>
      <c r="AJ191" s="17" t="s">
        <v>160</v>
      </c>
      <c r="AK191" s="19" t="str">
        <f>IF(A191="","",IF('Hidrograma afluente'!I198="",0,'Hidrograma afluente'!I198)+Simulação!B191)</f>
        <v/>
      </c>
    </row>
    <row r="192" spans="1:37" s="17" customFormat="1">
      <c r="A192" s="4" t="str">
        <f t="shared" si="34"/>
        <v/>
      </c>
      <c r="B192" s="5" t="str">
        <f>IF(A192="","",IF(A192&gt;tc_lot_i+tc,0,IF('Hidrograma afluente'!B199="","",'Hidrograma afluente'!B199)))</f>
        <v/>
      </c>
      <c r="C192" s="21" t="str">
        <f t="shared" si="35"/>
        <v/>
      </c>
      <c r="D192" s="21" t="str">
        <f t="shared" si="36"/>
        <v/>
      </c>
      <c r="E192" s="21" t="str">
        <f t="shared" si="37"/>
        <v/>
      </c>
      <c r="F192" s="21" t="str">
        <f t="shared" si="38"/>
        <v/>
      </c>
      <c r="G192" s="21" t="str">
        <f t="shared" si="39"/>
        <v/>
      </c>
      <c r="H192" s="23" t="str">
        <f t="shared" si="45"/>
        <v/>
      </c>
      <c r="I192" s="22" t="str">
        <f t="shared" si="40"/>
        <v/>
      </c>
      <c r="J192" s="1"/>
      <c r="K192" s="51"/>
      <c r="M192" s="81">
        <f t="shared" ca="1" si="31"/>
        <v>897.51765079638506</v>
      </c>
      <c r="N192" s="19">
        <f t="shared" si="41"/>
        <v>26.401597388310893</v>
      </c>
      <c r="O192" s="17">
        <f t="shared" si="42"/>
        <v>47.75</v>
      </c>
      <c r="P192" s="19">
        <f ca="1">IF(ISERROR(IF(O192&lt;fi_h/20,0,(OFFSET('Base de dados'!$A$5,IF(O192&lt;20,1,IF(O192&gt;1000,10,MATCH(O192,Cargas,1))),Coluna_fih,1,1))*(1+0.13*0.25)*(PI()*(fi_h/1000)^2/4)*SQRT(2*9.81*(O192/100-fi_h/2/1000))*1000)),"",IF(O192&lt;fi_h/20,0,(OFFSET('Base de dados'!$A$5,IF(O192&lt;20,1,IF(O192&gt;1000,10,MATCH(O192,Cargas,1))),Coluna_fih,1,1))*(PI()*(fi_h/1000)^2/4)*SQRT(2*9.81*(O192/100-fi_h/2/1000))*1000))</f>
        <v>17.464404519355305</v>
      </c>
      <c r="Q192" s="19">
        <f ca="1">IF(O192="","",IF(Tipo_Vertedor="Retangular",IF(O192&lt;=cota_s*100,0,IF(Tipo_Vertedor="Retangular",Cd_sr*Lef_sr*((O192/100-cota_s)^(3/2))*1000)),IF(O192&lt;=cota_s*100+fi_s/20,0,(OFFSET('Base de dados'!$A$4,IF(O192&lt;20,1,IF(O192&gt;1000,10,MATCH(O192,Cargas,1))),Coluna_fis,1,1))*(PI()*(fi_s/1000)^2/4)*(2*9.81*(O192/100-cota_s-fi_s/2/1000))^0.5*1000)))</f>
        <v>0</v>
      </c>
      <c r="R192" s="19">
        <f t="shared" ca="1" si="32"/>
        <v>17.464404519355305</v>
      </c>
      <c r="S192" s="19">
        <f t="shared" ca="1" si="33"/>
        <v>880.05324627702976</v>
      </c>
      <c r="AD192" s="19" t="str">
        <f t="shared" si="43"/>
        <v/>
      </c>
      <c r="AE192" s="19" t="str">
        <f t="shared" si="44"/>
        <v/>
      </c>
      <c r="AF192" s="19" t="str">
        <f>IF(ISERROR(IF('Hidrograma afluente'!I199="",0,'Hidrograma afluente'!I199)+Simulação!G192),"",IF('Hidrograma afluente'!I199="",0,'Hidrograma afluente'!I199)+Simulação!G192)</f>
        <v/>
      </c>
      <c r="AG192" s="17" t="s">
        <v>160</v>
      </c>
      <c r="AH192" s="17" t="s">
        <v>160</v>
      </c>
      <c r="AI192" s="27" t="s">
        <v>160</v>
      </c>
      <c r="AJ192" s="17" t="s">
        <v>160</v>
      </c>
      <c r="AK192" s="19" t="str">
        <f>IF(A192="","",IF('Hidrograma afluente'!I199="",0,'Hidrograma afluente'!I199)+Simulação!B192)</f>
        <v/>
      </c>
    </row>
    <row r="193" spans="1:37" s="17" customFormat="1">
      <c r="A193" s="4" t="str">
        <f t="shared" si="34"/>
        <v/>
      </c>
      <c r="B193" s="5" t="str">
        <f>IF(A193="","",IF(A193&gt;tc_lot_i+tc,0,IF('Hidrograma afluente'!B200="","",'Hidrograma afluente'!B200)))</f>
        <v/>
      </c>
      <c r="C193" s="21" t="str">
        <f t="shared" si="35"/>
        <v/>
      </c>
      <c r="D193" s="21" t="str">
        <f t="shared" si="36"/>
        <v/>
      </c>
      <c r="E193" s="21" t="str">
        <f t="shared" si="37"/>
        <v/>
      </c>
      <c r="F193" s="21" t="str">
        <f t="shared" si="38"/>
        <v/>
      </c>
      <c r="G193" s="21" t="str">
        <f t="shared" si="39"/>
        <v/>
      </c>
      <c r="H193" s="23" t="str">
        <f t="shared" si="45"/>
        <v/>
      </c>
      <c r="I193" s="22" t="str">
        <f t="shared" si="40"/>
        <v/>
      </c>
      <c r="J193" s="1"/>
      <c r="K193" s="51"/>
      <c r="M193" s="81">
        <f t="shared" ca="1" si="31"/>
        <v>902.75270175446894</v>
      </c>
      <c r="N193" s="19">
        <f t="shared" si="41"/>
        <v>26.557095969977055</v>
      </c>
      <c r="O193" s="17">
        <f t="shared" si="42"/>
        <v>48</v>
      </c>
      <c r="P193" s="19">
        <f ca="1">IF(ISERROR(IF(O193&lt;fi_h/20,0,(OFFSET('Base de dados'!$A$5,IF(O193&lt;20,1,IF(O193&gt;1000,10,MATCH(O193,Cargas,1))),Coluna_fih,1,1))*(1+0.13*0.25)*(PI()*(fi_h/1000)^2/4)*SQRT(2*9.81*(O193/100-fi_h/2/1000))*1000)),"",IF(O193&lt;fi_h/20,0,(OFFSET('Base de dados'!$A$5,IF(O193&lt;20,1,IF(O193&gt;1000,10,MATCH(O193,Cargas,1))),Coluna_fih,1,1))*(PI()*(fi_h/1000)^2/4)*SQRT(2*9.81*(O193/100-fi_h/2/1000))*1000))</f>
        <v>17.516169421900464</v>
      </c>
      <c r="Q193" s="19">
        <f ca="1">IF(O193="","",IF(Tipo_Vertedor="Retangular",IF(O193&lt;=cota_s*100,0,IF(Tipo_Vertedor="Retangular",Cd_sr*Lef_sr*((O193/100-cota_s)^(3/2))*1000)),IF(O193&lt;=cota_s*100+fi_s/20,0,(OFFSET('Base de dados'!$A$4,IF(O193&lt;20,1,IF(O193&gt;1000,10,MATCH(O193,Cargas,1))),Coluna_fis,1,1))*(PI()*(fi_s/1000)^2/4)*(2*9.81*(O193/100-cota_s-fi_s/2/1000))^0.5*1000)))</f>
        <v>0</v>
      </c>
      <c r="R193" s="19">
        <f t="shared" ca="1" si="32"/>
        <v>17.516169421900464</v>
      </c>
      <c r="S193" s="19">
        <f t="shared" ca="1" si="33"/>
        <v>885.23653233256846</v>
      </c>
      <c r="AD193" s="19" t="str">
        <f t="shared" si="43"/>
        <v/>
      </c>
      <c r="AE193" s="19" t="str">
        <f t="shared" si="44"/>
        <v/>
      </c>
      <c r="AF193" s="19" t="str">
        <f>IF(ISERROR(IF('Hidrograma afluente'!I200="",0,'Hidrograma afluente'!I200)+Simulação!G193),"",IF('Hidrograma afluente'!I200="",0,'Hidrograma afluente'!I200)+Simulação!G193)</f>
        <v/>
      </c>
      <c r="AG193" s="17" t="s">
        <v>160</v>
      </c>
      <c r="AH193" s="17" t="s">
        <v>160</v>
      </c>
      <c r="AI193" s="27" t="s">
        <v>160</v>
      </c>
      <c r="AJ193" s="17" t="s">
        <v>160</v>
      </c>
      <c r="AK193" s="19" t="str">
        <f>IF(A193="","",IF('Hidrograma afluente'!I200="",0,'Hidrograma afluente'!I200)+Simulação!B193)</f>
        <v/>
      </c>
    </row>
    <row r="194" spans="1:37" s="17" customFormat="1">
      <c r="A194" s="4" t="str">
        <f t="shared" si="34"/>
        <v/>
      </c>
      <c r="B194" s="5" t="str">
        <f>IF(A194="","",IF(A194&gt;tc_lot_i+tc,0,IF('Hidrograma afluente'!B201="","",'Hidrograma afluente'!B201)))</f>
        <v/>
      </c>
      <c r="C194" s="21" t="str">
        <f t="shared" si="35"/>
        <v/>
      </c>
      <c r="D194" s="21" t="str">
        <f t="shared" si="36"/>
        <v/>
      </c>
      <c r="E194" s="21" t="str">
        <f t="shared" si="37"/>
        <v/>
      </c>
      <c r="F194" s="21" t="str">
        <f t="shared" si="38"/>
        <v/>
      </c>
      <c r="G194" s="21" t="str">
        <f t="shared" si="39"/>
        <v/>
      </c>
      <c r="H194" s="23" t="str">
        <f t="shared" si="45"/>
        <v/>
      </c>
      <c r="I194" s="22" t="str">
        <f t="shared" si="40"/>
        <v/>
      </c>
      <c r="J194" s="1"/>
      <c r="K194" s="51"/>
      <c r="M194" s="81">
        <f t="shared" ca="1" si="31"/>
        <v>907.99096433571003</v>
      </c>
      <c r="N194" s="19">
        <f t="shared" si="41"/>
        <v>26.712695476203347</v>
      </c>
      <c r="O194" s="17">
        <f t="shared" si="42"/>
        <v>48.25</v>
      </c>
      <c r="P194" s="19">
        <f ca="1">IF(ISERROR(IF(O194&lt;fi_h/20,0,(OFFSET('Base de dados'!$A$5,IF(O194&lt;20,1,IF(O194&gt;1000,10,MATCH(O194,Cargas,1))),Coluna_fih,1,1))*(1+0.13*0.25)*(PI()*(fi_h/1000)^2/4)*SQRT(2*9.81*(O194/100-fi_h/2/1000))*1000)),"",IF(O194&lt;fi_h/20,0,(OFFSET('Base de dados'!$A$5,IF(O194&lt;20,1,IF(O194&gt;1000,10,MATCH(O194,Cargas,1))),Coluna_fih,1,1))*(PI()*(fi_h/1000)^2/4)*SQRT(2*9.81*(O194/100-fi_h/2/1000))*1000))</f>
        <v>17.567781795598549</v>
      </c>
      <c r="Q194" s="19">
        <f ca="1">IF(O194="","",IF(Tipo_Vertedor="Retangular",IF(O194&lt;=cota_s*100,0,IF(Tipo_Vertedor="Retangular",Cd_sr*Lef_sr*((O194/100-cota_s)^(3/2))*1000)),IF(O194&lt;=cota_s*100+fi_s/20,0,(OFFSET('Base de dados'!$A$4,IF(O194&lt;20,1,IF(O194&gt;1000,10,MATCH(O194,Cargas,1))),Coluna_fis,1,1))*(PI()*(fi_s/1000)^2/4)*(2*9.81*(O194/100-cota_s-fi_s/2/1000))^0.5*1000)))</f>
        <v>0</v>
      </c>
      <c r="R194" s="19">
        <f t="shared" ca="1" si="32"/>
        <v>17.567781795598549</v>
      </c>
      <c r="S194" s="19">
        <f t="shared" ca="1" si="33"/>
        <v>890.4231825401115</v>
      </c>
      <c r="AD194" s="19" t="str">
        <f t="shared" si="43"/>
        <v/>
      </c>
      <c r="AE194" s="19" t="str">
        <f t="shared" si="44"/>
        <v/>
      </c>
      <c r="AF194" s="19" t="str">
        <f>IF(ISERROR(IF('Hidrograma afluente'!I201="",0,'Hidrograma afluente'!I201)+Simulação!G194),"",IF('Hidrograma afluente'!I201="",0,'Hidrograma afluente'!I201)+Simulação!G194)</f>
        <v/>
      </c>
      <c r="AG194" s="17" t="s">
        <v>160</v>
      </c>
      <c r="AH194" s="17" t="s">
        <v>160</v>
      </c>
      <c r="AI194" s="27" t="s">
        <v>160</v>
      </c>
      <c r="AJ194" s="17" t="s">
        <v>160</v>
      </c>
      <c r="AK194" s="19" t="str">
        <f>IF(A194="","",IF('Hidrograma afluente'!I201="",0,'Hidrograma afluente'!I201)+Simulação!B194)</f>
        <v/>
      </c>
    </row>
    <row r="195" spans="1:37" s="17" customFormat="1">
      <c r="A195" s="4" t="str">
        <f t="shared" si="34"/>
        <v/>
      </c>
      <c r="B195" s="5" t="str">
        <f>IF(A195="","",IF(A195&gt;tc_lot_i+tc,0,IF('Hidrograma afluente'!B202="","",'Hidrograma afluente'!B202)))</f>
        <v/>
      </c>
      <c r="C195" s="21" t="str">
        <f t="shared" si="35"/>
        <v/>
      </c>
      <c r="D195" s="21" t="str">
        <f t="shared" si="36"/>
        <v/>
      </c>
      <c r="E195" s="21" t="str">
        <f t="shared" si="37"/>
        <v/>
      </c>
      <c r="F195" s="21" t="str">
        <f t="shared" si="38"/>
        <v/>
      </c>
      <c r="G195" s="21" t="str">
        <f t="shared" si="39"/>
        <v/>
      </c>
      <c r="H195" s="23" t="str">
        <f t="shared" si="45"/>
        <v/>
      </c>
      <c r="I195" s="22" t="str">
        <f t="shared" si="40"/>
        <v/>
      </c>
      <c r="J195" s="1"/>
      <c r="K195" s="51"/>
      <c r="M195" s="81">
        <f t="shared" ca="1" si="31"/>
        <v>913.23242461605992</v>
      </c>
      <c r="N195" s="19">
        <f t="shared" si="41"/>
        <v>26.868395449055811</v>
      </c>
      <c r="O195" s="17">
        <f t="shared" si="42"/>
        <v>48.5</v>
      </c>
      <c r="P195" s="19">
        <f ca="1">IF(ISERROR(IF(O195&lt;fi_h/20,0,(OFFSET('Base de dados'!$A$5,IF(O195&lt;20,1,IF(O195&gt;1000,10,MATCH(O195,Cargas,1))),Coluna_fih,1,1))*(1+0.13*0.25)*(PI()*(fi_h/1000)^2/4)*SQRT(2*9.81*(O195/100-fi_h/2/1000))*1000)),"",IF(O195&lt;fi_h/20,0,(OFFSET('Base de dados'!$A$5,IF(O195&lt;20,1,IF(O195&gt;1000,10,MATCH(O195,Cargas,1))),Coluna_fih,1,1))*(PI()*(fi_h/1000)^2/4)*SQRT(2*9.81*(O195/100-fi_h/2/1000))*1000))</f>
        <v>17.619242980866311</v>
      </c>
      <c r="Q195" s="19">
        <f ca="1">IF(O195="","",IF(Tipo_Vertedor="Retangular",IF(O195&lt;=cota_s*100,0,IF(Tipo_Vertedor="Retangular",Cd_sr*Lef_sr*((O195/100-cota_s)^(3/2))*1000)),IF(O195&lt;=cota_s*100+fi_s/20,0,(OFFSET('Base de dados'!$A$4,IF(O195&lt;20,1,IF(O195&gt;1000,10,MATCH(O195,Cargas,1))),Coluna_fis,1,1))*(PI()*(fi_s/1000)^2/4)*(2*9.81*(O195/100-cota_s-fi_s/2/1000))^0.5*1000)))</f>
        <v>0</v>
      </c>
      <c r="R195" s="19">
        <f t="shared" ca="1" si="32"/>
        <v>17.619242980866311</v>
      </c>
      <c r="S195" s="19">
        <f t="shared" ca="1" si="33"/>
        <v>895.61318163519365</v>
      </c>
      <c r="AD195" s="19" t="str">
        <f t="shared" si="43"/>
        <v/>
      </c>
      <c r="AE195" s="19" t="str">
        <f t="shared" si="44"/>
        <v/>
      </c>
      <c r="AF195" s="19" t="str">
        <f>IF(ISERROR(IF('Hidrograma afluente'!I202="",0,'Hidrograma afluente'!I202)+Simulação!G195),"",IF('Hidrograma afluente'!I202="",0,'Hidrograma afluente'!I202)+Simulação!G195)</f>
        <v/>
      </c>
      <c r="AG195" s="17" t="s">
        <v>160</v>
      </c>
      <c r="AH195" s="17" t="s">
        <v>160</v>
      </c>
      <c r="AI195" s="27" t="s">
        <v>160</v>
      </c>
      <c r="AJ195" s="17" t="s">
        <v>160</v>
      </c>
      <c r="AK195" s="19" t="str">
        <f>IF(A195="","",IF('Hidrograma afluente'!I202="",0,'Hidrograma afluente'!I202)+Simulação!B195)</f>
        <v/>
      </c>
    </row>
    <row r="196" spans="1:37" s="17" customFormat="1">
      <c r="A196" s="4" t="str">
        <f t="shared" si="34"/>
        <v/>
      </c>
      <c r="B196" s="5" t="str">
        <f>IF(A196="","",IF(A196&gt;tc_lot_i+tc,0,IF('Hidrograma afluente'!B203="","",'Hidrograma afluente'!B203)))</f>
        <v/>
      </c>
      <c r="C196" s="21" t="str">
        <f t="shared" si="35"/>
        <v/>
      </c>
      <c r="D196" s="21" t="str">
        <f t="shared" si="36"/>
        <v/>
      </c>
      <c r="E196" s="21" t="str">
        <f t="shared" si="37"/>
        <v/>
      </c>
      <c r="F196" s="21" t="str">
        <f t="shared" si="38"/>
        <v/>
      </c>
      <c r="G196" s="21" t="str">
        <f t="shared" si="39"/>
        <v/>
      </c>
      <c r="H196" s="23" t="str">
        <f t="shared" si="45"/>
        <v/>
      </c>
      <c r="I196" s="22" t="str">
        <f t="shared" si="40"/>
        <v/>
      </c>
      <c r="J196" s="1"/>
      <c r="K196" s="51"/>
      <c r="M196" s="81">
        <f t="shared" ca="1" si="31"/>
        <v>918.47706879956559</v>
      </c>
      <c r="N196" s="19">
        <f t="shared" si="41"/>
        <v>27.024195435028897</v>
      </c>
      <c r="O196" s="17">
        <f t="shared" si="42"/>
        <v>48.75</v>
      </c>
      <c r="P196" s="19">
        <f ca="1">IF(ISERROR(IF(O196&lt;fi_h/20,0,(OFFSET('Base de dados'!$A$5,IF(O196&lt;20,1,IF(O196&gt;1000,10,MATCH(O196,Cargas,1))),Coluna_fih,1,1))*(1+0.13*0.25)*(PI()*(fi_h/1000)^2/4)*SQRT(2*9.81*(O196/100-fi_h/2/1000))*1000)),"",IF(O196&lt;fi_h/20,0,(OFFSET('Base de dados'!$A$5,IF(O196&lt;20,1,IF(O196&gt;1000,10,MATCH(O196,Cargas,1))),Coluna_fih,1,1))*(PI()*(fi_h/1000)^2/4)*SQRT(2*9.81*(O196/100-fi_h/2/1000))*1000))</f>
        <v>17.67055429860223</v>
      </c>
      <c r="Q196" s="19">
        <f ca="1">IF(O196="","",IF(Tipo_Vertedor="Retangular",IF(O196&lt;=cota_s*100,0,IF(Tipo_Vertedor="Retangular",Cd_sr*Lef_sr*((O196/100-cota_s)^(3/2))*1000)),IF(O196&lt;=cota_s*100+fi_s/20,0,(OFFSET('Base de dados'!$A$4,IF(O196&lt;20,1,IF(O196&gt;1000,10,MATCH(O196,Cargas,1))),Coluna_fis,1,1))*(PI()*(fi_s/1000)^2/4)*(2*9.81*(O196/100-cota_s-fi_s/2/1000))^0.5*1000)))</f>
        <v>0</v>
      </c>
      <c r="R196" s="19">
        <f t="shared" ca="1" si="32"/>
        <v>17.67055429860223</v>
      </c>
      <c r="S196" s="19">
        <f t="shared" ca="1" si="33"/>
        <v>900.80651450096332</v>
      </c>
      <c r="AD196" s="19" t="str">
        <f t="shared" si="43"/>
        <v/>
      </c>
      <c r="AE196" s="19" t="str">
        <f t="shared" si="44"/>
        <v/>
      </c>
      <c r="AF196" s="19" t="str">
        <f>IF(ISERROR(IF('Hidrograma afluente'!I203="",0,'Hidrograma afluente'!I203)+Simulação!G196),"",IF('Hidrograma afluente'!I203="",0,'Hidrograma afluente'!I203)+Simulação!G196)</f>
        <v/>
      </c>
      <c r="AG196" s="17" t="s">
        <v>160</v>
      </c>
      <c r="AH196" s="17" t="s">
        <v>160</v>
      </c>
      <c r="AI196" s="27" t="s">
        <v>160</v>
      </c>
      <c r="AJ196" s="17" t="s">
        <v>160</v>
      </c>
      <c r="AK196" s="19" t="str">
        <f>IF(A196="","",IF('Hidrograma afluente'!I203="",0,'Hidrograma afluente'!I203)+Simulação!B196)</f>
        <v/>
      </c>
    </row>
    <row r="197" spans="1:37" s="17" customFormat="1">
      <c r="A197" s="4" t="str">
        <f t="shared" si="34"/>
        <v/>
      </c>
      <c r="B197" s="5" t="str">
        <f>IF(A197="","",IF(A197&gt;tc_lot_i+tc,0,IF('Hidrograma afluente'!B204="","",'Hidrograma afluente'!B204)))</f>
        <v/>
      </c>
      <c r="C197" s="21" t="str">
        <f t="shared" si="35"/>
        <v/>
      </c>
      <c r="D197" s="21" t="str">
        <f t="shared" si="36"/>
        <v/>
      </c>
      <c r="E197" s="21" t="str">
        <f t="shared" si="37"/>
        <v/>
      </c>
      <c r="F197" s="21" t="str">
        <f t="shared" si="38"/>
        <v/>
      </c>
      <c r="G197" s="21" t="str">
        <f t="shared" si="39"/>
        <v/>
      </c>
      <c r="H197" s="23" t="str">
        <f t="shared" si="45"/>
        <v/>
      </c>
      <c r="I197" s="22" t="str">
        <f t="shared" si="40"/>
        <v/>
      </c>
      <c r="J197" s="1"/>
      <c r="K197" s="51"/>
      <c r="M197" s="81">
        <f t="shared" ref="M197:M260" ca="1" si="46">IF(O197="","",2*N197*1000/(Passo*60)+R197)</f>
        <v>923.72488321658557</v>
      </c>
      <c r="N197" s="19">
        <f t="shared" si="41"/>
        <v>27.180094984980105</v>
      </c>
      <c r="O197" s="17">
        <f t="shared" si="42"/>
        <v>49</v>
      </c>
      <c r="P197" s="19">
        <f ca="1">IF(ISERROR(IF(O197&lt;fi_h/20,0,(OFFSET('Base de dados'!$A$5,IF(O197&lt;20,1,IF(O197&gt;1000,10,MATCH(O197,Cargas,1))),Coluna_fih,1,1))*(1+0.13*0.25)*(PI()*(fi_h/1000)^2/4)*SQRT(2*9.81*(O197/100-fi_h/2/1000))*1000)),"",IF(O197&lt;fi_h/20,0,(OFFSET('Base de dados'!$A$5,IF(O197&lt;20,1,IF(O197&gt;1000,10,MATCH(O197,Cargas,1))),Coluna_fih,1,1))*(PI()*(fi_h/1000)^2/4)*SQRT(2*9.81*(O197/100-fi_h/2/1000))*1000))</f>
        <v>17.721717050582114</v>
      </c>
      <c r="Q197" s="19">
        <f ca="1">IF(O197="","",IF(Tipo_Vertedor="Retangular",IF(O197&lt;=cota_s*100,0,IF(Tipo_Vertedor="Retangular",Cd_sr*Lef_sr*((O197/100-cota_s)^(3/2))*1000)),IF(O197&lt;=cota_s*100+fi_s/20,0,(OFFSET('Base de dados'!$A$4,IF(O197&lt;20,1,IF(O197&gt;1000,10,MATCH(O197,Cargas,1))),Coluna_fis,1,1))*(PI()*(fi_s/1000)^2/4)*(2*9.81*(O197/100-cota_s-fi_s/2/1000))^0.5*1000)))</f>
        <v>0</v>
      </c>
      <c r="R197" s="19">
        <f t="shared" ref="R197:R260" ca="1" si="47">IF(O197="","",Q197+P197)</f>
        <v>17.721717050582114</v>
      </c>
      <c r="S197" s="19">
        <f t="shared" ref="S197:S260" ca="1" si="48">IF(M197="","",2*N197*1000/(Passo*60))</f>
        <v>906.00316616600344</v>
      </c>
      <c r="AD197" s="19" t="str">
        <f t="shared" si="43"/>
        <v/>
      </c>
      <c r="AE197" s="19" t="str">
        <f t="shared" si="44"/>
        <v/>
      </c>
      <c r="AF197" s="19" t="str">
        <f>IF(ISERROR(IF('Hidrograma afluente'!I204="",0,'Hidrograma afluente'!I204)+Simulação!G197),"",IF('Hidrograma afluente'!I204="",0,'Hidrograma afluente'!I204)+Simulação!G197)</f>
        <v/>
      </c>
      <c r="AG197" s="17" t="s">
        <v>160</v>
      </c>
      <c r="AH197" s="17" t="s">
        <v>160</v>
      </c>
      <c r="AI197" s="27" t="s">
        <v>160</v>
      </c>
      <c r="AJ197" s="17" t="s">
        <v>160</v>
      </c>
      <c r="AK197" s="19" t="str">
        <f>IF(A197="","",IF('Hidrograma afluente'!I204="",0,'Hidrograma afluente'!I204)+Simulação!B197)</f>
        <v/>
      </c>
    </row>
    <row r="198" spans="1:37" s="17" customFormat="1">
      <c r="A198" s="4" t="str">
        <f t="shared" ref="A198:A261" si="49">IF(ISERROR(IF(A197+Passo&lt;=tempo_simul,A197+Passo,"")),"",IF(A197+Passo&lt;=tempo_simul,A197+Passo,""))</f>
        <v/>
      </c>
      <c r="B198" s="5" t="str">
        <f>IF(A198="","",IF(A198&gt;tc_lot_i+tc,0,IF('Hidrograma afluente'!B205="","",'Hidrograma afluente'!B205)))</f>
        <v/>
      </c>
      <c r="C198" s="21" t="str">
        <f t="shared" ref="C198:C261" si="50">IF(B199=0,0,IF(B199="","",B199))</f>
        <v/>
      </c>
      <c r="D198" s="21" t="str">
        <f t="shared" ref="D198:D261" si="51">IF(A198="","",IF(ISERROR(VLOOKUP(H197,tabela_auxiliar,7,1)),0,VLOOKUP(H197,tabela_auxiliar,7,1)))</f>
        <v/>
      </c>
      <c r="E198" s="21" t="str">
        <f t="shared" ref="E198:E261" si="52">IF(A198="","",IF(ISERROR(VLOOKUP(H197,tabela_auxiliar,4,TRUE)),0,VLOOKUP(H197,tabela_auxiliar,4,TRUE)))</f>
        <v/>
      </c>
      <c r="F198" s="21" t="str">
        <f t="shared" ref="F198:F261" si="53">IF(A198="","",IF(ISERROR(VLOOKUP(H197,tabela_auxiliar,5,TRUE)),0,VLOOKUP(H197,tabela_auxiliar,5,TRUE)))</f>
        <v/>
      </c>
      <c r="G198" s="21" t="str">
        <f t="shared" ref="G198:G261" si="54">IF(A198="","",IF(ISERROR(VLOOKUP(H197,tabela_auxiliar,6,TRUE)),0,VLOOKUP(H197,tabela_auxiliar,6,TRUE)))</f>
        <v/>
      </c>
      <c r="H198" s="23" t="str">
        <f t="shared" si="45"/>
        <v/>
      </c>
      <c r="I198" s="22" t="str">
        <f t="shared" ref="I198:I261" si="55">IF(A198="","",IF(ISERROR(VLOOKUP(H197,tabela_auxiliar,3,TRUE)),0,VLOOKUP(H197,tabela_auxiliar,3,TRUE)))</f>
        <v/>
      </c>
      <c r="J198" s="1"/>
      <c r="K198" s="51"/>
      <c r="M198" s="81">
        <f t="shared" ca="1" si="46"/>
        <v>928.97585432204426</v>
      </c>
      <c r="N198" s="19">
        <f t="shared" ref="N198:N261" si="56">IF(O198="","",b_0*(O198/100)^c_0)</f>
        <v>27.336093654065994</v>
      </c>
      <c r="O198" s="17">
        <f t="shared" ref="O198:O261" si="57">IF(ISERROR(IF(O197+passo_altura&gt;h_max_puls*100,"",O197+passo_altura)),"",IF(O197+passo_altura&gt;h_max_puls*100,"",O197+passo_altura))</f>
        <v>49.25</v>
      </c>
      <c r="P198" s="19">
        <f ca="1">IF(ISERROR(IF(O198&lt;fi_h/20,0,(OFFSET('Base de dados'!$A$5,IF(O198&lt;20,1,IF(O198&gt;1000,10,MATCH(O198,Cargas,1))),Coluna_fih,1,1))*(1+0.13*0.25)*(PI()*(fi_h/1000)^2/4)*SQRT(2*9.81*(O198/100-fi_h/2/1000))*1000)),"",IF(O198&lt;fi_h/20,0,(OFFSET('Base de dados'!$A$5,IF(O198&lt;20,1,IF(O198&gt;1000,10,MATCH(O198,Cargas,1))),Coluna_fih,1,1))*(PI()*(fi_h/1000)^2/4)*SQRT(2*9.81*(O198/100-fi_h/2/1000))*1000))</f>
        <v>17.772732519844432</v>
      </c>
      <c r="Q198" s="19">
        <f ca="1">IF(O198="","",IF(Tipo_Vertedor="Retangular",IF(O198&lt;=cota_s*100,0,IF(Tipo_Vertedor="Retangular",Cd_sr*Lef_sr*((O198/100-cota_s)^(3/2))*1000)),IF(O198&lt;=cota_s*100+fi_s/20,0,(OFFSET('Base de dados'!$A$4,IF(O198&lt;20,1,IF(O198&gt;1000,10,MATCH(O198,Cargas,1))),Coluna_fis,1,1))*(PI()*(fi_s/1000)^2/4)*(2*9.81*(O198/100-cota_s-fi_s/2/1000))^0.5*1000)))</f>
        <v>0</v>
      </c>
      <c r="R198" s="19">
        <f t="shared" ca="1" si="47"/>
        <v>17.772732519844432</v>
      </c>
      <c r="S198" s="19">
        <f t="shared" ca="1" si="48"/>
        <v>911.2031218021998</v>
      </c>
      <c r="AD198" s="19" t="str">
        <f t="shared" ref="AD198:AD261" si="58">IF(A198="","",AVERAGE(B198+B197)*Passo*60/1000+AD197)</f>
        <v/>
      </c>
      <c r="AE198" s="19" t="str">
        <f t="shared" ref="AE198:AE261" si="59">IF(A198="","",AE197+AVERAGE(G198+G197)*Passo*60/1000)</f>
        <v/>
      </c>
      <c r="AF198" s="19" t="str">
        <f>IF(ISERROR(IF('Hidrograma afluente'!I205="",0,'Hidrograma afluente'!I205)+Simulação!G198),"",IF('Hidrograma afluente'!I205="",0,'Hidrograma afluente'!I205)+Simulação!G198)</f>
        <v/>
      </c>
      <c r="AG198" s="17" t="s">
        <v>160</v>
      </c>
      <c r="AH198" s="17" t="s">
        <v>160</v>
      </c>
      <c r="AI198" s="27" t="s">
        <v>160</v>
      </c>
      <c r="AJ198" s="17" t="s">
        <v>160</v>
      </c>
      <c r="AK198" s="19" t="str">
        <f>IF(A198="","",IF('Hidrograma afluente'!I205="",0,'Hidrograma afluente'!I205)+Simulação!B198)</f>
        <v/>
      </c>
    </row>
    <row r="199" spans="1:37" s="17" customFormat="1">
      <c r="A199" s="4" t="str">
        <f t="shared" si="49"/>
        <v/>
      </c>
      <c r="B199" s="5" t="str">
        <f>IF(A199="","",IF(A199&gt;tc_lot_i+tc,0,IF('Hidrograma afluente'!B206="","",'Hidrograma afluente'!B206)))</f>
        <v/>
      </c>
      <c r="C199" s="21" t="str">
        <f t="shared" si="50"/>
        <v/>
      </c>
      <c r="D199" s="21" t="str">
        <f t="shared" si="51"/>
        <v/>
      </c>
      <c r="E199" s="21" t="str">
        <f t="shared" si="52"/>
        <v/>
      </c>
      <c r="F199" s="21" t="str">
        <f t="shared" si="53"/>
        <v/>
      </c>
      <c r="G199" s="21" t="str">
        <f t="shared" si="54"/>
        <v/>
      </c>
      <c r="H199" s="23" t="str">
        <f t="shared" si="45"/>
        <v/>
      </c>
      <c r="I199" s="22" t="str">
        <f t="shared" si="55"/>
        <v/>
      </c>
      <c r="J199" s="1"/>
      <c r="K199" s="51"/>
      <c r="M199" s="81">
        <f t="shared" ca="1" si="46"/>
        <v>934.22996869371184</v>
      </c>
      <c r="N199" s="19">
        <f t="shared" si="56"/>
        <v>27.492191001679384</v>
      </c>
      <c r="O199" s="17">
        <f t="shared" si="57"/>
        <v>49.5</v>
      </c>
      <c r="P199" s="19">
        <f ca="1">IF(ISERROR(IF(O199&lt;fi_h/20,0,(OFFSET('Base de dados'!$A$5,IF(O199&lt;20,1,IF(O199&gt;1000,10,MATCH(O199,Cargas,1))),Coluna_fih,1,1))*(1+0.13*0.25)*(PI()*(fi_h/1000)^2/4)*SQRT(2*9.81*(O199/100-fi_h/2/1000))*1000)),"",IF(O199&lt;fi_h/20,0,(OFFSET('Base de dados'!$A$5,IF(O199&lt;20,1,IF(O199&gt;1000,10,MATCH(O199,Cargas,1))),Coluna_fih,1,1))*(PI()*(fi_h/1000)^2/4)*SQRT(2*9.81*(O199/100-fi_h/2/1000))*1000))</f>
        <v>17.823601971065745</v>
      </c>
      <c r="Q199" s="19">
        <f ca="1">IF(O199="","",IF(Tipo_Vertedor="Retangular",IF(O199&lt;=cota_s*100,0,IF(Tipo_Vertedor="Retangular",Cd_sr*Lef_sr*((O199/100-cota_s)^(3/2))*1000)),IF(O199&lt;=cota_s*100+fi_s/20,0,(OFFSET('Base de dados'!$A$4,IF(O199&lt;20,1,IF(O199&gt;1000,10,MATCH(O199,Cargas,1))),Coluna_fis,1,1))*(PI()*(fi_s/1000)^2/4)*(2*9.81*(O199/100-cota_s-fi_s/2/1000))^0.5*1000)))</f>
        <v>0</v>
      </c>
      <c r="R199" s="19">
        <f t="shared" ca="1" si="47"/>
        <v>17.823601971065745</v>
      </c>
      <c r="S199" s="19">
        <f t="shared" ca="1" si="48"/>
        <v>916.40636672264611</v>
      </c>
      <c r="AD199" s="19" t="str">
        <f t="shared" si="58"/>
        <v/>
      </c>
      <c r="AE199" s="19" t="str">
        <f t="shared" si="59"/>
        <v/>
      </c>
      <c r="AF199" s="19" t="str">
        <f>IF(ISERROR(IF('Hidrograma afluente'!I206="",0,'Hidrograma afluente'!I206)+Simulação!G199),"",IF('Hidrograma afluente'!I206="",0,'Hidrograma afluente'!I206)+Simulação!G199)</f>
        <v/>
      </c>
      <c r="AG199" s="17" t="s">
        <v>160</v>
      </c>
      <c r="AH199" s="17" t="s">
        <v>160</v>
      </c>
      <c r="AI199" s="27" t="s">
        <v>160</v>
      </c>
      <c r="AJ199" s="17" t="s">
        <v>160</v>
      </c>
      <c r="AK199" s="19" t="str">
        <f>IF(A199="","",IF('Hidrograma afluente'!I206="",0,'Hidrograma afluente'!I206)+Simulação!B199)</f>
        <v/>
      </c>
    </row>
    <row r="200" spans="1:37" s="17" customFormat="1">
      <c r="A200" s="4" t="str">
        <f t="shared" si="49"/>
        <v/>
      </c>
      <c r="B200" s="5" t="str">
        <f>IF(A200="","",IF(A200&gt;tc_lot_i+tc,0,IF('Hidrograma afluente'!B207="","",'Hidrograma afluente'!B207)))</f>
        <v/>
      </c>
      <c r="C200" s="21" t="str">
        <f t="shared" si="50"/>
        <v/>
      </c>
      <c r="D200" s="21" t="str">
        <f t="shared" si="51"/>
        <v/>
      </c>
      <c r="E200" s="21" t="str">
        <f t="shared" si="52"/>
        <v/>
      </c>
      <c r="F200" s="21" t="str">
        <f t="shared" si="53"/>
        <v/>
      </c>
      <c r="G200" s="21" t="str">
        <f t="shared" si="54"/>
        <v/>
      </c>
      <c r="H200" s="23" t="str">
        <f t="shared" si="45"/>
        <v/>
      </c>
      <c r="I200" s="22" t="str">
        <f t="shared" si="55"/>
        <v/>
      </c>
      <c r="J200" s="1"/>
      <c r="K200" s="51"/>
      <c r="M200" s="81">
        <f t="shared" ca="1" si="46"/>
        <v>939.48721303052105</v>
      </c>
      <c r="N200" s="19">
        <f t="shared" si="56"/>
        <v>27.648386591387837</v>
      </c>
      <c r="O200" s="17">
        <f t="shared" si="57"/>
        <v>49.75</v>
      </c>
      <c r="P200" s="19">
        <f ca="1">IF(ISERROR(IF(O200&lt;fi_h/20,0,(OFFSET('Base de dados'!$A$5,IF(O200&lt;20,1,IF(O200&gt;1000,10,MATCH(O200,Cargas,1))),Coluna_fih,1,1))*(1+0.13*0.25)*(PI()*(fi_h/1000)^2/4)*SQRT(2*9.81*(O200/100-fi_h/2/1000))*1000)),"",IF(O200&lt;fi_h/20,0,(OFFSET('Base de dados'!$A$5,IF(O200&lt;20,1,IF(O200&gt;1000,10,MATCH(O200,Cargas,1))),Coluna_fih,1,1))*(PI()*(fi_h/1000)^2/4)*SQRT(2*9.81*(O200/100-fi_h/2/1000))*1000))</f>
        <v>17.874326650926509</v>
      </c>
      <c r="Q200" s="19">
        <f ca="1">IF(O200="","",IF(Tipo_Vertedor="Retangular",IF(O200&lt;=cota_s*100,0,IF(Tipo_Vertedor="Retangular",Cd_sr*Lef_sr*((O200/100-cota_s)^(3/2))*1000)),IF(O200&lt;=cota_s*100+fi_s/20,0,(OFFSET('Base de dados'!$A$4,IF(O200&lt;20,1,IF(O200&gt;1000,10,MATCH(O200,Cargas,1))),Coluna_fis,1,1))*(PI()*(fi_s/1000)^2/4)*(2*9.81*(O200/100-cota_s-fi_s/2/1000))^0.5*1000)))</f>
        <v>0</v>
      </c>
      <c r="R200" s="19">
        <f t="shared" ca="1" si="47"/>
        <v>17.874326650926509</v>
      </c>
      <c r="S200" s="19">
        <f t="shared" ca="1" si="48"/>
        <v>921.61288637959456</v>
      </c>
      <c r="AD200" s="19" t="str">
        <f t="shared" si="58"/>
        <v/>
      </c>
      <c r="AE200" s="19" t="str">
        <f t="shared" si="59"/>
        <v/>
      </c>
      <c r="AF200" s="19" t="str">
        <f>IF(ISERROR(IF('Hidrograma afluente'!I207="",0,'Hidrograma afluente'!I207)+Simulação!G200),"",IF('Hidrograma afluente'!I207="",0,'Hidrograma afluente'!I207)+Simulação!G200)</f>
        <v/>
      </c>
      <c r="AG200" s="17" t="s">
        <v>160</v>
      </c>
      <c r="AH200" s="17" t="s">
        <v>160</v>
      </c>
      <c r="AI200" s="27" t="s">
        <v>160</v>
      </c>
      <c r="AJ200" s="17" t="s">
        <v>160</v>
      </c>
      <c r="AK200" s="19" t="str">
        <f>IF(A200="","",IF('Hidrograma afluente'!I207="",0,'Hidrograma afluente'!I207)+Simulação!B200)</f>
        <v/>
      </c>
    </row>
    <row r="201" spans="1:37" s="17" customFormat="1">
      <c r="A201" s="4" t="str">
        <f t="shared" si="49"/>
        <v/>
      </c>
      <c r="B201" s="5" t="str">
        <f>IF(A201="","",IF(A201&gt;tc_lot_i+tc,0,IF('Hidrograma afluente'!B208="","",'Hidrograma afluente'!B208)))</f>
        <v/>
      </c>
      <c r="C201" s="21" t="str">
        <f t="shared" si="50"/>
        <v/>
      </c>
      <c r="D201" s="21" t="str">
        <f t="shared" si="51"/>
        <v/>
      </c>
      <c r="E201" s="21" t="str">
        <f t="shared" si="52"/>
        <v/>
      </c>
      <c r="F201" s="21" t="str">
        <f t="shared" si="53"/>
        <v/>
      </c>
      <c r="G201" s="21" t="str">
        <f t="shared" si="54"/>
        <v/>
      </c>
      <c r="H201" s="23" t="str">
        <f t="shared" si="45"/>
        <v/>
      </c>
      <c r="I201" s="22" t="str">
        <f t="shared" si="55"/>
        <v/>
      </c>
      <c r="J201" s="1"/>
      <c r="K201" s="51"/>
      <c r="M201" s="81">
        <f t="shared" ca="1" si="46"/>
        <v>944.74757415091074</v>
      </c>
      <c r="N201" s="19">
        <f t="shared" si="56"/>
        <v>27.804679990873296</v>
      </c>
      <c r="O201" s="17">
        <f t="shared" si="57"/>
        <v>50</v>
      </c>
      <c r="P201" s="19">
        <f ca="1">IF(ISERROR(IF(O201&lt;fi_h/20,0,(OFFSET('Base de dados'!$A$5,IF(O201&lt;20,1,IF(O201&gt;1000,10,MATCH(O201,Cargas,1))),Coluna_fih,1,1))*(1+0.13*0.25)*(PI()*(fi_h/1000)^2/4)*SQRT(2*9.81*(O201/100-fi_h/2/1000))*1000)),"",IF(O201&lt;fi_h/20,0,(OFFSET('Base de dados'!$A$5,IF(O201&lt;20,1,IF(O201&gt;1000,10,MATCH(O201,Cargas,1))),Coluna_fih,1,1))*(PI()*(fi_h/1000)^2/4)*SQRT(2*9.81*(O201/100-fi_h/2/1000))*1000))</f>
        <v>17.924907788467554</v>
      </c>
      <c r="Q201" s="19">
        <f ca="1">IF(O201="","",IF(Tipo_Vertedor="Retangular",IF(O201&lt;=cota_s*100,0,IF(Tipo_Vertedor="Retangular",Cd_sr*Lef_sr*((O201/100-cota_s)^(3/2))*1000)),IF(O201&lt;=cota_s*100+fi_s/20,0,(OFFSET('Base de dados'!$A$4,IF(O201&lt;20,1,IF(O201&gt;1000,10,MATCH(O201,Cargas,1))),Coluna_fis,1,1))*(PI()*(fi_s/1000)^2/4)*(2*9.81*(O201/100-cota_s-fi_s/2/1000))^0.5*1000)))</f>
        <v>0</v>
      </c>
      <c r="R201" s="19">
        <f t="shared" ca="1" si="47"/>
        <v>17.924907788467554</v>
      </c>
      <c r="S201" s="19">
        <f t="shared" ca="1" si="48"/>
        <v>926.82266636244321</v>
      </c>
      <c r="AD201" s="19" t="str">
        <f t="shared" si="58"/>
        <v/>
      </c>
      <c r="AE201" s="19" t="str">
        <f t="shared" si="59"/>
        <v/>
      </c>
      <c r="AF201" s="19" t="str">
        <f>IF(ISERROR(IF('Hidrograma afluente'!I208="",0,'Hidrograma afluente'!I208)+Simulação!G201),"",IF('Hidrograma afluente'!I208="",0,'Hidrograma afluente'!I208)+Simulação!G201)</f>
        <v/>
      </c>
      <c r="AG201" s="17" t="s">
        <v>160</v>
      </c>
      <c r="AH201" s="17" t="s">
        <v>160</v>
      </c>
      <c r="AI201" s="27" t="s">
        <v>160</v>
      </c>
      <c r="AJ201" s="17" t="s">
        <v>160</v>
      </c>
      <c r="AK201" s="19" t="str">
        <f>IF(A201="","",IF('Hidrograma afluente'!I208="",0,'Hidrograma afluente'!I208)+Simulação!B201)</f>
        <v/>
      </c>
    </row>
    <row r="202" spans="1:37" s="17" customFormat="1">
      <c r="A202" s="4" t="str">
        <f t="shared" si="49"/>
        <v/>
      </c>
      <c r="B202" s="5" t="str">
        <f>IF(A202="","",IF(A202&gt;tc_lot_i+tc,0,IF('Hidrograma afluente'!B209="","",'Hidrograma afluente'!B209)))</f>
        <v/>
      </c>
      <c r="C202" s="21" t="str">
        <f t="shared" si="50"/>
        <v/>
      </c>
      <c r="D202" s="21" t="str">
        <f t="shared" si="51"/>
        <v/>
      </c>
      <c r="E202" s="21" t="str">
        <f t="shared" si="52"/>
        <v/>
      </c>
      <c r="F202" s="21" t="str">
        <f t="shared" si="53"/>
        <v/>
      </c>
      <c r="G202" s="21" t="str">
        <f t="shared" si="54"/>
        <v/>
      </c>
      <c r="H202" s="23" t="str">
        <f t="shared" si="45"/>
        <v/>
      </c>
      <c r="I202" s="22" t="str">
        <f t="shared" si="55"/>
        <v/>
      </c>
      <c r="J202" s="1"/>
      <c r="K202" s="51"/>
      <c r="M202" s="81">
        <f t="shared" ca="1" si="46"/>
        <v>950.01103899120153</v>
      </c>
      <c r="N202" s="19">
        <f t="shared" si="56"/>
        <v>27.961070771872922</v>
      </c>
      <c r="O202" s="17">
        <f t="shared" si="57"/>
        <v>50.25</v>
      </c>
      <c r="P202" s="19">
        <f ca="1">IF(ISERROR(IF(O202&lt;fi_h/20,0,(OFFSET('Base de dados'!$A$5,IF(O202&lt;20,1,IF(O202&gt;1000,10,MATCH(O202,Cargas,1))),Coluna_fih,1,1))*(1+0.13*0.25)*(PI()*(fi_h/1000)^2/4)*SQRT(2*9.81*(O202/100-fi_h/2/1000))*1000)),"",IF(O202&lt;fi_h/20,0,(OFFSET('Base de dados'!$A$5,IF(O202&lt;20,1,IF(O202&gt;1000,10,MATCH(O202,Cargas,1))),Coluna_fih,1,1))*(PI()*(fi_h/1000)^2/4)*SQRT(2*9.81*(O202/100-fi_h/2/1000))*1000))</f>
        <v>17.975346595437529</v>
      </c>
      <c r="Q202" s="19">
        <f ca="1">IF(O202="","",IF(Tipo_Vertedor="Retangular",IF(O202&lt;=cota_s*100,0,IF(Tipo_Vertedor="Retangular",Cd_sr*Lef_sr*((O202/100-cota_s)^(3/2))*1000)),IF(O202&lt;=cota_s*100+fi_s/20,0,(OFFSET('Base de dados'!$A$4,IF(O202&lt;20,1,IF(O202&gt;1000,10,MATCH(O202,Cargas,1))),Coluna_fis,1,1))*(PI()*(fi_s/1000)^2/4)*(2*9.81*(O202/100-cota_s-fi_s/2/1000))^0.5*1000)))</f>
        <v>0</v>
      </c>
      <c r="R202" s="19">
        <f t="shared" ca="1" si="47"/>
        <v>17.975346595437529</v>
      </c>
      <c r="S202" s="19">
        <f t="shared" ca="1" si="48"/>
        <v>932.03569239576404</v>
      </c>
      <c r="AD202" s="19" t="str">
        <f t="shared" si="58"/>
        <v/>
      </c>
      <c r="AE202" s="19" t="str">
        <f t="shared" si="59"/>
        <v/>
      </c>
      <c r="AF202" s="19" t="str">
        <f>IF(ISERROR(IF('Hidrograma afluente'!I209="",0,'Hidrograma afluente'!I209)+Simulação!G202),"",IF('Hidrograma afluente'!I209="",0,'Hidrograma afluente'!I209)+Simulação!G202)</f>
        <v/>
      </c>
      <c r="AG202" s="17" t="s">
        <v>160</v>
      </c>
      <c r="AH202" s="17" t="s">
        <v>160</v>
      </c>
      <c r="AI202" s="27" t="s">
        <v>160</v>
      </c>
      <c r="AJ202" s="17" t="s">
        <v>160</v>
      </c>
      <c r="AK202" s="19" t="str">
        <f>IF(A202="","",IF('Hidrograma afluente'!I209="",0,'Hidrograma afluente'!I209)+Simulação!B202)</f>
        <v/>
      </c>
    </row>
    <row r="203" spans="1:37" s="17" customFormat="1">
      <c r="A203" s="4" t="str">
        <f t="shared" si="49"/>
        <v/>
      </c>
      <c r="B203" s="5" t="str">
        <f>IF(A203="","",IF(A203&gt;tc_lot_i+tc,0,IF('Hidrograma afluente'!B210="","",'Hidrograma afluente'!B210)))</f>
        <v/>
      </c>
      <c r="C203" s="21" t="str">
        <f t="shared" si="50"/>
        <v/>
      </c>
      <c r="D203" s="21" t="str">
        <f t="shared" si="51"/>
        <v/>
      </c>
      <c r="E203" s="21" t="str">
        <f t="shared" si="52"/>
        <v/>
      </c>
      <c r="F203" s="21" t="str">
        <f t="shared" si="53"/>
        <v/>
      </c>
      <c r="G203" s="21" t="str">
        <f t="shared" si="54"/>
        <v/>
      </c>
      <c r="H203" s="23" t="str">
        <f t="shared" si="45"/>
        <v/>
      </c>
      <c r="I203" s="22" t="str">
        <f t="shared" si="55"/>
        <v/>
      </c>
      <c r="J203" s="1"/>
      <c r="K203" s="51"/>
      <c r="M203" s="81">
        <f t="shared" ca="1" si="46"/>
        <v>955.27759460400068</v>
      </c>
      <c r="N203" s="19">
        <f t="shared" si="56"/>
        <v>28.117558510121071</v>
      </c>
      <c r="O203" s="17">
        <f t="shared" si="57"/>
        <v>50.5</v>
      </c>
      <c r="P203" s="19">
        <f ca="1">IF(ISERROR(IF(O203&lt;fi_h/20,0,(OFFSET('Base de dados'!$A$5,IF(O203&lt;20,1,IF(O203&gt;1000,10,MATCH(O203,Cargas,1))),Coluna_fih,1,1))*(1+0.13*0.25)*(PI()*(fi_h/1000)^2/4)*SQRT(2*9.81*(O203/100-fi_h/2/1000))*1000)),"",IF(O203&lt;fi_h/20,0,(OFFSET('Base de dados'!$A$5,IF(O203&lt;20,1,IF(O203&gt;1000,10,MATCH(O203,Cargas,1))),Coluna_fih,1,1))*(PI()*(fi_h/1000)^2/4)*SQRT(2*9.81*(O203/100-fi_h/2/1000))*1000))</f>
        <v>18.025644266631655</v>
      </c>
      <c r="Q203" s="19">
        <f ca="1">IF(O203="","",IF(Tipo_Vertedor="Retangular",IF(O203&lt;=cota_s*100,0,IF(Tipo_Vertedor="Retangular",Cd_sr*Lef_sr*((O203/100-cota_s)^(3/2))*1000)),IF(O203&lt;=cota_s*100+fi_s/20,0,(OFFSET('Base de dados'!$A$4,IF(O203&lt;20,1,IF(O203&gt;1000,10,MATCH(O203,Cargas,1))),Coluna_fis,1,1))*(PI()*(fi_s/1000)^2/4)*(2*9.81*(O203/100-cota_s-fi_s/2/1000))^0.5*1000)))</f>
        <v>0</v>
      </c>
      <c r="R203" s="19">
        <f t="shared" ca="1" si="47"/>
        <v>18.025644266631655</v>
      </c>
      <c r="S203" s="19">
        <f t="shared" ca="1" si="48"/>
        <v>937.25195033736907</v>
      </c>
      <c r="AD203" s="19" t="str">
        <f t="shared" si="58"/>
        <v/>
      </c>
      <c r="AE203" s="19" t="str">
        <f t="shared" si="59"/>
        <v/>
      </c>
      <c r="AF203" s="19" t="str">
        <f>IF(ISERROR(IF('Hidrograma afluente'!I210="",0,'Hidrograma afluente'!I210)+Simulação!G203),"",IF('Hidrograma afluente'!I210="",0,'Hidrograma afluente'!I210)+Simulação!G203)</f>
        <v/>
      </c>
      <c r="AG203" s="17" t="s">
        <v>160</v>
      </c>
      <c r="AH203" s="17" t="s">
        <v>160</v>
      </c>
      <c r="AI203" s="27" t="s">
        <v>160</v>
      </c>
      <c r="AJ203" s="17" t="s">
        <v>160</v>
      </c>
      <c r="AK203" s="19" t="str">
        <f>IF(A203="","",IF('Hidrograma afluente'!I210="",0,'Hidrograma afluente'!I210)+Simulação!B203)</f>
        <v/>
      </c>
    </row>
    <row r="204" spans="1:37" s="17" customFormat="1">
      <c r="A204" s="4" t="str">
        <f t="shared" si="49"/>
        <v/>
      </c>
      <c r="B204" s="5" t="str">
        <f>IF(A204="","",IF(A204&gt;tc_lot_i+tc,0,IF('Hidrograma afluente'!B211="","",'Hidrograma afluente'!B211)))</f>
        <v/>
      </c>
      <c r="C204" s="21" t="str">
        <f t="shared" si="50"/>
        <v/>
      </c>
      <c r="D204" s="21" t="str">
        <f t="shared" si="51"/>
        <v/>
      </c>
      <c r="E204" s="21" t="str">
        <f t="shared" si="52"/>
        <v/>
      </c>
      <c r="F204" s="21" t="str">
        <f t="shared" si="53"/>
        <v/>
      </c>
      <c r="G204" s="21" t="str">
        <f t="shared" si="54"/>
        <v/>
      </c>
      <c r="H204" s="23" t="str">
        <f t="shared" si="45"/>
        <v/>
      </c>
      <c r="I204" s="22" t="str">
        <f t="shared" si="55"/>
        <v/>
      </c>
      <c r="J204" s="1"/>
      <c r="K204" s="51"/>
      <c r="M204" s="81">
        <f t="shared" ca="1" si="46"/>
        <v>960.54722815663331</v>
      </c>
      <c r="N204" s="19">
        <f t="shared" si="56"/>
        <v>28.274142785292344</v>
      </c>
      <c r="O204" s="17">
        <f t="shared" si="57"/>
        <v>50.75</v>
      </c>
      <c r="P204" s="19">
        <f ca="1">IF(ISERROR(IF(O204&lt;fi_h/20,0,(OFFSET('Base de dados'!$A$5,IF(O204&lt;20,1,IF(O204&gt;1000,10,MATCH(O204,Cargas,1))),Coluna_fih,1,1))*(1+0.13*0.25)*(PI()*(fi_h/1000)^2/4)*SQRT(2*9.81*(O204/100-fi_h/2/1000))*1000)),"",IF(O204&lt;fi_h/20,0,(OFFSET('Base de dados'!$A$5,IF(O204&lt;20,1,IF(O204&gt;1000,10,MATCH(O204,Cargas,1))),Coluna_fih,1,1))*(PI()*(fi_h/1000)^2/4)*SQRT(2*9.81*(O204/100-fi_h/2/1000))*1000))</f>
        <v>18.07580198022189</v>
      </c>
      <c r="Q204" s="19">
        <f ca="1">IF(O204="","",IF(Tipo_Vertedor="Retangular",IF(O204&lt;=cota_s*100,0,IF(Tipo_Vertedor="Retangular",Cd_sr*Lef_sr*((O204/100-cota_s)^(3/2))*1000)),IF(O204&lt;=cota_s*100+fi_s/20,0,(OFFSET('Base de dados'!$A$4,IF(O204&lt;20,1,IF(O204&gt;1000,10,MATCH(O204,Cargas,1))),Coluna_fis,1,1))*(PI()*(fi_s/1000)^2/4)*(2*9.81*(O204/100-cota_s-fi_s/2/1000))^0.5*1000)))</f>
        <v>0</v>
      </c>
      <c r="R204" s="19">
        <f t="shared" ca="1" si="47"/>
        <v>18.07580198022189</v>
      </c>
      <c r="S204" s="19">
        <f t="shared" ca="1" si="48"/>
        <v>942.47142617641146</v>
      </c>
      <c r="AD204" s="19" t="str">
        <f t="shared" si="58"/>
        <v/>
      </c>
      <c r="AE204" s="19" t="str">
        <f t="shared" si="59"/>
        <v/>
      </c>
      <c r="AF204" s="19" t="str">
        <f>IF(ISERROR(IF('Hidrograma afluente'!I211="",0,'Hidrograma afluente'!I211)+Simulação!G204),"",IF('Hidrograma afluente'!I211="",0,'Hidrograma afluente'!I211)+Simulação!G204)</f>
        <v/>
      </c>
      <c r="AG204" s="17" t="s">
        <v>160</v>
      </c>
      <c r="AH204" s="17" t="s">
        <v>160</v>
      </c>
      <c r="AI204" s="27" t="s">
        <v>160</v>
      </c>
      <c r="AJ204" s="17" t="s">
        <v>160</v>
      </c>
      <c r="AK204" s="19" t="str">
        <f>IF(A204="","",IF('Hidrograma afluente'!I211="",0,'Hidrograma afluente'!I211)+Simulação!B204)</f>
        <v/>
      </c>
    </row>
    <row r="205" spans="1:37" s="17" customFormat="1">
      <c r="A205" s="4" t="str">
        <f t="shared" si="49"/>
        <v/>
      </c>
      <c r="B205" s="5" t="str">
        <f>IF(A205="","",IF(A205&gt;tc_lot_i+tc,0,IF('Hidrograma afluente'!B212="","",'Hidrograma afluente'!B212)))</f>
        <v/>
      </c>
      <c r="C205" s="21" t="str">
        <f t="shared" si="50"/>
        <v/>
      </c>
      <c r="D205" s="21" t="str">
        <f t="shared" si="51"/>
        <v/>
      </c>
      <c r="E205" s="21" t="str">
        <f t="shared" si="52"/>
        <v/>
      </c>
      <c r="F205" s="21" t="str">
        <f t="shared" si="53"/>
        <v/>
      </c>
      <c r="G205" s="21" t="str">
        <f t="shared" si="54"/>
        <v/>
      </c>
      <c r="H205" s="23" t="str">
        <f t="shared" si="45"/>
        <v/>
      </c>
      <c r="I205" s="22" t="str">
        <f t="shared" si="55"/>
        <v/>
      </c>
      <c r="J205" s="1"/>
      <c r="K205" s="51"/>
      <c r="M205" s="81">
        <f t="shared" ca="1" si="46"/>
        <v>965.81992692960603</v>
      </c>
      <c r="N205" s="19">
        <f t="shared" si="56"/>
        <v>28.430823180945811</v>
      </c>
      <c r="O205" s="17">
        <f t="shared" si="57"/>
        <v>51</v>
      </c>
      <c r="P205" s="19">
        <f ca="1">IF(ISERROR(IF(O205&lt;fi_h/20,0,(OFFSET('Base de dados'!$A$5,IF(O205&lt;20,1,IF(O205&gt;1000,10,MATCH(O205,Cargas,1))),Coluna_fih,1,1))*(1+0.13*0.25)*(PI()*(fi_h/1000)^2/4)*SQRT(2*9.81*(O205/100-fi_h/2/1000))*1000)),"",IF(O205&lt;fi_h/20,0,(OFFSET('Base de dados'!$A$5,IF(O205&lt;20,1,IF(O205&gt;1000,10,MATCH(O205,Cargas,1))),Coluna_fih,1,1))*(PI()*(fi_h/1000)^2/4)*SQRT(2*9.81*(O205/100-fi_h/2/1000))*1000))</f>
        <v>18.125820898078977</v>
      </c>
      <c r="Q205" s="19">
        <f ca="1">IF(O205="","",IF(Tipo_Vertedor="Retangular",IF(O205&lt;=cota_s*100,0,IF(Tipo_Vertedor="Retangular",Cd_sr*Lef_sr*((O205/100-cota_s)^(3/2))*1000)),IF(O205&lt;=cota_s*100+fi_s/20,0,(OFFSET('Base de dados'!$A$4,IF(O205&lt;20,1,IF(O205&gt;1000,10,MATCH(O205,Cargas,1))),Coluna_fis,1,1))*(PI()*(fi_s/1000)^2/4)*(2*9.81*(O205/100-cota_s-fi_s/2/1000))^0.5*1000)))</f>
        <v>0</v>
      </c>
      <c r="R205" s="19">
        <f t="shared" ca="1" si="47"/>
        <v>18.125820898078977</v>
      </c>
      <c r="S205" s="19">
        <f t="shared" ca="1" si="48"/>
        <v>947.6941060315271</v>
      </c>
      <c r="AD205" s="19" t="str">
        <f t="shared" si="58"/>
        <v/>
      </c>
      <c r="AE205" s="19" t="str">
        <f t="shared" si="59"/>
        <v/>
      </c>
      <c r="AF205" s="19" t="str">
        <f>IF(ISERROR(IF('Hidrograma afluente'!I212="",0,'Hidrograma afluente'!I212)+Simulação!G205),"",IF('Hidrograma afluente'!I212="",0,'Hidrograma afluente'!I212)+Simulação!G205)</f>
        <v/>
      </c>
      <c r="AG205" s="17" t="s">
        <v>160</v>
      </c>
      <c r="AH205" s="17" t="s">
        <v>160</v>
      </c>
      <c r="AI205" s="27" t="s">
        <v>160</v>
      </c>
      <c r="AJ205" s="17" t="s">
        <v>160</v>
      </c>
      <c r="AK205" s="19" t="str">
        <f>IF(A205="","",IF('Hidrograma afluente'!I212="",0,'Hidrograma afluente'!I212)+Simulação!B205)</f>
        <v/>
      </c>
    </row>
    <row r="206" spans="1:37" s="17" customFormat="1">
      <c r="A206" s="4" t="str">
        <f t="shared" si="49"/>
        <v/>
      </c>
      <c r="B206" s="5" t="str">
        <f>IF(A206="","",IF(A206&gt;tc_lot_i+tc,0,IF('Hidrograma afluente'!B213="","",'Hidrograma afluente'!B213)))</f>
        <v/>
      </c>
      <c r="C206" s="21" t="str">
        <f t="shared" si="50"/>
        <v/>
      </c>
      <c r="D206" s="21" t="str">
        <f t="shared" si="51"/>
        <v/>
      </c>
      <c r="E206" s="21" t="str">
        <f t="shared" si="52"/>
        <v/>
      </c>
      <c r="F206" s="21" t="str">
        <f t="shared" si="53"/>
        <v/>
      </c>
      <c r="G206" s="21" t="str">
        <f t="shared" si="54"/>
        <v/>
      </c>
      <c r="H206" s="23" t="str">
        <f t="shared" si="45"/>
        <v/>
      </c>
      <c r="I206" s="22" t="str">
        <f t="shared" si="55"/>
        <v/>
      </c>
      <c r="J206" s="1"/>
      <c r="K206" s="51"/>
      <c r="M206" s="81">
        <f t="shared" ca="1" si="46"/>
        <v>971.09567831509219</v>
      </c>
      <c r="N206" s="19">
        <f t="shared" si="56"/>
        <v>28.587599284470173</v>
      </c>
      <c r="O206" s="17">
        <f t="shared" si="57"/>
        <v>51.25</v>
      </c>
      <c r="P206" s="19">
        <f ca="1">IF(ISERROR(IF(O206&lt;fi_h/20,0,(OFFSET('Base de dados'!$A$5,IF(O206&lt;20,1,IF(O206&gt;1000,10,MATCH(O206,Cargas,1))),Coluna_fih,1,1))*(1+0.13*0.25)*(PI()*(fi_h/1000)^2/4)*SQRT(2*9.81*(O206/100-fi_h/2/1000))*1000)),"",IF(O206&lt;fi_h/20,0,(OFFSET('Base de dados'!$A$5,IF(O206&lt;20,1,IF(O206&gt;1000,10,MATCH(O206,Cargas,1))),Coluna_fih,1,1))*(PI()*(fi_h/1000)^2/4)*SQRT(2*9.81*(O206/100-fi_h/2/1000))*1000))</f>
        <v>18.175702166086445</v>
      </c>
      <c r="Q206" s="19">
        <f ca="1">IF(O206="","",IF(Tipo_Vertedor="Retangular",IF(O206&lt;=cota_s*100,0,IF(Tipo_Vertedor="Retangular",Cd_sr*Lef_sr*((O206/100-cota_s)^(3/2))*1000)),IF(O206&lt;=cota_s*100+fi_s/20,0,(OFFSET('Base de dados'!$A$4,IF(O206&lt;20,1,IF(O206&gt;1000,10,MATCH(O206,Cargas,1))),Coluna_fis,1,1))*(PI()*(fi_s/1000)^2/4)*(2*9.81*(O206/100-cota_s-fi_s/2/1000))^0.5*1000)))</f>
        <v>0</v>
      </c>
      <c r="R206" s="19">
        <f t="shared" ca="1" si="47"/>
        <v>18.175702166086445</v>
      </c>
      <c r="S206" s="19">
        <f t="shared" ca="1" si="48"/>
        <v>952.91997614900572</v>
      </c>
      <c r="AD206" s="19" t="str">
        <f t="shared" si="58"/>
        <v/>
      </c>
      <c r="AE206" s="19" t="str">
        <f t="shared" si="59"/>
        <v/>
      </c>
      <c r="AF206" s="19" t="str">
        <f>IF(ISERROR(IF('Hidrograma afluente'!I213="",0,'Hidrograma afluente'!I213)+Simulação!G206),"",IF('Hidrograma afluente'!I213="",0,'Hidrograma afluente'!I213)+Simulação!G206)</f>
        <v/>
      </c>
      <c r="AG206" s="17" t="s">
        <v>160</v>
      </c>
      <c r="AH206" s="17" t="s">
        <v>160</v>
      </c>
      <c r="AI206" s="27" t="s">
        <v>160</v>
      </c>
      <c r="AJ206" s="17" t="s">
        <v>160</v>
      </c>
      <c r="AK206" s="19" t="str">
        <f>IF(A206="","",IF('Hidrograma afluente'!I213="",0,'Hidrograma afluente'!I213)+Simulação!B206)</f>
        <v/>
      </c>
    </row>
    <row r="207" spans="1:37" s="17" customFormat="1">
      <c r="A207" s="4" t="str">
        <f t="shared" si="49"/>
        <v/>
      </c>
      <c r="B207" s="5" t="str">
        <f>IF(A207="","",IF(A207&gt;tc_lot_i+tc,0,IF('Hidrograma afluente'!B214="","",'Hidrograma afluente'!B214)))</f>
        <v/>
      </c>
      <c r="C207" s="21" t="str">
        <f t="shared" si="50"/>
        <v/>
      </c>
      <c r="D207" s="21" t="str">
        <f t="shared" si="51"/>
        <v/>
      </c>
      <c r="E207" s="21" t="str">
        <f t="shared" si="52"/>
        <v/>
      </c>
      <c r="F207" s="21" t="str">
        <f t="shared" si="53"/>
        <v/>
      </c>
      <c r="G207" s="21" t="str">
        <f t="shared" si="54"/>
        <v/>
      </c>
      <c r="H207" s="23" t="str">
        <f t="shared" si="45"/>
        <v/>
      </c>
      <c r="I207" s="22" t="str">
        <f t="shared" si="55"/>
        <v/>
      </c>
      <c r="J207" s="1"/>
      <c r="K207" s="51"/>
      <c r="M207" s="81">
        <f t="shared" ca="1" si="46"/>
        <v>976.37446981545031</v>
      </c>
      <c r="N207" s="19">
        <f t="shared" si="56"/>
        <v>28.744470687030102</v>
      </c>
      <c r="O207" s="17">
        <f t="shared" si="57"/>
        <v>51.5</v>
      </c>
      <c r="P207" s="19">
        <f ca="1">IF(ISERROR(IF(O207&lt;fi_h/20,0,(OFFSET('Base de dados'!$A$5,IF(O207&lt;20,1,IF(O207&gt;1000,10,MATCH(O207,Cargas,1))),Coluna_fih,1,1))*(1+0.13*0.25)*(PI()*(fi_h/1000)^2/4)*SQRT(2*9.81*(O207/100-fi_h/2/1000))*1000)),"",IF(O207&lt;fi_h/20,0,(OFFSET('Base de dados'!$A$5,IF(O207&lt;20,1,IF(O207&gt;1000,10,MATCH(O207,Cargas,1))),Coluna_fih,1,1))*(PI()*(fi_h/1000)^2/4)*SQRT(2*9.81*(O207/100-fi_h/2/1000))*1000))</f>
        <v>18.225446914446913</v>
      </c>
      <c r="Q207" s="19">
        <f ca="1">IF(O207="","",IF(Tipo_Vertedor="Retangular",IF(O207&lt;=cota_s*100,0,IF(Tipo_Vertedor="Retangular",Cd_sr*Lef_sr*((O207/100-cota_s)^(3/2))*1000)),IF(O207&lt;=cota_s*100+fi_s/20,0,(OFFSET('Base de dados'!$A$4,IF(O207&lt;20,1,IF(O207&gt;1000,10,MATCH(O207,Cargas,1))),Coluna_fis,1,1))*(PI()*(fi_s/1000)^2/4)*(2*9.81*(O207/100-cota_s-fi_s/2/1000))^0.5*1000)))</f>
        <v>0</v>
      </c>
      <c r="R207" s="19">
        <f t="shared" ca="1" si="47"/>
        <v>18.225446914446913</v>
      </c>
      <c r="S207" s="19">
        <f t="shared" ca="1" si="48"/>
        <v>958.14902290100338</v>
      </c>
      <c r="AD207" s="19" t="str">
        <f t="shared" si="58"/>
        <v/>
      </c>
      <c r="AE207" s="19" t="str">
        <f t="shared" si="59"/>
        <v/>
      </c>
      <c r="AF207" s="19" t="str">
        <f>IF(ISERROR(IF('Hidrograma afluente'!I214="",0,'Hidrograma afluente'!I214)+Simulação!G207),"",IF('Hidrograma afluente'!I214="",0,'Hidrograma afluente'!I214)+Simulação!G207)</f>
        <v/>
      </c>
      <c r="AG207" s="17" t="s">
        <v>160</v>
      </c>
      <c r="AH207" s="17" t="s">
        <v>160</v>
      </c>
      <c r="AI207" s="27" t="s">
        <v>160</v>
      </c>
      <c r="AJ207" s="17" t="s">
        <v>160</v>
      </c>
      <c r="AK207" s="19" t="str">
        <f>IF(A207="","",IF('Hidrograma afluente'!I214="",0,'Hidrograma afluente'!I214)+Simulação!B207)</f>
        <v/>
      </c>
    </row>
    <row r="208" spans="1:37" s="17" customFormat="1">
      <c r="A208" s="4" t="str">
        <f t="shared" si="49"/>
        <v/>
      </c>
      <c r="B208" s="5" t="str">
        <f>IF(A208="","",IF(A208&gt;tc_lot_i+tc,0,IF('Hidrograma afluente'!B215="","",'Hidrograma afluente'!B215)))</f>
        <v/>
      </c>
      <c r="C208" s="21" t="str">
        <f t="shared" si="50"/>
        <v/>
      </c>
      <c r="D208" s="21" t="str">
        <f t="shared" si="51"/>
        <v/>
      </c>
      <c r="E208" s="21" t="str">
        <f t="shared" si="52"/>
        <v/>
      </c>
      <c r="F208" s="21" t="str">
        <f t="shared" si="53"/>
        <v/>
      </c>
      <c r="G208" s="21" t="str">
        <f t="shared" si="54"/>
        <v/>
      </c>
      <c r="H208" s="23" t="str">
        <f t="shared" si="45"/>
        <v/>
      </c>
      <c r="I208" s="22" t="str">
        <f t="shared" si="55"/>
        <v/>
      </c>
      <c r="J208" s="1"/>
      <c r="K208" s="51"/>
      <c r="M208" s="81">
        <f t="shared" ca="1" si="46"/>
        <v>981.65628904176253</v>
      </c>
      <c r="N208" s="19">
        <f t="shared" si="56"/>
        <v>28.901436983513449</v>
      </c>
      <c r="O208" s="17">
        <f t="shared" si="57"/>
        <v>51.75</v>
      </c>
      <c r="P208" s="19">
        <f ca="1">IF(ISERROR(IF(O208&lt;fi_h/20,0,(OFFSET('Base de dados'!$A$5,IF(O208&lt;20,1,IF(O208&gt;1000,10,MATCH(O208,Cargas,1))),Coluna_fih,1,1))*(1+0.13*0.25)*(PI()*(fi_h/1000)^2/4)*SQRT(2*9.81*(O208/100-fi_h/2/1000))*1000)),"",IF(O208&lt;fi_h/20,0,(OFFSET('Base de dados'!$A$5,IF(O208&lt;20,1,IF(O208&gt;1000,10,MATCH(O208,Cargas,1))),Coluna_fih,1,1))*(PI()*(fi_h/1000)^2/4)*SQRT(2*9.81*(O208/100-fi_h/2/1000))*1000))</f>
        <v>18.275056257980864</v>
      </c>
      <c r="Q208" s="19">
        <f ca="1">IF(O208="","",IF(Tipo_Vertedor="Retangular",IF(O208&lt;=cota_s*100,0,IF(Tipo_Vertedor="Retangular",Cd_sr*Lef_sr*((O208/100-cota_s)^(3/2))*1000)),IF(O208&lt;=cota_s*100+fi_s/20,0,(OFFSET('Base de dados'!$A$4,IF(O208&lt;20,1,IF(O208&gt;1000,10,MATCH(O208,Cargas,1))),Coluna_fis,1,1))*(PI()*(fi_s/1000)^2/4)*(2*9.81*(O208/100-cota_s-fi_s/2/1000))^0.5*1000)))</f>
        <v>0</v>
      </c>
      <c r="R208" s="19">
        <f t="shared" ca="1" si="47"/>
        <v>18.275056257980864</v>
      </c>
      <c r="S208" s="19">
        <f t="shared" ca="1" si="48"/>
        <v>963.38123278378168</v>
      </c>
      <c r="AD208" s="19" t="str">
        <f t="shared" si="58"/>
        <v/>
      </c>
      <c r="AE208" s="19" t="str">
        <f t="shared" si="59"/>
        <v/>
      </c>
      <c r="AF208" s="19" t="str">
        <f>IF(ISERROR(IF('Hidrograma afluente'!I215="",0,'Hidrograma afluente'!I215)+Simulação!G208),"",IF('Hidrograma afluente'!I215="",0,'Hidrograma afluente'!I215)+Simulação!G208)</f>
        <v/>
      </c>
      <c r="AG208" s="17" t="s">
        <v>160</v>
      </c>
      <c r="AH208" s="17" t="s">
        <v>160</v>
      </c>
      <c r="AI208" s="27" t="s">
        <v>160</v>
      </c>
      <c r="AJ208" s="17" t="s">
        <v>160</v>
      </c>
      <c r="AK208" s="19" t="str">
        <f>IF(A208="","",IF('Hidrograma afluente'!I215="",0,'Hidrograma afluente'!I215)+Simulação!B208)</f>
        <v/>
      </c>
    </row>
    <row r="209" spans="1:37" s="17" customFormat="1">
      <c r="A209" s="4" t="str">
        <f t="shared" si="49"/>
        <v/>
      </c>
      <c r="B209" s="5" t="str">
        <f>IF(A209="","",IF(A209&gt;tc_lot_i+tc,0,IF('Hidrograma afluente'!B216="","",'Hidrograma afluente'!B216)))</f>
        <v/>
      </c>
      <c r="C209" s="21" t="str">
        <f t="shared" si="50"/>
        <v/>
      </c>
      <c r="D209" s="21" t="str">
        <f t="shared" si="51"/>
        <v/>
      </c>
      <c r="E209" s="21" t="str">
        <f t="shared" si="52"/>
        <v/>
      </c>
      <c r="F209" s="21" t="str">
        <f t="shared" si="53"/>
        <v/>
      </c>
      <c r="G209" s="21" t="str">
        <f t="shared" si="54"/>
        <v/>
      </c>
      <c r="H209" s="23" t="str">
        <f t="shared" si="45"/>
        <v/>
      </c>
      <c r="I209" s="22" t="str">
        <f t="shared" si="55"/>
        <v/>
      </c>
      <c r="J209" s="1"/>
      <c r="K209" s="51"/>
      <c r="M209" s="81">
        <f t="shared" ca="1" si="46"/>
        <v>986.9411237124034</v>
      </c>
      <c r="N209" s="19">
        <f t="shared" si="56"/>
        <v>29.058497772479559</v>
      </c>
      <c r="O209" s="17">
        <f t="shared" si="57"/>
        <v>52</v>
      </c>
      <c r="P209" s="19">
        <f ca="1">IF(ISERROR(IF(O209&lt;fi_h/20,0,(OFFSET('Base de dados'!$A$5,IF(O209&lt;20,1,IF(O209&gt;1000,10,MATCH(O209,Cargas,1))),Coluna_fih,1,1))*(1+0.13*0.25)*(PI()*(fi_h/1000)^2/4)*SQRT(2*9.81*(O209/100-fi_h/2/1000))*1000)),"",IF(O209&lt;fi_h/20,0,(OFFSET('Base de dados'!$A$5,IF(O209&lt;20,1,IF(O209&gt;1000,10,MATCH(O209,Cargas,1))),Coluna_fih,1,1))*(PI()*(fi_h/1000)^2/4)*SQRT(2*9.81*(O209/100-fi_h/2/1000))*1000))</f>
        <v>18.324531296418154</v>
      </c>
      <c r="Q209" s="19">
        <f ca="1">IF(O209="","",IF(Tipo_Vertedor="Retangular",IF(O209&lt;=cota_s*100,0,IF(Tipo_Vertedor="Retangular",Cd_sr*Lef_sr*((O209/100-cota_s)^(3/2))*1000)),IF(O209&lt;=cota_s*100+fi_s/20,0,(OFFSET('Base de dados'!$A$4,IF(O209&lt;20,1,IF(O209&gt;1000,10,MATCH(O209,Cargas,1))),Coluna_fis,1,1))*(PI()*(fi_s/1000)^2/4)*(2*9.81*(O209/100-cota_s-fi_s/2/1000))^0.5*1000)))</f>
        <v>0</v>
      </c>
      <c r="R209" s="19">
        <f t="shared" ca="1" si="47"/>
        <v>18.324531296418154</v>
      </c>
      <c r="S209" s="19">
        <f t="shared" ca="1" si="48"/>
        <v>968.61659241598522</v>
      </c>
      <c r="AD209" s="19" t="str">
        <f t="shared" si="58"/>
        <v/>
      </c>
      <c r="AE209" s="19" t="str">
        <f t="shared" si="59"/>
        <v/>
      </c>
      <c r="AF209" s="19" t="str">
        <f>IF(ISERROR(IF('Hidrograma afluente'!I216="",0,'Hidrograma afluente'!I216)+Simulação!G209),"",IF('Hidrograma afluente'!I216="",0,'Hidrograma afluente'!I216)+Simulação!G209)</f>
        <v/>
      </c>
      <c r="AG209" s="17" t="s">
        <v>160</v>
      </c>
      <c r="AH209" s="17" t="s">
        <v>160</v>
      </c>
      <c r="AI209" s="27" t="s">
        <v>160</v>
      </c>
      <c r="AJ209" s="17" t="s">
        <v>160</v>
      </c>
      <c r="AK209" s="19" t="str">
        <f>IF(A209="","",IF('Hidrograma afluente'!I216="",0,'Hidrograma afluente'!I216)+Simulação!B209)</f>
        <v/>
      </c>
    </row>
    <row r="210" spans="1:37" s="17" customFormat="1">
      <c r="A210" s="4" t="str">
        <f t="shared" si="49"/>
        <v/>
      </c>
      <c r="B210" s="5" t="str">
        <f>IF(A210="","",IF(A210&gt;tc_lot_i+tc,0,IF('Hidrograma afluente'!B217="","",'Hidrograma afluente'!B217)))</f>
        <v/>
      </c>
      <c r="C210" s="21" t="str">
        <f t="shared" si="50"/>
        <v/>
      </c>
      <c r="D210" s="21" t="str">
        <f t="shared" si="51"/>
        <v/>
      </c>
      <c r="E210" s="21" t="str">
        <f t="shared" si="52"/>
        <v/>
      </c>
      <c r="F210" s="21" t="str">
        <f t="shared" si="53"/>
        <v/>
      </c>
      <c r="G210" s="21" t="str">
        <f t="shared" si="54"/>
        <v/>
      </c>
      <c r="H210" s="23" t="str">
        <f t="shared" si="45"/>
        <v/>
      </c>
      <c r="I210" s="22" t="str">
        <f t="shared" si="55"/>
        <v/>
      </c>
      <c r="J210" s="1"/>
      <c r="K210" s="51"/>
      <c r="M210" s="81">
        <f t="shared" ca="1" si="46"/>
        <v>992.22896165163149</v>
      </c>
      <c r="N210" s="19">
        <f t="shared" si="56"/>
        <v>29.215652656108468</v>
      </c>
      <c r="O210" s="17">
        <f t="shared" si="57"/>
        <v>52.25</v>
      </c>
      <c r="P210" s="19">
        <f ca="1">IF(ISERROR(IF(O210&lt;fi_h/20,0,(OFFSET('Base de dados'!$A$5,IF(O210&lt;20,1,IF(O210&gt;1000,10,MATCH(O210,Cargas,1))),Coluna_fih,1,1))*(1+0.13*0.25)*(PI()*(fi_h/1000)^2/4)*SQRT(2*9.81*(O210/100-fi_h/2/1000))*1000)),"",IF(O210&lt;fi_h/20,0,(OFFSET('Base de dados'!$A$5,IF(O210&lt;20,1,IF(O210&gt;1000,10,MATCH(O210,Cargas,1))),Coluna_fih,1,1))*(PI()*(fi_h/1000)^2/4)*SQRT(2*9.81*(O210/100-fi_h/2/1000))*1000))</f>
        <v>18.373873114682471</v>
      </c>
      <c r="Q210" s="19">
        <f ca="1">IF(O210="","",IF(Tipo_Vertedor="Retangular",IF(O210&lt;=cota_s*100,0,IF(Tipo_Vertedor="Retangular",Cd_sr*Lef_sr*((O210/100-cota_s)^(3/2))*1000)),IF(O210&lt;=cota_s*100+fi_s/20,0,(OFFSET('Base de dados'!$A$4,IF(O210&lt;20,1,IF(O210&gt;1000,10,MATCH(O210,Cargas,1))),Coluna_fis,1,1))*(PI()*(fi_s/1000)^2/4)*(2*9.81*(O210/100-cota_s-fi_s/2/1000))^0.5*1000)))</f>
        <v>0</v>
      </c>
      <c r="R210" s="19">
        <f t="shared" ca="1" si="47"/>
        <v>18.373873114682471</v>
      </c>
      <c r="S210" s="19">
        <f t="shared" ca="1" si="48"/>
        <v>973.85508853694898</v>
      </c>
      <c r="AD210" s="19" t="str">
        <f t="shared" si="58"/>
        <v/>
      </c>
      <c r="AE210" s="19" t="str">
        <f t="shared" si="59"/>
        <v/>
      </c>
      <c r="AF210" s="19" t="str">
        <f>IF(ISERROR(IF('Hidrograma afluente'!I217="",0,'Hidrograma afluente'!I217)+Simulação!G210),"",IF('Hidrograma afluente'!I217="",0,'Hidrograma afluente'!I217)+Simulação!G210)</f>
        <v/>
      </c>
      <c r="AG210" s="17" t="s">
        <v>160</v>
      </c>
      <c r="AH210" s="17" t="s">
        <v>160</v>
      </c>
      <c r="AI210" s="27" t="s">
        <v>160</v>
      </c>
      <c r="AJ210" s="17" t="s">
        <v>160</v>
      </c>
      <c r="AK210" s="19" t="str">
        <f>IF(A210="","",IF('Hidrograma afluente'!I217="",0,'Hidrograma afluente'!I217)+Simulação!B210)</f>
        <v/>
      </c>
    </row>
    <row r="211" spans="1:37" s="17" customFormat="1">
      <c r="A211" s="4" t="str">
        <f t="shared" si="49"/>
        <v/>
      </c>
      <c r="B211" s="5" t="str">
        <f>IF(A211="","",IF(A211&gt;tc_lot_i+tc,0,IF('Hidrograma afluente'!B218="","",'Hidrograma afluente'!B218)))</f>
        <v/>
      </c>
      <c r="C211" s="21" t="str">
        <f t="shared" si="50"/>
        <v/>
      </c>
      <c r="D211" s="21" t="str">
        <f t="shared" si="51"/>
        <v/>
      </c>
      <c r="E211" s="21" t="str">
        <f t="shared" si="52"/>
        <v/>
      </c>
      <c r="F211" s="21" t="str">
        <f t="shared" si="53"/>
        <v/>
      </c>
      <c r="G211" s="21" t="str">
        <f t="shared" si="54"/>
        <v/>
      </c>
      <c r="H211" s="23" t="str">
        <f t="shared" si="45"/>
        <v/>
      </c>
      <c r="I211" s="22" t="str">
        <f t="shared" si="55"/>
        <v/>
      </c>
      <c r="J211" s="1"/>
      <c r="K211" s="51"/>
      <c r="M211" s="81">
        <f t="shared" ca="1" si="46"/>
        <v>997.5197907882058</v>
      </c>
      <c r="N211" s="19">
        <f t="shared" si="56"/>
        <v>29.372901240151105</v>
      </c>
      <c r="O211" s="17">
        <f t="shared" si="57"/>
        <v>52.5</v>
      </c>
      <c r="P211" s="19">
        <f ca="1">IF(ISERROR(IF(O211&lt;fi_h/20,0,(OFFSET('Base de dados'!$A$5,IF(O211&lt;20,1,IF(O211&gt;1000,10,MATCH(O211,Cargas,1))),Coluna_fih,1,1))*(1+0.13*0.25)*(PI()*(fi_h/1000)^2/4)*SQRT(2*9.81*(O211/100-fi_h/2/1000))*1000)),"",IF(O211&lt;fi_h/20,0,(OFFSET('Base de dados'!$A$5,IF(O211&lt;20,1,IF(O211&gt;1000,10,MATCH(O211,Cargas,1))),Coluna_fih,1,1))*(PI()*(fi_h/1000)^2/4)*SQRT(2*9.81*(O211/100-fi_h/2/1000))*1000))</f>
        <v>18.423082783168901</v>
      </c>
      <c r="Q211" s="19">
        <f ca="1">IF(O211="","",IF(Tipo_Vertedor="Retangular",IF(O211&lt;=cota_s*100,0,IF(Tipo_Vertedor="Retangular",Cd_sr*Lef_sr*((O211/100-cota_s)^(3/2))*1000)),IF(O211&lt;=cota_s*100+fi_s/20,0,(OFFSET('Base de dados'!$A$4,IF(O211&lt;20,1,IF(O211&gt;1000,10,MATCH(O211,Cargas,1))),Coluna_fis,1,1))*(PI()*(fi_s/1000)^2/4)*(2*9.81*(O211/100-cota_s-fi_s/2/1000))^0.5*1000)))</f>
        <v>0</v>
      </c>
      <c r="R211" s="19">
        <f t="shared" ca="1" si="47"/>
        <v>18.423082783168901</v>
      </c>
      <c r="S211" s="19">
        <f t="shared" ca="1" si="48"/>
        <v>979.09670800503693</v>
      </c>
      <c r="AD211" s="19" t="str">
        <f t="shared" si="58"/>
        <v/>
      </c>
      <c r="AE211" s="19" t="str">
        <f t="shared" si="59"/>
        <v/>
      </c>
      <c r="AF211" s="19" t="str">
        <f>IF(ISERROR(IF('Hidrograma afluente'!I218="",0,'Hidrograma afluente'!I218)+Simulação!G211),"",IF('Hidrograma afluente'!I218="",0,'Hidrograma afluente'!I218)+Simulação!G211)</f>
        <v/>
      </c>
      <c r="AG211" s="17" t="s">
        <v>160</v>
      </c>
      <c r="AH211" s="17" t="s">
        <v>160</v>
      </c>
      <c r="AI211" s="27" t="s">
        <v>160</v>
      </c>
      <c r="AJ211" s="17" t="s">
        <v>160</v>
      </c>
      <c r="AK211" s="19" t="str">
        <f>IF(A211="","",IF('Hidrograma afluente'!I218="",0,'Hidrograma afluente'!I218)+Simulação!B211)</f>
        <v/>
      </c>
    </row>
    <row r="212" spans="1:37" s="17" customFormat="1">
      <c r="A212" s="4" t="str">
        <f t="shared" si="49"/>
        <v/>
      </c>
      <c r="B212" s="5" t="str">
        <f>IF(A212="","",IF(A212&gt;tc_lot_i+tc,0,IF('Hidrograma afluente'!B219="","",'Hidrograma afluente'!B219)))</f>
        <v/>
      </c>
      <c r="C212" s="21" t="str">
        <f t="shared" si="50"/>
        <v/>
      </c>
      <c r="D212" s="21" t="str">
        <f t="shared" si="51"/>
        <v/>
      </c>
      <c r="E212" s="21" t="str">
        <f t="shared" si="52"/>
        <v/>
      </c>
      <c r="F212" s="21" t="str">
        <f t="shared" si="53"/>
        <v/>
      </c>
      <c r="G212" s="21" t="str">
        <f t="shared" si="54"/>
        <v/>
      </c>
      <c r="H212" s="23" t="str">
        <f t="shared" si="45"/>
        <v/>
      </c>
      <c r="I212" s="22" t="str">
        <f t="shared" si="55"/>
        <v/>
      </c>
      <c r="J212" s="1"/>
      <c r="K212" s="51"/>
      <c r="M212" s="81">
        <f t="shared" ca="1" si="46"/>
        <v>1002.8135991540264</v>
      </c>
      <c r="N212" s="19">
        <f t="shared" si="56"/>
        <v>29.530243133880347</v>
      </c>
      <c r="O212" s="17">
        <f t="shared" si="57"/>
        <v>52.75</v>
      </c>
      <c r="P212" s="19">
        <f ca="1">IF(ISERROR(IF(O212&lt;fi_h/20,0,(OFFSET('Base de dados'!$A$5,IF(O212&lt;20,1,IF(O212&gt;1000,10,MATCH(O212,Cargas,1))),Coluna_fih,1,1))*(1+0.13*0.25)*(PI()*(fi_h/1000)^2/4)*SQRT(2*9.81*(O212/100-fi_h/2/1000))*1000)),"",IF(O212&lt;fi_h/20,0,(OFFSET('Base de dados'!$A$5,IF(O212&lt;20,1,IF(O212&gt;1000,10,MATCH(O212,Cargas,1))),Coluna_fih,1,1))*(PI()*(fi_h/1000)^2/4)*SQRT(2*9.81*(O212/100-fi_h/2/1000))*1000))</f>
        <v>18.472161358014858</v>
      </c>
      <c r="Q212" s="19">
        <f ca="1">IF(O212="","",IF(Tipo_Vertedor="Retangular",IF(O212&lt;=cota_s*100,0,IF(Tipo_Vertedor="Retangular",Cd_sr*Lef_sr*((O212/100-cota_s)^(3/2))*1000)),IF(O212&lt;=cota_s*100+fi_s/20,0,(OFFSET('Base de dados'!$A$4,IF(O212&lt;20,1,IF(O212&gt;1000,10,MATCH(O212,Cargas,1))),Coluna_fis,1,1))*(PI()*(fi_s/1000)^2/4)*(2*9.81*(O212/100-cota_s-fi_s/2/1000))^0.5*1000)))</f>
        <v>0</v>
      </c>
      <c r="R212" s="19">
        <f t="shared" ca="1" si="47"/>
        <v>18.472161358014858</v>
      </c>
      <c r="S212" s="19">
        <f t="shared" ca="1" si="48"/>
        <v>984.34143779601152</v>
      </c>
      <c r="AD212" s="19" t="str">
        <f t="shared" si="58"/>
        <v/>
      </c>
      <c r="AE212" s="19" t="str">
        <f t="shared" si="59"/>
        <v/>
      </c>
      <c r="AF212" s="19" t="str">
        <f>IF(ISERROR(IF('Hidrograma afluente'!I219="",0,'Hidrograma afluente'!I219)+Simulação!G212),"",IF('Hidrograma afluente'!I219="",0,'Hidrograma afluente'!I219)+Simulação!G212)</f>
        <v/>
      </c>
      <c r="AG212" s="17" t="s">
        <v>160</v>
      </c>
      <c r="AH212" s="17" t="s">
        <v>160</v>
      </c>
      <c r="AI212" s="27" t="s">
        <v>160</v>
      </c>
      <c r="AJ212" s="17" t="s">
        <v>160</v>
      </c>
      <c r="AK212" s="19" t="str">
        <f>IF(A212="","",IF('Hidrograma afluente'!I219="",0,'Hidrograma afluente'!I219)+Simulação!B212)</f>
        <v/>
      </c>
    </row>
    <row r="213" spans="1:37" s="17" customFormat="1">
      <c r="A213" s="4" t="str">
        <f t="shared" si="49"/>
        <v/>
      </c>
      <c r="B213" s="5" t="str">
        <f>IF(A213="","",IF(A213&gt;tc_lot_i+tc,0,IF('Hidrograma afluente'!B220="","",'Hidrograma afluente'!B220)))</f>
        <v/>
      </c>
      <c r="C213" s="21" t="str">
        <f t="shared" si="50"/>
        <v/>
      </c>
      <c r="D213" s="21" t="str">
        <f t="shared" si="51"/>
        <v/>
      </c>
      <c r="E213" s="21" t="str">
        <f t="shared" si="52"/>
        <v/>
      </c>
      <c r="F213" s="21" t="str">
        <f t="shared" si="53"/>
        <v/>
      </c>
      <c r="G213" s="21" t="str">
        <f t="shared" si="54"/>
        <v/>
      </c>
      <c r="H213" s="23" t="str">
        <f t="shared" si="45"/>
        <v/>
      </c>
      <c r="I213" s="22" t="str">
        <f t="shared" si="55"/>
        <v/>
      </c>
      <c r="J213" s="1"/>
      <c r="K213" s="51"/>
      <c r="M213" s="81">
        <f t="shared" ca="1" si="46"/>
        <v>1008.110374882799</v>
      </c>
      <c r="N213" s="19">
        <f t="shared" si="56"/>
        <v>29.687677950043032</v>
      </c>
      <c r="O213" s="17">
        <f t="shared" si="57"/>
        <v>53</v>
      </c>
      <c r="P213" s="19">
        <f ca="1">IF(ISERROR(IF(O213&lt;fi_h/20,0,(OFFSET('Base de dados'!$A$5,IF(O213&lt;20,1,IF(O213&gt;1000,10,MATCH(O213,Cargas,1))),Coluna_fih,1,1))*(1+0.13*0.25)*(PI()*(fi_h/1000)^2/4)*SQRT(2*9.81*(O213/100-fi_h/2/1000))*1000)),"",IF(O213&lt;fi_h/20,0,(OFFSET('Base de dados'!$A$5,IF(O213&lt;20,1,IF(O213&gt;1000,10,MATCH(O213,Cargas,1))),Coluna_fih,1,1))*(PI()*(fi_h/1000)^2/4)*SQRT(2*9.81*(O213/100-fi_h/2/1000))*1000))</f>
        <v>18.52110988136457</v>
      </c>
      <c r="Q213" s="19">
        <f ca="1">IF(O213="","",IF(Tipo_Vertedor="Retangular",IF(O213&lt;=cota_s*100,0,IF(Tipo_Vertedor="Retangular",Cd_sr*Lef_sr*((O213/100-cota_s)^(3/2))*1000)),IF(O213&lt;=cota_s*100+fi_s/20,0,(OFFSET('Base de dados'!$A$4,IF(O213&lt;20,1,IF(O213&gt;1000,10,MATCH(O213,Cargas,1))),Coluna_fis,1,1))*(PI()*(fi_s/1000)^2/4)*(2*9.81*(O213/100-cota_s-fi_s/2/1000))^0.5*1000)))</f>
        <v>0</v>
      </c>
      <c r="R213" s="19">
        <f t="shared" ca="1" si="47"/>
        <v>18.52110988136457</v>
      </c>
      <c r="S213" s="19">
        <f t="shared" ca="1" si="48"/>
        <v>989.58926500143434</v>
      </c>
      <c r="AD213" s="19" t="str">
        <f t="shared" si="58"/>
        <v/>
      </c>
      <c r="AE213" s="19" t="str">
        <f t="shared" si="59"/>
        <v/>
      </c>
      <c r="AF213" s="19" t="str">
        <f>IF(ISERROR(IF('Hidrograma afluente'!I220="",0,'Hidrograma afluente'!I220)+Simulação!G213),"",IF('Hidrograma afluente'!I220="",0,'Hidrograma afluente'!I220)+Simulação!G213)</f>
        <v/>
      </c>
      <c r="AG213" s="17" t="s">
        <v>160</v>
      </c>
      <c r="AH213" s="17" t="s">
        <v>160</v>
      </c>
      <c r="AI213" s="27" t="s">
        <v>160</v>
      </c>
      <c r="AJ213" s="17" t="s">
        <v>160</v>
      </c>
      <c r="AK213" s="19" t="str">
        <f>IF(A213="","",IF('Hidrograma afluente'!I220="",0,'Hidrograma afluente'!I220)+Simulação!B213)</f>
        <v/>
      </c>
    </row>
    <row r="214" spans="1:37" s="17" customFormat="1">
      <c r="A214" s="4" t="str">
        <f t="shared" si="49"/>
        <v/>
      </c>
      <c r="B214" s="5" t="str">
        <f>IF(A214="","",IF(A214&gt;tc_lot_i+tc,0,IF('Hidrograma afluente'!B221="","",'Hidrograma afluente'!B221)))</f>
        <v/>
      </c>
      <c r="C214" s="21" t="str">
        <f t="shared" si="50"/>
        <v/>
      </c>
      <c r="D214" s="21" t="str">
        <f t="shared" si="51"/>
        <v/>
      </c>
      <c r="E214" s="21" t="str">
        <f t="shared" si="52"/>
        <v/>
      </c>
      <c r="F214" s="21" t="str">
        <f t="shared" si="53"/>
        <v/>
      </c>
      <c r="G214" s="21" t="str">
        <f t="shared" si="54"/>
        <v/>
      </c>
      <c r="H214" s="23" t="str">
        <f t="shared" si="45"/>
        <v/>
      </c>
      <c r="I214" s="22" t="str">
        <f t="shared" si="55"/>
        <v/>
      </c>
      <c r="J214" s="1"/>
      <c r="K214" s="51"/>
      <c r="M214" s="81">
        <f t="shared" ca="1" si="46"/>
        <v>1013.4101062087215</v>
      </c>
      <c r="N214" s="19">
        <f t="shared" si="56"/>
        <v>29.845205304812826</v>
      </c>
      <c r="O214" s="17">
        <f t="shared" si="57"/>
        <v>53.25</v>
      </c>
      <c r="P214" s="19">
        <f ca="1">IF(ISERROR(IF(O214&lt;fi_h/20,0,(OFFSET('Base de dados'!$A$5,IF(O214&lt;20,1,IF(O214&gt;1000,10,MATCH(O214,Cargas,1))),Coluna_fih,1,1))*(1+0.13*0.25)*(PI()*(fi_h/1000)^2/4)*SQRT(2*9.81*(O214/100-fi_h/2/1000))*1000)),"",IF(O214&lt;fi_h/20,0,(OFFSET('Base de dados'!$A$5,IF(O214&lt;20,1,IF(O214&gt;1000,10,MATCH(O214,Cargas,1))),Coluna_fih,1,1))*(PI()*(fi_h/1000)^2/4)*SQRT(2*9.81*(O214/100-fi_h/2/1000))*1000))</f>
        <v>18.569929381627261</v>
      </c>
      <c r="Q214" s="19">
        <f ca="1">IF(O214="","",IF(Tipo_Vertedor="Retangular",IF(O214&lt;=cota_s*100,0,IF(Tipo_Vertedor="Retangular",Cd_sr*Lef_sr*((O214/100-cota_s)^(3/2))*1000)),IF(O214&lt;=cota_s*100+fi_s/20,0,(OFFSET('Base de dados'!$A$4,IF(O214&lt;20,1,IF(O214&gt;1000,10,MATCH(O214,Cargas,1))),Coluna_fis,1,1))*(PI()*(fi_s/1000)^2/4)*(2*9.81*(O214/100-cota_s-fi_s/2/1000))^0.5*1000)))</f>
        <v>0</v>
      </c>
      <c r="R214" s="19">
        <f t="shared" ca="1" si="47"/>
        <v>18.569929381627261</v>
      </c>
      <c r="S214" s="19">
        <f t="shared" ca="1" si="48"/>
        <v>994.84017682709418</v>
      </c>
      <c r="AD214" s="19" t="str">
        <f t="shared" si="58"/>
        <v/>
      </c>
      <c r="AE214" s="19" t="str">
        <f t="shared" si="59"/>
        <v/>
      </c>
      <c r="AF214" s="19" t="str">
        <f>IF(ISERROR(IF('Hidrograma afluente'!I221="",0,'Hidrograma afluente'!I221)+Simulação!G214),"",IF('Hidrograma afluente'!I221="",0,'Hidrograma afluente'!I221)+Simulação!G214)</f>
        <v/>
      </c>
      <c r="AG214" s="17" t="s">
        <v>160</v>
      </c>
      <c r="AH214" s="17" t="s">
        <v>160</v>
      </c>
      <c r="AI214" s="27" t="s">
        <v>160</v>
      </c>
      <c r="AJ214" s="17" t="s">
        <v>160</v>
      </c>
      <c r="AK214" s="19" t="str">
        <f>IF(A214="","",IF('Hidrograma afluente'!I221="",0,'Hidrograma afluente'!I221)+Simulação!B214)</f>
        <v/>
      </c>
    </row>
    <row r="215" spans="1:37" s="17" customFormat="1">
      <c r="A215" s="4" t="str">
        <f t="shared" si="49"/>
        <v/>
      </c>
      <c r="B215" s="5" t="str">
        <f>IF(A215="","",IF(A215&gt;tc_lot_i+tc,0,IF('Hidrograma afluente'!B222="","",'Hidrograma afluente'!B222)))</f>
        <v/>
      </c>
      <c r="C215" s="21" t="str">
        <f t="shared" si="50"/>
        <v/>
      </c>
      <c r="D215" s="21" t="str">
        <f t="shared" si="51"/>
        <v/>
      </c>
      <c r="E215" s="21" t="str">
        <f t="shared" si="52"/>
        <v/>
      </c>
      <c r="F215" s="21" t="str">
        <f t="shared" si="53"/>
        <v/>
      </c>
      <c r="G215" s="21" t="str">
        <f t="shared" si="54"/>
        <v/>
      </c>
      <c r="H215" s="23" t="str">
        <f t="shared" si="45"/>
        <v/>
      </c>
      <c r="I215" s="22" t="str">
        <f t="shared" si="55"/>
        <v/>
      </c>
      <c r="J215" s="1"/>
      <c r="K215" s="51"/>
      <c r="M215" s="81">
        <f t="shared" ca="1" si="46"/>
        <v>1018.7127814651938</v>
      </c>
      <c r="N215" s="19">
        <f t="shared" si="56"/>
        <v>30.002824817743935</v>
      </c>
      <c r="O215" s="17">
        <f t="shared" si="57"/>
        <v>53.5</v>
      </c>
      <c r="P215" s="19">
        <f ca="1">IF(ISERROR(IF(O215&lt;fi_h/20,0,(OFFSET('Base de dados'!$A$5,IF(O215&lt;20,1,IF(O215&gt;1000,10,MATCH(O215,Cargas,1))),Coluna_fih,1,1))*(1+0.13*0.25)*(PI()*(fi_h/1000)^2/4)*SQRT(2*9.81*(O215/100-fi_h/2/1000))*1000)),"",IF(O215&lt;fi_h/20,0,(OFFSET('Base de dados'!$A$5,IF(O215&lt;20,1,IF(O215&gt;1000,10,MATCH(O215,Cargas,1))),Coluna_fih,1,1))*(PI()*(fi_h/1000)^2/4)*SQRT(2*9.81*(O215/100-fi_h/2/1000))*1000))</f>
        <v>18.618620873729245</v>
      </c>
      <c r="Q215" s="19">
        <f ca="1">IF(O215="","",IF(Tipo_Vertedor="Retangular",IF(O215&lt;=cota_s*100,0,IF(Tipo_Vertedor="Retangular",Cd_sr*Lef_sr*((O215/100-cota_s)^(3/2))*1000)),IF(O215&lt;=cota_s*100+fi_s/20,0,(OFFSET('Base de dados'!$A$4,IF(O215&lt;20,1,IF(O215&gt;1000,10,MATCH(O215,Cargas,1))),Coluna_fis,1,1))*(PI()*(fi_s/1000)^2/4)*(2*9.81*(O215/100-cota_s-fi_s/2/1000))^0.5*1000)))</f>
        <v>0</v>
      </c>
      <c r="R215" s="19">
        <f t="shared" ca="1" si="47"/>
        <v>18.618620873729245</v>
      </c>
      <c r="S215" s="19">
        <f t="shared" ca="1" si="48"/>
        <v>1000.0941605914645</v>
      </c>
      <c r="AD215" s="19" t="str">
        <f t="shared" si="58"/>
        <v/>
      </c>
      <c r="AE215" s="19" t="str">
        <f t="shared" si="59"/>
        <v/>
      </c>
      <c r="AF215" s="19" t="str">
        <f>IF(ISERROR(IF('Hidrograma afluente'!I222="",0,'Hidrograma afluente'!I222)+Simulação!G215),"",IF('Hidrograma afluente'!I222="",0,'Hidrograma afluente'!I222)+Simulação!G215)</f>
        <v/>
      </c>
      <c r="AG215" s="17" t="s">
        <v>160</v>
      </c>
      <c r="AH215" s="17" t="s">
        <v>160</v>
      </c>
      <c r="AI215" s="27" t="s">
        <v>160</v>
      </c>
      <c r="AJ215" s="17" t="s">
        <v>160</v>
      </c>
      <c r="AK215" s="19" t="str">
        <f>IF(A215="","",IF('Hidrograma afluente'!I222="",0,'Hidrograma afluente'!I222)+Simulação!B215)</f>
        <v/>
      </c>
    </row>
    <row r="216" spans="1:37" s="17" customFormat="1">
      <c r="A216" s="4" t="str">
        <f t="shared" si="49"/>
        <v/>
      </c>
      <c r="B216" s="5" t="str">
        <f>IF(A216="","",IF(A216&gt;tc_lot_i+tc,0,IF('Hidrograma afluente'!B223="","",'Hidrograma afluente'!B223)))</f>
        <v/>
      </c>
      <c r="C216" s="21" t="str">
        <f t="shared" si="50"/>
        <v/>
      </c>
      <c r="D216" s="21" t="str">
        <f t="shared" si="51"/>
        <v/>
      </c>
      <c r="E216" s="21" t="str">
        <f t="shared" si="52"/>
        <v/>
      </c>
      <c r="F216" s="21" t="str">
        <f t="shared" si="53"/>
        <v/>
      </c>
      <c r="G216" s="21" t="str">
        <f t="shared" si="54"/>
        <v/>
      </c>
      <c r="H216" s="23" t="str">
        <f t="shared" si="45"/>
        <v/>
      </c>
      <c r="I216" s="22" t="str">
        <f t="shared" si="55"/>
        <v/>
      </c>
      <c r="J216" s="1"/>
      <c r="K216" s="51"/>
      <c r="M216" s="81">
        <f t="shared" ca="1" si="46"/>
        <v>1024.0183890835492</v>
      </c>
      <c r="N216" s="19">
        <f t="shared" si="56"/>
        <v>30.160536111725669</v>
      </c>
      <c r="O216" s="17">
        <f t="shared" si="57"/>
        <v>53.75</v>
      </c>
      <c r="P216" s="19">
        <f ca="1">IF(ISERROR(IF(O216&lt;fi_h/20,0,(OFFSET('Base de dados'!$A$5,IF(O216&lt;20,1,IF(O216&gt;1000,10,MATCH(O216,Cargas,1))),Coluna_fih,1,1))*(1+0.13*0.25)*(PI()*(fi_h/1000)^2/4)*SQRT(2*9.81*(O216/100-fi_h/2/1000))*1000)),"",IF(O216&lt;fi_h/20,0,(OFFSET('Base de dados'!$A$5,IF(O216&lt;20,1,IF(O216&gt;1000,10,MATCH(O216,Cargas,1))),Coluna_fih,1,1))*(PI()*(fi_h/1000)^2/4)*SQRT(2*9.81*(O216/100-fi_h/2/1000))*1000))</f>
        <v>18.667185359360133</v>
      </c>
      <c r="Q216" s="19">
        <f ca="1">IF(O216="","",IF(Tipo_Vertedor="Retangular",IF(O216&lt;=cota_s*100,0,IF(Tipo_Vertedor="Retangular",Cd_sr*Lef_sr*((O216/100-cota_s)^(3/2))*1000)),IF(O216&lt;=cota_s*100+fi_s/20,0,(OFFSET('Base de dados'!$A$4,IF(O216&lt;20,1,IF(O216&gt;1000,10,MATCH(O216,Cargas,1))),Coluna_fis,1,1))*(PI()*(fi_s/1000)^2/4)*(2*9.81*(O216/100-cota_s-fi_s/2/1000))^0.5*1000)))</f>
        <v>0</v>
      </c>
      <c r="R216" s="19">
        <f t="shared" ca="1" si="47"/>
        <v>18.667185359360133</v>
      </c>
      <c r="S216" s="19">
        <f t="shared" ca="1" si="48"/>
        <v>1005.351203724189</v>
      </c>
      <c r="AD216" s="19" t="str">
        <f t="shared" si="58"/>
        <v/>
      </c>
      <c r="AE216" s="19" t="str">
        <f t="shared" si="59"/>
        <v/>
      </c>
      <c r="AF216" s="19" t="str">
        <f>IF(ISERROR(IF('Hidrograma afluente'!I223="",0,'Hidrograma afluente'!I223)+Simulação!G216),"",IF('Hidrograma afluente'!I223="",0,'Hidrograma afluente'!I223)+Simulação!G216)</f>
        <v/>
      </c>
      <c r="AG216" s="17" t="s">
        <v>160</v>
      </c>
      <c r="AH216" s="17" t="s">
        <v>160</v>
      </c>
      <c r="AI216" s="27" t="s">
        <v>160</v>
      </c>
      <c r="AJ216" s="17" t="s">
        <v>160</v>
      </c>
      <c r="AK216" s="19" t="str">
        <f>IF(A216="","",IF('Hidrograma afluente'!I223="",0,'Hidrograma afluente'!I223)+Simulação!B216)</f>
        <v/>
      </c>
    </row>
    <row r="217" spans="1:37" s="17" customFormat="1">
      <c r="A217" s="4" t="str">
        <f t="shared" si="49"/>
        <v/>
      </c>
      <c r="B217" s="5" t="str">
        <f>IF(A217="","",IF(A217&gt;tc_lot_i+tc,0,IF('Hidrograma afluente'!B224="","",'Hidrograma afluente'!B224)))</f>
        <v/>
      </c>
      <c r="C217" s="21" t="str">
        <f t="shared" si="50"/>
        <v/>
      </c>
      <c r="D217" s="21" t="str">
        <f t="shared" si="51"/>
        <v/>
      </c>
      <c r="E217" s="21" t="str">
        <f t="shared" si="52"/>
        <v/>
      </c>
      <c r="F217" s="21" t="str">
        <f t="shared" si="53"/>
        <v/>
      </c>
      <c r="G217" s="21" t="str">
        <f t="shared" si="54"/>
        <v/>
      </c>
      <c r="H217" s="23" t="str">
        <f t="shared" si="45"/>
        <v/>
      </c>
      <c r="I217" s="22" t="str">
        <f t="shared" si="55"/>
        <v/>
      </c>
      <c r="J217" s="1"/>
      <c r="K217" s="51"/>
      <c r="M217" s="81">
        <f t="shared" ca="1" si="46"/>
        <v>1029.3269175918083</v>
      </c>
      <c r="N217" s="19">
        <f t="shared" si="56"/>
        <v>30.318338812937849</v>
      </c>
      <c r="O217" s="17">
        <f t="shared" si="57"/>
        <v>54</v>
      </c>
      <c r="P217" s="19">
        <f ca="1">IF(ISERROR(IF(O217&lt;fi_h/20,0,(OFFSET('Base de dados'!$A$5,IF(O217&lt;20,1,IF(O217&gt;1000,10,MATCH(O217,Cargas,1))),Coluna_fih,1,1))*(1+0.13*0.25)*(PI()*(fi_h/1000)^2/4)*SQRT(2*9.81*(O217/100-fi_h/2/1000))*1000)),"",IF(O217&lt;fi_h/20,0,(OFFSET('Base de dados'!$A$5,IF(O217&lt;20,1,IF(O217&gt;1000,10,MATCH(O217,Cargas,1))),Coluna_fih,1,1))*(PI()*(fi_h/1000)^2/4)*SQRT(2*9.81*(O217/100-fi_h/2/1000))*1000))</f>
        <v>18.715623827213246</v>
      </c>
      <c r="Q217" s="19">
        <f ca="1">IF(O217="","",IF(Tipo_Vertedor="Retangular",IF(O217&lt;=cota_s*100,0,IF(Tipo_Vertedor="Retangular",Cd_sr*Lef_sr*((O217/100-cota_s)^(3/2))*1000)),IF(O217&lt;=cota_s*100+fi_s/20,0,(OFFSET('Base de dados'!$A$4,IF(O217&lt;20,1,IF(O217&gt;1000,10,MATCH(O217,Cargas,1))),Coluna_fis,1,1))*(PI()*(fi_s/1000)^2/4)*(2*9.81*(O217/100-cota_s-fi_s/2/1000))^0.5*1000)))</f>
        <v>0</v>
      </c>
      <c r="R217" s="19">
        <f t="shared" ca="1" si="47"/>
        <v>18.715623827213246</v>
      </c>
      <c r="S217" s="19">
        <f t="shared" ca="1" si="48"/>
        <v>1010.6112937645951</v>
      </c>
      <c r="AD217" s="19" t="str">
        <f t="shared" si="58"/>
        <v/>
      </c>
      <c r="AE217" s="19" t="str">
        <f t="shared" si="59"/>
        <v/>
      </c>
      <c r="AF217" s="19" t="str">
        <f>IF(ISERROR(IF('Hidrograma afluente'!I224="",0,'Hidrograma afluente'!I224)+Simulação!G217),"",IF('Hidrograma afluente'!I224="",0,'Hidrograma afluente'!I224)+Simulação!G217)</f>
        <v/>
      </c>
      <c r="AG217" s="17" t="s">
        <v>160</v>
      </c>
      <c r="AH217" s="17" t="s">
        <v>160</v>
      </c>
      <c r="AI217" s="27" t="s">
        <v>160</v>
      </c>
      <c r="AJ217" s="17" t="s">
        <v>160</v>
      </c>
      <c r="AK217" s="19" t="str">
        <f>IF(A217="","",IF('Hidrograma afluente'!I224="",0,'Hidrograma afluente'!I224)+Simulação!B217)</f>
        <v/>
      </c>
    </row>
    <row r="218" spans="1:37" s="17" customFormat="1">
      <c r="A218" s="4" t="str">
        <f t="shared" si="49"/>
        <v/>
      </c>
      <c r="B218" s="5" t="str">
        <f>IF(A218="","",IF(A218&gt;tc_lot_i+tc,0,IF('Hidrograma afluente'!B225="","",'Hidrograma afluente'!B225)))</f>
        <v/>
      </c>
      <c r="C218" s="21" t="str">
        <f t="shared" si="50"/>
        <v/>
      </c>
      <c r="D218" s="21" t="str">
        <f t="shared" si="51"/>
        <v/>
      </c>
      <c r="E218" s="21" t="str">
        <f t="shared" si="52"/>
        <v/>
      </c>
      <c r="F218" s="21" t="str">
        <f t="shared" si="53"/>
        <v/>
      </c>
      <c r="G218" s="21" t="str">
        <f t="shared" si="54"/>
        <v/>
      </c>
      <c r="H218" s="23" t="str">
        <f t="shared" si="45"/>
        <v/>
      </c>
      <c r="I218" s="22" t="str">
        <f t="shared" si="55"/>
        <v/>
      </c>
      <c r="J218" s="1"/>
      <c r="K218" s="51"/>
      <c r="M218" s="81">
        <f t="shared" ca="1" si="46"/>
        <v>1034.6383556134519</v>
      </c>
      <c r="N218" s="19">
        <f t="shared" si="56"/>
        <v>30.476232550806944</v>
      </c>
      <c r="O218" s="17">
        <f t="shared" si="57"/>
        <v>54.25</v>
      </c>
      <c r="P218" s="19">
        <f ca="1">IF(ISERROR(IF(O218&lt;fi_h/20,0,(OFFSET('Base de dados'!$A$5,IF(O218&lt;20,1,IF(O218&gt;1000,10,MATCH(O218,Cargas,1))),Coluna_fih,1,1))*(1+0.13*0.25)*(PI()*(fi_h/1000)^2/4)*SQRT(2*9.81*(O218/100-fi_h/2/1000))*1000)),"",IF(O218&lt;fi_h/20,0,(OFFSET('Base de dados'!$A$5,IF(O218&lt;20,1,IF(O218&gt;1000,10,MATCH(O218,Cargas,1))),Coluna_fih,1,1))*(PI()*(fi_h/1000)^2/4)*SQRT(2*9.81*(O218/100-fi_h/2/1000))*1000))</f>
        <v>18.763937253220472</v>
      </c>
      <c r="Q218" s="19">
        <f ca="1">IF(O218="","",IF(Tipo_Vertedor="Retangular",IF(O218&lt;=cota_s*100,0,IF(Tipo_Vertedor="Retangular",Cd_sr*Lef_sr*((O218/100-cota_s)^(3/2))*1000)),IF(O218&lt;=cota_s*100+fi_s/20,0,(OFFSET('Base de dados'!$A$4,IF(O218&lt;20,1,IF(O218&gt;1000,10,MATCH(O218,Cargas,1))),Coluna_fis,1,1))*(PI()*(fi_s/1000)^2/4)*(2*9.81*(O218/100-cota_s-fi_s/2/1000))^0.5*1000)))</f>
        <v>0</v>
      </c>
      <c r="R218" s="19">
        <f t="shared" ca="1" si="47"/>
        <v>18.763937253220472</v>
      </c>
      <c r="S218" s="19">
        <f t="shared" ca="1" si="48"/>
        <v>1015.8744183602315</v>
      </c>
      <c r="AD218" s="19" t="str">
        <f t="shared" si="58"/>
        <v/>
      </c>
      <c r="AE218" s="19" t="str">
        <f t="shared" si="59"/>
        <v/>
      </c>
      <c r="AF218" s="19" t="str">
        <f>IF(ISERROR(IF('Hidrograma afluente'!I225="",0,'Hidrograma afluente'!I225)+Simulação!G218),"",IF('Hidrograma afluente'!I225="",0,'Hidrograma afluente'!I225)+Simulação!G218)</f>
        <v/>
      </c>
      <c r="AG218" s="17" t="s">
        <v>160</v>
      </c>
      <c r="AH218" s="17" t="s">
        <v>160</v>
      </c>
      <c r="AI218" s="27" t="s">
        <v>160</v>
      </c>
      <c r="AJ218" s="17" t="s">
        <v>160</v>
      </c>
      <c r="AK218" s="19" t="str">
        <f>IF(A218="","",IF('Hidrograma afluente'!I225="",0,'Hidrograma afluente'!I225)+Simulação!B218)</f>
        <v/>
      </c>
    </row>
    <row r="219" spans="1:37" s="17" customFormat="1">
      <c r="A219" s="4" t="str">
        <f t="shared" si="49"/>
        <v/>
      </c>
      <c r="B219" s="5" t="str">
        <f>IF(A219="","",IF(A219&gt;tc_lot_i+tc,0,IF('Hidrograma afluente'!B226="","",'Hidrograma afluente'!B226)))</f>
        <v/>
      </c>
      <c r="C219" s="21" t="str">
        <f t="shared" si="50"/>
        <v/>
      </c>
      <c r="D219" s="21" t="str">
        <f t="shared" si="51"/>
        <v/>
      </c>
      <c r="E219" s="21" t="str">
        <f t="shared" si="52"/>
        <v/>
      </c>
      <c r="F219" s="21" t="str">
        <f t="shared" si="53"/>
        <v/>
      </c>
      <c r="G219" s="21" t="str">
        <f t="shared" si="54"/>
        <v/>
      </c>
      <c r="H219" s="23" t="str">
        <f t="shared" ref="H219:H282" si="60">IF(A219="","",IF(ISERROR(B219+C219+D219-G219),0,B219+C219+D219-G219))</f>
        <v/>
      </c>
      <c r="I219" s="22" t="str">
        <f t="shared" si="55"/>
        <v/>
      </c>
      <c r="J219" s="1"/>
      <c r="K219" s="51"/>
      <c r="M219" s="81">
        <f t="shared" ca="1" si="46"/>
        <v>1039.9526918662182</v>
      </c>
      <c r="N219" s="19">
        <f t="shared" si="56"/>
        <v>30.634216957963098</v>
      </c>
      <c r="O219" s="17">
        <f t="shared" si="57"/>
        <v>54.5</v>
      </c>
      <c r="P219" s="19">
        <f ca="1">IF(ISERROR(IF(O219&lt;fi_h/20,0,(OFFSET('Base de dados'!$A$5,IF(O219&lt;20,1,IF(O219&gt;1000,10,MATCH(O219,Cargas,1))),Coluna_fih,1,1))*(1+0.13*0.25)*(PI()*(fi_h/1000)^2/4)*SQRT(2*9.81*(O219/100-fi_h/2/1000))*1000)),"",IF(O219&lt;fi_h/20,0,(OFFSET('Base de dados'!$A$5,IF(O219&lt;20,1,IF(O219&gt;1000,10,MATCH(O219,Cargas,1))),Coluna_fih,1,1))*(PI()*(fi_h/1000)^2/4)*SQRT(2*9.81*(O219/100-fi_h/2/1000))*1000))</f>
        <v>18.812126600781692</v>
      </c>
      <c r="Q219" s="19">
        <f ca="1">IF(O219="","",IF(Tipo_Vertedor="Retangular",IF(O219&lt;=cota_s*100,0,IF(Tipo_Vertedor="Retangular",Cd_sr*Lef_sr*((O219/100-cota_s)^(3/2))*1000)),IF(O219&lt;=cota_s*100+fi_s/20,0,(OFFSET('Base de dados'!$A$4,IF(O219&lt;20,1,IF(O219&gt;1000,10,MATCH(O219,Cargas,1))),Coluna_fis,1,1))*(PI()*(fi_s/1000)^2/4)*(2*9.81*(O219/100-cota_s-fi_s/2/1000))^0.5*1000)))</f>
        <v>0</v>
      </c>
      <c r="R219" s="19">
        <f t="shared" ca="1" si="47"/>
        <v>18.812126600781692</v>
      </c>
      <c r="S219" s="19">
        <f t="shared" ca="1" si="48"/>
        <v>1021.1405652654365</v>
      </c>
      <c r="AD219" s="19" t="str">
        <f t="shared" si="58"/>
        <v/>
      </c>
      <c r="AE219" s="19" t="str">
        <f t="shared" si="59"/>
        <v/>
      </c>
      <c r="AF219" s="19" t="str">
        <f>IF(ISERROR(IF('Hidrograma afluente'!I226="",0,'Hidrograma afluente'!I226)+Simulação!G219),"",IF('Hidrograma afluente'!I226="",0,'Hidrograma afluente'!I226)+Simulação!G219)</f>
        <v/>
      </c>
      <c r="AG219" s="17" t="s">
        <v>160</v>
      </c>
      <c r="AH219" s="17" t="s">
        <v>160</v>
      </c>
      <c r="AI219" s="27" t="s">
        <v>160</v>
      </c>
      <c r="AJ219" s="17" t="s">
        <v>160</v>
      </c>
      <c r="AK219" s="19" t="str">
        <f>IF(A219="","",IF('Hidrograma afluente'!I226="",0,'Hidrograma afluente'!I226)+Simulação!B219)</f>
        <v/>
      </c>
    </row>
    <row r="220" spans="1:37" s="17" customFormat="1">
      <c r="A220" s="4" t="str">
        <f t="shared" si="49"/>
        <v/>
      </c>
      <c r="B220" s="5" t="str">
        <f>IF(A220="","",IF(A220&gt;tc_lot_i+tc,0,IF('Hidrograma afluente'!B227="","",'Hidrograma afluente'!B227)))</f>
        <v/>
      </c>
      <c r="C220" s="21" t="str">
        <f t="shared" si="50"/>
        <v/>
      </c>
      <c r="D220" s="21" t="str">
        <f t="shared" si="51"/>
        <v/>
      </c>
      <c r="E220" s="21" t="str">
        <f t="shared" si="52"/>
        <v/>
      </c>
      <c r="F220" s="21" t="str">
        <f t="shared" si="53"/>
        <v/>
      </c>
      <c r="G220" s="21" t="str">
        <f t="shared" si="54"/>
        <v/>
      </c>
      <c r="H220" s="23" t="str">
        <f t="shared" si="60"/>
        <v/>
      </c>
      <c r="I220" s="22" t="str">
        <f t="shared" si="55"/>
        <v/>
      </c>
      <c r="J220" s="1"/>
      <c r="K220" s="51"/>
      <c r="M220" s="81">
        <f t="shared" ca="1" si="46"/>
        <v>1045.2699151609152</v>
      </c>
      <c r="N220" s="19">
        <f t="shared" si="56"/>
        <v>30.792291670197788</v>
      </c>
      <c r="O220" s="17">
        <f t="shared" si="57"/>
        <v>54.75</v>
      </c>
      <c r="P220" s="19">
        <f ca="1">IF(ISERROR(IF(O220&lt;fi_h/20,0,(OFFSET('Base de dados'!$A$5,IF(O220&lt;20,1,IF(O220&gt;1000,10,MATCH(O220,Cargas,1))),Coluna_fih,1,1))*(1+0.13*0.25)*(PI()*(fi_h/1000)^2/4)*SQRT(2*9.81*(O220/100-fi_h/2/1000))*1000)),"",IF(O220&lt;fi_h/20,0,(OFFSET('Base de dados'!$A$5,IF(O220&lt;20,1,IF(O220&gt;1000,10,MATCH(O220,Cargas,1))),Coluna_fih,1,1))*(PI()*(fi_h/1000)^2/4)*SQRT(2*9.81*(O220/100-fi_h/2/1000))*1000))</f>
        <v>18.860192820988896</v>
      </c>
      <c r="Q220" s="19">
        <f ca="1">IF(O220="","",IF(Tipo_Vertedor="Retangular",IF(O220&lt;=cota_s*100,0,IF(Tipo_Vertedor="Retangular",Cd_sr*Lef_sr*((O220/100-cota_s)^(3/2))*1000)),IF(O220&lt;=cota_s*100+fi_s/20,0,(OFFSET('Base de dados'!$A$4,IF(O220&lt;20,1,IF(O220&gt;1000,10,MATCH(O220,Cargas,1))),Coluna_fis,1,1))*(PI()*(fi_s/1000)^2/4)*(2*9.81*(O220/100-cota_s-fi_s/2/1000))^0.5*1000)))</f>
        <v>0</v>
      </c>
      <c r="R220" s="19">
        <f t="shared" ca="1" si="47"/>
        <v>18.860192820988896</v>
      </c>
      <c r="S220" s="19">
        <f t="shared" ca="1" si="48"/>
        <v>1026.4097223399262</v>
      </c>
      <c r="AD220" s="19" t="str">
        <f t="shared" si="58"/>
        <v/>
      </c>
      <c r="AE220" s="19" t="str">
        <f t="shared" si="59"/>
        <v/>
      </c>
      <c r="AF220" s="19" t="str">
        <f>IF(ISERROR(IF('Hidrograma afluente'!I227="",0,'Hidrograma afluente'!I227)+Simulação!G220),"",IF('Hidrograma afluente'!I227="",0,'Hidrograma afluente'!I227)+Simulação!G220)</f>
        <v/>
      </c>
      <c r="AG220" s="17" t="s">
        <v>160</v>
      </c>
      <c r="AH220" s="17" t="s">
        <v>160</v>
      </c>
      <c r="AI220" s="27" t="s">
        <v>160</v>
      </c>
      <c r="AJ220" s="17" t="s">
        <v>160</v>
      </c>
      <c r="AK220" s="19" t="str">
        <f>IF(A220="","",IF('Hidrograma afluente'!I227="",0,'Hidrograma afluente'!I227)+Simulação!B220)</f>
        <v/>
      </c>
    </row>
    <row r="221" spans="1:37" s="17" customFormat="1">
      <c r="A221" s="4" t="str">
        <f t="shared" si="49"/>
        <v/>
      </c>
      <c r="B221" s="5" t="str">
        <f>IF(A221="","",IF(A221&gt;tc_lot_i+tc,0,IF('Hidrograma afluente'!B228="","",'Hidrograma afluente'!B228)))</f>
        <v/>
      </c>
      <c r="C221" s="21" t="str">
        <f t="shared" si="50"/>
        <v/>
      </c>
      <c r="D221" s="21" t="str">
        <f t="shared" si="51"/>
        <v/>
      </c>
      <c r="E221" s="21" t="str">
        <f t="shared" si="52"/>
        <v/>
      </c>
      <c r="F221" s="21" t="str">
        <f t="shared" si="53"/>
        <v/>
      </c>
      <c r="G221" s="21" t="str">
        <f t="shared" si="54"/>
        <v/>
      </c>
      <c r="H221" s="23" t="str">
        <f t="shared" si="60"/>
        <v/>
      </c>
      <c r="I221" s="22" t="str">
        <f t="shared" si="55"/>
        <v/>
      </c>
      <c r="J221" s="1"/>
      <c r="K221" s="51"/>
      <c r="M221" s="81">
        <f t="shared" ca="1" si="46"/>
        <v>1050.5900144002578</v>
      </c>
      <c r="N221" s="19">
        <f t="shared" si="56"/>
        <v>30.95045632642238</v>
      </c>
      <c r="O221" s="17">
        <f t="shared" si="57"/>
        <v>55</v>
      </c>
      <c r="P221" s="19">
        <f ca="1">IF(ISERROR(IF(O221&lt;fi_h/20,0,(OFFSET('Base de dados'!$A$5,IF(O221&lt;20,1,IF(O221&gt;1000,10,MATCH(O221,Cargas,1))),Coluna_fih,1,1))*(1+0.13*0.25)*(PI()*(fi_h/1000)^2/4)*SQRT(2*9.81*(O221/100-fi_h/2/1000))*1000)),"",IF(O221&lt;fi_h/20,0,(OFFSET('Base de dados'!$A$5,IF(O221&lt;20,1,IF(O221&gt;1000,10,MATCH(O221,Cargas,1))),Coluna_fih,1,1))*(PI()*(fi_h/1000)^2/4)*SQRT(2*9.81*(O221/100-fi_h/2/1000))*1000))</f>
        <v>18.908136852845235</v>
      </c>
      <c r="Q221" s="19">
        <f ca="1">IF(O221="","",IF(Tipo_Vertedor="Retangular",IF(O221&lt;=cota_s*100,0,IF(Tipo_Vertedor="Retangular",Cd_sr*Lef_sr*((O221/100-cota_s)^(3/2))*1000)),IF(O221&lt;=cota_s*100+fi_s/20,0,(OFFSET('Base de dados'!$A$4,IF(O221&lt;20,1,IF(O221&gt;1000,10,MATCH(O221,Cargas,1))),Coluna_fis,1,1))*(PI()*(fi_s/1000)^2/4)*(2*9.81*(O221/100-cota_s-fi_s/2/1000))^0.5*1000)))</f>
        <v>0</v>
      </c>
      <c r="R221" s="19">
        <f t="shared" ca="1" si="47"/>
        <v>18.908136852845235</v>
      </c>
      <c r="S221" s="19">
        <f t="shared" ca="1" si="48"/>
        <v>1031.6818775474126</v>
      </c>
      <c r="AD221" s="19" t="str">
        <f t="shared" si="58"/>
        <v/>
      </c>
      <c r="AE221" s="19" t="str">
        <f t="shared" si="59"/>
        <v/>
      </c>
      <c r="AF221" s="19" t="str">
        <f>IF(ISERROR(IF('Hidrograma afluente'!I228="",0,'Hidrograma afluente'!I228)+Simulação!G221),"",IF('Hidrograma afluente'!I228="",0,'Hidrograma afluente'!I228)+Simulação!G221)</f>
        <v/>
      </c>
      <c r="AG221" s="17" t="s">
        <v>160</v>
      </c>
      <c r="AH221" s="17" t="s">
        <v>160</v>
      </c>
      <c r="AI221" s="27" t="s">
        <v>160</v>
      </c>
      <c r="AJ221" s="17" t="s">
        <v>160</v>
      </c>
      <c r="AK221" s="19" t="str">
        <f>IF(A221="","",IF('Hidrograma afluente'!I228="",0,'Hidrograma afluente'!I228)+Simulação!B221)</f>
        <v/>
      </c>
    </row>
    <row r="222" spans="1:37" s="17" customFormat="1">
      <c r="A222" s="4" t="str">
        <f t="shared" si="49"/>
        <v/>
      </c>
      <c r="B222" s="5" t="str">
        <f>IF(A222="","",IF(A222&gt;tc_lot_i+tc,0,IF('Hidrograma afluente'!B229="","",'Hidrograma afluente'!B229)))</f>
        <v/>
      </c>
      <c r="C222" s="21" t="str">
        <f t="shared" si="50"/>
        <v/>
      </c>
      <c r="D222" s="21" t="str">
        <f t="shared" si="51"/>
        <v/>
      </c>
      <c r="E222" s="21" t="str">
        <f t="shared" si="52"/>
        <v/>
      </c>
      <c r="F222" s="21" t="str">
        <f t="shared" si="53"/>
        <v/>
      </c>
      <c r="G222" s="21" t="str">
        <f t="shared" si="54"/>
        <v/>
      </c>
      <c r="H222" s="23" t="str">
        <f t="shared" si="60"/>
        <v/>
      </c>
      <c r="I222" s="22" t="str">
        <f t="shared" si="55"/>
        <v/>
      </c>
      <c r="J222" s="1"/>
      <c r="K222" s="51"/>
      <c r="M222" s="81">
        <f t="shared" ca="1" si="46"/>
        <v>1055.9129785777216</v>
      </c>
      <c r="N222" s="19">
        <f t="shared" si="56"/>
        <v>31.108710568627277</v>
      </c>
      <c r="O222" s="17">
        <f t="shared" si="57"/>
        <v>55.25</v>
      </c>
      <c r="P222" s="19">
        <f ca="1">IF(ISERROR(IF(O222&lt;fi_h/20,0,(OFFSET('Base de dados'!$A$5,IF(O222&lt;20,1,IF(O222&gt;1000,10,MATCH(O222,Cargas,1))),Coluna_fih,1,1))*(1+0.13*0.25)*(PI()*(fi_h/1000)^2/4)*SQRT(2*9.81*(O222/100-fi_h/2/1000))*1000)),"",IF(O222&lt;fi_h/20,0,(OFFSET('Base de dados'!$A$5,IF(O222&lt;20,1,IF(O222&gt;1000,10,MATCH(O222,Cargas,1))),Coluna_fih,1,1))*(PI()*(fi_h/1000)^2/4)*SQRT(2*9.81*(O222/100-fi_h/2/1000))*1000))</f>
        <v>18.955959623479028</v>
      </c>
      <c r="Q222" s="19">
        <f ca="1">IF(O222="","",IF(Tipo_Vertedor="Retangular",IF(O222&lt;=cota_s*100,0,IF(Tipo_Vertedor="Retangular",Cd_sr*Lef_sr*((O222/100-cota_s)^(3/2))*1000)),IF(O222&lt;=cota_s*100+fi_s/20,0,(OFFSET('Base de dados'!$A$4,IF(O222&lt;20,1,IF(O222&gt;1000,10,MATCH(O222,Cargas,1))),Coluna_fis,1,1))*(PI()*(fi_s/1000)^2/4)*(2*9.81*(O222/100-cota_s-fi_s/2/1000))^0.5*1000)))</f>
        <v>0</v>
      </c>
      <c r="R222" s="19">
        <f t="shared" ca="1" si="47"/>
        <v>18.955959623479028</v>
      </c>
      <c r="S222" s="19">
        <f t="shared" ca="1" si="48"/>
        <v>1036.9570189542426</v>
      </c>
      <c r="AD222" s="19" t="str">
        <f t="shared" si="58"/>
        <v/>
      </c>
      <c r="AE222" s="19" t="str">
        <f t="shared" si="59"/>
        <v/>
      </c>
      <c r="AF222" s="19" t="str">
        <f>IF(ISERROR(IF('Hidrograma afluente'!I229="",0,'Hidrograma afluente'!I229)+Simulação!G222),"",IF('Hidrograma afluente'!I229="",0,'Hidrograma afluente'!I229)+Simulação!G222)</f>
        <v/>
      </c>
      <c r="AG222" s="17" t="s">
        <v>160</v>
      </c>
      <c r="AH222" s="17" t="s">
        <v>160</v>
      </c>
      <c r="AI222" s="27" t="s">
        <v>160</v>
      </c>
      <c r="AJ222" s="17" t="s">
        <v>160</v>
      </c>
      <c r="AK222" s="19" t="str">
        <f>IF(A222="","",IF('Hidrograma afluente'!I229="",0,'Hidrograma afluente'!I229)+Simulação!B222)</f>
        <v/>
      </c>
    </row>
    <row r="223" spans="1:37" s="17" customFormat="1">
      <c r="A223" s="4" t="str">
        <f t="shared" si="49"/>
        <v/>
      </c>
      <c r="B223" s="5" t="str">
        <f>IF(A223="","",IF(A223&gt;tc_lot_i+tc,0,IF('Hidrograma afluente'!B230="","",'Hidrograma afluente'!B230)))</f>
        <v/>
      </c>
      <c r="C223" s="21" t="str">
        <f t="shared" si="50"/>
        <v/>
      </c>
      <c r="D223" s="21" t="str">
        <f t="shared" si="51"/>
        <v/>
      </c>
      <c r="E223" s="21" t="str">
        <f t="shared" si="52"/>
        <v/>
      </c>
      <c r="F223" s="21" t="str">
        <f t="shared" si="53"/>
        <v/>
      </c>
      <c r="G223" s="21" t="str">
        <f t="shared" si="54"/>
        <v/>
      </c>
      <c r="H223" s="23" t="str">
        <f t="shared" si="60"/>
        <v/>
      </c>
      <c r="I223" s="22" t="str">
        <f t="shared" si="55"/>
        <v/>
      </c>
      <c r="J223" s="1"/>
      <c r="K223" s="51"/>
      <c r="M223" s="81">
        <f t="shared" ca="1" si="46"/>
        <v>1061.2387967764157</v>
      </c>
      <c r="N223" s="19">
        <f t="shared" si="56"/>
        <v>31.267054041841881</v>
      </c>
      <c r="O223" s="17">
        <f t="shared" si="57"/>
        <v>55.5</v>
      </c>
      <c r="P223" s="19">
        <f ca="1">IF(ISERROR(IF(O223&lt;fi_h/20,0,(OFFSET('Base de dados'!$A$5,IF(O223&lt;20,1,IF(O223&gt;1000,10,MATCH(O223,Cargas,1))),Coluna_fih,1,1))*(1+0.13*0.25)*(PI()*(fi_h/1000)^2/4)*SQRT(2*9.81*(O223/100-fi_h/2/1000))*1000)),"",IF(O223&lt;fi_h/20,0,(OFFSET('Base de dados'!$A$5,IF(O223&lt;20,1,IF(O223&gt;1000,10,MATCH(O223,Cargas,1))),Coluna_fih,1,1))*(PI()*(fi_h/1000)^2/4)*SQRT(2*9.81*(O223/100-fi_h/2/1000))*1000))</f>
        <v>19.003662048352947</v>
      </c>
      <c r="Q223" s="19">
        <f ca="1">IF(O223="","",IF(Tipo_Vertedor="Retangular",IF(O223&lt;=cota_s*100,0,IF(Tipo_Vertedor="Retangular",Cd_sr*Lef_sr*((O223/100-cota_s)^(3/2))*1000)),IF(O223&lt;=cota_s*100+fi_s/20,0,(OFFSET('Base de dados'!$A$4,IF(O223&lt;20,1,IF(O223&gt;1000,10,MATCH(O223,Cargas,1))),Coluna_fis,1,1))*(PI()*(fi_s/1000)^2/4)*(2*9.81*(O223/100-cota_s-fi_s/2/1000))^0.5*1000)))</f>
        <v>0</v>
      </c>
      <c r="R223" s="19">
        <f t="shared" ca="1" si="47"/>
        <v>19.003662048352947</v>
      </c>
      <c r="S223" s="19">
        <f t="shared" ca="1" si="48"/>
        <v>1042.2351347280628</v>
      </c>
      <c r="AD223" s="19" t="str">
        <f t="shared" si="58"/>
        <v/>
      </c>
      <c r="AE223" s="19" t="str">
        <f t="shared" si="59"/>
        <v/>
      </c>
      <c r="AF223" s="19" t="str">
        <f>IF(ISERROR(IF('Hidrograma afluente'!I230="",0,'Hidrograma afluente'!I230)+Simulação!G223),"",IF('Hidrograma afluente'!I230="",0,'Hidrograma afluente'!I230)+Simulação!G223)</f>
        <v/>
      </c>
      <c r="AG223" s="17" t="s">
        <v>160</v>
      </c>
      <c r="AH223" s="17" t="s">
        <v>160</v>
      </c>
      <c r="AI223" s="27" t="s">
        <v>160</v>
      </c>
      <c r="AJ223" s="17" t="s">
        <v>160</v>
      </c>
      <c r="AK223" s="19" t="str">
        <f>IF(A223="","",IF('Hidrograma afluente'!I230="",0,'Hidrograma afluente'!I230)+Simulação!B223)</f>
        <v/>
      </c>
    </row>
    <row r="224" spans="1:37" s="17" customFormat="1">
      <c r="A224" s="4" t="str">
        <f t="shared" si="49"/>
        <v/>
      </c>
      <c r="B224" s="5" t="str">
        <f>IF(A224="","",IF(A224&gt;tc_lot_i+tc,0,IF('Hidrograma afluente'!B231="","",'Hidrograma afluente'!B231)))</f>
        <v/>
      </c>
      <c r="C224" s="21" t="str">
        <f t="shared" si="50"/>
        <v/>
      </c>
      <c r="D224" s="21" t="str">
        <f t="shared" si="51"/>
        <v/>
      </c>
      <c r="E224" s="21" t="str">
        <f t="shared" si="52"/>
        <v/>
      </c>
      <c r="F224" s="21" t="str">
        <f t="shared" si="53"/>
        <v/>
      </c>
      <c r="G224" s="21" t="str">
        <f t="shared" si="54"/>
        <v/>
      </c>
      <c r="H224" s="23" t="str">
        <f t="shared" si="60"/>
        <v/>
      </c>
      <c r="I224" s="22" t="str">
        <f t="shared" si="55"/>
        <v/>
      </c>
      <c r="J224" s="1"/>
      <c r="K224" s="51"/>
      <c r="M224" s="81">
        <f t="shared" ca="1" si="46"/>
        <v>1066.5674581679757</v>
      </c>
      <c r="N224" s="19">
        <f t="shared" si="56"/>
        <v>31.425486394095216</v>
      </c>
      <c r="O224" s="17">
        <f t="shared" si="57"/>
        <v>55.75</v>
      </c>
      <c r="P224" s="19">
        <f ca="1">IF(ISERROR(IF(O224&lt;fi_h/20,0,(OFFSET('Base de dados'!$A$5,IF(O224&lt;20,1,IF(O224&gt;1000,10,MATCH(O224,Cargas,1))),Coluna_fih,1,1))*(1+0.13*0.25)*(PI()*(fi_h/1000)^2/4)*SQRT(2*9.81*(O224/100-fi_h/2/1000))*1000)),"",IF(O224&lt;fi_h/20,0,(OFFSET('Base de dados'!$A$5,IF(O224&lt;20,1,IF(O224&gt;1000,10,MATCH(O224,Cargas,1))),Coluna_fih,1,1))*(PI()*(fi_h/1000)^2/4)*SQRT(2*9.81*(O224/100-fi_h/2/1000))*1000))</f>
        <v>19.051245031468497</v>
      </c>
      <c r="Q224" s="19">
        <f ca="1">IF(O224="","",IF(Tipo_Vertedor="Retangular",IF(O224&lt;=cota_s*100,0,IF(Tipo_Vertedor="Retangular",Cd_sr*Lef_sr*((O224/100-cota_s)^(3/2))*1000)),IF(O224&lt;=cota_s*100+fi_s/20,0,(OFFSET('Base de dados'!$A$4,IF(O224&lt;20,1,IF(O224&gt;1000,10,MATCH(O224,Cargas,1))),Coluna_fis,1,1))*(PI()*(fi_s/1000)^2/4)*(2*9.81*(O224/100-cota_s-fi_s/2/1000))^0.5*1000)))</f>
        <v>0</v>
      </c>
      <c r="R224" s="19">
        <f t="shared" ca="1" si="47"/>
        <v>19.051245031468497</v>
      </c>
      <c r="S224" s="19">
        <f t="shared" ca="1" si="48"/>
        <v>1047.5162131365073</v>
      </c>
      <c r="AD224" s="19" t="str">
        <f t="shared" si="58"/>
        <v/>
      </c>
      <c r="AE224" s="19" t="str">
        <f t="shared" si="59"/>
        <v/>
      </c>
      <c r="AF224" s="19" t="str">
        <f>IF(ISERROR(IF('Hidrograma afluente'!I231="",0,'Hidrograma afluente'!I231)+Simulação!G224),"",IF('Hidrograma afluente'!I231="",0,'Hidrograma afluente'!I231)+Simulação!G224)</f>
        <v/>
      </c>
      <c r="AG224" s="17" t="s">
        <v>160</v>
      </c>
      <c r="AH224" s="17" t="s">
        <v>160</v>
      </c>
      <c r="AI224" s="27" t="s">
        <v>160</v>
      </c>
      <c r="AJ224" s="17" t="s">
        <v>160</v>
      </c>
      <c r="AK224" s="19" t="str">
        <f>IF(A224="","",IF('Hidrograma afluente'!I231="",0,'Hidrograma afluente'!I231)+Simulação!B224)</f>
        <v/>
      </c>
    </row>
    <row r="225" spans="1:37" s="17" customFormat="1">
      <c r="A225" s="4" t="str">
        <f t="shared" si="49"/>
        <v/>
      </c>
      <c r="B225" s="5" t="str">
        <f>IF(A225="","",IF(A225&gt;tc_lot_i+tc,0,IF('Hidrograma afluente'!B232="","",'Hidrograma afluente'!B232)))</f>
        <v/>
      </c>
      <c r="C225" s="21" t="str">
        <f t="shared" si="50"/>
        <v/>
      </c>
      <c r="D225" s="21" t="str">
        <f t="shared" si="51"/>
        <v/>
      </c>
      <c r="E225" s="21" t="str">
        <f t="shared" si="52"/>
        <v/>
      </c>
      <c r="F225" s="21" t="str">
        <f t="shared" si="53"/>
        <v/>
      </c>
      <c r="G225" s="21" t="str">
        <f t="shared" si="54"/>
        <v/>
      </c>
      <c r="H225" s="23" t="str">
        <f t="shared" si="60"/>
        <v/>
      </c>
      <c r="I225" s="22" t="str">
        <f t="shared" si="55"/>
        <v/>
      </c>
      <c r="J225" s="1"/>
      <c r="K225" s="51"/>
      <c r="M225" s="81">
        <f t="shared" ca="1" si="46"/>
        <v>1071.8989520114735</v>
      </c>
      <c r="N225" s="19">
        <f t="shared" si="56"/>
        <v>31.584007276377225</v>
      </c>
      <c r="O225" s="17">
        <f t="shared" si="57"/>
        <v>56</v>
      </c>
      <c r="P225" s="19">
        <f ca="1">IF(ISERROR(IF(O225&lt;fi_h/20,0,(OFFSET('Base de dados'!$A$5,IF(O225&lt;20,1,IF(O225&gt;1000,10,MATCH(O225,Cargas,1))),Coluna_fih,1,1))*(1+0.13*0.25)*(PI()*(fi_h/1000)^2/4)*SQRT(2*9.81*(O225/100-fi_h/2/1000))*1000)),"",IF(O225&lt;fi_h/20,0,(OFFSET('Base de dados'!$A$5,IF(O225&lt;20,1,IF(O225&gt;1000,10,MATCH(O225,Cargas,1))),Coluna_fih,1,1))*(PI()*(fi_h/1000)^2/4)*SQRT(2*9.81*(O225/100-fi_h/2/1000))*1000))</f>
        <v>19.098709465565886</v>
      </c>
      <c r="Q225" s="19">
        <f ca="1">IF(O225="","",IF(Tipo_Vertedor="Retangular",IF(O225&lt;=cota_s*100,0,IF(Tipo_Vertedor="Retangular",Cd_sr*Lef_sr*((O225/100-cota_s)^(3/2))*1000)),IF(O225&lt;=cota_s*100+fi_s/20,0,(OFFSET('Base de dados'!$A$4,IF(O225&lt;20,1,IF(O225&gt;1000,10,MATCH(O225,Cargas,1))),Coluna_fis,1,1))*(PI()*(fi_s/1000)^2/4)*(2*9.81*(O225/100-cota_s-fi_s/2/1000))^0.5*1000)))</f>
        <v>0</v>
      </c>
      <c r="R225" s="19">
        <f t="shared" ca="1" si="47"/>
        <v>19.098709465565886</v>
      </c>
      <c r="S225" s="19">
        <f t="shared" ca="1" si="48"/>
        <v>1052.8002425459076</v>
      </c>
      <c r="AD225" s="19" t="str">
        <f t="shared" si="58"/>
        <v/>
      </c>
      <c r="AE225" s="19" t="str">
        <f t="shared" si="59"/>
        <v/>
      </c>
      <c r="AF225" s="19" t="str">
        <f>IF(ISERROR(IF('Hidrograma afluente'!I232="",0,'Hidrograma afluente'!I232)+Simulação!G225),"",IF('Hidrograma afluente'!I232="",0,'Hidrograma afluente'!I232)+Simulação!G225)</f>
        <v/>
      </c>
      <c r="AG225" s="17" t="s">
        <v>160</v>
      </c>
      <c r="AH225" s="17" t="s">
        <v>160</v>
      </c>
      <c r="AI225" s="27" t="s">
        <v>160</v>
      </c>
      <c r="AJ225" s="17" t="s">
        <v>160</v>
      </c>
      <c r="AK225" s="19" t="str">
        <f>IF(A225="","",IF('Hidrograma afluente'!I232="",0,'Hidrograma afluente'!I232)+Simulação!B225)</f>
        <v/>
      </c>
    </row>
    <row r="226" spans="1:37" s="17" customFormat="1">
      <c r="A226" s="4" t="str">
        <f t="shared" si="49"/>
        <v/>
      </c>
      <c r="B226" s="5" t="str">
        <f>IF(A226="","",IF(A226&gt;tc_lot_i+tc,0,IF('Hidrograma afluente'!B233="","",'Hidrograma afluente'!B233)))</f>
        <v/>
      </c>
      <c r="C226" s="21" t="str">
        <f t="shared" si="50"/>
        <v/>
      </c>
      <c r="D226" s="21" t="str">
        <f t="shared" si="51"/>
        <v/>
      </c>
      <c r="E226" s="21" t="str">
        <f t="shared" si="52"/>
        <v/>
      </c>
      <c r="F226" s="21" t="str">
        <f t="shared" si="53"/>
        <v/>
      </c>
      <c r="G226" s="21" t="str">
        <f t="shared" si="54"/>
        <v/>
      </c>
      <c r="H226" s="23" t="str">
        <f t="shared" si="60"/>
        <v/>
      </c>
      <c r="I226" s="22" t="str">
        <f t="shared" si="55"/>
        <v/>
      </c>
      <c r="J226" s="1"/>
      <c r="K226" s="51"/>
      <c r="M226" s="81">
        <f t="shared" ca="1" si="46"/>
        <v>1077.2332676523447</v>
      </c>
      <c r="N226" s="19">
        <f t="shared" si="56"/>
        <v>31.742616342600751</v>
      </c>
      <c r="O226" s="17">
        <f t="shared" si="57"/>
        <v>56.25</v>
      </c>
      <c r="P226" s="19">
        <f ca="1">IF(ISERROR(IF(O226&lt;fi_h/20,0,(OFFSET('Base de dados'!$A$5,IF(O226&lt;20,1,IF(O226&gt;1000,10,MATCH(O226,Cargas,1))),Coluna_fih,1,1))*(1+0.13*0.25)*(PI()*(fi_h/1000)^2/4)*SQRT(2*9.81*(O226/100-fi_h/2/1000))*1000)),"",IF(O226&lt;fi_h/20,0,(OFFSET('Base de dados'!$A$5,IF(O226&lt;20,1,IF(O226&gt;1000,10,MATCH(O226,Cargas,1))),Coluna_fih,1,1))*(PI()*(fi_h/1000)^2/4)*SQRT(2*9.81*(O226/100-fi_h/2/1000))*1000))</f>
        <v>19.146056232319459</v>
      </c>
      <c r="Q226" s="19">
        <f ca="1">IF(O226="","",IF(Tipo_Vertedor="Retangular",IF(O226&lt;=cota_s*100,0,IF(Tipo_Vertedor="Retangular",Cd_sr*Lef_sr*((O226/100-cota_s)^(3/2))*1000)),IF(O226&lt;=cota_s*100+fi_s/20,0,(OFFSET('Base de dados'!$A$4,IF(O226&lt;20,1,IF(O226&gt;1000,10,MATCH(O226,Cargas,1))),Coluna_fis,1,1))*(PI()*(fi_s/1000)^2/4)*(2*9.81*(O226/100-cota_s-fi_s/2/1000))^0.5*1000)))</f>
        <v>0</v>
      </c>
      <c r="R226" s="19">
        <f t="shared" ca="1" si="47"/>
        <v>19.146056232319459</v>
      </c>
      <c r="S226" s="19">
        <f t="shared" ca="1" si="48"/>
        <v>1058.0872114200251</v>
      </c>
      <c r="AD226" s="19" t="str">
        <f t="shared" si="58"/>
        <v/>
      </c>
      <c r="AE226" s="19" t="str">
        <f t="shared" si="59"/>
        <v/>
      </c>
      <c r="AF226" s="19" t="str">
        <f>IF(ISERROR(IF('Hidrograma afluente'!I233="",0,'Hidrograma afluente'!I233)+Simulação!G226),"",IF('Hidrograma afluente'!I233="",0,'Hidrograma afluente'!I233)+Simulação!G226)</f>
        <v/>
      </c>
      <c r="AG226" s="17" t="s">
        <v>160</v>
      </c>
      <c r="AH226" s="17" t="s">
        <v>160</v>
      </c>
      <c r="AI226" s="27" t="s">
        <v>160</v>
      </c>
      <c r="AJ226" s="17" t="s">
        <v>160</v>
      </c>
      <c r="AK226" s="19" t="str">
        <f>IF(A226="","",IF('Hidrograma afluente'!I233="",0,'Hidrograma afluente'!I233)+Simulação!B226)</f>
        <v/>
      </c>
    </row>
    <row r="227" spans="1:37" s="17" customFormat="1">
      <c r="A227" s="4" t="str">
        <f t="shared" si="49"/>
        <v/>
      </c>
      <c r="B227" s="5" t="str">
        <f>IF(A227="","",IF(A227&gt;tc_lot_i+tc,0,IF('Hidrograma afluente'!B234="","",'Hidrograma afluente'!B234)))</f>
        <v/>
      </c>
      <c r="C227" s="21" t="str">
        <f t="shared" si="50"/>
        <v/>
      </c>
      <c r="D227" s="21" t="str">
        <f t="shared" si="51"/>
        <v/>
      </c>
      <c r="E227" s="21" t="str">
        <f t="shared" si="52"/>
        <v/>
      </c>
      <c r="F227" s="21" t="str">
        <f t="shared" si="53"/>
        <v/>
      </c>
      <c r="G227" s="21" t="str">
        <f t="shared" si="54"/>
        <v/>
      </c>
      <c r="H227" s="23" t="str">
        <f t="shared" si="60"/>
        <v/>
      </c>
      <c r="I227" s="22" t="str">
        <f t="shared" si="55"/>
        <v/>
      </c>
      <c r="J227" s="1"/>
      <c r="K227" s="51"/>
      <c r="M227" s="81">
        <f t="shared" ca="1" si="46"/>
        <v>1082.5703945213349</v>
      </c>
      <c r="N227" s="19">
        <f t="shared" si="56"/>
        <v>31.901313249564186</v>
      </c>
      <c r="O227" s="17">
        <f t="shared" si="57"/>
        <v>56.5</v>
      </c>
      <c r="P227" s="19">
        <f ca="1">IF(ISERROR(IF(O227&lt;fi_h/20,0,(OFFSET('Base de dados'!$A$5,IF(O227&lt;20,1,IF(O227&gt;1000,10,MATCH(O227,Cargas,1))),Coluna_fih,1,1))*(1+0.13*0.25)*(PI()*(fi_h/1000)^2/4)*SQRT(2*9.81*(O227/100-fi_h/2/1000))*1000)),"",IF(O227&lt;fi_h/20,0,(OFFSET('Base de dados'!$A$5,IF(O227&lt;20,1,IF(O227&gt;1000,10,MATCH(O227,Cargas,1))),Coluna_fih,1,1))*(PI()*(fi_h/1000)^2/4)*SQRT(2*9.81*(O227/100-fi_h/2/1000))*1000))</f>
        <v>19.193286202528785</v>
      </c>
      <c r="Q227" s="19">
        <f ca="1">IF(O227="","",IF(Tipo_Vertedor="Retangular",IF(O227&lt;=cota_s*100,0,IF(Tipo_Vertedor="Retangular",Cd_sr*Lef_sr*((O227/100-cota_s)^(3/2))*1000)),IF(O227&lt;=cota_s*100+fi_s/20,0,(OFFSET('Base de dados'!$A$4,IF(O227&lt;20,1,IF(O227&gt;1000,10,MATCH(O227,Cargas,1))),Coluna_fis,1,1))*(PI()*(fi_s/1000)^2/4)*(2*9.81*(O227/100-cota_s-fi_s/2/1000))^0.5*1000)))</f>
        <v>0</v>
      </c>
      <c r="R227" s="19">
        <f t="shared" ca="1" si="47"/>
        <v>19.193286202528785</v>
      </c>
      <c r="S227" s="19">
        <f t="shared" ca="1" si="48"/>
        <v>1063.3771083188062</v>
      </c>
      <c r="AD227" s="19" t="str">
        <f t="shared" si="58"/>
        <v/>
      </c>
      <c r="AE227" s="19" t="str">
        <f t="shared" si="59"/>
        <v/>
      </c>
      <c r="AF227" s="19" t="str">
        <f>IF(ISERROR(IF('Hidrograma afluente'!I234="",0,'Hidrograma afluente'!I234)+Simulação!G227),"",IF('Hidrograma afluente'!I234="",0,'Hidrograma afluente'!I234)+Simulação!G227)</f>
        <v/>
      </c>
      <c r="AG227" s="17" t="s">
        <v>160</v>
      </c>
      <c r="AH227" s="17" t="s">
        <v>160</v>
      </c>
      <c r="AI227" s="27" t="s">
        <v>160</v>
      </c>
      <c r="AJ227" s="17" t="s">
        <v>160</v>
      </c>
      <c r="AK227" s="19" t="str">
        <f>IF(A227="","",IF('Hidrograma afluente'!I234="",0,'Hidrograma afluente'!I234)+Simulação!B227)</f>
        <v/>
      </c>
    </row>
    <row r="228" spans="1:37" s="17" customFormat="1">
      <c r="A228" s="4" t="str">
        <f t="shared" si="49"/>
        <v/>
      </c>
      <c r="B228" s="5" t="str">
        <f>IF(A228="","",IF(A228&gt;tc_lot_i+tc,0,IF('Hidrograma afluente'!B235="","",'Hidrograma afluente'!B235)))</f>
        <v/>
      </c>
      <c r="C228" s="21" t="str">
        <f t="shared" si="50"/>
        <v/>
      </c>
      <c r="D228" s="21" t="str">
        <f t="shared" si="51"/>
        <v/>
      </c>
      <c r="E228" s="21" t="str">
        <f t="shared" si="52"/>
        <v/>
      </c>
      <c r="F228" s="21" t="str">
        <f t="shared" si="53"/>
        <v/>
      </c>
      <c r="G228" s="21" t="str">
        <f t="shared" si="54"/>
        <v/>
      </c>
      <c r="H228" s="23" t="str">
        <f t="shared" si="60"/>
        <v/>
      </c>
      <c r="I228" s="22" t="str">
        <f t="shared" si="55"/>
        <v/>
      </c>
      <c r="J228" s="1"/>
      <c r="K228" s="51"/>
      <c r="M228" s="81">
        <f t="shared" ca="1" si="46"/>
        <v>1087.910322133464</v>
      </c>
      <c r="N228" s="19">
        <f t="shared" si="56"/>
        <v>32.060097656914756</v>
      </c>
      <c r="O228" s="17">
        <f t="shared" si="57"/>
        <v>56.75</v>
      </c>
      <c r="P228" s="19">
        <f ca="1">IF(ISERROR(IF(O228&lt;fi_h/20,0,(OFFSET('Base de dados'!$A$5,IF(O228&lt;20,1,IF(O228&gt;1000,10,MATCH(O228,Cargas,1))),Coluna_fih,1,1))*(1+0.13*0.25)*(PI()*(fi_h/1000)^2/4)*SQRT(2*9.81*(O228/100-fi_h/2/1000))*1000)),"",IF(O228&lt;fi_h/20,0,(OFFSET('Base de dados'!$A$5,IF(O228&lt;20,1,IF(O228&gt;1000,10,MATCH(O228,Cargas,1))),Coluna_fih,1,1))*(PI()*(fi_h/1000)^2/4)*SQRT(2*9.81*(O228/100-fi_h/2/1000))*1000))</f>
        <v>19.240400236305504</v>
      </c>
      <c r="Q228" s="19">
        <f ca="1">IF(O228="","",IF(Tipo_Vertedor="Retangular",IF(O228&lt;=cota_s*100,0,IF(Tipo_Vertedor="Retangular",Cd_sr*Lef_sr*((O228/100-cota_s)^(3/2))*1000)),IF(O228&lt;=cota_s*100+fi_s/20,0,(OFFSET('Base de dados'!$A$4,IF(O228&lt;20,1,IF(O228&gt;1000,10,MATCH(O228,Cargas,1))),Coluna_fis,1,1))*(PI()*(fi_s/1000)^2/4)*(2*9.81*(O228/100-cota_s-fi_s/2/1000))^0.5*1000)))</f>
        <v>0</v>
      </c>
      <c r="R228" s="19">
        <f t="shared" ca="1" si="47"/>
        <v>19.240400236305504</v>
      </c>
      <c r="S228" s="19">
        <f t="shared" ca="1" si="48"/>
        <v>1068.6699218971585</v>
      </c>
      <c r="AD228" s="19" t="str">
        <f t="shared" si="58"/>
        <v/>
      </c>
      <c r="AE228" s="19" t="str">
        <f t="shared" si="59"/>
        <v/>
      </c>
      <c r="AF228" s="19" t="str">
        <f>IF(ISERROR(IF('Hidrograma afluente'!I235="",0,'Hidrograma afluente'!I235)+Simulação!G228),"",IF('Hidrograma afluente'!I235="",0,'Hidrograma afluente'!I235)+Simulação!G228)</f>
        <v/>
      </c>
      <c r="AG228" s="17" t="s">
        <v>160</v>
      </c>
      <c r="AH228" s="17" t="s">
        <v>160</v>
      </c>
      <c r="AI228" s="27" t="s">
        <v>160</v>
      </c>
      <c r="AJ228" s="17" t="s">
        <v>160</v>
      </c>
      <c r="AK228" s="19" t="str">
        <f>IF(A228="","",IF('Hidrograma afluente'!I235="",0,'Hidrograma afluente'!I235)+Simulação!B228)</f>
        <v/>
      </c>
    </row>
    <row r="229" spans="1:37" s="17" customFormat="1">
      <c r="A229" s="4" t="str">
        <f t="shared" si="49"/>
        <v/>
      </c>
      <c r="B229" s="5" t="str">
        <f>IF(A229="","",IF(A229&gt;tc_lot_i+tc,0,IF('Hidrograma afluente'!B236="","",'Hidrograma afluente'!B236)))</f>
        <v/>
      </c>
      <c r="C229" s="21" t="str">
        <f t="shared" si="50"/>
        <v/>
      </c>
      <c r="D229" s="21" t="str">
        <f t="shared" si="51"/>
        <v/>
      </c>
      <c r="E229" s="21" t="str">
        <f t="shared" si="52"/>
        <v/>
      </c>
      <c r="F229" s="21" t="str">
        <f t="shared" si="53"/>
        <v/>
      </c>
      <c r="G229" s="21" t="str">
        <f t="shared" si="54"/>
        <v/>
      </c>
      <c r="H229" s="23" t="str">
        <f t="shared" si="60"/>
        <v/>
      </c>
      <c r="I229" s="22" t="str">
        <f t="shared" si="55"/>
        <v/>
      </c>
      <c r="J229" s="1"/>
      <c r="K229" s="51"/>
      <c r="M229" s="81">
        <f t="shared" ca="1" si="46"/>
        <v>1093.2530400870021</v>
      </c>
      <c r="N229" s="19">
        <f t="shared" si="56"/>
        <v>32.218969227112375</v>
      </c>
      <c r="O229" s="17">
        <f t="shared" si="57"/>
        <v>57</v>
      </c>
      <c r="P229" s="19">
        <f ca="1">IF(ISERROR(IF(O229&lt;fi_h/20,0,(OFFSET('Base de dados'!$A$5,IF(O229&lt;20,1,IF(O229&gt;1000,10,MATCH(O229,Cargas,1))),Coluna_fih,1,1))*(1+0.13*0.25)*(PI()*(fi_h/1000)^2/4)*SQRT(2*9.81*(O229/100-fi_h/2/1000))*1000)),"",IF(O229&lt;fi_h/20,0,(OFFSET('Base de dados'!$A$5,IF(O229&lt;20,1,IF(O229&gt;1000,10,MATCH(O229,Cargas,1))),Coluna_fih,1,1))*(PI()*(fi_h/1000)^2/4)*SQRT(2*9.81*(O229/100-fi_h/2/1000))*1000))</f>
        <v>19.287399183256095</v>
      </c>
      <c r="Q229" s="19">
        <f ca="1">IF(O229="","",IF(Tipo_Vertedor="Retangular",IF(O229&lt;=cota_s*100,0,IF(Tipo_Vertedor="Retangular",Cd_sr*Lef_sr*((O229/100-cota_s)^(3/2))*1000)),IF(O229&lt;=cota_s*100+fi_s/20,0,(OFFSET('Base de dados'!$A$4,IF(O229&lt;20,1,IF(O229&gt;1000,10,MATCH(O229,Cargas,1))),Coluna_fis,1,1))*(PI()*(fi_s/1000)^2/4)*(2*9.81*(O229/100-cota_s-fi_s/2/1000))^0.5*1000)))</f>
        <v>0</v>
      </c>
      <c r="R229" s="19">
        <f t="shared" ca="1" si="47"/>
        <v>19.287399183256095</v>
      </c>
      <c r="S229" s="19">
        <f t="shared" ca="1" si="48"/>
        <v>1073.9656409037459</v>
      </c>
      <c r="AD229" s="19" t="str">
        <f t="shared" si="58"/>
        <v/>
      </c>
      <c r="AE229" s="19" t="str">
        <f t="shared" si="59"/>
        <v/>
      </c>
      <c r="AF229" s="19" t="str">
        <f>IF(ISERROR(IF('Hidrograma afluente'!I236="",0,'Hidrograma afluente'!I236)+Simulação!G229),"",IF('Hidrograma afluente'!I236="",0,'Hidrograma afluente'!I236)+Simulação!G229)</f>
        <v/>
      </c>
      <c r="AG229" s="17" t="s">
        <v>160</v>
      </c>
      <c r="AH229" s="17" t="s">
        <v>160</v>
      </c>
      <c r="AI229" s="27" t="s">
        <v>160</v>
      </c>
      <c r="AJ229" s="17" t="s">
        <v>160</v>
      </c>
      <c r="AK229" s="19" t="str">
        <f>IF(A229="","",IF('Hidrograma afluente'!I236="",0,'Hidrograma afluente'!I236)+Simulação!B229)</f>
        <v/>
      </c>
    </row>
    <row r="230" spans="1:37" s="17" customFormat="1">
      <c r="A230" s="4" t="str">
        <f t="shared" si="49"/>
        <v/>
      </c>
      <c r="B230" s="5" t="str">
        <f>IF(A230="","",IF(A230&gt;tc_lot_i+tc,0,IF('Hidrograma afluente'!B237="","",'Hidrograma afluente'!B237)))</f>
        <v/>
      </c>
      <c r="C230" s="21" t="str">
        <f t="shared" si="50"/>
        <v/>
      </c>
      <c r="D230" s="21" t="str">
        <f t="shared" si="51"/>
        <v/>
      </c>
      <c r="E230" s="21" t="str">
        <f t="shared" si="52"/>
        <v/>
      </c>
      <c r="F230" s="21" t="str">
        <f t="shared" si="53"/>
        <v/>
      </c>
      <c r="G230" s="21" t="str">
        <f t="shared" si="54"/>
        <v/>
      </c>
      <c r="H230" s="23" t="str">
        <f t="shared" si="60"/>
        <v/>
      </c>
      <c r="I230" s="22" t="str">
        <f t="shared" si="55"/>
        <v/>
      </c>
      <c r="J230" s="1"/>
      <c r="K230" s="51"/>
      <c r="M230" s="81">
        <f t="shared" ca="1" si="46"/>
        <v>1098.5985380624688</v>
      </c>
      <c r="N230" s="19">
        <f t="shared" si="56"/>
        <v>32.377927625394243</v>
      </c>
      <c r="O230" s="17">
        <f t="shared" si="57"/>
        <v>57.25</v>
      </c>
      <c r="P230" s="19">
        <f ca="1">IF(ISERROR(IF(O230&lt;fi_h/20,0,(OFFSET('Base de dados'!$A$5,IF(O230&lt;20,1,IF(O230&gt;1000,10,MATCH(O230,Cargas,1))),Coluna_fih,1,1))*(1+0.13*0.25)*(PI()*(fi_h/1000)^2/4)*SQRT(2*9.81*(O230/100-fi_h/2/1000))*1000)),"",IF(O230&lt;fi_h/20,0,(OFFSET('Base de dados'!$A$5,IF(O230&lt;20,1,IF(O230&gt;1000,10,MATCH(O230,Cargas,1))),Coluna_fih,1,1))*(PI()*(fi_h/1000)^2/4)*SQRT(2*9.81*(O230/100-fi_h/2/1000))*1000))</f>
        <v>19.334283882660635</v>
      </c>
      <c r="Q230" s="19">
        <f ca="1">IF(O230="","",IF(Tipo_Vertedor="Retangular",IF(O230&lt;=cota_s*100,0,IF(Tipo_Vertedor="Retangular",Cd_sr*Lef_sr*((O230/100-cota_s)^(3/2))*1000)),IF(O230&lt;=cota_s*100+fi_s/20,0,(OFFSET('Base de dados'!$A$4,IF(O230&lt;20,1,IF(O230&gt;1000,10,MATCH(O230,Cargas,1))),Coluna_fis,1,1))*(PI()*(fi_s/1000)^2/4)*(2*9.81*(O230/100-cota_s-fi_s/2/1000))^0.5*1000)))</f>
        <v>0</v>
      </c>
      <c r="R230" s="19">
        <f t="shared" ca="1" si="47"/>
        <v>19.334283882660635</v>
      </c>
      <c r="S230" s="19">
        <f t="shared" ca="1" si="48"/>
        <v>1079.2642541798082</v>
      </c>
      <c r="AD230" s="19" t="str">
        <f t="shared" si="58"/>
        <v/>
      </c>
      <c r="AE230" s="19" t="str">
        <f t="shared" si="59"/>
        <v/>
      </c>
      <c r="AF230" s="19" t="str">
        <f>IF(ISERROR(IF('Hidrograma afluente'!I237="",0,'Hidrograma afluente'!I237)+Simulação!G230),"",IF('Hidrograma afluente'!I237="",0,'Hidrograma afluente'!I237)+Simulação!G230)</f>
        <v/>
      </c>
      <c r="AG230" s="17" t="s">
        <v>160</v>
      </c>
      <c r="AH230" s="17" t="s">
        <v>160</v>
      </c>
      <c r="AI230" s="27" t="s">
        <v>160</v>
      </c>
      <c r="AJ230" s="17" t="s">
        <v>160</v>
      </c>
      <c r="AK230" s="19" t="str">
        <f>IF(A230="","",IF('Hidrograma afluente'!I237="",0,'Hidrograma afluente'!I237)+Simulação!B230)</f>
        <v/>
      </c>
    </row>
    <row r="231" spans="1:37" s="17" customFormat="1">
      <c r="A231" s="4" t="str">
        <f t="shared" si="49"/>
        <v/>
      </c>
      <c r="B231" s="5" t="str">
        <f>IF(A231="","",IF(A231&gt;tc_lot_i+tc,0,IF('Hidrograma afluente'!B238="","",'Hidrograma afluente'!B238)))</f>
        <v/>
      </c>
      <c r="C231" s="21" t="str">
        <f t="shared" si="50"/>
        <v/>
      </c>
      <c r="D231" s="21" t="str">
        <f t="shared" si="51"/>
        <v/>
      </c>
      <c r="E231" s="21" t="str">
        <f t="shared" si="52"/>
        <v/>
      </c>
      <c r="F231" s="21" t="str">
        <f t="shared" si="53"/>
        <v/>
      </c>
      <c r="G231" s="21" t="str">
        <f t="shared" si="54"/>
        <v/>
      </c>
      <c r="H231" s="23" t="str">
        <f t="shared" si="60"/>
        <v/>
      </c>
      <c r="I231" s="22" t="str">
        <f t="shared" si="55"/>
        <v/>
      </c>
      <c r="J231" s="1"/>
      <c r="K231" s="51"/>
      <c r="M231" s="81">
        <f t="shared" ca="1" si="46"/>
        <v>1103.9468058216428</v>
      </c>
      <c r="N231" s="19">
        <f t="shared" si="56"/>
        <v>32.536972519739855</v>
      </c>
      <c r="O231" s="17">
        <f t="shared" si="57"/>
        <v>57.5</v>
      </c>
      <c r="P231" s="19">
        <f ca="1">IF(ISERROR(IF(O231&lt;fi_h/20,0,(OFFSET('Base de dados'!$A$5,IF(O231&lt;20,1,IF(O231&gt;1000,10,MATCH(O231,Cargas,1))),Coluna_fih,1,1))*(1+0.13*0.25)*(PI()*(fi_h/1000)^2/4)*SQRT(2*9.81*(O231/100-fi_h/2/1000))*1000)),"",IF(O231&lt;fi_h/20,0,(OFFSET('Base de dados'!$A$5,IF(O231&lt;20,1,IF(O231&gt;1000,10,MATCH(O231,Cargas,1))),Coluna_fih,1,1))*(PI()*(fi_h/1000)^2/4)*SQRT(2*9.81*(O231/100-fi_h/2/1000))*1000))</f>
        <v>19.381055163647662</v>
      </c>
      <c r="Q231" s="19">
        <f ca="1">IF(O231="","",IF(Tipo_Vertedor="Retangular",IF(O231&lt;=cota_s*100,0,IF(Tipo_Vertedor="Retangular",Cd_sr*Lef_sr*((O231/100-cota_s)^(3/2))*1000)),IF(O231&lt;=cota_s*100+fi_s/20,0,(OFFSET('Base de dados'!$A$4,IF(O231&lt;20,1,IF(O231&gt;1000,10,MATCH(O231,Cargas,1))),Coluna_fis,1,1))*(PI()*(fi_s/1000)^2/4)*(2*9.81*(O231/100-cota_s-fi_s/2/1000))^0.5*1000)))</f>
        <v>0</v>
      </c>
      <c r="R231" s="19">
        <f t="shared" ca="1" si="47"/>
        <v>19.381055163647662</v>
      </c>
      <c r="S231" s="19">
        <f t="shared" ca="1" si="48"/>
        <v>1084.5657506579951</v>
      </c>
      <c r="AD231" s="19" t="str">
        <f t="shared" si="58"/>
        <v/>
      </c>
      <c r="AE231" s="19" t="str">
        <f t="shared" si="59"/>
        <v/>
      </c>
      <c r="AF231" s="19" t="str">
        <f>IF(ISERROR(IF('Hidrograma afluente'!I238="",0,'Hidrograma afluente'!I238)+Simulação!G231),"",IF('Hidrograma afluente'!I238="",0,'Hidrograma afluente'!I238)+Simulação!G231)</f>
        <v/>
      </c>
      <c r="AG231" s="17" t="s">
        <v>160</v>
      </c>
      <c r="AH231" s="17" t="s">
        <v>160</v>
      </c>
      <c r="AI231" s="27" t="s">
        <v>160</v>
      </c>
      <c r="AJ231" s="17" t="s">
        <v>160</v>
      </c>
      <c r="AK231" s="19" t="str">
        <f>IF(A231="","",IF('Hidrograma afluente'!I238="",0,'Hidrograma afluente'!I238)+Simulação!B231)</f>
        <v/>
      </c>
    </row>
    <row r="232" spans="1:37" s="17" customFormat="1">
      <c r="A232" s="4" t="str">
        <f t="shared" si="49"/>
        <v/>
      </c>
      <c r="B232" s="5" t="str">
        <f>IF(A232="","",IF(A232&gt;tc_lot_i+tc,0,IF('Hidrograma afluente'!B239="","",'Hidrograma afluente'!B239)))</f>
        <v/>
      </c>
      <c r="C232" s="21" t="str">
        <f t="shared" si="50"/>
        <v/>
      </c>
      <c r="D232" s="21" t="str">
        <f t="shared" si="51"/>
        <v/>
      </c>
      <c r="E232" s="21" t="str">
        <f t="shared" si="52"/>
        <v/>
      </c>
      <c r="F232" s="21" t="str">
        <f t="shared" si="53"/>
        <v/>
      </c>
      <c r="G232" s="21" t="str">
        <f t="shared" si="54"/>
        <v/>
      </c>
      <c r="H232" s="23" t="str">
        <f t="shared" si="60"/>
        <v/>
      </c>
      <c r="I232" s="22" t="str">
        <f t="shared" si="55"/>
        <v/>
      </c>
      <c r="J232" s="1"/>
      <c r="K232" s="51"/>
      <c r="M232" s="81">
        <f t="shared" ca="1" si="46"/>
        <v>1109.2978332065927</v>
      </c>
      <c r="N232" s="19">
        <f t="shared" si="56"/>
        <v>32.696103580836819</v>
      </c>
      <c r="O232" s="17">
        <f t="shared" si="57"/>
        <v>57.75</v>
      </c>
      <c r="P232" s="19">
        <f ca="1">IF(ISERROR(IF(O232&lt;fi_h/20,0,(OFFSET('Base de dados'!$A$5,IF(O232&lt;20,1,IF(O232&gt;1000,10,MATCH(O232,Cargas,1))),Coluna_fih,1,1))*(1+0.13*0.25)*(PI()*(fi_h/1000)^2/4)*SQRT(2*9.81*(O232/100-fi_h/2/1000))*1000)),"",IF(O232&lt;fi_h/20,0,(OFFSET('Base de dados'!$A$5,IF(O232&lt;20,1,IF(O232&gt;1000,10,MATCH(O232,Cargas,1))),Coluna_fih,1,1))*(PI()*(fi_h/1000)^2/4)*SQRT(2*9.81*(O232/100-fi_h/2/1000))*1000))</f>
        <v>19.427713845365254</v>
      </c>
      <c r="Q232" s="19">
        <f ca="1">IF(O232="","",IF(Tipo_Vertedor="Retangular",IF(O232&lt;=cota_s*100,0,IF(Tipo_Vertedor="Retangular",Cd_sr*Lef_sr*((O232/100-cota_s)^(3/2))*1000)),IF(O232&lt;=cota_s*100+fi_s/20,0,(OFFSET('Base de dados'!$A$4,IF(O232&lt;20,1,IF(O232&gt;1000,10,MATCH(O232,Cargas,1))),Coluna_fis,1,1))*(PI()*(fi_s/1000)^2/4)*(2*9.81*(O232/100-cota_s-fi_s/2/1000))^0.5*1000)))</f>
        <v>0</v>
      </c>
      <c r="R232" s="19">
        <f t="shared" ca="1" si="47"/>
        <v>19.427713845365254</v>
      </c>
      <c r="S232" s="19">
        <f t="shared" ca="1" si="48"/>
        <v>1089.8701193612274</v>
      </c>
      <c r="AD232" s="19" t="str">
        <f t="shared" si="58"/>
        <v/>
      </c>
      <c r="AE232" s="19" t="str">
        <f t="shared" si="59"/>
        <v/>
      </c>
      <c r="AF232" s="19" t="str">
        <f>IF(ISERROR(IF('Hidrograma afluente'!I239="",0,'Hidrograma afluente'!I239)+Simulação!G232),"",IF('Hidrograma afluente'!I239="",0,'Hidrograma afluente'!I239)+Simulação!G232)</f>
        <v/>
      </c>
      <c r="AG232" s="17" t="s">
        <v>160</v>
      </c>
      <c r="AH232" s="17" t="s">
        <v>160</v>
      </c>
      <c r="AI232" s="27" t="s">
        <v>160</v>
      </c>
      <c r="AJ232" s="17" t="s">
        <v>160</v>
      </c>
      <c r="AK232" s="19" t="str">
        <f>IF(A232="","",IF('Hidrograma afluente'!I239="",0,'Hidrograma afluente'!I239)+Simulação!B232)</f>
        <v/>
      </c>
    </row>
    <row r="233" spans="1:37" s="17" customFormat="1">
      <c r="A233" s="4" t="str">
        <f t="shared" si="49"/>
        <v/>
      </c>
      <c r="B233" s="5" t="str">
        <f>IF(A233="","",IF(A233&gt;tc_lot_i+tc,0,IF('Hidrograma afluente'!B240="","",'Hidrograma afluente'!B240)))</f>
        <v/>
      </c>
      <c r="C233" s="21" t="str">
        <f t="shared" si="50"/>
        <v/>
      </c>
      <c r="D233" s="21" t="str">
        <f t="shared" si="51"/>
        <v/>
      </c>
      <c r="E233" s="21" t="str">
        <f t="shared" si="52"/>
        <v/>
      </c>
      <c r="F233" s="21" t="str">
        <f t="shared" si="53"/>
        <v/>
      </c>
      <c r="G233" s="21" t="str">
        <f t="shared" si="54"/>
        <v/>
      </c>
      <c r="H233" s="23" t="str">
        <f t="shared" si="60"/>
        <v/>
      </c>
      <c r="I233" s="22" t="str">
        <f t="shared" si="55"/>
        <v/>
      </c>
      <c r="J233" s="1"/>
      <c r="K233" s="51"/>
      <c r="M233" s="81">
        <f t="shared" ca="1" si="46"/>
        <v>1114.6516101387174</v>
      </c>
      <c r="N233" s="19">
        <f t="shared" si="56"/>
        <v>32.85532048204707</v>
      </c>
      <c r="O233" s="17">
        <f t="shared" si="57"/>
        <v>58</v>
      </c>
      <c r="P233" s="19">
        <f ca="1">IF(ISERROR(IF(O233&lt;fi_h/20,0,(OFFSET('Base de dados'!$A$5,IF(O233&lt;20,1,IF(O233&gt;1000,10,MATCH(O233,Cargas,1))),Coluna_fih,1,1))*(1+0.13*0.25)*(PI()*(fi_h/1000)^2/4)*SQRT(2*9.81*(O233/100-fi_h/2/1000))*1000)),"",IF(O233&lt;fi_h/20,0,(OFFSET('Base de dados'!$A$5,IF(O233&lt;20,1,IF(O233&gt;1000,10,MATCH(O233,Cargas,1))),Coluna_fih,1,1))*(PI()*(fi_h/1000)^2/4)*SQRT(2*9.81*(O233/100-fi_h/2/1000))*1000))</f>
        <v>19.474260737148398</v>
      </c>
      <c r="Q233" s="19">
        <f ca="1">IF(O233="","",IF(Tipo_Vertedor="Retangular",IF(O233&lt;=cota_s*100,0,IF(Tipo_Vertedor="Retangular",Cd_sr*Lef_sr*((O233/100-cota_s)^(3/2))*1000)),IF(O233&lt;=cota_s*100+fi_s/20,0,(OFFSET('Base de dados'!$A$4,IF(O233&lt;20,1,IF(O233&gt;1000,10,MATCH(O233,Cargas,1))),Coluna_fis,1,1))*(PI()*(fi_s/1000)^2/4)*(2*9.81*(O233/100-cota_s-fi_s/2/1000))^0.5*1000)))</f>
        <v>0</v>
      </c>
      <c r="R233" s="19">
        <f t="shared" ca="1" si="47"/>
        <v>19.474260737148398</v>
      </c>
      <c r="S233" s="19">
        <f t="shared" ca="1" si="48"/>
        <v>1095.177349401569</v>
      </c>
      <c r="AD233" s="19" t="str">
        <f t="shared" si="58"/>
        <v/>
      </c>
      <c r="AE233" s="19" t="str">
        <f t="shared" si="59"/>
        <v/>
      </c>
      <c r="AF233" s="19" t="str">
        <f>IF(ISERROR(IF('Hidrograma afluente'!I240="",0,'Hidrograma afluente'!I240)+Simulação!G233),"",IF('Hidrograma afluente'!I240="",0,'Hidrograma afluente'!I240)+Simulação!G233)</f>
        <v/>
      </c>
      <c r="AG233" s="17" t="s">
        <v>160</v>
      </c>
      <c r="AH233" s="17" t="s">
        <v>160</v>
      </c>
      <c r="AI233" s="27" t="s">
        <v>160</v>
      </c>
      <c r="AJ233" s="17" t="s">
        <v>160</v>
      </c>
      <c r="AK233" s="19" t="str">
        <f>IF(A233="","",IF('Hidrograma afluente'!I240="",0,'Hidrograma afluente'!I240)+Simulação!B233)</f>
        <v/>
      </c>
    </row>
    <row r="234" spans="1:37" s="17" customFormat="1">
      <c r="A234" s="4" t="str">
        <f t="shared" si="49"/>
        <v/>
      </c>
      <c r="B234" s="5" t="str">
        <f>IF(A234="","",IF(A234&gt;tc_lot_i+tc,0,IF('Hidrograma afluente'!B241="","",'Hidrograma afluente'!B241)))</f>
        <v/>
      </c>
      <c r="C234" s="21" t="str">
        <f t="shared" si="50"/>
        <v/>
      </c>
      <c r="D234" s="21" t="str">
        <f t="shared" si="51"/>
        <v/>
      </c>
      <c r="E234" s="21" t="str">
        <f t="shared" si="52"/>
        <v/>
      </c>
      <c r="F234" s="21" t="str">
        <f t="shared" si="53"/>
        <v/>
      </c>
      <c r="G234" s="21" t="str">
        <f t="shared" si="54"/>
        <v/>
      </c>
      <c r="H234" s="23" t="str">
        <f t="shared" si="60"/>
        <v/>
      </c>
      <c r="I234" s="22" t="str">
        <f t="shared" si="55"/>
        <v/>
      </c>
      <c r="J234" s="1"/>
      <c r="K234" s="51"/>
      <c r="M234" s="81">
        <f t="shared" ca="1" si="46"/>
        <v>1120.0081266178076</v>
      </c>
      <c r="N234" s="19">
        <f t="shared" si="56"/>
        <v>33.014622899373741</v>
      </c>
      <c r="O234" s="17">
        <f t="shared" si="57"/>
        <v>58.25</v>
      </c>
      <c r="P234" s="19">
        <f ca="1">IF(ISERROR(IF(O234&lt;fi_h/20,0,(OFFSET('Base de dados'!$A$5,IF(O234&lt;20,1,IF(O234&gt;1000,10,MATCH(O234,Cargas,1))),Coluna_fih,1,1))*(1+0.13*0.25)*(PI()*(fi_h/1000)^2/4)*SQRT(2*9.81*(O234/100-fi_h/2/1000))*1000)),"",IF(O234&lt;fi_h/20,0,(OFFSET('Base de dados'!$A$5,IF(O234&lt;20,1,IF(O234&gt;1000,10,MATCH(O234,Cargas,1))),Coluna_fih,1,1))*(PI()*(fi_h/1000)^2/4)*SQRT(2*9.81*(O234/100-fi_h/2/1000))*1000))</f>
        <v>19.520696638682818</v>
      </c>
      <c r="Q234" s="19">
        <f ca="1">IF(O234="","",IF(Tipo_Vertedor="Retangular",IF(O234&lt;=cota_s*100,0,IF(Tipo_Vertedor="Retangular",Cd_sr*Lef_sr*((O234/100-cota_s)^(3/2))*1000)),IF(O234&lt;=cota_s*100+fi_s/20,0,(OFFSET('Base de dados'!$A$4,IF(O234&lt;20,1,IF(O234&gt;1000,10,MATCH(O234,Cargas,1))),Coluna_fis,1,1))*(PI()*(fi_s/1000)^2/4)*(2*9.81*(O234/100-cota_s-fi_s/2/1000))^0.5*1000)))</f>
        <v>0</v>
      </c>
      <c r="R234" s="19">
        <f t="shared" ca="1" si="47"/>
        <v>19.520696638682818</v>
      </c>
      <c r="S234" s="19">
        <f t="shared" ca="1" si="48"/>
        <v>1100.4874299791247</v>
      </c>
      <c r="AD234" s="19" t="str">
        <f t="shared" si="58"/>
        <v/>
      </c>
      <c r="AE234" s="19" t="str">
        <f t="shared" si="59"/>
        <v/>
      </c>
      <c r="AF234" s="19" t="str">
        <f>IF(ISERROR(IF('Hidrograma afluente'!I241="",0,'Hidrograma afluente'!I241)+Simulação!G234),"",IF('Hidrograma afluente'!I241="",0,'Hidrograma afluente'!I241)+Simulação!G234)</f>
        <v/>
      </c>
      <c r="AG234" s="17" t="s">
        <v>160</v>
      </c>
      <c r="AH234" s="17" t="s">
        <v>160</v>
      </c>
      <c r="AI234" s="27" t="s">
        <v>160</v>
      </c>
      <c r="AJ234" s="17" t="s">
        <v>160</v>
      </c>
      <c r="AK234" s="19" t="str">
        <f>IF(A234="","",IF('Hidrograma afluente'!I241="",0,'Hidrograma afluente'!I241)+Simulação!B234)</f>
        <v/>
      </c>
    </row>
    <row r="235" spans="1:37" s="17" customFormat="1">
      <c r="A235" s="4" t="str">
        <f t="shared" si="49"/>
        <v/>
      </c>
      <c r="B235" s="5" t="str">
        <f>IF(A235="","",IF(A235&gt;tc_lot_i+tc,0,IF('Hidrograma afluente'!B242="","",'Hidrograma afluente'!B242)))</f>
        <v/>
      </c>
      <c r="C235" s="21" t="str">
        <f t="shared" si="50"/>
        <v/>
      </c>
      <c r="D235" s="21" t="str">
        <f t="shared" si="51"/>
        <v/>
      </c>
      <c r="E235" s="21" t="str">
        <f t="shared" si="52"/>
        <v/>
      </c>
      <c r="F235" s="21" t="str">
        <f t="shared" si="53"/>
        <v/>
      </c>
      <c r="G235" s="21" t="str">
        <f t="shared" si="54"/>
        <v/>
      </c>
      <c r="H235" s="23" t="str">
        <f t="shared" si="60"/>
        <v/>
      </c>
      <c r="I235" s="22" t="str">
        <f t="shared" si="55"/>
        <v/>
      </c>
      <c r="J235" s="1"/>
      <c r="K235" s="51"/>
      <c r="M235" s="81">
        <f t="shared" ca="1" si="46"/>
        <v>1125.3673727211155</v>
      </c>
      <c r="N235" s="19">
        <f t="shared" si="56"/>
        <v>33.174010511428513</v>
      </c>
      <c r="O235" s="17">
        <f t="shared" si="57"/>
        <v>58.5</v>
      </c>
      <c r="P235" s="19">
        <f ca="1">IF(ISERROR(IF(O235&lt;fi_h/20,0,(OFFSET('Base de dados'!$A$5,IF(O235&lt;20,1,IF(O235&gt;1000,10,MATCH(O235,Cargas,1))),Coluna_fih,1,1))*(1+0.13*0.25)*(PI()*(fi_h/1000)^2/4)*SQRT(2*9.81*(O235/100-fi_h/2/1000))*1000)),"",IF(O235&lt;fi_h/20,0,(OFFSET('Base de dados'!$A$5,IF(O235&lt;20,1,IF(O235&gt;1000,10,MATCH(O235,Cargas,1))),Coluna_fih,1,1))*(PI()*(fi_h/1000)^2/4)*SQRT(2*9.81*(O235/100-fi_h/2/1000))*1000))</f>
        <v>19.567022340165238</v>
      </c>
      <c r="Q235" s="19">
        <f ca="1">IF(O235="","",IF(Tipo_Vertedor="Retangular",IF(O235&lt;=cota_s*100,0,IF(Tipo_Vertedor="Retangular",Cd_sr*Lef_sr*((O235/100-cota_s)^(3/2))*1000)),IF(O235&lt;=cota_s*100+fi_s/20,0,(OFFSET('Base de dados'!$A$4,IF(O235&lt;20,1,IF(O235&gt;1000,10,MATCH(O235,Cargas,1))),Coluna_fis,1,1))*(PI()*(fi_s/1000)^2/4)*(2*9.81*(O235/100-cota_s-fi_s/2/1000))^0.5*1000)))</f>
        <v>0</v>
      </c>
      <c r="R235" s="19">
        <f t="shared" ca="1" si="47"/>
        <v>19.567022340165238</v>
      </c>
      <c r="S235" s="19">
        <f t="shared" ca="1" si="48"/>
        <v>1105.8003503809502</v>
      </c>
      <c r="AD235" s="19" t="str">
        <f t="shared" si="58"/>
        <v/>
      </c>
      <c r="AE235" s="19" t="str">
        <f t="shared" si="59"/>
        <v/>
      </c>
      <c r="AF235" s="19" t="str">
        <f>IF(ISERROR(IF('Hidrograma afluente'!I242="",0,'Hidrograma afluente'!I242)+Simulação!G235),"",IF('Hidrograma afluente'!I242="",0,'Hidrograma afluente'!I242)+Simulação!G235)</f>
        <v/>
      </c>
      <c r="AG235" s="17" t="s">
        <v>160</v>
      </c>
      <c r="AH235" s="17" t="s">
        <v>160</v>
      </c>
      <c r="AI235" s="27" t="s">
        <v>160</v>
      </c>
      <c r="AJ235" s="17" t="s">
        <v>160</v>
      </c>
      <c r="AK235" s="19" t="str">
        <f>IF(A235="","",IF('Hidrograma afluente'!I242="",0,'Hidrograma afluente'!I242)+Simulação!B235)</f>
        <v/>
      </c>
    </row>
    <row r="236" spans="1:37" s="17" customFormat="1">
      <c r="A236" s="4" t="str">
        <f t="shared" si="49"/>
        <v/>
      </c>
      <c r="B236" s="5" t="str">
        <f>IF(A236="","",IF(A236&gt;tc_lot_i+tc,0,IF('Hidrograma afluente'!B243="","",'Hidrograma afluente'!B243)))</f>
        <v/>
      </c>
      <c r="C236" s="21" t="str">
        <f t="shared" si="50"/>
        <v/>
      </c>
      <c r="D236" s="21" t="str">
        <f t="shared" si="51"/>
        <v/>
      </c>
      <c r="E236" s="21" t="str">
        <f t="shared" si="52"/>
        <v/>
      </c>
      <c r="F236" s="21" t="str">
        <f t="shared" si="53"/>
        <v/>
      </c>
      <c r="G236" s="21" t="str">
        <f t="shared" si="54"/>
        <v/>
      </c>
      <c r="H236" s="23" t="str">
        <f t="shared" si="60"/>
        <v/>
      </c>
      <c r="I236" s="22" t="str">
        <f t="shared" si="55"/>
        <v/>
      </c>
      <c r="J236" s="1"/>
      <c r="K236" s="51"/>
      <c r="M236" s="81">
        <f t="shared" ca="1" si="46"/>
        <v>1130.7293386024487</v>
      </c>
      <c r="N236" s="19">
        <f t="shared" si="56"/>
        <v>33.333482999399656</v>
      </c>
      <c r="O236" s="17">
        <f t="shared" si="57"/>
        <v>58.75</v>
      </c>
      <c r="P236" s="19">
        <f ca="1">IF(ISERROR(IF(O236&lt;fi_h/20,0,(OFFSET('Base de dados'!$A$5,IF(O236&lt;20,1,IF(O236&gt;1000,10,MATCH(O236,Cargas,1))),Coluna_fih,1,1))*(1+0.13*0.25)*(PI()*(fi_h/1000)^2/4)*SQRT(2*9.81*(O236/100-fi_h/2/1000))*1000)),"",IF(O236&lt;fi_h/20,0,(OFFSET('Base de dados'!$A$5,IF(O236&lt;20,1,IF(O236&gt;1000,10,MATCH(O236,Cargas,1))),Coluna_fih,1,1))*(PI()*(fi_h/1000)^2/4)*SQRT(2*9.81*(O236/100-fi_h/2/1000))*1000))</f>
        <v>19.613238622460308</v>
      </c>
      <c r="Q236" s="19">
        <f ca="1">IF(O236="","",IF(Tipo_Vertedor="Retangular",IF(O236&lt;=cota_s*100,0,IF(Tipo_Vertedor="Retangular",Cd_sr*Lef_sr*((O236/100-cota_s)^(3/2))*1000)),IF(O236&lt;=cota_s*100+fi_s/20,0,(OFFSET('Base de dados'!$A$4,IF(O236&lt;20,1,IF(O236&gt;1000,10,MATCH(O236,Cargas,1))),Coluna_fis,1,1))*(PI()*(fi_s/1000)^2/4)*(2*9.81*(O236/100-cota_s-fi_s/2/1000))^0.5*1000)))</f>
        <v>0</v>
      </c>
      <c r="R236" s="19">
        <f t="shared" ca="1" si="47"/>
        <v>19.613238622460308</v>
      </c>
      <c r="S236" s="19">
        <f t="shared" ca="1" si="48"/>
        <v>1111.1160999799883</v>
      </c>
      <c r="AD236" s="19" t="str">
        <f t="shared" si="58"/>
        <v/>
      </c>
      <c r="AE236" s="19" t="str">
        <f t="shared" si="59"/>
        <v/>
      </c>
      <c r="AF236" s="19" t="str">
        <f>IF(ISERROR(IF('Hidrograma afluente'!I243="",0,'Hidrograma afluente'!I243)+Simulação!G236),"",IF('Hidrograma afluente'!I243="",0,'Hidrograma afluente'!I243)+Simulação!G236)</f>
        <v/>
      </c>
      <c r="AG236" s="17" t="s">
        <v>160</v>
      </c>
      <c r="AH236" s="17" t="s">
        <v>160</v>
      </c>
      <c r="AI236" s="27" t="s">
        <v>160</v>
      </c>
      <c r="AJ236" s="17" t="s">
        <v>160</v>
      </c>
      <c r="AK236" s="19" t="str">
        <f>IF(A236="","",IF('Hidrograma afluente'!I243="",0,'Hidrograma afluente'!I243)+Simulação!B236)</f>
        <v/>
      </c>
    </row>
    <row r="237" spans="1:37" s="17" customFormat="1">
      <c r="A237" s="4" t="str">
        <f t="shared" si="49"/>
        <v/>
      </c>
      <c r="B237" s="5" t="str">
        <f>IF(A237="","",IF(A237&gt;tc_lot_i+tc,0,IF('Hidrograma afluente'!B244="","",'Hidrograma afluente'!B244)))</f>
        <v/>
      </c>
      <c r="C237" s="21" t="str">
        <f t="shared" si="50"/>
        <v/>
      </c>
      <c r="D237" s="21" t="str">
        <f t="shared" si="51"/>
        <v/>
      </c>
      <c r="E237" s="21" t="str">
        <f t="shared" si="52"/>
        <v/>
      </c>
      <c r="F237" s="21" t="str">
        <f t="shared" si="53"/>
        <v/>
      </c>
      <c r="G237" s="21" t="str">
        <f t="shared" si="54"/>
        <v/>
      </c>
      <c r="H237" s="23" t="str">
        <f t="shared" si="60"/>
        <v/>
      </c>
      <c r="I237" s="22" t="str">
        <f t="shared" si="55"/>
        <v/>
      </c>
      <c r="J237" s="1"/>
      <c r="K237" s="51"/>
      <c r="M237" s="81">
        <f t="shared" ca="1" si="46"/>
        <v>1136.0940144912654</v>
      </c>
      <c r="N237" s="19">
        <f t="shared" si="56"/>
        <v>33.493040047020337</v>
      </c>
      <c r="O237" s="17">
        <f t="shared" si="57"/>
        <v>59</v>
      </c>
      <c r="P237" s="19">
        <f ca="1">IF(ISERROR(IF(O237&lt;fi_h/20,0,(OFFSET('Base de dados'!$A$5,IF(O237&lt;20,1,IF(O237&gt;1000,10,MATCH(O237,Cargas,1))),Coluna_fih,1,1))*(1+0.13*0.25)*(PI()*(fi_h/1000)^2/4)*SQRT(2*9.81*(O237/100-fi_h/2/1000))*1000)),"",IF(O237&lt;fi_h/20,0,(OFFSET('Base de dados'!$A$5,IF(O237&lt;20,1,IF(O237&gt;1000,10,MATCH(O237,Cargas,1))),Coluna_fih,1,1))*(PI()*(fi_h/1000)^2/4)*SQRT(2*9.81*(O237/100-fi_h/2/1000))*1000))</f>
        <v>19.659346257254121</v>
      </c>
      <c r="Q237" s="19">
        <f ca="1">IF(O237="","",IF(Tipo_Vertedor="Retangular",IF(O237&lt;=cota_s*100,0,IF(Tipo_Vertedor="Retangular",Cd_sr*Lef_sr*((O237/100-cota_s)^(3/2))*1000)),IF(O237&lt;=cota_s*100+fi_s/20,0,(OFFSET('Base de dados'!$A$4,IF(O237&lt;20,1,IF(O237&gt;1000,10,MATCH(O237,Cargas,1))),Coluna_fis,1,1))*(PI()*(fi_s/1000)^2/4)*(2*9.81*(O237/100-cota_s-fi_s/2/1000))^0.5*1000)))</f>
        <v>0</v>
      </c>
      <c r="R237" s="19">
        <f t="shared" ca="1" si="47"/>
        <v>19.659346257254121</v>
      </c>
      <c r="S237" s="19">
        <f t="shared" ca="1" si="48"/>
        <v>1116.4346682340113</v>
      </c>
      <c r="AD237" s="19" t="str">
        <f t="shared" si="58"/>
        <v/>
      </c>
      <c r="AE237" s="19" t="str">
        <f t="shared" si="59"/>
        <v/>
      </c>
      <c r="AF237" s="19" t="str">
        <f>IF(ISERROR(IF('Hidrograma afluente'!I244="",0,'Hidrograma afluente'!I244)+Simulação!G237),"",IF('Hidrograma afluente'!I244="",0,'Hidrograma afluente'!I244)+Simulação!G237)</f>
        <v/>
      </c>
      <c r="AG237" s="17" t="s">
        <v>160</v>
      </c>
      <c r="AH237" s="17" t="s">
        <v>160</v>
      </c>
      <c r="AI237" s="27" t="s">
        <v>160</v>
      </c>
      <c r="AJ237" s="17" t="s">
        <v>160</v>
      </c>
      <c r="AK237" s="19" t="str">
        <f>IF(A237="","",IF('Hidrograma afluente'!I244="",0,'Hidrograma afluente'!I244)+Simulação!B237)</f>
        <v/>
      </c>
    </row>
    <row r="238" spans="1:37" s="17" customFormat="1">
      <c r="A238" s="4" t="str">
        <f t="shared" si="49"/>
        <v/>
      </c>
      <c r="B238" s="5" t="str">
        <f>IF(A238="","",IF(A238&gt;tc_lot_i+tc,0,IF('Hidrograma afluente'!B245="","",'Hidrograma afluente'!B245)))</f>
        <v/>
      </c>
      <c r="C238" s="21" t="str">
        <f t="shared" si="50"/>
        <v/>
      </c>
      <c r="D238" s="21" t="str">
        <f t="shared" si="51"/>
        <v/>
      </c>
      <c r="E238" s="21" t="str">
        <f t="shared" si="52"/>
        <v/>
      </c>
      <c r="F238" s="21" t="str">
        <f t="shared" si="53"/>
        <v/>
      </c>
      <c r="G238" s="21" t="str">
        <f t="shared" si="54"/>
        <v/>
      </c>
      <c r="H238" s="23" t="str">
        <f t="shared" si="60"/>
        <v/>
      </c>
      <c r="I238" s="22" t="str">
        <f t="shared" si="55"/>
        <v/>
      </c>
      <c r="J238" s="1"/>
      <c r="K238" s="51"/>
      <c r="M238" s="81">
        <f t="shared" ca="1" si="46"/>
        <v>1141.4613906917971</v>
      </c>
      <c r="N238" s="19">
        <f t="shared" si="56"/>
        <v>33.652681340537775</v>
      </c>
      <c r="O238" s="17">
        <f t="shared" si="57"/>
        <v>59.25</v>
      </c>
      <c r="P238" s="19">
        <f ca="1">IF(ISERROR(IF(O238&lt;fi_h/20,0,(OFFSET('Base de dados'!$A$5,IF(O238&lt;20,1,IF(O238&gt;1000,10,MATCH(O238,Cargas,1))),Coluna_fih,1,1))*(1+0.13*0.25)*(PI()*(fi_h/1000)^2/4)*SQRT(2*9.81*(O238/100-fi_h/2/1000))*1000)),"",IF(O238&lt;fi_h/20,0,(OFFSET('Base de dados'!$A$5,IF(O238&lt;20,1,IF(O238&gt;1000,10,MATCH(O238,Cargas,1))),Coluna_fih,1,1))*(PI()*(fi_h/1000)^2/4)*SQRT(2*9.81*(O238/100-fi_h/2/1000))*1000))</f>
        <v>19.705346007204607</v>
      </c>
      <c r="Q238" s="19">
        <f ca="1">IF(O238="","",IF(Tipo_Vertedor="Retangular",IF(O238&lt;=cota_s*100,0,IF(Tipo_Vertedor="Retangular",Cd_sr*Lef_sr*((O238/100-cota_s)^(3/2))*1000)),IF(O238&lt;=cota_s*100+fi_s/20,0,(OFFSET('Base de dados'!$A$4,IF(O238&lt;20,1,IF(O238&gt;1000,10,MATCH(O238,Cargas,1))),Coluna_fis,1,1))*(PI()*(fi_s/1000)^2/4)*(2*9.81*(O238/100-cota_s-fi_s/2/1000))^0.5*1000)))</f>
        <v>0</v>
      </c>
      <c r="R238" s="19">
        <f t="shared" ca="1" si="47"/>
        <v>19.705346007204607</v>
      </c>
      <c r="S238" s="19">
        <f t="shared" ca="1" si="48"/>
        <v>1121.7560446845926</v>
      </c>
      <c r="AD238" s="19" t="str">
        <f t="shared" si="58"/>
        <v/>
      </c>
      <c r="AE238" s="19" t="str">
        <f t="shared" si="59"/>
        <v/>
      </c>
      <c r="AF238" s="19" t="str">
        <f>IF(ISERROR(IF('Hidrograma afluente'!I245="",0,'Hidrograma afluente'!I245)+Simulação!G238),"",IF('Hidrograma afluente'!I245="",0,'Hidrograma afluente'!I245)+Simulação!G238)</f>
        <v/>
      </c>
      <c r="AG238" s="17" t="s">
        <v>160</v>
      </c>
      <c r="AH238" s="17" t="s">
        <v>160</v>
      </c>
      <c r="AI238" s="27" t="s">
        <v>160</v>
      </c>
      <c r="AJ238" s="17" t="s">
        <v>160</v>
      </c>
      <c r="AK238" s="19" t="str">
        <f>IF(A238="","",IF('Hidrograma afluente'!I245="",0,'Hidrograma afluente'!I245)+Simulação!B238)</f>
        <v/>
      </c>
    </row>
    <row r="239" spans="1:37" s="17" customFormat="1">
      <c r="A239" s="4" t="str">
        <f t="shared" si="49"/>
        <v/>
      </c>
      <c r="B239" s="5" t="str">
        <f>IF(A239="","",IF(A239&gt;tc_lot_i+tc,0,IF('Hidrograma afluente'!B246="","",'Hidrograma afluente'!B246)))</f>
        <v/>
      </c>
      <c r="C239" s="21" t="str">
        <f t="shared" si="50"/>
        <v/>
      </c>
      <c r="D239" s="21" t="str">
        <f t="shared" si="51"/>
        <v/>
      </c>
      <c r="E239" s="21" t="str">
        <f t="shared" si="52"/>
        <v/>
      </c>
      <c r="F239" s="21" t="str">
        <f t="shared" si="53"/>
        <v/>
      </c>
      <c r="G239" s="21" t="str">
        <f t="shared" si="54"/>
        <v/>
      </c>
      <c r="H239" s="23" t="str">
        <f t="shared" si="60"/>
        <v/>
      </c>
      <c r="I239" s="22" t="str">
        <f t="shared" si="55"/>
        <v/>
      </c>
      <c r="J239" s="1"/>
      <c r="K239" s="51"/>
      <c r="M239" s="81">
        <f t="shared" ca="1" si="46"/>
        <v>1146.8314575821755</v>
      </c>
      <c r="N239" s="19">
        <f t="shared" si="56"/>
        <v>33.812406568682604</v>
      </c>
      <c r="O239" s="17">
        <f t="shared" si="57"/>
        <v>59.5</v>
      </c>
      <c r="P239" s="19">
        <f ca="1">IF(ISERROR(IF(O239&lt;fi_h/20,0,(OFFSET('Base de dados'!$A$5,IF(O239&lt;20,1,IF(O239&gt;1000,10,MATCH(O239,Cargas,1))),Coluna_fih,1,1))*(1+0.13*0.25)*(PI()*(fi_h/1000)^2/4)*SQRT(2*9.81*(O239/100-fi_h/2/1000))*1000)),"",IF(O239&lt;fi_h/20,0,(OFFSET('Base de dados'!$A$5,IF(O239&lt;20,1,IF(O239&gt;1000,10,MATCH(O239,Cargas,1))),Coluna_fih,1,1))*(PI()*(fi_h/1000)^2/4)*SQRT(2*9.81*(O239/100-fi_h/2/1000))*1000))</f>
        <v>19.751238626088682</v>
      </c>
      <c r="Q239" s="19">
        <f ca="1">IF(O239="","",IF(Tipo_Vertedor="Retangular",IF(O239&lt;=cota_s*100,0,IF(Tipo_Vertedor="Retangular",Cd_sr*Lef_sr*((O239/100-cota_s)^(3/2))*1000)),IF(O239&lt;=cota_s*100+fi_s/20,0,(OFFSET('Base de dados'!$A$4,IF(O239&lt;20,1,IF(O239&gt;1000,10,MATCH(O239,Cargas,1))),Coluna_fis,1,1))*(PI()*(fi_s/1000)^2/4)*(2*9.81*(O239/100-cota_s-fi_s/2/1000))^0.5*1000)))</f>
        <v>0</v>
      </c>
      <c r="R239" s="19">
        <f t="shared" ca="1" si="47"/>
        <v>19.751238626088682</v>
      </c>
      <c r="S239" s="19">
        <f t="shared" ca="1" si="48"/>
        <v>1127.0802189560868</v>
      </c>
      <c r="AD239" s="19" t="str">
        <f t="shared" si="58"/>
        <v/>
      </c>
      <c r="AE239" s="19" t="str">
        <f t="shared" si="59"/>
        <v/>
      </c>
      <c r="AF239" s="19" t="str">
        <f>IF(ISERROR(IF('Hidrograma afluente'!I246="",0,'Hidrograma afluente'!I246)+Simulação!G239),"",IF('Hidrograma afluente'!I246="",0,'Hidrograma afluente'!I246)+Simulação!G239)</f>
        <v/>
      </c>
      <c r="AG239" s="17" t="s">
        <v>160</v>
      </c>
      <c r="AH239" s="17" t="s">
        <v>160</v>
      </c>
      <c r="AI239" s="27" t="s">
        <v>160</v>
      </c>
      <c r="AJ239" s="17" t="s">
        <v>160</v>
      </c>
      <c r="AK239" s="19" t="str">
        <f>IF(A239="","",IF('Hidrograma afluente'!I246="",0,'Hidrograma afluente'!I246)+Simulação!B239)</f>
        <v/>
      </c>
    </row>
    <row r="240" spans="1:37" s="17" customFormat="1">
      <c r="A240" s="4" t="str">
        <f t="shared" si="49"/>
        <v/>
      </c>
      <c r="B240" s="5" t="str">
        <f>IF(A240="","",IF(A240&gt;tc_lot_i+tc,0,IF('Hidrograma afluente'!B247="","",'Hidrograma afluente'!B247)))</f>
        <v/>
      </c>
      <c r="C240" s="21" t="str">
        <f t="shared" si="50"/>
        <v/>
      </c>
      <c r="D240" s="21" t="str">
        <f t="shared" si="51"/>
        <v/>
      </c>
      <c r="E240" s="21" t="str">
        <f t="shared" si="52"/>
        <v/>
      </c>
      <c r="F240" s="21" t="str">
        <f t="shared" si="53"/>
        <v/>
      </c>
      <c r="G240" s="21" t="str">
        <f t="shared" si="54"/>
        <v/>
      </c>
      <c r="H240" s="23" t="str">
        <f t="shared" si="60"/>
        <v/>
      </c>
      <c r="I240" s="22" t="str">
        <f t="shared" si="55"/>
        <v/>
      </c>
      <c r="J240" s="1"/>
      <c r="K240" s="51"/>
      <c r="M240" s="81">
        <f t="shared" ca="1" si="46"/>
        <v>1152.2042056135772</v>
      </c>
      <c r="N240" s="19">
        <f t="shared" si="56"/>
        <v>33.972215422638925</v>
      </c>
      <c r="O240" s="17">
        <f t="shared" si="57"/>
        <v>59.75</v>
      </c>
      <c r="P240" s="19">
        <f ca="1">IF(ISERROR(IF(O240&lt;fi_h/20,0,(OFFSET('Base de dados'!$A$5,IF(O240&lt;20,1,IF(O240&gt;1000,10,MATCH(O240,Cargas,1))),Coluna_fih,1,1))*(1+0.13*0.25)*(PI()*(fi_h/1000)^2/4)*SQRT(2*9.81*(O240/100-fi_h/2/1000))*1000)),"",IF(O240&lt;fi_h/20,0,(OFFSET('Base de dados'!$A$5,IF(O240&lt;20,1,IF(O240&gt;1000,10,MATCH(O240,Cargas,1))),Coluna_fih,1,1))*(PI()*(fi_h/1000)^2/4)*SQRT(2*9.81*(O240/100-fi_h/2/1000))*1000))</f>
        <v>19.797024858946372</v>
      </c>
      <c r="Q240" s="19">
        <f ca="1">IF(O240="","",IF(Tipo_Vertedor="Retangular",IF(O240&lt;=cota_s*100,0,IF(Tipo_Vertedor="Retangular",Cd_sr*Lef_sr*((O240/100-cota_s)^(3/2))*1000)),IF(O240&lt;=cota_s*100+fi_s/20,0,(OFFSET('Base de dados'!$A$4,IF(O240&lt;20,1,IF(O240&gt;1000,10,MATCH(O240,Cargas,1))),Coluna_fis,1,1))*(PI()*(fi_s/1000)^2/4)*(2*9.81*(O240/100-cota_s-fi_s/2/1000))^0.5*1000)))</f>
        <v>0</v>
      </c>
      <c r="R240" s="19">
        <f t="shared" ca="1" si="47"/>
        <v>19.797024858946372</v>
      </c>
      <c r="S240" s="19">
        <f t="shared" ca="1" si="48"/>
        <v>1132.4071807546309</v>
      </c>
      <c r="AD240" s="19" t="str">
        <f t="shared" si="58"/>
        <v/>
      </c>
      <c r="AE240" s="19" t="str">
        <f t="shared" si="59"/>
        <v/>
      </c>
      <c r="AF240" s="19" t="str">
        <f>IF(ISERROR(IF('Hidrograma afluente'!I247="",0,'Hidrograma afluente'!I247)+Simulação!G240),"",IF('Hidrograma afluente'!I247="",0,'Hidrograma afluente'!I247)+Simulação!G240)</f>
        <v/>
      </c>
      <c r="AG240" s="17" t="s">
        <v>160</v>
      </c>
      <c r="AH240" s="17" t="s">
        <v>160</v>
      </c>
      <c r="AI240" s="27" t="s">
        <v>160</v>
      </c>
      <c r="AJ240" s="17" t="s">
        <v>160</v>
      </c>
      <c r="AK240" s="19" t="str">
        <f>IF(A240="","",IF('Hidrograma afluente'!I247="",0,'Hidrograma afluente'!I247)+Simulação!B240)</f>
        <v/>
      </c>
    </row>
    <row r="241" spans="1:37" s="17" customFormat="1">
      <c r="A241" s="4" t="str">
        <f t="shared" si="49"/>
        <v/>
      </c>
      <c r="B241" s="5" t="str">
        <f>IF(A241="","",IF(A241&gt;tc_lot_i+tc,0,IF('Hidrograma afluente'!B248="","",'Hidrograma afluente'!B248)))</f>
        <v/>
      </c>
      <c r="C241" s="21" t="str">
        <f t="shared" si="50"/>
        <v/>
      </c>
      <c r="D241" s="21" t="str">
        <f t="shared" si="51"/>
        <v/>
      </c>
      <c r="E241" s="21" t="str">
        <f t="shared" si="52"/>
        <v/>
      </c>
      <c r="F241" s="21" t="str">
        <f t="shared" si="53"/>
        <v/>
      </c>
      <c r="G241" s="21" t="str">
        <f t="shared" si="54"/>
        <v/>
      </c>
      <c r="H241" s="23" t="str">
        <f t="shared" si="60"/>
        <v/>
      </c>
      <c r="I241" s="22" t="str">
        <f t="shared" si="55"/>
        <v/>
      </c>
      <c r="J241" s="1"/>
      <c r="K241" s="51"/>
      <c r="M241" s="81">
        <f t="shared" ca="1" si="46"/>
        <v>1157.5796253093802</v>
      </c>
      <c r="N241" s="19">
        <f t="shared" si="56"/>
        <v>34.132107596014748</v>
      </c>
      <c r="O241" s="17">
        <f t="shared" si="57"/>
        <v>60</v>
      </c>
      <c r="P241" s="19">
        <f ca="1">IF(ISERROR(IF(O241&lt;fi_h/20,0,(OFFSET('Base de dados'!$A$5,IF(O241&lt;20,1,IF(O241&gt;1000,10,MATCH(O241,Cargas,1))),Coluna_fih,1,1))*(1+0.13*0.25)*(PI()*(fi_h/1000)^2/4)*SQRT(2*9.81*(O241/100-fi_h/2/1000))*1000)),"",IF(O241&lt;fi_h/20,0,(OFFSET('Base de dados'!$A$5,IF(O241&lt;20,1,IF(O241&gt;1000,10,MATCH(O241,Cargas,1))),Coluna_fih,1,1))*(PI()*(fi_h/1000)^2/4)*SQRT(2*9.81*(O241/100-fi_h/2/1000))*1000))</f>
        <v>19.84270544222192</v>
      </c>
      <c r="Q241" s="19">
        <f ca="1">IF(O241="","",IF(Tipo_Vertedor="Retangular",IF(O241&lt;=cota_s*100,0,IF(Tipo_Vertedor="Retangular",Cd_sr*Lef_sr*((O241/100-cota_s)^(3/2))*1000)),IF(O241&lt;=cota_s*100+fi_s/20,0,(OFFSET('Base de dados'!$A$4,IF(O241&lt;20,1,IF(O241&gt;1000,10,MATCH(O241,Cargas,1))),Coluna_fis,1,1))*(PI()*(fi_s/1000)^2/4)*(2*9.81*(O241/100-cota_s-fi_s/2/1000))^0.5*1000)))</f>
        <v>0</v>
      </c>
      <c r="R241" s="19">
        <f t="shared" ca="1" si="47"/>
        <v>19.84270544222192</v>
      </c>
      <c r="S241" s="19">
        <f t="shared" ca="1" si="48"/>
        <v>1137.7369198671583</v>
      </c>
      <c r="AD241" s="19" t="str">
        <f t="shared" si="58"/>
        <v/>
      </c>
      <c r="AE241" s="19" t="str">
        <f t="shared" si="59"/>
        <v/>
      </c>
      <c r="AF241" s="19" t="str">
        <f>IF(ISERROR(IF('Hidrograma afluente'!I248="",0,'Hidrograma afluente'!I248)+Simulação!G241),"",IF('Hidrograma afluente'!I248="",0,'Hidrograma afluente'!I248)+Simulação!G241)</f>
        <v/>
      </c>
      <c r="AG241" s="17" t="s">
        <v>160</v>
      </c>
      <c r="AH241" s="17" t="s">
        <v>160</v>
      </c>
      <c r="AI241" s="27" t="s">
        <v>160</v>
      </c>
      <c r="AJ241" s="17" t="s">
        <v>160</v>
      </c>
      <c r="AK241" s="19" t="str">
        <f>IF(A241="","",IF('Hidrograma afluente'!I248="",0,'Hidrograma afluente'!I248)+Simulação!B241)</f>
        <v/>
      </c>
    </row>
    <row r="242" spans="1:37" s="17" customFormat="1">
      <c r="A242" s="4" t="str">
        <f t="shared" si="49"/>
        <v/>
      </c>
      <c r="B242" s="5" t="str">
        <f>IF(A242="","",IF(A242&gt;tc_lot_i+tc,0,IF('Hidrograma afluente'!B249="","",'Hidrograma afluente'!B249)))</f>
        <v/>
      </c>
      <c r="C242" s="21" t="str">
        <f t="shared" si="50"/>
        <v/>
      </c>
      <c r="D242" s="21" t="str">
        <f t="shared" si="51"/>
        <v/>
      </c>
      <c r="E242" s="21" t="str">
        <f t="shared" si="52"/>
        <v/>
      </c>
      <c r="F242" s="21" t="str">
        <f t="shared" si="53"/>
        <v/>
      </c>
      <c r="G242" s="21" t="str">
        <f t="shared" si="54"/>
        <v/>
      </c>
      <c r="H242" s="23" t="str">
        <f t="shared" si="60"/>
        <v/>
      </c>
      <c r="I242" s="22" t="str">
        <f t="shared" si="55"/>
        <v/>
      </c>
      <c r="J242" s="1"/>
      <c r="K242" s="51"/>
      <c r="M242" s="81">
        <f t="shared" ca="1" si="46"/>
        <v>1163.0949572643342</v>
      </c>
      <c r="N242" s="19">
        <f t="shared" si="56"/>
        <v>34.292082784812962</v>
      </c>
      <c r="O242" s="17">
        <f t="shared" si="57"/>
        <v>60.25</v>
      </c>
      <c r="P242" s="19">
        <f ca="1">IF(ISERROR(IF(O242&lt;fi_h/20,0,(OFFSET('Base de dados'!$A$5,IF(O242&lt;20,1,IF(O242&gt;1000,10,MATCH(O242,Cargas,1))),Coluna_fih,1,1))*(1+0.13*0.25)*(PI()*(fi_h/1000)^2/4)*SQRT(2*9.81*(O242/100-fi_h/2/1000))*1000)),"",IF(O242&lt;fi_h/20,0,(OFFSET('Base de dados'!$A$5,IF(O242&lt;20,1,IF(O242&gt;1000,10,MATCH(O242,Cargas,1))),Coluna_fih,1,1))*(PI()*(fi_h/1000)^2/4)*SQRT(2*9.81*(O242/100-fi_h/2/1000))*1000))</f>
        <v>19.888281103902028</v>
      </c>
      <c r="Q242" s="19">
        <f ca="1">IF(O242="","",IF(Tipo_Vertedor="Retangular",IF(O242&lt;=cota_s*100,0,IF(Tipo_Vertedor="Retangular",Cd_sr*Lef_sr*((O242/100-cota_s)^(3/2))*1000)),IF(O242&lt;=cota_s*100+fi_s/20,0,(OFFSET('Base de dados'!$A$4,IF(O242&lt;20,1,IF(O242&gt;1000,10,MATCH(O242,Cargas,1))),Coluna_fis,1,1))*(PI()*(fi_s/1000)^2/4)*(2*9.81*(O242/100-cota_s-fi_s/2/1000))^0.5*1000)))</f>
        <v>0.13725000000000487</v>
      </c>
      <c r="R242" s="19">
        <f t="shared" ca="1" si="47"/>
        <v>20.025531103902033</v>
      </c>
      <c r="S242" s="19">
        <f t="shared" ca="1" si="48"/>
        <v>1143.0694261604322</v>
      </c>
      <c r="AD242" s="19" t="str">
        <f t="shared" si="58"/>
        <v/>
      </c>
      <c r="AE242" s="19" t="str">
        <f t="shared" si="59"/>
        <v/>
      </c>
      <c r="AF242" s="19" t="str">
        <f>IF(ISERROR(IF('Hidrograma afluente'!I249="",0,'Hidrograma afluente'!I249)+Simulação!G242),"",IF('Hidrograma afluente'!I249="",0,'Hidrograma afluente'!I249)+Simulação!G242)</f>
        <v/>
      </c>
      <c r="AG242" s="17" t="s">
        <v>160</v>
      </c>
      <c r="AH242" s="17" t="s">
        <v>160</v>
      </c>
      <c r="AI242" s="27" t="s">
        <v>160</v>
      </c>
      <c r="AJ242" s="17" t="s">
        <v>160</v>
      </c>
      <c r="AK242" s="19" t="str">
        <f>IF(A242="","",IF('Hidrograma afluente'!I249="",0,'Hidrograma afluente'!I249)+Simulação!B242)</f>
        <v/>
      </c>
    </row>
    <row r="243" spans="1:37" s="17" customFormat="1">
      <c r="A243" s="4" t="str">
        <f t="shared" si="49"/>
        <v/>
      </c>
      <c r="B243" s="5" t="str">
        <f>IF(A243="","",IF(A243&gt;tc_lot_i+tc,0,IF('Hidrograma afluente'!B250="","",'Hidrograma afluente'!B250)))</f>
        <v/>
      </c>
      <c r="C243" s="21" t="str">
        <f t="shared" si="50"/>
        <v/>
      </c>
      <c r="D243" s="21" t="str">
        <f t="shared" si="51"/>
        <v/>
      </c>
      <c r="E243" s="21" t="str">
        <f t="shared" si="52"/>
        <v/>
      </c>
      <c r="F243" s="21" t="str">
        <f t="shared" si="53"/>
        <v/>
      </c>
      <c r="G243" s="21" t="str">
        <f t="shared" si="54"/>
        <v/>
      </c>
      <c r="H243" s="23" t="str">
        <f t="shared" si="60"/>
        <v/>
      </c>
      <c r="I243" s="22" t="str">
        <f t="shared" si="55"/>
        <v/>
      </c>
      <c r="J243" s="1"/>
      <c r="K243" s="51"/>
      <c r="M243" s="81">
        <f t="shared" ca="1" si="46"/>
        <v>1168.7266437666142</v>
      </c>
      <c r="N243" s="19">
        <f t="shared" si="56"/>
        <v>34.452140687402746</v>
      </c>
      <c r="O243" s="17">
        <f t="shared" si="57"/>
        <v>60.5</v>
      </c>
      <c r="P243" s="19">
        <f ca="1">IF(ISERROR(IF(O243&lt;fi_h/20,0,(OFFSET('Base de dados'!$A$5,IF(O243&lt;20,1,IF(O243&gt;1000,10,MATCH(O243,Cargas,1))),Coluna_fih,1,1))*(1+0.13*0.25)*(PI()*(fi_h/1000)^2/4)*SQRT(2*9.81*(O243/100-fi_h/2/1000))*1000)),"",IF(O243&lt;fi_h/20,0,(OFFSET('Base de dados'!$A$5,IF(O243&lt;20,1,IF(O243&gt;1000,10,MATCH(O243,Cargas,1))),Coluna_fih,1,1))*(PI()*(fi_h/1000)^2/4)*SQRT(2*9.81*(O243/100-fi_h/2/1000))*1000))</f>
        <v>19.933752563651165</v>
      </c>
      <c r="Q243" s="19">
        <f ca="1">IF(O243="","",IF(Tipo_Vertedor="Retangular",IF(O243&lt;=cota_s*100,0,IF(Tipo_Vertedor="Retangular",Cd_sr*Lef_sr*((O243/100-cota_s)^(3/2))*1000)),IF(O243&lt;=cota_s*100+fi_s/20,0,(OFFSET('Base de dados'!$A$4,IF(O243&lt;20,1,IF(O243&gt;1000,10,MATCH(O243,Cargas,1))),Coluna_fis,1,1))*(PI()*(fi_s/1000)^2/4)*(2*9.81*(O243/100-cota_s-fi_s/2/1000))^0.5*1000)))</f>
        <v>0.38820162287141535</v>
      </c>
      <c r="R243" s="19">
        <f t="shared" ca="1" si="47"/>
        <v>20.321954186522582</v>
      </c>
      <c r="S243" s="19">
        <f t="shared" ca="1" si="48"/>
        <v>1148.4046895800916</v>
      </c>
      <c r="AD243" s="19" t="str">
        <f t="shared" si="58"/>
        <v/>
      </c>
      <c r="AE243" s="19" t="str">
        <f t="shared" si="59"/>
        <v/>
      </c>
      <c r="AF243" s="19" t="str">
        <f>IF(ISERROR(IF('Hidrograma afluente'!I250="",0,'Hidrograma afluente'!I250)+Simulação!G243),"",IF('Hidrograma afluente'!I250="",0,'Hidrograma afluente'!I250)+Simulação!G243)</f>
        <v/>
      </c>
      <c r="AG243" s="17" t="s">
        <v>160</v>
      </c>
      <c r="AH243" s="17" t="s">
        <v>160</v>
      </c>
      <c r="AI243" s="27" t="s">
        <v>160</v>
      </c>
      <c r="AJ243" s="17" t="s">
        <v>160</v>
      </c>
      <c r="AK243" s="19" t="str">
        <f>IF(A243="","",IF('Hidrograma afluente'!I250="",0,'Hidrograma afluente'!I250)+Simulação!B243)</f>
        <v/>
      </c>
    </row>
    <row r="244" spans="1:37" s="17" customFormat="1">
      <c r="A244" s="4" t="str">
        <f t="shared" si="49"/>
        <v/>
      </c>
      <c r="B244" s="5" t="str">
        <f>IF(A244="","",IF(A244&gt;tc_lot_i+tc,0,IF('Hidrograma afluente'!B251="","",'Hidrograma afluente'!B251)))</f>
        <v/>
      </c>
      <c r="C244" s="21" t="str">
        <f t="shared" si="50"/>
        <v/>
      </c>
      <c r="D244" s="21" t="str">
        <f t="shared" si="51"/>
        <v/>
      </c>
      <c r="E244" s="21" t="str">
        <f t="shared" si="52"/>
        <v/>
      </c>
      <c r="F244" s="21" t="str">
        <f t="shared" si="53"/>
        <v/>
      </c>
      <c r="G244" s="21" t="str">
        <f t="shared" si="54"/>
        <v/>
      </c>
      <c r="H244" s="23" t="str">
        <f t="shared" si="60"/>
        <v/>
      </c>
      <c r="I244" s="22" t="str">
        <f t="shared" si="55"/>
        <v/>
      </c>
      <c r="J244" s="1"/>
      <c r="K244" s="51"/>
      <c r="M244" s="81">
        <f t="shared" ca="1" si="46"/>
        <v>1174.4349926026762</v>
      </c>
      <c r="N244" s="19">
        <f t="shared" si="56"/>
        <v>34.612281004491464</v>
      </c>
      <c r="O244" s="17">
        <f t="shared" si="57"/>
        <v>60.75</v>
      </c>
      <c r="P244" s="19">
        <f ca="1">IF(ISERROR(IF(O244&lt;fi_h/20,0,(OFFSET('Base de dados'!$A$5,IF(O244&lt;20,1,IF(O244&gt;1000,10,MATCH(O244,Cargas,1))),Coluna_fih,1,1))*(1+0.13*0.25)*(PI()*(fi_h/1000)^2/4)*SQRT(2*9.81*(O244/100-fi_h/2/1000))*1000)),"",IF(O244&lt;fi_h/20,0,(OFFSET('Base de dados'!$A$5,IF(O244&lt;20,1,IF(O244&gt;1000,10,MATCH(O244,Cargas,1))),Coluna_fih,1,1))*(PI()*(fi_h/1000)^2/4)*SQRT(2*9.81*(O244/100-fi_h/2/1000))*1000))</f>
        <v>19.979120532944197</v>
      </c>
      <c r="Q244" s="19">
        <f ca="1">IF(O244="","",IF(Tipo_Vertedor="Retangular",IF(O244&lt;=cota_s*100,0,IF(Tipo_Vertedor="Retangular",Cd_sr*Lef_sr*((O244/100-cota_s)^(3/2))*1000)),IF(O244&lt;=cota_s*100+fi_s/20,0,(OFFSET('Base de dados'!$A$4,IF(O244&lt;20,1,IF(O244&gt;1000,10,MATCH(O244,Cargas,1))),Coluna_fis,1,1))*(PI()*(fi_s/1000)^2/4)*(2*9.81*(O244/100-cota_s-fi_s/2/1000))^0.5*1000)))</f>
        <v>0.71317192001649421</v>
      </c>
      <c r="R244" s="19">
        <f t="shared" ca="1" si="47"/>
        <v>20.692292452960693</v>
      </c>
      <c r="S244" s="19">
        <f t="shared" ca="1" si="48"/>
        <v>1153.7427001497156</v>
      </c>
      <c r="AD244" s="19" t="str">
        <f t="shared" si="58"/>
        <v/>
      </c>
      <c r="AE244" s="19" t="str">
        <f t="shared" si="59"/>
        <v/>
      </c>
      <c r="AF244" s="19" t="str">
        <f>IF(ISERROR(IF('Hidrograma afluente'!I251="",0,'Hidrograma afluente'!I251)+Simulação!G244),"",IF('Hidrograma afluente'!I251="",0,'Hidrograma afluente'!I251)+Simulação!G244)</f>
        <v/>
      </c>
      <c r="AG244" s="17" t="s">
        <v>160</v>
      </c>
      <c r="AH244" s="17" t="s">
        <v>160</v>
      </c>
      <c r="AI244" s="27" t="s">
        <v>160</v>
      </c>
      <c r="AJ244" s="17" t="s">
        <v>160</v>
      </c>
      <c r="AK244" s="19" t="str">
        <f>IF(A244="","",IF('Hidrograma afluente'!I251="",0,'Hidrograma afluente'!I251)+Simulação!B244)</f>
        <v/>
      </c>
    </row>
    <row r="245" spans="1:37" s="17" customFormat="1">
      <c r="A245" s="4" t="str">
        <f t="shared" si="49"/>
        <v/>
      </c>
      <c r="B245" s="5" t="str">
        <f>IF(A245="","",IF(A245&gt;tc_lot_i+tc,0,IF('Hidrograma afluente'!B252="","",'Hidrograma afluente'!B252)))</f>
        <v/>
      </c>
      <c r="C245" s="21" t="str">
        <f t="shared" si="50"/>
        <v/>
      </c>
      <c r="D245" s="21" t="str">
        <f t="shared" si="51"/>
        <v/>
      </c>
      <c r="E245" s="21" t="str">
        <f t="shared" si="52"/>
        <v/>
      </c>
      <c r="F245" s="21" t="str">
        <f t="shared" si="53"/>
        <v/>
      </c>
      <c r="G245" s="21" t="str">
        <f t="shared" si="54"/>
        <v/>
      </c>
      <c r="H245" s="23" t="str">
        <f t="shared" si="60"/>
        <v/>
      </c>
      <c r="I245" s="22" t="str">
        <f t="shared" si="55"/>
        <v/>
      </c>
      <c r="J245" s="1"/>
      <c r="K245" s="51"/>
      <c r="M245" s="81">
        <f t="shared" ca="1" si="46"/>
        <v>1180.2058336850939</v>
      </c>
      <c r="N245" s="19">
        <f t="shared" si="56"/>
        <v>34.77250343909693</v>
      </c>
      <c r="O245" s="17">
        <f t="shared" si="57"/>
        <v>61</v>
      </c>
      <c r="P245" s="19">
        <f ca="1">IF(ISERROR(IF(O245&lt;fi_h/20,0,(OFFSET('Base de dados'!$A$5,IF(O245&lt;20,1,IF(O245&gt;1000,10,MATCH(O245,Cargas,1))),Coluna_fih,1,1))*(1+0.13*0.25)*(PI()*(fi_h/1000)^2/4)*SQRT(2*9.81*(O245/100-fi_h/2/1000))*1000)),"",IF(O245&lt;fi_h/20,0,(OFFSET('Base de dados'!$A$5,IF(O245&lt;20,1,IF(O245&gt;1000,10,MATCH(O245,Cargas,1))),Coluna_fih,1,1))*(PI()*(fi_h/1000)^2/4)*SQRT(2*9.81*(O245/100-fi_h/2/1000))*1000))</f>
        <v>20.024385715196246</v>
      </c>
      <c r="Q245" s="19">
        <f ca="1">IF(O245="","",IF(Tipo_Vertedor="Retangular",IF(O245&lt;=cota_s*100,0,IF(Tipo_Vertedor="Retangular",Cd_sr*Lef_sr*((O245/100-cota_s)^(3/2))*1000)),IF(O245&lt;=cota_s*100+fi_s/20,0,(OFFSET('Base de dados'!$A$4,IF(O245&lt;20,1,IF(O245&gt;1000,10,MATCH(O245,Cargas,1))),Coluna_fis,1,1))*(PI()*(fi_s/1000)^2/4)*(2*9.81*(O245/100-cota_s-fi_s/2/1000))^0.5*1000)))</f>
        <v>1.0980000000000005</v>
      </c>
      <c r="R245" s="19">
        <f t="shared" ca="1" si="47"/>
        <v>21.122385715196245</v>
      </c>
      <c r="S245" s="19">
        <f t="shared" ca="1" si="48"/>
        <v>1159.0834479698976</v>
      </c>
      <c r="AD245" s="19" t="str">
        <f t="shared" si="58"/>
        <v/>
      </c>
      <c r="AE245" s="19" t="str">
        <f t="shared" si="59"/>
        <v/>
      </c>
      <c r="AF245" s="19" t="str">
        <f>IF(ISERROR(IF('Hidrograma afluente'!I252="",0,'Hidrograma afluente'!I252)+Simulação!G245),"",IF('Hidrograma afluente'!I252="",0,'Hidrograma afluente'!I252)+Simulação!G245)</f>
        <v/>
      </c>
      <c r="AG245" s="17" t="s">
        <v>160</v>
      </c>
      <c r="AH245" s="17" t="s">
        <v>160</v>
      </c>
      <c r="AI245" s="27" t="s">
        <v>160</v>
      </c>
      <c r="AJ245" s="17" t="s">
        <v>160</v>
      </c>
      <c r="AK245" s="19" t="str">
        <f>IF(A245="","",IF('Hidrograma afluente'!I252="",0,'Hidrograma afluente'!I252)+Simulação!B245)</f>
        <v/>
      </c>
    </row>
    <row r="246" spans="1:37" s="17" customFormat="1">
      <c r="A246" s="4" t="str">
        <f t="shared" si="49"/>
        <v/>
      </c>
      <c r="B246" s="5" t="str">
        <f>IF(A246="","",IF(A246&gt;tc_lot_i+tc,0,IF('Hidrograma afluente'!B253="","",'Hidrograma afluente'!B253)))</f>
        <v/>
      </c>
      <c r="C246" s="21" t="str">
        <f t="shared" si="50"/>
        <v/>
      </c>
      <c r="D246" s="21" t="str">
        <f t="shared" si="51"/>
        <v/>
      </c>
      <c r="E246" s="21" t="str">
        <f t="shared" si="52"/>
        <v/>
      </c>
      <c r="F246" s="21" t="str">
        <f t="shared" si="53"/>
        <v/>
      </c>
      <c r="G246" s="21" t="str">
        <f t="shared" si="54"/>
        <v/>
      </c>
      <c r="H246" s="23" t="str">
        <f t="shared" si="60"/>
        <v/>
      </c>
      <c r="I246" s="22" t="str">
        <f t="shared" si="55"/>
        <v/>
      </c>
      <c r="J246" s="1"/>
      <c r="K246" s="51"/>
      <c r="M246" s="81">
        <f t="shared" ca="1" si="46"/>
        <v>1186.0309736727916</v>
      </c>
      <c r="N246" s="19">
        <f t="shared" si="56"/>
        <v>34.932807696520271</v>
      </c>
      <c r="O246" s="17">
        <f t="shared" si="57"/>
        <v>61.25</v>
      </c>
      <c r="P246" s="19">
        <f ca="1">IF(ISERROR(IF(O246&lt;fi_h/20,0,(OFFSET('Base de dados'!$A$5,IF(O246&lt;20,1,IF(O246&gt;1000,10,MATCH(O246,Cargas,1))),Coluna_fih,1,1))*(1+0.13*0.25)*(PI()*(fi_h/1000)^2/4)*SQRT(2*9.81*(O246/100-fi_h/2/1000))*1000)),"",IF(O246&lt;fi_h/20,0,(OFFSET('Base de dados'!$A$5,IF(O246&lt;20,1,IF(O246&gt;1000,10,MATCH(O246,Cargas,1))),Coluna_fih,1,1))*(PI()*(fi_h/1000)^2/4)*SQRT(2*9.81*(O246/100-fi_h/2/1000))*1000))</f>
        <v>20.069548805889941</v>
      </c>
      <c r="Q246" s="19">
        <f ca="1">IF(O246="","",IF(Tipo_Vertedor="Retangular",IF(O246&lt;=cota_s*100,0,IF(Tipo_Vertedor="Retangular",Cd_sr*Lef_sr*((O246/100-cota_s)^(3/2))*1000)),IF(O246&lt;=cota_s*100+fi_s/20,0,(OFFSET('Base de dados'!$A$4,IF(O246&lt;20,1,IF(O246&gt;1000,10,MATCH(O246,Cargas,1))),Coluna_fis,1,1))*(PI()*(fi_s/1000)^2/4)*(2*9.81*(O246/100-cota_s-fi_s/2/1000))^0.5*1000)))</f>
        <v>1.5345016495592438</v>
      </c>
      <c r="R246" s="19">
        <f t="shared" ca="1" si="47"/>
        <v>21.604050455449183</v>
      </c>
      <c r="S246" s="19">
        <f t="shared" ca="1" si="48"/>
        <v>1164.4269232173424</v>
      </c>
      <c r="AD246" s="19" t="str">
        <f t="shared" si="58"/>
        <v/>
      </c>
      <c r="AE246" s="19" t="str">
        <f t="shared" si="59"/>
        <v/>
      </c>
      <c r="AF246" s="19" t="str">
        <f>IF(ISERROR(IF('Hidrograma afluente'!I253="",0,'Hidrograma afluente'!I253)+Simulação!G246),"",IF('Hidrograma afluente'!I253="",0,'Hidrograma afluente'!I253)+Simulação!G246)</f>
        <v/>
      </c>
      <c r="AG246" s="17" t="s">
        <v>160</v>
      </c>
      <c r="AH246" s="17" t="s">
        <v>160</v>
      </c>
      <c r="AI246" s="27" t="s">
        <v>160</v>
      </c>
      <c r="AJ246" s="17" t="s">
        <v>160</v>
      </c>
      <c r="AK246" s="19" t="str">
        <f>IF(A246="","",IF('Hidrograma afluente'!I253="",0,'Hidrograma afluente'!I253)+Simulação!B246)</f>
        <v/>
      </c>
    </row>
    <row r="247" spans="1:37" s="17" customFormat="1">
      <c r="A247" s="4" t="str">
        <f t="shared" si="49"/>
        <v/>
      </c>
      <c r="B247" s="5" t="str">
        <f>IF(A247="","",IF(A247&gt;tc_lot_i+tc,0,IF('Hidrograma afluente'!B254="","",'Hidrograma afluente'!B254)))</f>
        <v/>
      </c>
      <c r="C247" s="21" t="str">
        <f t="shared" si="50"/>
        <v/>
      </c>
      <c r="D247" s="21" t="str">
        <f t="shared" si="51"/>
        <v/>
      </c>
      <c r="E247" s="21" t="str">
        <f t="shared" si="52"/>
        <v/>
      </c>
      <c r="F247" s="21" t="str">
        <f t="shared" si="53"/>
        <v/>
      </c>
      <c r="G247" s="21" t="str">
        <f t="shared" si="54"/>
        <v/>
      </c>
      <c r="H247" s="23" t="str">
        <f t="shared" si="60"/>
        <v/>
      </c>
      <c r="I247" s="22" t="str">
        <f t="shared" si="55"/>
        <v/>
      </c>
      <c r="J247" s="1"/>
      <c r="K247" s="51"/>
      <c r="M247" s="81">
        <f t="shared" ca="1" si="46"/>
        <v>1191.9048814398495</v>
      </c>
      <c r="N247" s="19">
        <f t="shared" si="56"/>
        <v>35.093193484319023</v>
      </c>
      <c r="O247" s="17">
        <f t="shared" si="57"/>
        <v>61.5</v>
      </c>
      <c r="P247" s="19">
        <f ca="1">IF(ISERROR(IF(O247&lt;fi_h/20,0,(OFFSET('Base de dados'!$A$5,IF(O247&lt;20,1,IF(O247&gt;1000,10,MATCH(O247,Cargas,1))),Coluna_fih,1,1))*(1+0.13*0.25)*(PI()*(fi_h/1000)^2/4)*SQRT(2*9.81*(O247/100-fi_h/2/1000))*1000)),"",IF(O247&lt;fi_h/20,0,(OFFSET('Base de dados'!$A$5,IF(O247&lt;20,1,IF(O247&gt;1000,10,MATCH(O247,Cargas,1))),Coluna_fih,1,1))*(PI()*(fi_h/1000)^2/4)*SQRT(2*9.81*(O247/100-fi_h/2/1000))*1000))</f>
        <v>20.114610492700109</v>
      </c>
      <c r="Q247" s="19">
        <f ca="1">IF(O247="","",IF(Tipo_Vertedor="Retangular",IF(O247&lt;=cota_s*100,0,IF(Tipo_Vertedor="Retangular",Cd_sr*Lef_sr*((O247/100-cota_s)^(3/2))*1000)),IF(O247&lt;=cota_s*100+fi_s/20,0,(OFFSET('Base de dados'!$A$4,IF(O247&lt;20,1,IF(O247&gt;1000,10,MATCH(O247,Cargas,1))),Coluna_fis,1,1))*(PI()*(fi_s/1000)^2/4)*(2*9.81*(O247/100-cota_s-fi_s/2/1000))^0.5*1000)))</f>
        <v>2.0171548031819491</v>
      </c>
      <c r="R247" s="19">
        <f t="shared" ca="1" si="47"/>
        <v>22.131765295882058</v>
      </c>
      <c r="S247" s="19">
        <f t="shared" ca="1" si="48"/>
        <v>1169.7731161439674</v>
      </c>
      <c r="AD247" s="19" t="str">
        <f t="shared" si="58"/>
        <v/>
      </c>
      <c r="AE247" s="19" t="str">
        <f t="shared" si="59"/>
        <v/>
      </c>
      <c r="AF247" s="19" t="str">
        <f>IF(ISERROR(IF('Hidrograma afluente'!I254="",0,'Hidrograma afluente'!I254)+Simulação!G247),"",IF('Hidrograma afluente'!I254="",0,'Hidrograma afluente'!I254)+Simulação!G247)</f>
        <v/>
      </c>
      <c r="AG247" s="17" t="s">
        <v>160</v>
      </c>
      <c r="AH247" s="17" t="s">
        <v>160</v>
      </c>
      <c r="AI247" s="27" t="s">
        <v>160</v>
      </c>
      <c r="AJ247" s="17" t="s">
        <v>160</v>
      </c>
      <c r="AK247" s="19" t="str">
        <f>IF(A247="","",IF('Hidrograma afluente'!I254="",0,'Hidrograma afluente'!I254)+Simulação!B247)</f>
        <v/>
      </c>
    </row>
    <row r="248" spans="1:37" s="17" customFormat="1">
      <c r="A248" s="4" t="str">
        <f t="shared" si="49"/>
        <v/>
      </c>
      <c r="B248" s="5" t="str">
        <f>IF(A248="","",IF(A248&gt;tc_lot_i+tc,0,IF('Hidrograma afluente'!B255="","",'Hidrograma afluente'!B255)))</f>
        <v/>
      </c>
      <c r="C248" s="21" t="str">
        <f t="shared" si="50"/>
        <v/>
      </c>
      <c r="D248" s="21" t="str">
        <f t="shared" si="51"/>
        <v/>
      </c>
      <c r="E248" s="21" t="str">
        <f t="shared" si="52"/>
        <v/>
      </c>
      <c r="F248" s="21" t="str">
        <f t="shared" si="53"/>
        <v/>
      </c>
      <c r="G248" s="21" t="str">
        <f t="shared" si="54"/>
        <v/>
      </c>
      <c r="H248" s="23" t="str">
        <f t="shared" si="60"/>
        <v/>
      </c>
      <c r="I248" s="22" t="str">
        <f t="shared" si="55"/>
        <v/>
      </c>
      <c r="J248" s="1"/>
      <c r="K248" s="51"/>
      <c r="M248" s="81">
        <f t="shared" ca="1" si="46"/>
        <v>1197.8234941037492</v>
      </c>
      <c r="N248" s="19">
        <f t="shared" si="56"/>
        <v>35.253660512280838</v>
      </c>
      <c r="O248" s="17">
        <f t="shared" si="57"/>
        <v>61.75</v>
      </c>
      <c r="P248" s="19">
        <f ca="1">IF(ISERROR(IF(O248&lt;fi_h/20,0,(OFFSET('Base de dados'!$A$5,IF(O248&lt;20,1,IF(O248&gt;1000,10,MATCH(O248,Cargas,1))),Coluna_fih,1,1))*(1+0.13*0.25)*(PI()*(fi_h/1000)^2/4)*SQRT(2*9.81*(O248/100-fi_h/2/1000))*1000)),"",IF(O248&lt;fi_h/20,0,(OFFSET('Base de dados'!$A$5,IF(O248&lt;20,1,IF(O248&gt;1000,10,MATCH(O248,Cargas,1))),Coluna_fih,1,1))*(PI()*(fi_h/1000)^2/4)*SQRT(2*9.81*(O248/100-fi_h/2/1000))*1000))</f>
        <v>20.159571455615925</v>
      </c>
      <c r="Q248" s="19">
        <f ca="1">IF(O248="","",IF(Tipo_Vertedor="Retangular",IF(O248&lt;=cota_s*100,0,IF(Tipo_Vertedor="Retangular",Cd_sr*Lef_sr*((O248/100-cota_s)^(3/2))*1000)),IF(O248&lt;=cota_s*100+fi_s/20,0,(OFFSET('Base de dados'!$A$4,IF(O248&lt;20,1,IF(O248&gt;1000,10,MATCH(O248,Cargas,1))),Coluna_fis,1,1))*(PI()*(fi_s/1000)^2/4)*(2*9.81*(O248/100-cota_s-fi_s/2/1000))^0.5*1000)))</f>
        <v>2.5419055721053216</v>
      </c>
      <c r="R248" s="19">
        <f t="shared" ca="1" si="47"/>
        <v>22.701477027721246</v>
      </c>
      <c r="S248" s="19">
        <f t="shared" ca="1" si="48"/>
        <v>1175.122017076028</v>
      </c>
      <c r="AD248" s="19" t="str">
        <f t="shared" si="58"/>
        <v/>
      </c>
      <c r="AE248" s="19" t="str">
        <f t="shared" si="59"/>
        <v/>
      </c>
      <c r="AF248" s="19" t="str">
        <f>IF(ISERROR(IF('Hidrograma afluente'!I255="",0,'Hidrograma afluente'!I255)+Simulação!G248),"",IF('Hidrograma afluente'!I255="",0,'Hidrograma afluente'!I255)+Simulação!G248)</f>
        <v/>
      </c>
      <c r="AG248" s="17" t="s">
        <v>160</v>
      </c>
      <c r="AH248" s="17" t="s">
        <v>160</v>
      </c>
      <c r="AI248" s="27" t="s">
        <v>160</v>
      </c>
      <c r="AJ248" s="17" t="s">
        <v>160</v>
      </c>
      <c r="AK248" s="19" t="str">
        <f>IF(A248="","",IF('Hidrograma afluente'!I255="",0,'Hidrograma afluente'!I255)+Simulação!B248)</f>
        <v/>
      </c>
    </row>
    <row r="249" spans="1:37" s="17" customFormat="1">
      <c r="A249" s="4" t="str">
        <f t="shared" si="49"/>
        <v/>
      </c>
      <c r="B249" s="5" t="str">
        <f>IF(A249="","",IF(A249&gt;tc_lot_i+tc,0,IF('Hidrograma afluente'!B256="","",'Hidrograma afluente'!B256)))</f>
        <v/>
      </c>
      <c r="C249" s="21" t="str">
        <f t="shared" si="50"/>
        <v/>
      </c>
      <c r="D249" s="21" t="str">
        <f t="shared" si="51"/>
        <v/>
      </c>
      <c r="E249" s="21" t="str">
        <f t="shared" si="52"/>
        <v/>
      </c>
      <c r="F249" s="21" t="str">
        <f t="shared" si="53"/>
        <v/>
      </c>
      <c r="G249" s="21" t="str">
        <f t="shared" si="54"/>
        <v/>
      </c>
      <c r="H249" s="23" t="str">
        <f t="shared" si="60"/>
        <v/>
      </c>
      <c r="I249" s="22" t="str">
        <f t="shared" si="55"/>
        <v/>
      </c>
      <c r="J249" s="1"/>
      <c r="K249" s="51"/>
      <c r="M249" s="81">
        <f t="shared" ca="1" si="46"/>
        <v>1203.783661763279</v>
      </c>
      <c r="N249" s="19">
        <f t="shared" si="56"/>
        <v>35.414208492397414</v>
      </c>
      <c r="O249" s="17">
        <f t="shared" si="57"/>
        <v>62</v>
      </c>
      <c r="P249" s="19">
        <f ca="1">IF(ISERROR(IF(O249&lt;fi_h/20,0,(OFFSET('Base de dados'!$A$5,IF(O249&lt;20,1,IF(O249&gt;1000,10,MATCH(O249,Cargas,1))),Coluna_fih,1,1))*(1+0.13*0.25)*(PI()*(fi_h/1000)^2/4)*SQRT(2*9.81*(O249/100-fi_h/2/1000))*1000)),"",IF(O249&lt;fi_h/20,0,(OFFSET('Base de dados'!$A$5,IF(O249&lt;20,1,IF(O249&gt;1000,10,MATCH(O249,Cargas,1))),Coluna_fih,1,1))*(PI()*(fi_h/1000)^2/4)*SQRT(2*9.81*(O249/100-fi_h/2/1000))*1000))</f>
        <v>20.20443236706063</v>
      </c>
      <c r="Q249" s="19">
        <f ca="1">IF(O249="","",IF(Tipo_Vertedor="Retangular",IF(O249&lt;=cota_s*100,0,IF(Tipo_Vertedor="Retangular",Cd_sr*Lef_sr*((O249/100-cota_s)^(3/2))*1000)),IF(O249&lt;=cota_s*100+fi_s/20,0,(OFFSET('Base de dados'!$A$4,IF(O249&lt;20,1,IF(O249&gt;1000,10,MATCH(O249,Cargas,1))),Coluna_fis,1,1))*(PI()*(fi_s/1000)^2/4)*(2*9.81*(O249/100-cota_s-fi_s/2/1000))^0.5*1000)))</f>
        <v>3.105612982971321</v>
      </c>
      <c r="R249" s="19">
        <f t="shared" ca="1" si="47"/>
        <v>23.310045350031949</v>
      </c>
      <c r="S249" s="19">
        <f t="shared" ca="1" si="48"/>
        <v>1180.4736164132471</v>
      </c>
      <c r="AD249" s="19" t="str">
        <f t="shared" si="58"/>
        <v/>
      </c>
      <c r="AE249" s="19" t="str">
        <f t="shared" si="59"/>
        <v/>
      </c>
      <c r="AF249" s="19" t="str">
        <f>IF(ISERROR(IF('Hidrograma afluente'!I256="",0,'Hidrograma afluente'!I256)+Simulação!G249),"",IF('Hidrograma afluente'!I256="",0,'Hidrograma afluente'!I256)+Simulação!G249)</f>
        <v/>
      </c>
      <c r="AG249" s="17" t="s">
        <v>160</v>
      </c>
      <c r="AH249" s="17" t="s">
        <v>160</v>
      </c>
      <c r="AI249" s="27" t="s">
        <v>160</v>
      </c>
      <c r="AJ249" s="17" t="s">
        <v>160</v>
      </c>
      <c r="AK249" s="19" t="str">
        <f>IF(A249="","",IF('Hidrograma afluente'!I256="",0,'Hidrograma afluente'!I256)+Simulação!B249)</f>
        <v/>
      </c>
    </row>
    <row r="250" spans="1:37" s="17" customFormat="1">
      <c r="A250" s="4" t="str">
        <f t="shared" si="49"/>
        <v/>
      </c>
      <c r="B250" s="5" t="str">
        <f>IF(A250="","",IF(A250&gt;tc_lot_i+tc,0,IF('Hidrograma afluente'!B257="","",'Hidrograma afluente'!B257)))</f>
        <v/>
      </c>
      <c r="C250" s="21" t="str">
        <f t="shared" si="50"/>
        <v/>
      </c>
      <c r="D250" s="21" t="str">
        <f t="shared" si="51"/>
        <v/>
      </c>
      <c r="E250" s="21" t="str">
        <f t="shared" si="52"/>
        <v/>
      </c>
      <c r="F250" s="21" t="str">
        <f t="shared" si="53"/>
        <v/>
      </c>
      <c r="G250" s="21" t="str">
        <f t="shared" si="54"/>
        <v/>
      </c>
      <c r="H250" s="23" t="str">
        <f t="shared" si="60"/>
        <v/>
      </c>
      <c r="I250" s="22" t="str">
        <f t="shared" si="55"/>
        <v/>
      </c>
      <c r="J250" s="1"/>
      <c r="K250" s="51"/>
      <c r="M250" s="81">
        <f t="shared" ca="1" si="46"/>
        <v>1209.7828485199768</v>
      </c>
      <c r="N250" s="19">
        <f t="shared" si="56"/>
        <v>35.574837138839037</v>
      </c>
      <c r="O250" s="17">
        <f t="shared" si="57"/>
        <v>62.25</v>
      </c>
      <c r="P250" s="19">
        <f ca="1">IF(ISERROR(IF(O250&lt;fi_h/20,0,(OFFSET('Base de dados'!$A$5,IF(O250&lt;20,1,IF(O250&gt;1000,10,MATCH(O250,Cargas,1))),Coluna_fih,1,1))*(1+0.13*0.25)*(PI()*(fi_h/1000)^2/4)*SQRT(2*9.81*(O250/100-fi_h/2/1000))*1000)),"",IF(O250&lt;fi_h/20,0,(OFFSET('Base de dados'!$A$5,IF(O250&lt;20,1,IF(O250&gt;1000,10,MATCH(O250,Cargas,1))),Coluna_fih,1,1))*(PI()*(fi_h/1000)^2/4)*SQRT(2*9.81*(O250/100-fi_h/2/1000))*1000))</f>
        <v>20.249193892008893</v>
      </c>
      <c r="Q250" s="19">
        <f ca="1">IF(O250="","",IF(Tipo_Vertedor="Retangular",IF(O250&lt;=cota_s*100,0,IF(Tipo_Vertedor="Retangular",Cd_sr*Lef_sr*((O250/100-cota_s)^(3/2))*1000)),IF(O250&lt;=cota_s*100+fi_s/20,0,(OFFSET('Base de dados'!$A$4,IF(O250&lt;20,1,IF(O250&gt;1000,10,MATCH(O250,Cargas,1))),Coluna_fis,1,1))*(PI()*(fi_s/1000)^2/4)*(2*9.81*(O250/100-cota_s-fi_s/2/1000))^0.5*1000)))</f>
        <v>3.7057500000000201</v>
      </c>
      <c r="R250" s="19">
        <f t="shared" ca="1" si="47"/>
        <v>23.954943892008913</v>
      </c>
      <c r="S250" s="19">
        <f t="shared" ca="1" si="48"/>
        <v>1185.8279046279679</v>
      </c>
      <c r="AD250" s="19" t="str">
        <f t="shared" si="58"/>
        <v/>
      </c>
      <c r="AE250" s="19" t="str">
        <f t="shared" si="59"/>
        <v/>
      </c>
      <c r="AF250" s="19" t="str">
        <f>IF(ISERROR(IF('Hidrograma afluente'!I257="",0,'Hidrograma afluente'!I257)+Simulação!G250),"",IF('Hidrograma afluente'!I257="",0,'Hidrograma afluente'!I257)+Simulação!G250)</f>
        <v/>
      </c>
      <c r="AG250" s="17" t="s">
        <v>160</v>
      </c>
      <c r="AH250" s="17" t="s">
        <v>160</v>
      </c>
      <c r="AI250" s="27" t="s">
        <v>160</v>
      </c>
      <c r="AJ250" s="17" t="s">
        <v>160</v>
      </c>
      <c r="AK250" s="19" t="str">
        <f>IF(A250="","",IF('Hidrograma afluente'!I257="",0,'Hidrograma afluente'!I257)+Simulação!B250)</f>
        <v/>
      </c>
    </row>
    <row r="251" spans="1:37" s="17" customFormat="1">
      <c r="A251" s="4" t="str">
        <f t="shared" si="49"/>
        <v/>
      </c>
      <c r="B251" s="5" t="str">
        <f>IF(A251="","",IF(A251&gt;tc_lot_i+tc,0,IF('Hidrograma afluente'!B258="","",'Hidrograma afluente'!B258)))</f>
        <v/>
      </c>
      <c r="C251" s="21" t="str">
        <f t="shared" si="50"/>
        <v/>
      </c>
      <c r="D251" s="21" t="str">
        <f t="shared" si="51"/>
        <v/>
      </c>
      <c r="E251" s="21" t="str">
        <f t="shared" si="52"/>
        <v/>
      </c>
      <c r="F251" s="21" t="str">
        <f t="shared" si="53"/>
        <v/>
      </c>
      <c r="G251" s="21" t="str">
        <f t="shared" si="54"/>
        <v/>
      </c>
      <c r="H251" s="23" t="str">
        <f t="shared" si="60"/>
        <v/>
      </c>
      <c r="I251" s="22" t="str">
        <f t="shared" si="55"/>
        <v/>
      </c>
      <c r="J251" s="1"/>
      <c r="K251" s="51"/>
      <c r="M251" s="81">
        <f t="shared" ca="1" si="46"/>
        <v>1215.8189550409945</v>
      </c>
      <c r="N251" s="19">
        <f t="shared" si="56"/>
        <v>35.73554616792935</v>
      </c>
      <c r="O251" s="17">
        <f t="shared" si="57"/>
        <v>62.5</v>
      </c>
      <c r="P251" s="19">
        <f ca="1">IF(ISERROR(IF(O251&lt;fi_h/20,0,(OFFSET('Base de dados'!$A$5,IF(O251&lt;20,1,IF(O251&gt;1000,10,MATCH(O251,Cargas,1))),Coluna_fih,1,1))*(1+0.13*0.25)*(PI()*(fi_h/1000)^2/4)*SQRT(2*9.81*(O251/100-fi_h/2/1000))*1000)),"",IF(O251&lt;fi_h/20,0,(OFFSET('Base de dados'!$A$5,IF(O251&lt;20,1,IF(O251&gt;1000,10,MATCH(O251,Cargas,1))),Coluna_fih,1,1))*(PI()*(fi_h/1000)^2/4)*SQRT(2*9.81*(O251/100-fi_h/2/1000))*1000))</f>
        <v>20.293856688101776</v>
      </c>
      <c r="Q251" s="19">
        <f ca="1">IF(O251="","",IF(Tipo_Vertedor="Retangular",IF(O251&lt;=cota_s*100,0,IF(Tipo_Vertedor="Retangular",Cd_sr*Lef_sr*((O251/100-cota_s)^(3/2))*1000)),IF(O251&lt;=cota_s*100+fi_s/20,0,(OFFSET('Base de dados'!$A$4,IF(O251&lt;20,1,IF(O251&gt;1000,10,MATCH(O251,Cargas,1))),Coluna_fis,1,1))*(PI()*(fi_s/1000)^2/4)*(2*9.81*(O251/100-cota_s-fi_s/2/1000))^0.5*1000)))</f>
        <v>4.3402260885811081</v>
      </c>
      <c r="R251" s="19">
        <f t="shared" ca="1" si="47"/>
        <v>24.634082776682884</v>
      </c>
      <c r="S251" s="19">
        <f t="shared" ca="1" si="48"/>
        <v>1191.1848722643117</v>
      </c>
      <c r="AD251" s="19" t="str">
        <f t="shared" si="58"/>
        <v/>
      </c>
      <c r="AE251" s="19" t="str">
        <f t="shared" si="59"/>
        <v/>
      </c>
      <c r="AF251" s="19" t="str">
        <f>IF(ISERROR(IF('Hidrograma afluente'!I258="",0,'Hidrograma afluente'!I258)+Simulação!G251),"",IF('Hidrograma afluente'!I258="",0,'Hidrograma afluente'!I258)+Simulação!G251)</f>
        <v/>
      </c>
      <c r="AG251" s="17" t="s">
        <v>160</v>
      </c>
      <c r="AH251" s="17" t="s">
        <v>160</v>
      </c>
      <c r="AI251" s="27" t="s">
        <v>160</v>
      </c>
      <c r="AJ251" s="17" t="s">
        <v>160</v>
      </c>
      <c r="AK251" s="19" t="str">
        <f>IF(A251="","",IF('Hidrograma afluente'!I258="",0,'Hidrograma afluente'!I258)+Simulação!B251)</f>
        <v/>
      </c>
    </row>
    <row r="252" spans="1:37" s="17" customFormat="1">
      <c r="A252" s="4" t="str">
        <f t="shared" si="49"/>
        <v/>
      </c>
      <c r="B252" s="5" t="str">
        <f>IF(A252="","",IF(A252&gt;tc_lot_i+tc,0,IF('Hidrograma afluente'!B259="","",'Hidrograma afluente'!B259)))</f>
        <v/>
      </c>
      <c r="C252" s="21" t="str">
        <f t="shared" si="50"/>
        <v/>
      </c>
      <c r="D252" s="21" t="str">
        <f t="shared" si="51"/>
        <v/>
      </c>
      <c r="E252" s="21" t="str">
        <f t="shared" si="52"/>
        <v/>
      </c>
      <c r="F252" s="21" t="str">
        <f t="shared" si="53"/>
        <v/>
      </c>
      <c r="G252" s="21" t="str">
        <f t="shared" si="54"/>
        <v/>
      </c>
      <c r="H252" s="23" t="str">
        <f t="shared" si="60"/>
        <v/>
      </c>
      <c r="I252" s="22" t="str">
        <f t="shared" si="55"/>
        <v/>
      </c>
      <c r="J252" s="1"/>
      <c r="K252" s="51"/>
      <c r="M252" s="81">
        <f t="shared" ca="1" si="46"/>
        <v>1221.8902056203524</v>
      </c>
      <c r="N252" s="19">
        <f t="shared" si="56"/>
        <v>35.896335298120611</v>
      </c>
      <c r="O252" s="17">
        <f t="shared" si="57"/>
        <v>62.75</v>
      </c>
      <c r="P252" s="19">
        <f ca="1">IF(ISERROR(IF(O252&lt;fi_h/20,0,(OFFSET('Base de dados'!$A$5,IF(O252&lt;20,1,IF(O252&gt;1000,10,MATCH(O252,Cargas,1))),Coluna_fih,1,1))*(1+0.13*0.25)*(PI()*(fi_h/1000)^2/4)*SQRT(2*9.81*(O252/100-fi_h/2/1000))*1000)),"",IF(O252&lt;fi_h/20,0,(OFFSET('Base de dados'!$A$5,IF(O252&lt;20,1,IF(O252&gt;1000,10,MATCH(O252,Cargas,1))),Coluna_fih,1,1))*(PI()*(fi_h/1000)^2/4)*SQRT(2*9.81*(O252/100-fi_h/2/1000))*1000))</f>
        <v>20.338421405759497</v>
      </c>
      <c r="Q252" s="19">
        <f ca="1">IF(O252="","",IF(Tipo_Vertedor="Retangular",IF(O252&lt;=cota_s*100,0,IF(Tipo_Vertedor="Retangular",Cd_sr*Lef_sr*((O252/100-cota_s)^(3/2))*1000)),IF(O252&lt;=cota_s*100+fi_s/20,0,(OFFSET('Base de dados'!$A$4,IF(O252&lt;20,1,IF(O252&gt;1000,10,MATCH(O252,Cargas,1))),Coluna_fis,1,1))*(PI()*(fi_s/1000)^2/4)*(2*9.81*(O252/100-cota_s-fi_s/2/1000))^0.5*1000)))</f>
        <v>5.0072742772390573</v>
      </c>
      <c r="R252" s="19">
        <f t="shared" ca="1" si="47"/>
        <v>25.345695682998553</v>
      </c>
      <c r="S252" s="19">
        <f t="shared" ca="1" si="48"/>
        <v>1196.5445099373537</v>
      </c>
      <c r="AD252" s="19" t="str">
        <f t="shared" si="58"/>
        <v/>
      </c>
      <c r="AE252" s="19" t="str">
        <f t="shared" si="59"/>
        <v/>
      </c>
      <c r="AF252" s="19" t="str">
        <f>IF(ISERROR(IF('Hidrograma afluente'!I259="",0,'Hidrograma afluente'!I259)+Simulação!G252),"",IF('Hidrograma afluente'!I259="",0,'Hidrograma afluente'!I259)+Simulação!G252)</f>
        <v/>
      </c>
      <c r="AG252" s="17" t="s">
        <v>160</v>
      </c>
      <c r="AH252" s="17" t="s">
        <v>160</v>
      </c>
      <c r="AI252" s="27" t="s">
        <v>160</v>
      </c>
      <c r="AJ252" s="17" t="s">
        <v>160</v>
      </c>
      <c r="AK252" s="19" t="str">
        <f>IF(A252="","",IF('Hidrograma afluente'!I259="",0,'Hidrograma afluente'!I259)+Simulação!B252)</f>
        <v/>
      </c>
    </row>
    <row r="253" spans="1:37" s="17" customFormat="1">
      <c r="A253" s="4" t="str">
        <f t="shared" si="49"/>
        <v/>
      </c>
      <c r="B253" s="5" t="str">
        <f>IF(A253="","",IF(A253&gt;tc_lot_i+tc,0,IF('Hidrograma afluente'!B260="","",'Hidrograma afluente'!B260)))</f>
        <v/>
      </c>
      <c r="C253" s="21" t="str">
        <f t="shared" si="50"/>
        <v/>
      </c>
      <c r="D253" s="21" t="str">
        <f t="shared" si="51"/>
        <v/>
      </c>
      <c r="E253" s="21" t="str">
        <f t="shared" si="52"/>
        <v/>
      </c>
      <c r="F253" s="21" t="str">
        <f t="shared" si="53"/>
        <v/>
      </c>
      <c r="G253" s="21" t="str">
        <f t="shared" si="54"/>
        <v/>
      </c>
      <c r="H253" s="23" t="str">
        <f t="shared" si="60"/>
        <v/>
      </c>
      <c r="I253" s="22" t="str">
        <f t="shared" si="55"/>
        <v/>
      </c>
      <c r="J253" s="1"/>
      <c r="K253" s="51"/>
      <c r="M253" s="81">
        <f t="shared" ca="1" si="46"/>
        <v>1227.9950723807335</v>
      </c>
      <c r="N253" s="19">
        <f t="shared" si="56"/>
        <v>36.057204249969288</v>
      </c>
      <c r="O253" s="17">
        <f t="shared" si="57"/>
        <v>63</v>
      </c>
      <c r="P253" s="19">
        <f ca="1">IF(ISERROR(IF(O253&lt;fi_h/20,0,(OFFSET('Base de dados'!$A$5,IF(O253&lt;20,1,IF(O253&gt;1000,10,MATCH(O253,Cargas,1))),Coluna_fih,1,1))*(1+0.13*0.25)*(PI()*(fi_h/1000)^2/4)*SQRT(2*9.81*(O253/100-fi_h/2/1000))*1000)),"",IF(O253&lt;fi_h/20,0,(OFFSET('Base de dados'!$A$5,IF(O253&lt;20,1,IF(O253&gt;1000,10,MATCH(O253,Cargas,1))),Coluna_fih,1,1))*(PI()*(fi_h/1000)^2/4)*SQRT(2*9.81*(O253/100-fi_h/2/1000))*1000))</f>
        <v>20.382888688291928</v>
      </c>
      <c r="Q253" s="19">
        <f ca="1">IF(O253="","",IF(Tipo_Vertedor="Retangular",IF(O253&lt;=cota_s*100,0,IF(Tipo_Vertedor="Retangular",Cd_sr*Lef_sr*((O253/100-cota_s)^(3/2))*1000)),IF(O253&lt;=cota_s*100+fi_s/20,0,(OFFSET('Base de dados'!$A$4,IF(O253&lt;20,1,IF(O253&gt;1000,10,MATCH(O253,Cargas,1))),Coluna_fis,1,1))*(PI()*(fi_s/1000)^2/4)*(2*9.81*(O253/100-cota_s-fi_s/2/1000))^0.5*1000)))</f>
        <v>5.7053753601318888</v>
      </c>
      <c r="R253" s="19">
        <f t="shared" ca="1" si="47"/>
        <v>26.088264048423817</v>
      </c>
      <c r="S253" s="19">
        <f t="shared" ca="1" si="48"/>
        <v>1201.9068083323098</v>
      </c>
      <c r="AD253" s="19" t="str">
        <f t="shared" si="58"/>
        <v/>
      </c>
      <c r="AE253" s="19" t="str">
        <f t="shared" si="59"/>
        <v/>
      </c>
      <c r="AF253" s="19" t="str">
        <f>IF(ISERROR(IF('Hidrograma afluente'!I260="",0,'Hidrograma afluente'!I260)+Simulação!G253),"",IF('Hidrograma afluente'!I260="",0,'Hidrograma afluente'!I260)+Simulação!G253)</f>
        <v/>
      </c>
      <c r="AG253" s="17" t="s">
        <v>160</v>
      </c>
      <c r="AH253" s="17" t="s">
        <v>160</v>
      </c>
      <c r="AI253" s="27" t="s">
        <v>160</v>
      </c>
      <c r="AJ253" s="17" t="s">
        <v>160</v>
      </c>
      <c r="AK253" s="19" t="str">
        <f>IF(A253="","",IF('Hidrograma afluente'!I260="",0,'Hidrograma afluente'!I260)+Simulação!B253)</f>
        <v/>
      </c>
    </row>
    <row r="254" spans="1:37" s="17" customFormat="1">
      <c r="A254" s="4" t="str">
        <f t="shared" si="49"/>
        <v/>
      </c>
      <c r="B254" s="5" t="str">
        <f>IF(A254="","",IF(A254&gt;tc_lot_i+tc,0,IF('Hidrograma afluente'!B261="","",'Hidrograma afluente'!B261)))</f>
        <v/>
      </c>
      <c r="C254" s="21" t="str">
        <f t="shared" si="50"/>
        <v/>
      </c>
      <c r="D254" s="21" t="str">
        <f t="shared" si="51"/>
        <v/>
      </c>
      <c r="E254" s="21" t="str">
        <f t="shared" si="52"/>
        <v/>
      </c>
      <c r="F254" s="21" t="str">
        <f t="shared" si="53"/>
        <v/>
      </c>
      <c r="G254" s="21" t="str">
        <f t="shared" si="54"/>
        <v/>
      </c>
      <c r="H254" s="23" t="str">
        <f t="shared" si="60"/>
        <v/>
      </c>
      <c r="I254" s="22" t="str">
        <f t="shared" si="55"/>
        <v/>
      </c>
      <c r="J254" s="1"/>
      <c r="K254" s="51"/>
      <c r="M254" s="81">
        <f t="shared" ca="1" si="46"/>
        <v>1234.1322222389874</v>
      </c>
      <c r="N254" s="19">
        <f t="shared" si="56"/>
        <v>36.218152746112018</v>
      </c>
      <c r="O254" s="17">
        <f t="shared" si="57"/>
        <v>63.25</v>
      </c>
      <c r="P254" s="19">
        <f ca="1">IF(ISERROR(IF(O254&lt;fi_h/20,0,(OFFSET('Base de dados'!$A$5,IF(O254&lt;20,1,IF(O254&gt;1000,10,MATCH(O254,Cargas,1))),Coluna_fih,1,1))*(1+0.13*0.25)*(PI()*(fi_h/1000)^2/4)*SQRT(2*9.81*(O254/100-fi_h/2/1000))*1000)),"",IF(O254&lt;fi_h/20,0,(OFFSET('Base de dados'!$A$5,IF(O254&lt;20,1,IF(O254&gt;1000,10,MATCH(O254,Cargas,1))),Coluna_fih,1,1))*(PI()*(fi_h/1000)^2/4)*SQRT(2*9.81*(O254/100-fi_h/2/1000))*1000))</f>
        <v>20.427259172006949</v>
      </c>
      <c r="Q254" s="19">
        <f ca="1">IF(O254="","",IF(Tipo_Vertedor="Retangular",IF(O254&lt;=cota_s*100,0,IF(Tipo_Vertedor="Retangular",Cd_sr*Lef_sr*((O254/100-cota_s)^(3/2))*1000)),IF(O254&lt;=cota_s*100+fi_s/20,0,(OFFSET('Base de dados'!$A$4,IF(O254&lt;20,1,IF(O254&gt;1000,10,MATCH(O254,Cargas,1))),Coluna_fis,1,1))*(PI()*(fi_s/1000)^2/4)*(2*9.81*(O254/100-cota_s-fi_s/2/1000))^0.5*1000)))</f>
        <v>6.433204863246619</v>
      </c>
      <c r="R254" s="19">
        <f t="shared" ca="1" si="47"/>
        <v>26.860464035253568</v>
      </c>
      <c r="S254" s="19">
        <f t="shared" ca="1" si="48"/>
        <v>1207.271758203734</v>
      </c>
      <c r="AD254" s="19" t="str">
        <f t="shared" si="58"/>
        <v/>
      </c>
      <c r="AE254" s="19" t="str">
        <f t="shared" si="59"/>
        <v/>
      </c>
      <c r="AF254" s="19" t="str">
        <f>IF(ISERROR(IF('Hidrograma afluente'!I261="",0,'Hidrograma afluente'!I261)+Simulação!G254),"",IF('Hidrograma afluente'!I261="",0,'Hidrograma afluente'!I261)+Simulação!G254)</f>
        <v/>
      </c>
      <c r="AG254" s="17" t="s">
        <v>160</v>
      </c>
      <c r="AH254" s="17" t="s">
        <v>160</v>
      </c>
      <c r="AI254" s="27" t="s">
        <v>160</v>
      </c>
      <c r="AJ254" s="17" t="s">
        <v>160</v>
      </c>
      <c r="AK254" s="19" t="str">
        <f>IF(A254="","",IF('Hidrograma afluente'!I261="",0,'Hidrograma afluente'!I261)+Simulação!B254)</f>
        <v/>
      </c>
    </row>
    <row r="255" spans="1:37" s="17" customFormat="1">
      <c r="A255" s="4" t="str">
        <f t="shared" si="49"/>
        <v/>
      </c>
      <c r="B255" s="5" t="str">
        <f>IF(A255="","",IF(A255&gt;tc_lot_i+tc,0,IF('Hidrograma afluente'!B262="","",'Hidrograma afluente'!B262)))</f>
        <v/>
      </c>
      <c r="C255" s="21" t="str">
        <f t="shared" si="50"/>
        <v/>
      </c>
      <c r="D255" s="21" t="str">
        <f t="shared" si="51"/>
        <v/>
      </c>
      <c r="E255" s="21" t="str">
        <f t="shared" si="52"/>
        <v/>
      </c>
      <c r="F255" s="21" t="str">
        <f t="shared" si="53"/>
        <v/>
      </c>
      <c r="G255" s="21" t="str">
        <f t="shared" si="54"/>
        <v/>
      </c>
      <c r="H255" s="23" t="str">
        <f t="shared" si="60"/>
        <v/>
      </c>
      <c r="I255" s="22" t="str">
        <f t="shared" si="55"/>
        <v/>
      </c>
      <c r="J255" s="1"/>
      <c r="K255" s="51"/>
      <c r="M255" s="81">
        <f t="shared" ca="1" si="46"/>
        <v>1240.3004785297369</v>
      </c>
      <c r="N255" s="19">
        <f t="shared" si="56"/>
        <v>36.379180511242019</v>
      </c>
      <c r="O255" s="17">
        <f t="shared" si="57"/>
        <v>63.5</v>
      </c>
      <c r="P255" s="19">
        <f ca="1">IF(ISERROR(IF(O255&lt;fi_h/20,0,(OFFSET('Base de dados'!$A$5,IF(O255&lt;20,1,IF(O255&gt;1000,10,MATCH(O255,Cargas,1))),Coluna_fih,1,1))*(1+0.13*0.25)*(PI()*(fi_h/1000)^2/4)*SQRT(2*9.81*(O255/100-fi_h/2/1000))*1000)),"",IF(O255&lt;fi_h/20,0,(OFFSET('Base de dados'!$A$5,IF(O255&lt;20,1,IF(O255&gt;1000,10,MATCH(O255,Cargas,1))),Coluna_fih,1,1))*(PI()*(fi_h/1000)^2/4)*SQRT(2*9.81*(O255/100-fi_h/2/1000))*1000))</f>
        <v>20.47153348631668</v>
      </c>
      <c r="Q255" s="19">
        <f ca="1">IF(O255="","",IF(Tipo_Vertedor="Retangular",IF(O255&lt;=cota_s*100,0,IF(Tipo_Vertedor="Retangular",Cd_sr*Lef_sr*((O255/100-cota_s)^(3/2))*1000)),IF(O255&lt;=cota_s*100+fi_s/20,0,(OFFSET('Base de dados'!$A$4,IF(O255&lt;20,1,IF(O255&gt;1000,10,MATCH(O255,Cargas,1))),Coluna_fis,1,1))*(PI()*(fi_s/1000)^2/4)*(2*9.81*(O255/100-cota_s-fi_s/2/1000))^0.5*1000)))</f>
        <v>7.1895946686861381</v>
      </c>
      <c r="R255" s="19">
        <f t="shared" ca="1" si="47"/>
        <v>27.661128155002817</v>
      </c>
      <c r="S255" s="19">
        <f t="shared" ca="1" si="48"/>
        <v>1212.639350374734</v>
      </c>
      <c r="AD255" s="19" t="str">
        <f t="shared" si="58"/>
        <v/>
      </c>
      <c r="AE255" s="19" t="str">
        <f t="shared" si="59"/>
        <v/>
      </c>
      <c r="AF255" s="19" t="str">
        <f>IF(ISERROR(IF('Hidrograma afluente'!I262="",0,'Hidrograma afluente'!I262)+Simulação!G255),"",IF('Hidrograma afluente'!I262="",0,'Hidrograma afluente'!I262)+Simulação!G255)</f>
        <v/>
      </c>
      <c r="AG255" s="17" t="s">
        <v>160</v>
      </c>
      <c r="AH255" s="17" t="s">
        <v>160</v>
      </c>
      <c r="AI255" s="27" t="s">
        <v>160</v>
      </c>
      <c r="AJ255" s="17" t="s">
        <v>160</v>
      </c>
      <c r="AK255" s="19" t="str">
        <f>IF(A255="","",IF('Hidrograma afluente'!I262="",0,'Hidrograma afluente'!I262)+Simulação!B255)</f>
        <v/>
      </c>
    </row>
    <row r="256" spans="1:37" s="17" customFormat="1">
      <c r="A256" s="4" t="str">
        <f t="shared" si="49"/>
        <v/>
      </c>
      <c r="B256" s="5" t="str">
        <f>IF(A256="","",IF(A256&gt;tc_lot_i+tc,0,IF('Hidrograma afluente'!B263="","",'Hidrograma afluente'!B263)))</f>
        <v/>
      </c>
      <c r="C256" s="21" t="str">
        <f t="shared" si="50"/>
        <v/>
      </c>
      <c r="D256" s="21" t="str">
        <f t="shared" si="51"/>
        <v/>
      </c>
      <c r="E256" s="21" t="str">
        <f t="shared" si="52"/>
        <v/>
      </c>
      <c r="F256" s="21" t="str">
        <f t="shared" si="53"/>
        <v/>
      </c>
      <c r="G256" s="21" t="str">
        <f t="shared" si="54"/>
        <v/>
      </c>
      <c r="H256" s="23" t="str">
        <f t="shared" si="60"/>
        <v/>
      </c>
      <c r="I256" s="22" t="str">
        <f t="shared" si="55"/>
        <v/>
      </c>
      <c r="J256" s="1"/>
      <c r="K256" s="51"/>
      <c r="M256" s="81">
        <f t="shared" ca="1" si="46"/>
        <v>1246.498792454038</v>
      </c>
      <c r="N256" s="19">
        <f t="shared" si="56"/>
        <v>36.540287272085756</v>
      </c>
      <c r="O256" s="17">
        <f t="shared" si="57"/>
        <v>63.75</v>
      </c>
      <c r="P256" s="19">
        <f ca="1">IF(ISERROR(IF(O256&lt;fi_h/20,0,(OFFSET('Base de dados'!$A$5,IF(O256&lt;20,1,IF(O256&gt;1000,10,MATCH(O256,Cargas,1))),Coluna_fih,1,1))*(1+0.13*0.25)*(PI()*(fi_h/1000)^2/4)*SQRT(2*9.81*(O256/100-fi_h/2/1000))*1000)),"",IF(O256&lt;fi_h/20,0,(OFFSET('Base de dados'!$A$5,IF(O256&lt;20,1,IF(O256&gt;1000,10,MATCH(O256,Cargas,1))),Coluna_fih,1,1))*(PI()*(fi_h/1000)^2/4)*SQRT(2*9.81*(O256/100-fi_h/2/1000))*1000))</f>
        <v>20.515712253841642</v>
      </c>
      <c r="Q256" s="19">
        <f ca="1">IF(O256="","",IF(Tipo_Vertedor="Retangular",IF(O256&lt;=cota_s*100,0,IF(Tipo_Vertedor="Retangular",Cd_sr*Lef_sr*((O256/100-cota_s)^(3/2))*1000)),IF(O256&lt;=cota_s*100+fi_s/20,0,(OFFSET('Base de dados'!$A$4,IF(O256&lt;20,1,IF(O256&gt;1000,10,MATCH(O256,Cargas,1))),Coluna_fis,1,1))*(PI()*(fi_s/1000)^2/4)*(2*9.81*(O256/100-cota_s-fi_s/2/1000))^0.5*1000)))</f>
        <v>7.9735044640045114</v>
      </c>
      <c r="R256" s="19">
        <f t="shared" ca="1" si="47"/>
        <v>28.489216717846155</v>
      </c>
      <c r="S256" s="19">
        <f t="shared" ca="1" si="48"/>
        <v>1218.0095757361919</v>
      </c>
      <c r="AD256" s="19" t="str">
        <f t="shared" si="58"/>
        <v/>
      </c>
      <c r="AE256" s="19" t="str">
        <f t="shared" si="59"/>
        <v/>
      </c>
      <c r="AF256" s="19" t="str">
        <f>IF(ISERROR(IF('Hidrograma afluente'!I263="",0,'Hidrograma afluente'!I263)+Simulação!G256),"",IF('Hidrograma afluente'!I263="",0,'Hidrograma afluente'!I263)+Simulação!G256)</f>
        <v/>
      </c>
      <c r="AG256" s="17" t="s">
        <v>160</v>
      </c>
      <c r="AH256" s="17" t="s">
        <v>160</v>
      </c>
      <c r="AI256" s="27" t="s">
        <v>160</v>
      </c>
      <c r="AJ256" s="17" t="s">
        <v>160</v>
      </c>
      <c r="AK256" s="19" t="str">
        <f>IF(A256="","",IF('Hidrograma afluente'!I263="",0,'Hidrograma afluente'!I263)+Simulação!B256)</f>
        <v/>
      </c>
    </row>
    <row r="257" spans="1:37" s="17" customFormat="1">
      <c r="A257" s="4" t="str">
        <f t="shared" si="49"/>
        <v/>
      </c>
      <c r="B257" s="5" t="str">
        <f>IF(A257="","",IF(A257&gt;tc_lot_i+tc,0,IF('Hidrograma afluente'!B264="","",'Hidrograma afluente'!B264)))</f>
        <v/>
      </c>
      <c r="C257" s="21" t="str">
        <f t="shared" si="50"/>
        <v/>
      </c>
      <c r="D257" s="21" t="str">
        <f t="shared" si="51"/>
        <v/>
      </c>
      <c r="E257" s="21" t="str">
        <f t="shared" si="52"/>
        <v/>
      </c>
      <c r="F257" s="21" t="str">
        <f t="shared" si="53"/>
        <v/>
      </c>
      <c r="G257" s="21" t="str">
        <f t="shared" si="54"/>
        <v/>
      </c>
      <c r="H257" s="23" t="str">
        <f t="shared" si="60"/>
        <v/>
      </c>
      <c r="I257" s="22" t="str">
        <f t="shared" si="55"/>
        <v/>
      </c>
      <c r="J257" s="1"/>
      <c r="K257" s="51"/>
      <c r="M257" s="81">
        <f t="shared" ca="1" si="46"/>
        <v>1252.7262213365143</v>
      </c>
      <c r="N257" s="19">
        <f t="shared" si="56"/>
        <v>36.701472757380039</v>
      </c>
      <c r="O257" s="17">
        <f t="shared" si="57"/>
        <v>64</v>
      </c>
      <c r="P257" s="19">
        <f ca="1">IF(ISERROR(IF(O257&lt;fi_h/20,0,(OFFSET('Base de dados'!$A$5,IF(O257&lt;20,1,IF(O257&gt;1000,10,MATCH(O257,Cargas,1))),Coluna_fih,1,1))*(1+0.13*0.25)*(PI()*(fi_h/1000)^2/4)*SQRT(2*9.81*(O257/100-fi_h/2/1000))*1000)),"",IF(O257&lt;fi_h/20,0,(OFFSET('Base de dados'!$A$5,IF(O257&lt;20,1,IF(O257&gt;1000,10,MATCH(O257,Cargas,1))),Coluna_fih,1,1))*(PI()*(fi_h/1000)^2/4)*SQRT(2*9.81*(O257/100-fi_h/2/1000))*1000))</f>
        <v>20.559796090512936</v>
      </c>
      <c r="Q257" s="19">
        <f ca="1">IF(O257="","",IF(Tipo_Vertedor="Retangular",IF(O257&lt;=cota_s*100,0,IF(Tipo_Vertedor="Retangular",Cd_sr*Lef_sr*((O257/100-cota_s)^(3/2))*1000)),IF(O257&lt;=cota_s*100+fi_s/20,0,(OFFSET('Base de dados'!$A$4,IF(O257&lt;20,1,IF(O257&gt;1000,10,MATCH(O257,Cargas,1))),Coluna_fis,1,1))*(PI()*(fi_s/1000)^2/4)*(2*9.81*(O257/100-cota_s-fi_s/2/1000))^0.5*1000)))</f>
        <v>8.7840000000000131</v>
      </c>
      <c r="R257" s="19">
        <f t="shared" ca="1" si="47"/>
        <v>29.343796090512949</v>
      </c>
      <c r="S257" s="19">
        <f t="shared" ca="1" si="48"/>
        <v>1223.3824252460013</v>
      </c>
      <c r="AD257" s="19" t="str">
        <f t="shared" si="58"/>
        <v/>
      </c>
      <c r="AE257" s="19" t="str">
        <f t="shared" si="59"/>
        <v/>
      </c>
      <c r="AF257" s="19" t="str">
        <f>IF(ISERROR(IF('Hidrograma afluente'!I264="",0,'Hidrograma afluente'!I264)+Simulação!G257),"",IF('Hidrograma afluente'!I264="",0,'Hidrograma afluente'!I264)+Simulação!G257)</f>
        <v/>
      </c>
      <c r="AG257" s="17" t="s">
        <v>160</v>
      </c>
      <c r="AH257" s="17" t="s">
        <v>160</v>
      </c>
      <c r="AI257" s="27" t="s">
        <v>160</v>
      </c>
      <c r="AJ257" s="17" t="s">
        <v>160</v>
      </c>
      <c r="AK257" s="19" t="str">
        <f>IF(A257="","",IF('Hidrograma afluente'!I264="",0,'Hidrograma afluente'!I264)+Simulação!B257)</f>
        <v/>
      </c>
    </row>
    <row r="258" spans="1:37" s="17" customFormat="1">
      <c r="A258" s="4" t="str">
        <f t="shared" si="49"/>
        <v/>
      </c>
      <c r="B258" s="5" t="str">
        <f>IF(A258="","",IF(A258&gt;tc_lot_i+tc,0,IF('Hidrograma afluente'!B265="","",'Hidrograma afluente'!B265)))</f>
        <v/>
      </c>
      <c r="C258" s="21" t="str">
        <f t="shared" si="50"/>
        <v/>
      </c>
      <c r="D258" s="21" t="str">
        <f t="shared" si="51"/>
        <v/>
      </c>
      <c r="E258" s="21" t="str">
        <f t="shared" si="52"/>
        <v/>
      </c>
      <c r="F258" s="21" t="str">
        <f t="shared" si="53"/>
        <v/>
      </c>
      <c r="G258" s="21" t="str">
        <f t="shared" si="54"/>
        <v/>
      </c>
      <c r="H258" s="23" t="str">
        <f t="shared" si="60"/>
        <v/>
      </c>
      <c r="I258" s="22" t="str">
        <f t="shared" si="55"/>
        <v/>
      </c>
      <c r="J258" s="1"/>
      <c r="K258" s="51"/>
      <c r="M258" s="81">
        <f t="shared" ca="1" si="46"/>
        <v>1258.9819117349575</v>
      </c>
      <c r="N258" s="19">
        <f t="shared" si="56"/>
        <v>36.862736697849378</v>
      </c>
      <c r="O258" s="17">
        <f t="shared" si="57"/>
        <v>64.25</v>
      </c>
      <c r="P258" s="19">
        <f ca="1">IF(ISERROR(IF(O258&lt;fi_h/20,0,(OFFSET('Base de dados'!$A$5,IF(O258&lt;20,1,IF(O258&gt;1000,10,MATCH(O258,Cargas,1))),Coluna_fih,1,1))*(1+0.13*0.25)*(PI()*(fi_h/1000)^2/4)*SQRT(2*9.81*(O258/100-fi_h/2/1000))*1000)),"",IF(O258&lt;fi_h/20,0,(OFFSET('Base de dados'!$A$5,IF(O258&lt;20,1,IF(O258&gt;1000,10,MATCH(O258,Cargas,1))),Coluna_fih,1,1))*(PI()*(fi_h/1000)^2/4)*SQRT(2*9.81*(O258/100-fi_h/2/1000))*1000))</f>
        <v>20.603785605672417</v>
      </c>
      <c r="Q258" s="19">
        <f ca="1">IF(O258="","",IF(Tipo_Vertedor="Retangular",IF(O258&lt;=cota_s*100,0,IF(Tipo_Vertedor="Retangular",Cd_sr*Lef_sr*((O258/100-cota_s)^(3/2))*1000)),IF(O258&lt;=cota_s*100+fi_s/20,0,(OFFSET('Base de dados'!$A$4,IF(O258&lt;20,1,IF(O258&gt;1000,10,MATCH(O258,Cargas,1))),Coluna_fis,1,1))*(PI()*(fi_s/1000)^2/4)*(2*9.81*(O258/100-cota_s-fi_s/2/1000))^0.5*1000)))</f>
        <v>9.6202362009723945</v>
      </c>
      <c r="R258" s="19">
        <f t="shared" ca="1" si="47"/>
        <v>30.224021806644814</v>
      </c>
      <c r="S258" s="19">
        <f t="shared" ca="1" si="48"/>
        <v>1228.7578899283128</v>
      </c>
      <c r="AD258" s="19" t="str">
        <f t="shared" si="58"/>
        <v/>
      </c>
      <c r="AE258" s="19" t="str">
        <f t="shared" si="59"/>
        <v/>
      </c>
      <c r="AF258" s="19" t="str">
        <f>IF(ISERROR(IF('Hidrograma afluente'!I265="",0,'Hidrograma afluente'!I265)+Simulação!G258),"",IF('Hidrograma afluente'!I265="",0,'Hidrograma afluente'!I265)+Simulação!G258)</f>
        <v/>
      </c>
      <c r="AG258" s="17" t="s">
        <v>160</v>
      </c>
      <c r="AH258" s="17" t="s">
        <v>160</v>
      </c>
      <c r="AI258" s="27" t="s">
        <v>160</v>
      </c>
      <c r="AJ258" s="17" t="s">
        <v>160</v>
      </c>
      <c r="AK258" s="19" t="str">
        <f>IF(A258="","",IF('Hidrograma afluente'!I265="",0,'Hidrograma afluente'!I265)+Simulação!B258)</f>
        <v/>
      </c>
    </row>
    <row r="259" spans="1:37" s="17" customFormat="1">
      <c r="A259" s="4" t="str">
        <f t="shared" si="49"/>
        <v/>
      </c>
      <c r="B259" s="5" t="str">
        <f>IF(A259="","",IF(A259&gt;tc_lot_i+tc,0,IF('Hidrograma afluente'!B266="","",'Hidrograma afluente'!B266)))</f>
        <v/>
      </c>
      <c r="C259" s="21" t="str">
        <f t="shared" si="50"/>
        <v/>
      </c>
      <c r="D259" s="21" t="str">
        <f t="shared" si="51"/>
        <v/>
      </c>
      <c r="E259" s="21" t="str">
        <f t="shared" si="52"/>
        <v/>
      </c>
      <c r="F259" s="21" t="str">
        <f t="shared" si="53"/>
        <v/>
      </c>
      <c r="G259" s="21" t="str">
        <f t="shared" si="54"/>
        <v/>
      </c>
      <c r="H259" s="23" t="str">
        <f t="shared" si="60"/>
        <v/>
      </c>
      <c r="I259" s="22" t="str">
        <f t="shared" si="55"/>
        <v/>
      </c>
      <c r="J259" s="1"/>
      <c r="K259" s="51"/>
      <c r="M259" s="81">
        <f t="shared" ca="1" si="46"/>
        <v>1265.2650860924932</v>
      </c>
      <c r="N259" s="19">
        <f t="shared" si="56"/>
        <v>37.024078826183825</v>
      </c>
      <c r="O259" s="17">
        <f t="shared" si="57"/>
        <v>64.5</v>
      </c>
      <c r="P259" s="19">
        <f ca="1">IF(ISERROR(IF(O259&lt;fi_h/20,0,(OFFSET('Base de dados'!$A$5,IF(O259&lt;20,1,IF(O259&gt;1000,10,MATCH(O259,Cargas,1))),Coluna_fih,1,1))*(1+0.13*0.25)*(PI()*(fi_h/1000)^2/4)*SQRT(2*9.81*(O259/100-fi_h/2/1000))*1000)),"",IF(O259&lt;fi_h/20,0,(OFFSET('Base de dados'!$A$5,IF(O259&lt;20,1,IF(O259&gt;1000,10,MATCH(O259,Cargas,1))),Coluna_fih,1,1))*(PI()*(fi_h/1000)^2/4)*SQRT(2*9.81*(O259/100-fi_h/2/1000))*1000))</f>
        <v>20.647681402170971</v>
      </c>
      <c r="Q259" s="19">
        <f ca="1">IF(O259="","",IF(Tipo_Vertedor="Retangular",IF(O259&lt;=cota_s*100,0,IF(Tipo_Vertedor="Retangular",Cd_sr*Lef_sr*((O259/100-cota_s)^(3/2))*1000)),IF(O259&lt;=cota_s*100+fi_s/20,0,(OFFSET('Base de dados'!$A$4,IF(O259&lt;20,1,IF(O259&gt;1000,10,MATCH(O259,Cargas,1))),Coluna_fis,1,1))*(PI()*(fi_s/1000)^2/4)*(2*9.81*(O259/100-cota_s-fi_s/2/1000))^0.5*1000)))</f>
        <v>10.481443817528206</v>
      </c>
      <c r="R259" s="19">
        <f t="shared" ca="1" si="47"/>
        <v>31.129125219699176</v>
      </c>
      <c r="S259" s="19">
        <f t="shared" ca="1" si="48"/>
        <v>1234.1359608727942</v>
      </c>
      <c r="AD259" s="19" t="str">
        <f t="shared" si="58"/>
        <v/>
      </c>
      <c r="AE259" s="19" t="str">
        <f t="shared" si="59"/>
        <v/>
      </c>
      <c r="AF259" s="19" t="str">
        <f>IF(ISERROR(IF('Hidrograma afluente'!I266="",0,'Hidrograma afluente'!I266)+Simulação!G259),"",IF('Hidrograma afluente'!I266="",0,'Hidrograma afluente'!I266)+Simulação!G259)</f>
        <v/>
      </c>
      <c r="AG259" s="17" t="s">
        <v>160</v>
      </c>
      <c r="AH259" s="17" t="s">
        <v>160</v>
      </c>
      <c r="AI259" s="27" t="s">
        <v>160</v>
      </c>
      <c r="AJ259" s="17" t="s">
        <v>160</v>
      </c>
      <c r="AK259" s="19" t="str">
        <f>IF(A259="","",IF('Hidrograma afluente'!I266="",0,'Hidrograma afluente'!I266)+Simulação!B259)</f>
        <v/>
      </c>
    </row>
    <row r="260" spans="1:37" s="17" customFormat="1">
      <c r="A260" s="4" t="str">
        <f t="shared" si="49"/>
        <v/>
      </c>
      <c r="B260" s="5" t="str">
        <f>IF(A260="","",IF(A260&gt;tc_lot_i+tc,0,IF('Hidrograma afluente'!B267="","",'Hidrograma afluente'!B267)))</f>
        <v/>
      </c>
      <c r="C260" s="21" t="str">
        <f t="shared" si="50"/>
        <v/>
      </c>
      <c r="D260" s="21" t="str">
        <f t="shared" si="51"/>
        <v/>
      </c>
      <c r="E260" s="21" t="str">
        <f t="shared" si="52"/>
        <v/>
      </c>
      <c r="F260" s="21" t="str">
        <f t="shared" si="53"/>
        <v/>
      </c>
      <c r="G260" s="21" t="str">
        <f t="shared" si="54"/>
        <v/>
      </c>
      <c r="H260" s="23" t="str">
        <f t="shared" si="60"/>
        <v/>
      </c>
      <c r="I260" s="22" t="str">
        <f t="shared" si="55"/>
        <v/>
      </c>
      <c r="J260" s="1"/>
      <c r="K260" s="51"/>
      <c r="M260" s="81">
        <f t="shared" ca="1" si="46"/>
        <v>1271.5750320303819</v>
      </c>
      <c r="N260" s="19">
        <f t="shared" si="56"/>
        <v>37.185498877016968</v>
      </c>
      <c r="O260" s="17">
        <f t="shared" si="57"/>
        <v>64.75</v>
      </c>
      <c r="P260" s="19">
        <f ca="1">IF(ISERROR(IF(O260&lt;fi_h/20,0,(OFFSET('Base de dados'!$A$5,IF(O260&lt;20,1,IF(O260&gt;1000,10,MATCH(O260,Cargas,1))),Coluna_fih,1,1))*(1+0.13*0.25)*(PI()*(fi_h/1000)^2/4)*SQRT(2*9.81*(O260/100-fi_h/2/1000))*1000)),"",IF(O260&lt;fi_h/20,0,(OFFSET('Base de dados'!$A$5,IF(O260&lt;20,1,IF(O260&gt;1000,10,MATCH(O260,Cargas,1))),Coluna_fih,1,1))*(PI()*(fi_h/1000)^2/4)*SQRT(2*9.81*(O260/100-fi_h/2/1000))*1000))</f>
        <v>20.691484076464885</v>
      </c>
      <c r="Q260" s="19">
        <f ca="1">IF(O260="","",IF(Tipo_Vertedor="Retangular",IF(O260&lt;=cota_s*100,0,IF(Tipo_Vertedor="Retangular",Cd_sr*Lef_sr*((O260/100-cota_s)^(3/2))*1000)),IF(O260&lt;=cota_s*100+fi_s/20,0,(OFFSET('Base de dados'!$A$4,IF(O260&lt;20,1,IF(O260&gt;1000,10,MATCH(O260,Cargas,1))),Coluna_fis,1,1))*(PI()*(fi_s/1000)^2/4)*(2*9.81*(O260/100-cota_s-fi_s/2/1000))^0.5*1000)))</f>
        <v>11.366918720018189</v>
      </c>
      <c r="R260" s="19">
        <f t="shared" ca="1" si="47"/>
        <v>32.058402796483072</v>
      </c>
      <c r="S260" s="19">
        <f t="shared" ca="1" si="48"/>
        <v>1239.5166292338988</v>
      </c>
      <c r="AD260" s="19" t="str">
        <f t="shared" si="58"/>
        <v/>
      </c>
      <c r="AE260" s="19" t="str">
        <f t="shared" si="59"/>
        <v/>
      </c>
      <c r="AF260" s="19" t="str">
        <f>IF(ISERROR(IF('Hidrograma afluente'!I267="",0,'Hidrograma afluente'!I267)+Simulação!G260),"",IF('Hidrograma afluente'!I267="",0,'Hidrograma afluente'!I267)+Simulação!G260)</f>
        <v/>
      </c>
      <c r="AG260" s="17" t="s">
        <v>160</v>
      </c>
      <c r="AH260" s="17" t="s">
        <v>160</v>
      </c>
      <c r="AI260" s="27" t="s">
        <v>160</v>
      </c>
      <c r="AJ260" s="17" t="s">
        <v>160</v>
      </c>
      <c r="AK260" s="19" t="str">
        <f>IF(A260="","",IF('Hidrograma afluente'!I267="",0,'Hidrograma afluente'!I267)+Simulação!B260)</f>
        <v/>
      </c>
    </row>
    <row r="261" spans="1:37" s="17" customFormat="1">
      <c r="A261" s="4" t="str">
        <f t="shared" si="49"/>
        <v/>
      </c>
      <c r="B261" s="5" t="str">
        <f>IF(A261="","",IF(A261&gt;tc_lot_i+tc,0,IF('Hidrograma afluente'!B268="","",'Hidrograma afluente'!B268)))</f>
        <v/>
      </c>
      <c r="C261" s="21" t="str">
        <f t="shared" si="50"/>
        <v/>
      </c>
      <c r="D261" s="21" t="str">
        <f t="shared" si="51"/>
        <v/>
      </c>
      <c r="E261" s="21" t="str">
        <f t="shared" si="52"/>
        <v/>
      </c>
      <c r="F261" s="21" t="str">
        <f t="shared" si="53"/>
        <v/>
      </c>
      <c r="G261" s="21" t="str">
        <f t="shared" si="54"/>
        <v/>
      </c>
      <c r="H261" s="23" t="str">
        <f t="shared" si="60"/>
        <v/>
      </c>
      <c r="I261" s="22" t="str">
        <f t="shared" si="55"/>
        <v/>
      </c>
      <c r="J261" s="1"/>
      <c r="K261" s="51"/>
      <c r="M261" s="81">
        <f t="shared" ref="M261:M324" ca="1" si="61">IF(O261="","",2*N261*1000/(Passo*60)+R261)</f>
        <v>1277.911093645333</v>
      </c>
      <c r="N261" s="19">
        <f t="shared" si="56"/>
        <v>37.34699658690446</v>
      </c>
      <c r="O261" s="17">
        <f t="shared" si="57"/>
        <v>65</v>
      </c>
      <c r="P261" s="19">
        <f ca="1">IF(ISERROR(IF(O261&lt;fi_h/20,0,(OFFSET('Base de dados'!$A$5,IF(O261&lt;20,1,IF(O261&gt;1000,10,MATCH(O261,Cargas,1))),Coluna_fih,1,1))*(1+0.13*0.25)*(PI()*(fi_h/1000)^2/4)*SQRT(2*9.81*(O261/100-fi_h/2/1000))*1000)),"",IF(O261&lt;fi_h/20,0,(OFFSET('Base de dados'!$A$5,IF(O261&lt;20,1,IF(O261&gt;1000,10,MATCH(O261,Cargas,1))),Coluna_fih,1,1))*(PI()*(fi_h/1000)^2/4)*SQRT(2*9.81*(O261/100-fi_h/2/1000))*1000))</f>
        <v>20.73519421871044</v>
      </c>
      <c r="Q261" s="19">
        <f ca="1">IF(O261="","",IF(Tipo_Vertedor="Retangular",IF(O261&lt;=cota_s*100,0,IF(Tipo_Vertedor="Retangular",Cd_sr*Lef_sr*((O261/100-cota_s)^(3/2))*1000)),IF(O261&lt;=cota_s*100+fi_s/20,0,(OFFSET('Base de dados'!$A$4,IF(O261&lt;20,1,IF(O261&gt;1000,10,MATCH(O261,Cargas,1))),Coluna_fis,1,1))*(PI()*(fi_s/1000)^2/4)*(2*9.81*(O261/100-cota_s-fi_s/2/1000))^0.5*1000)))</f>
        <v>12.276013196473867</v>
      </c>
      <c r="R261" s="19">
        <f t="shared" ref="R261:R324" ca="1" si="62">IF(O261="","",Q261+P261)</f>
        <v>33.011207415184309</v>
      </c>
      <c r="S261" s="19">
        <f t="shared" ref="S261:S324" ca="1" si="63">IF(M261="","",2*N261*1000/(Passo*60))</f>
        <v>1244.8998862301487</v>
      </c>
      <c r="AD261" s="19" t="str">
        <f t="shared" si="58"/>
        <v/>
      </c>
      <c r="AE261" s="19" t="str">
        <f t="shared" si="59"/>
        <v/>
      </c>
      <c r="AF261" s="19" t="str">
        <f>IF(ISERROR(IF('Hidrograma afluente'!I268="",0,'Hidrograma afluente'!I268)+Simulação!G261),"",IF('Hidrograma afluente'!I268="",0,'Hidrograma afluente'!I268)+Simulação!G261)</f>
        <v/>
      </c>
      <c r="AG261" s="17" t="s">
        <v>160</v>
      </c>
      <c r="AH261" s="17" t="s">
        <v>160</v>
      </c>
      <c r="AI261" s="27" t="s">
        <v>160</v>
      </c>
      <c r="AJ261" s="17" t="s">
        <v>160</v>
      </c>
      <c r="AK261" s="19" t="str">
        <f>IF(A261="","",IF('Hidrograma afluente'!I268="",0,'Hidrograma afluente'!I268)+Simulação!B261)</f>
        <v/>
      </c>
    </row>
    <row r="262" spans="1:37" s="17" customFormat="1">
      <c r="A262" s="4" t="str">
        <f t="shared" ref="A262:A325" si="64">IF(ISERROR(IF(A261+Passo&lt;=tempo_simul,A261+Passo,"")),"",IF(A261+Passo&lt;=tempo_simul,A261+Passo,""))</f>
        <v/>
      </c>
      <c r="B262" s="5" t="str">
        <f>IF(A262="","",IF(A262&gt;tc_lot_i+tc,0,IF('Hidrograma afluente'!B269="","",'Hidrograma afluente'!B269)))</f>
        <v/>
      </c>
      <c r="C262" s="21" t="str">
        <f t="shared" ref="C262:C325" si="65">IF(B263=0,0,IF(B263="","",B263))</f>
        <v/>
      </c>
      <c r="D262" s="21" t="str">
        <f t="shared" ref="D262:D325" si="66">IF(A262="","",IF(ISERROR(VLOOKUP(H261,tabela_auxiliar,7,1)),0,VLOOKUP(H261,tabela_auxiliar,7,1)))</f>
        <v/>
      </c>
      <c r="E262" s="21" t="str">
        <f t="shared" ref="E262:E325" si="67">IF(A262="","",IF(ISERROR(VLOOKUP(H261,tabela_auxiliar,4,TRUE)),0,VLOOKUP(H261,tabela_auxiliar,4,TRUE)))</f>
        <v/>
      </c>
      <c r="F262" s="21" t="str">
        <f t="shared" ref="F262:F325" si="68">IF(A262="","",IF(ISERROR(VLOOKUP(H261,tabela_auxiliar,5,TRUE)),0,VLOOKUP(H261,tabela_auxiliar,5,TRUE)))</f>
        <v/>
      </c>
      <c r="G262" s="21" t="str">
        <f t="shared" ref="G262:G325" si="69">IF(A262="","",IF(ISERROR(VLOOKUP(H261,tabela_auxiliar,6,TRUE)),0,VLOOKUP(H261,tabela_auxiliar,6,TRUE)))</f>
        <v/>
      </c>
      <c r="H262" s="23" t="str">
        <f t="shared" si="60"/>
        <v/>
      </c>
      <c r="I262" s="22" t="str">
        <f t="shared" ref="I262:I325" si="70">IF(A262="","",IF(ISERROR(VLOOKUP(H261,tabela_auxiliar,3,TRUE)),0,VLOOKUP(H261,tabela_auxiliar,3,TRUE)))</f>
        <v/>
      </c>
      <c r="J262" s="1"/>
      <c r="K262" s="51"/>
      <c r="M262" s="81">
        <f t="shared" ca="1" si="61"/>
        <v>1284.2726643530641</v>
      </c>
      <c r="N262" s="19">
        <f t="shared" ref="N262:N325" si="71">IF(O262="","",b_0*(O262/100)^c_0)</f>
        <v>37.508571694302624</v>
      </c>
      <c r="O262" s="17">
        <f t="shared" ref="O262:O325" si="72">IF(ISERROR(IF(O261+passo_altura&gt;h_max_puls*100,"",O261+passo_altura)),"",IF(O261+passo_altura&gt;h_max_puls*100,"",O261+passo_altura))</f>
        <v>65.25</v>
      </c>
      <c r="P262" s="19">
        <f ca="1">IF(ISERROR(IF(O262&lt;fi_h/20,0,(OFFSET('Base de dados'!$A$5,IF(O262&lt;20,1,IF(O262&gt;1000,10,MATCH(O262,Cargas,1))),Coluna_fih,1,1))*(1+0.13*0.25)*(PI()*(fi_h/1000)^2/4)*SQRT(2*9.81*(O262/100-fi_h/2/1000))*1000)),"",IF(O262&lt;fi_h/20,0,(OFFSET('Base de dados'!$A$5,IF(O262&lt;20,1,IF(O262&gt;1000,10,MATCH(O262,Cargas,1))),Coluna_fih,1,1))*(PI()*(fi_h/1000)^2/4)*SQRT(2*9.81*(O262/100-fi_h/2/1000))*1000))</f>
        <v>20.778812412856656</v>
      </c>
      <c r="Q262" s="19">
        <f ca="1">IF(O262="","",IF(Tipo_Vertedor="Retangular",IF(O262&lt;=cota_s*100,0,IF(Tipo_Vertedor="Retangular",Cd_sr*Lef_sr*((O262/100-cota_s)^(3/2))*1000)),IF(O262&lt;=cota_s*100+fi_s/20,0,(OFFSET('Base de dados'!$A$4,IF(O262&lt;20,1,IF(O262&gt;1000,10,MATCH(O262,Cargas,1))),Coluna_fis,1,1))*(PI()*(fi_s/1000)^2/4)*(2*9.81*(O262/100-cota_s-fi_s/2/1000))^0.5*1000)))</f>
        <v>13.208128796786463</v>
      </c>
      <c r="R262" s="19">
        <f t="shared" ca="1" si="62"/>
        <v>33.98694120964312</v>
      </c>
      <c r="S262" s="19">
        <f t="shared" ca="1" si="63"/>
        <v>1250.2857231434209</v>
      </c>
      <c r="AD262" s="19" t="str">
        <f t="shared" ref="AD262:AD325" si="73">IF(A262="","",AVERAGE(B262+B261)*Passo*60/1000+AD261)</f>
        <v/>
      </c>
      <c r="AE262" s="19" t="str">
        <f t="shared" ref="AE262:AE325" si="74">IF(A262="","",AE261+AVERAGE(G262+G261)*Passo*60/1000)</f>
        <v/>
      </c>
      <c r="AF262" s="19" t="str">
        <f>IF(ISERROR(IF('Hidrograma afluente'!I269="",0,'Hidrograma afluente'!I269)+Simulação!G262),"",IF('Hidrograma afluente'!I269="",0,'Hidrograma afluente'!I269)+Simulação!G262)</f>
        <v/>
      </c>
      <c r="AG262" s="17" t="s">
        <v>160</v>
      </c>
      <c r="AH262" s="17" t="s">
        <v>160</v>
      </c>
      <c r="AI262" s="27" t="s">
        <v>160</v>
      </c>
      <c r="AJ262" s="17" t="s">
        <v>160</v>
      </c>
      <c r="AK262" s="19" t="str">
        <f>IF(A262="","",IF('Hidrograma afluente'!I269="",0,'Hidrograma afluente'!I269)+Simulação!B262)</f>
        <v/>
      </c>
    </row>
    <row r="263" spans="1:37" s="17" customFormat="1">
      <c r="A263" s="4" t="str">
        <f t="shared" si="64"/>
        <v/>
      </c>
      <c r="B263" s="5" t="str">
        <f>IF(A263="","",IF(A263&gt;tc_lot_i+tc,0,IF('Hidrograma afluente'!B270="","",'Hidrograma afluente'!B270)))</f>
        <v/>
      </c>
      <c r="C263" s="21" t="str">
        <f t="shared" si="65"/>
        <v/>
      </c>
      <c r="D263" s="21" t="str">
        <f t="shared" si="66"/>
        <v/>
      </c>
      <c r="E263" s="21" t="str">
        <f t="shared" si="67"/>
        <v/>
      </c>
      <c r="F263" s="21" t="str">
        <f t="shared" si="68"/>
        <v/>
      </c>
      <c r="G263" s="21" t="str">
        <f t="shared" si="69"/>
        <v/>
      </c>
      <c r="H263" s="23" t="str">
        <f t="shared" si="60"/>
        <v/>
      </c>
      <c r="I263" s="22" t="str">
        <f t="shared" si="70"/>
        <v/>
      </c>
      <c r="J263" s="1"/>
      <c r="K263" s="51"/>
      <c r="M263" s="81">
        <f t="shared" ca="1" si="61"/>
        <v>1290.6591809417778</v>
      </c>
      <c r="N263" s="19">
        <f t="shared" si="71"/>
        <v>37.67022393954764</v>
      </c>
      <c r="O263" s="17">
        <f t="shared" si="72"/>
        <v>65.5</v>
      </c>
      <c r="P263" s="19">
        <f ca="1">IF(ISERROR(IF(O263&lt;fi_h/20,0,(OFFSET('Base de dados'!$A$5,IF(O263&lt;20,1,IF(O263&gt;1000,10,MATCH(O263,Cargas,1))),Coluna_fih,1,1))*(1+0.13*0.25)*(PI()*(fi_h/1000)^2/4)*SQRT(2*9.81*(O263/100-fi_h/2/1000))*1000)),"",IF(O263&lt;fi_h/20,0,(OFFSET('Base de dados'!$A$5,IF(O263&lt;20,1,IF(O263&gt;1000,10,MATCH(O263,Cargas,1))),Coluna_fih,1,1))*(PI()*(fi_h/1000)^2/4)*SQRT(2*9.81*(O263/100-fi_h/2/1000))*1000))</f>
        <v>20.822339236736319</v>
      </c>
      <c r="Q263" s="19">
        <f ca="1">IF(O263="","",IF(Tipo_Vertedor="Retangular",IF(O263&lt;=cota_s*100,0,IF(Tipo_Vertedor="Retangular",Cd_sr*Lef_sr*((O263/100-cota_s)^(3/2))*1000)),IF(O263&lt;=cota_s*100+fi_s/20,0,(OFFSET('Base de dados'!$A$4,IF(O263&lt;20,1,IF(O263&gt;1000,10,MATCH(O263,Cargas,1))),Coluna_fis,1,1))*(PI()*(fi_s/1000)^2/4)*(2*9.81*(O263/100-cota_s-fi_s/2/1000))^0.5*1000)))</f>
        <v>14.162710386786864</v>
      </c>
      <c r="R263" s="19">
        <f t="shared" ca="1" si="62"/>
        <v>34.985049623523182</v>
      </c>
      <c r="S263" s="19">
        <f t="shared" ca="1" si="63"/>
        <v>1255.6741313182547</v>
      </c>
      <c r="AD263" s="19" t="str">
        <f t="shared" si="73"/>
        <v/>
      </c>
      <c r="AE263" s="19" t="str">
        <f t="shared" si="74"/>
        <v/>
      </c>
      <c r="AF263" s="19" t="str">
        <f>IF(ISERROR(IF('Hidrograma afluente'!I270="",0,'Hidrograma afluente'!I270)+Simulação!G263),"",IF('Hidrograma afluente'!I270="",0,'Hidrograma afluente'!I270)+Simulação!G263)</f>
        <v/>
      </c>
      <c r="AG263" s="17" t="s">
        <v>160</v>
      </c>
      <c r="AH263" s="17" t="s">
        <v>160</v>
      </c>
      <c r="AI263" s="27" t="s">
        <v>160</v>
      </c>
      <c r="AJ263" s="17" t="s">
        <v>160</v>
      </c>
      <c r="AK263" s="19" t="str">
        <f>IF(A263="","",IF('Hidrograma afluente'!I270="",0,'Hidrograma afluente'!I270)+Simulação!B263)</f>
        <v/>
      </c>
    </row>
    <row r="264" spans="1:37" s="17" customFormat="1">
      <c r="A264" s="4" t="str">
        <f t="shared" si="64"/>
        <v/>
      </c>
      <c r="B264" s="5" t="str">
        <f>IF(A264="","",IF(A264&gt;tc_lot_i+tc,0,IF('Hidrograma afluente'!B271="","",'Hidrograma afluente'!B271)))</f>
        <v/>
      </c>
      <c r="C264" s="21" t="str">
        <f t="shared" si="65"/>
        <v/>
      </c>
      <c r="D264" s="21" t="str">
        <f t="shared" si="66"/>
        <v/>
      </c>
      <c r="E264" s="21" t="str">
        <f t="shared" si="67"/>
        <v/>
      </c>
      <c r="F264" s="21" t="str">
        <f t="shared" si="68"/>
        <v/>
      </c>
      <c r="G264" s="21" t="str">
        <f t="shared" si="69"/>
        <v/>
      </c>
      <c r="H264" s="23" t="str">
        <f t="shared" si="60"/>
        <v/>
      </c>
      <c r="I264" s="22" t="str">
        <f t="shared" si="70"/>
        <v/>
      </c>
      <c r="J264" s="1"/>
      <c r="K264" s="51"/>
      <c r="M264" s="81">
        <f t="shared" ca="1" si="61"/>
        <v>1297.0701185845326</v>
      </c>
      <c r="N264" s="19">
        <f t="shared" si="71"/>
        <v>37.831953064834792</v>
      </c>
      <c r="O264" s="17">
        <f t="shared" si="72"/>
        <v>65.75</v>
      </c>
      <c r="P264" s="19">
        <f ca="1">IF(ISERROR(IF(O264&lt;fi_h/20,0,(OFFSET('Base de dados'!$A$5,IF(O264&lt;20,1,IF(O264&gt;1000,10,MATCH(O264,Cargas,1))),Coluna_fih,1,1))*(1+0.13*0.25)*(PI()*(fi_h/1000)^2/4)*SQRT(2*9.81*(O264/100-fi_h/2/1000))*1000)),"",IF(O264&lt;fi_h/20,0,(OFFSET('Base de dados'!$A$5,IF(O264&lt;20,1,IF(O264&gt;1000,10,MATCH(O264,Cargas,1))),Coluna_fih,1,1))*(PI()*(fi_h/1000)^2/4)*SQRT(2*9.81*(O264/100-fi_h/2/1000))*1000))</f>
        <v>20.865775262155292</v>
      </c>
      <c r="Q264" s="19">
        <f ca="1">IF(O264="","",IF(Tipo_Vertedor="Retangular",IF(O264&lt;=cota_s*100,0,IF(Tipo_Vertedor="Retangular",Cd_sr*Lef_sr*((O264/100-cota_s)^(3/2))*1000)),IF(O264&lt;=cota_s*100+fi_s/20,0,(OFFSET('Base de dados'!$A$4,IF(O264&lt;20,1,IF(O264&gt;1000,10,MATCH(O264,Cargas,1))),Coluna_fis,1,1))*(PI()*(fi_s/1000)^2/4)*(2*9.81*(O264/100-cota_s-fi_s/2/1000))^0.5*1000)))</f>
        <v>15.139241161217427</v>
      </c>
      <c r="R264" s="19">
        <f t="shared" ca="1" si="62"/>
        <v>36.005016423372723</v>
      </c>
      <c r="S264" s="19">
        <f t="shared" ca="1" si="63"/>
        <v>1261.0651021611598</v>
      </c>
      <c r="AD264" s="19" t="str">
        <f t="shared" si="73"/>
        <v/>
      </c>
      <c r="AE264" s="19" t="str">
        <f t="shared" si="74"/>
        <v/>
      </c>
      <c r="AF264" s="19" t="str">
        <f>IF(ISERROR(IF('Hidrograma afluente'!I271="",0,'Hidrograma afluente'!I271)+Simulação!G264),"",IF('Hidrograma afluente'!I271="",0,'Hidrograma afluente'!I271)+Simulação!G264)</f>
        <v/>
      </c>
      <c r="AG264" s="17" t="s">
        <v>160</v>
      </c>
      <c r="AH264" s="17" t="s">
        <v>160</v>
      </c>
      <c r="AI264" s="27" t="s">
        <v>160</v>
      </c>
      <c r="AJ264" s="17" t="s">
        <v>160</v>
      </c>
      <c r="AK264" s="19" t="str">
        <f>IF(A264="","",IF('Hidrograma afluente'!I271="",0,'Hidrograma afluente'!I271)+Simulação!B264)</f>
        <v/>
      </c>
    </row>
    <row r="265" spans="1:37" s="17" customFormat="1">
      <c r="A265" s="4" t="str">
        <f t="shared" si="64"/>
        <v/>
      </c>
      <c r="B265" s="5" t="str">
        <f>IF(A265="","",IF(A265&gt;tc_lot_i+tc,0,IF('Hidrograma afluente'!B272="","",'Hidrograma afluente'!B272)))</f>
        <v/>
      </c>
      <c r="C265" s="21" t="str">
        <f t="shared" si="65"/>
        <v/>
      </c>
      <c r="D265" s="21" t="str">
        <f t="shared" si="66"/>
        <v/>
      </c>
      <c r="E265" s="21" t="str">
        <f t="shared" si="67"/>
        <v/>
      </c>
      <c r="F265" s="21" t="str">
        <f t="shared" si="68"/>
        <v/>
      </c>
      <c r="G265" s="21" t="str">
        <f t="shared" si="69"/>
        <v/>
      </c>
      <c r="H265" s="23" t="str">
        <f t="shared" si="60"/>
        <v/>
      </c>
      <c r="I265" s="22" t="str">
        <f t="shared" si="70"/>
        <v/>
      </c>
      <c r="J265" s="1"/>
      <c r="K265" s="51"/>
      <c r="M265" s="81">
        <f t="shared" ca="1" si="61"/>
        <v>1303.5049866203774</v>
      </c>
      <c r="N265" s="19">
        <f t="shared" si="71"/>
        <v>37.993758814198252</v>
      </c>
      <c r="O265" s="17">
        <f t="shared" si="72"/>
        <v>66</v>
      </c>
      <c r="P265" s="19">
        <f ca="1">IF(ISERROR(IF(O265&lt;fi_h/20,0,(OFFSET('Base de dados'!$A$5,IF(O265&lt;20,1,IF(O265&gt;1000,10,MATCH(O265,Cargas,1))),Coluna_fih,1,1))*(1+0.13*0.25)*(PI()*(fi_h/1000)^2/4)*SQRT(2*9.81*(O265/100-fi_h/2/1000))*1000)),"",IF(O265&lt;fi_h/20,0,(OFFSET('Base de dados'!$A$5,IF(O265&lt;20,1,IF(O265&gt;1000,10,MATCH(O265,Cargas,1))),Coluna_fih,1,1))*(PI()*(fi_h/1000)^2/4)*SQRT(2*9.81*(O265/100-fi_h/2/1000))*1000))</f>
        <v>20.909121054980165</v>
      </c>
      <c r="Q265" s="19">
        <f ca="1">IF(O265="","",IF(Tipo_Vertedor="Retangular",IF(O265&lt;=cota_s*100,0,IF(Tipo_Vertedor="Retangular",Cd_sr*Lef_sr*((O265/100-cota_s)^(3/2))*1000)),IF(O265&lt;=cota_s*100+fi_s/20,0,(OFFSET('Base de dados'!$A$4,IF(O265&lt;20,1,IF(O265&gt;1000,10,MATCH(O265,Cargas,1))),Coluna_fis,1,1))*(PI()*(fi_s/1000)^2/4)*(2*9.81*(O265/100-cota_s-fi_s/2/1000))^0.5*1000)))</f>
        <v>16.1372384254556</v>
      </c>
      <c r="R265" s="19">
        <f t="shared" ca="1" si="62"/>
        <v>37.046359480435768</v>
      </c>
      <c r="S265" s="19">
        <f t="shared" ca="1" si="63"/>
        <v>1266.4586271399417</v>
      </c>
      <c r="AD265" s="19" t="str">
        <f t="shared" si="73"/>
        <v/>
      </c>
      <c r="AE265" s="19" t="str">
        <f t="shared" si="74"/>
        <v/>
      </c>
      <c r="AF265" s="19" t="str">
        <f>IF(ISERROR(IF('Hidrograma afluente'!I272="",0,'Hidrograma afluente'!I272)+Simulação!G265),"",IF('Hidrograma afluente'!I272="",0,'Hidrograma afluente'!I272)+Simulação!G265)</f>
        <v/>
      </c>
      <c r="AG265" s="17" t="s">
        <v>160</v>
      </c>
      <c r="AH265" s="17" t="s">
        <v>160</v>
      </c>
      <c r="AI265" s="27" t="s">
        <v>160</v>
      </c>
      <c r="AJ265" s="17" t="s">
        <v>160</v>
      </c>
      <c r="AK265" s="19" t="str">
        <f>IF(A265="","",IF('Hidrograma afluente'!I272="",0,'Hidrograma afluente'!I272)+Simulação!B265)</f>
        <v/>
      </c>
    </row>
    <row r="266" spans="1:37" s="17" customFormat="1">
      <c r="A266" s="4" t="str">
        <f t="shared" si="64"/>
        <v/>
      </c>
      <c r="B266" s="5" t="str">
        <f>IF(A266="","",IF(A266&gt;tc_lot_i+tc,0,IF('Hidrograma afluente'!B273="","",'Hidrograma afluente'!B273)))</f>
        <v/>
      </c>
      <c r="C266" s="21" t="str">
        <f t="shared" si="65"/>
        <v/>
      </c>
      <c r="D266" s="21" t="str">
        <f t="shared" si="66"/>
        <v/>
      </c>
      <c r="E266" s="21" t="str">
        <f t="shared" si="67"/>
        <v/>
      </c>
      <c r="F266" s="21" t="str">
        <f t="shared" si="68"/>
        <v/>
      </c>
      <c r="G266" s="21" t="str">
        <f t="shared" si="69"/>
        <v/>
      </c>
      <c r="H266" s="23" t="str">
        <f t="shared" si="60"/>
        <v/>
      </c>
      <c r="I266" s="22" t="str">
        <f t="shared" si="70"/>
        <v/>
      </c>
      <c r="J266" s="1"/>
      <c r="K266" s="51"/>
      <c r="M266" s="81">
        <f t="shared" ca="1" si="61"/>
        <v>1309.9633249582548</v>
      </c>
      <c r="N266" s="19">
        <f t="shared" si="71"/>
        <v>38.155640933490922</v>
      </c>
      <c r="O266" s="17">
        <f t="shared" si="72"/>
        <v>66.25</v>
      </c>
      <c r="P266" s="19">
        <f ca="1">IF(ISERROR(IF(O266&lt;fi_h/20,0,(OFFSET('Base de dados'!$A$5,IF(O266&lt;20,1,IF(O266&gt;1000,10,MATCH(O266,Cargas,1))),Coluna_fih,1,1))*(1+0.13*0.25)*(PI()*(fi_h/1000)^2/4)*SQRT(2*9.81*(O266/100-fi_h/2/1000))*1000)),"",IF(O266&lt;fi_h/20,0,(OFFSET('Base de dados'!$A$5,IF(O266&lt;20,1,IF(O266&gt;1000,10,MATCH(O266,Cargas,1))),Coluna_fih,1,1))*(PI()*(fi_h/1000)^2/4)*SQRT(2*9.81*(O266/100-fi_h/2/1000))*1000))</f>
        <v>20.952377175224239</v>
      </c>
      <c r="Q266" s="19">
        <f ca="1">IF(O266="","",IF(Tipo_Vertedor="Retangular",IF(O266&lt;=cota_s*100,0,IF(Tipo_Vertedor="Retangular",Cd_sr*Lef_sr*((O266/100-cota_s)^(3/2))*1000)),IF(O266&lt;=cota_s*100+fi_s/20,0,(OFFSET('Base de dados'!$A$4,IF(O266&lt;20,1,IF(O266&gt;1000,10,MATCH(O266,Cargas,1))),Coluna_fis,1,1))*(PI()*(fi_s/1000)^2/4)*(2*9.81*(O266/100-cota_s-fi_s/2/1000))^0.5*1000)))</f>
        <v>17.156250000000007</v>
      </c>
      <c r="R266" s="19">
        <f t="shared" ca="1" si="62"/>
        <v>38.108627175224242</v>
      </c>
      <c r="S266" s="19">
        <f t="shared" ca="1" si="63"/>
        <v>1271.8546977830306</v>
      </c>
      <c r="AD266" s="19" t="str">
        <f t="shared" si="73"/>
        <v/>
      </c>
      <c r="AE266" s="19" t="str">
        <f t="shared" si="74"/>
        <v/>
      </c>
      <c r="AF266" s="19" t="str">
        <f>IF(ISERROR(IF('Hidrograma afluente'!I273="",0,'Hidrograma afluente'!I273)+Simulação!G266),"",IF('Hidrograma afluente'!I273="",0,'Hidrograma afluente'!I273)+Simulação!G266)</f>
        <v/>
      </c>
      <c r="AG266" s="17" t="s">
        <v>160</v>
      </c>
      <c r="AH266" s="17" t="s">
        <v>160</v>
      </c>
      <c r="AI266" s="27" t="s">
        <v>160</v>
      </c>
      <c r="AJ266" s="17" t="s">
        <v>160</v>
      </c>
      <c r="AK266" s="19" t="str">
        <f>IF(A266="","",IF('Hidrograma afluente'!I273="",0,'Hidrograma afluente'!I273)+Simulação!B266)</f>
        <v/>
      </c>
    </row>
    <row r="267" spans="1:37" s="17" customFormat="1">
      <c r="A267" s="4" t="str">
        <f t="shared" si="64"/>
        <v/>
      </c>
      <c r="B267" s="5" t="str">
        <f>IF(A267="","",IF(A267&gt;tc_lot_i+tc,0,IF('Hidrograma afluente'!B274="","",'Hidrograma afluente'!B274)))</f>
        <v/>
      </c>
      <c r="C267" s="21" t="str">
        <f t="shared" si="65"/>
        <v/>
      </c>
      <c r="D267" s="21" t="str">
        <f t="shared" si="66"/>
        <v/>
      </c>
      <c r="E267" s="21" t="str">
        <f t="shared" si="67"/>
        <v/>
      </c>
      <c r="F267" s="21" t="str">
        <f t="shared" si="68"/>
        <v/>
      </c>
      <c r="G267" s="21" t="str">
        <f t="shared" si="69"/>
        <v/>
      </c>
      <c r="H267" s="23" t="str">
        <f t="shared" si="60"/>
        <v/>
      </c>
      <c r="I267" s="22" t="str">
        <f t="shared" si="70"/>
        <v/>
      </c>
      <c r="J267" s="1"/>
      <c r="K267" s="51"/>
      <c r="M267" s="81">
        <f t="shared" ca="1" si="61"/>
        <v>1316.4447009902146</v>
      </c>
      <c r="N267" s="19">
        <f t="shared" si="71"/>
        <v>38.317599170364801</v>
      </c>
      <c r="O267" s="17">
        <f t="shared" si="72"/>
        <v>66.5</v>
      </c>
      <c r="P267" s="19">
        <f ca="1">IF(ISERROR(IF(O267&lt;fi_h/20,0,(OFFSET('Base de dados'!$A$5,IF(O267&lt;20,1,IF(O267&gt;1000,10,MATCH(O267,Cargas,1))),Coluna_fih,1,1))*(1+0.13*0.25)*(PI()*(fi_h/1000)^2/4)*SQRT(2*9.81*(O267/100-fi_h/2/1000))*1000)),"",IF(O267&lt;fi_h/20,0,(OFFSET('Base de dados'!$A$5,IF(O267&lt;20,1,IF(O267&gt;1000,10,MATCH(O267,Cargas,1))),Coluna_fih,1,1))*(PI()*(fi_h/1000)^2/4)*SQRT(2*9.81*(O267/100-fi_h/2/1000))*1000))</f>
        <v>20.995544177131983</v>
      </c>
      <c r="Q267" s="19">
        <f ca="1">IF(O267="","",IF(Tipo_Vertedor="Retangular",IF(O267&lt;=cota_s*100,0,IF(Tipo_Vertedor="Retangular",Cd_sr*Lef_sr*((O267/100-cota_s)^(3/2))*1000)),IF(O267&lt;=cota_s*100+fi_s/20,0,(OFFSET('Base de dados'!$A$4,IF(O267&lt;20,1,IF(O267&gt;1000,10,MATCH(O267,Cargas,1))),Coluna_fis,1,1))*(PI()*(fi_s/1000)^2/4)*(2*9.81*(O267/100-cota_s-fi_s/2/1000))^0.5*1000)))</f>
        <v>18.195851134255875</v>
      </c>
      <c r="R267" s="19">
        <f t="shared" ca="1" si="62"/>
        <v>39.191395311387858</v>
      </c>
      <c r="S267" s="19">
        <f t="shared" ca="1" si="63"/>
        <v>1277.2533056788268</v>
      </c>
      <c r="AD267" s="19" t="str">
        <f t="shared" si="73"/>
        <v/>
      </c>
      <c r="AE267" s="19" t="str">
        <f t="shared" si="74"/>
        <v/>
      </c>
      <c r="AF267" s="19" t="str">
        <f>IF(ISERROR(IF('Hidrograma afluente'!I274="",0,'Hidrograma afluente'!I274)+Simulação!G267),"",IF('Hidrograma afluente'!I274="",0,'Hidrograma afluente'!I274)+Simulação!G267)</f>
        <v/>
      </c>
      <c r="AG267" s="17" t="s">
        <v>160</v>
      </c>
      <c r="AH267" s="17" t="s">
        <v>160</v>
      </c>
      <c r="AI267" s="27" t="s">
        <v>160</v>
      </c>
      <c r="AJ267" s="17" t="s">
        <v>160</v>
      </c>
      <c r="AK267" s="19" t="str">
        <f>IF(A267="","",IF('Hidrograma afluente'!I274="",0,'Hidrograma afluente'!I274)+Simulação!B267)</f>
        <v/>
      </c>
    </row>
    <row r="268" spans="1:37" s="17" customFormat="1">
      <c r="A268" s="4" t="str">
        <f t="shared" si="64"/>
        <v/>
      </c>
      <c r="B268" s="5" t="str">
        <f>IF(A268="","",IF(A268&gt;tc_lot_i+tc,0,IF('Hidrograma afluente'!B275="","",'Hidrograma afluente'!B275)))</f>
        <v/>
      </c>
      <c r="C268" s="21" t="str">
        <f t="shared" si="65"/>
        <v/>
      </c>
      <c r="D268" s="21" t="str">
        <f t="shared" si="66"/>
        <v/>
      </c>
      <c r="E268" s="21" t="str">
        <f t="shared" si="67"/>
        <v/>
      </c>
      <c r="F268" s="21" t="str">
        <f t="shared" si="68"/>
        <v/>
      </c>
      <c r="G268" s="21" t="str">
        <f t="shared" si="69"/>
        <v/>
      </c>
      <c r="H268" s="23" t="str">
        <f t="shared" si="60"/>
        <v/>
      </c>
      <c r="I268" s="22" t="str">
        <f t="shared" si="70"/>
        <v/>
      </c>
      <c r="J268" s="1"/>
      <c r="K268" s="51"/>
      <c r="M268" s="81">
        <f t="shared" ca="1" si="61"/>
        <v>1322.9487069247564</v>
      </c>
      <c r="N268" s="19">
        <f t="shared" si="71"/>
        <v>38.479633274251476</v>
      </c>
      <c r="O268" s="17">
        <f t="shared" si="72"/>
        <v>66.75</v>
      </c>
      <c r="P268" s="19">
        <f ca="1">IF(ISERROR(IF(O268&lt;fi_h/20,0,(OFFSET('Base de dados'!$A$5,IF(O268&lt;20,1,IF(O268&gt;1000,10,MATCH(O268,Cargas,1))),Coluna_fih,1,1))*(1+0.13*0.25)*(PI()*(fi_h/1000)^2/4)*SQRT(2*9.81*(O268/100-fi_h/2/1000))*1000)),"",IF(O268&lt;fi_h/20,0,(OFFSET('Base de dados'!$A$5,IF(O268&lt;20,1,IF(O268&gt;1000,10,MATCH(O268,Cargas,1))),Coluna_fih,1,1))*(PI()*(fi_h/1000)^2/4)*SQRT(2*9.81*(O268/100-fi_h/2/1000))*1000))</f>
        <v>21.038622609261846</v>
      </c>
      <c r="Q268" s="19">
        <f ca="1">IF(O268="","",IF(Tipo_Vertedor="Retangular",IF(O268&lt;=cota_s*100,0,IF(Tipo_Vertedor="Retangular",Cd_sr*Lef_sr*((O268/100-cota_s)^(3/2))*1000)),IF(O268&lt;=cota_s*100+fi_s/20,0,(OFFSET('Base de dados'!$A$4,IF(O268&lt;20,1,IF(O268&gt;1000,10,MATCH(O268,Cargas,1))),Coluna_fis,1,1))*(PI()*(fi_s/1000)^2/4)*(2*9.81*(O268/100-cota_s-fi_s/2/1000))^0.5*1000)))</f>
        <v>19.255641840445104</v>
      </c>
      <c r="R268" s="19">
        <f t="shared" ca="1" si="62"/>
        <v>40.294264449706951</v>
      </c>
      <c r="S268" s="19">
        <f t="shared" ca="1" si="63"/>
        <v>1282.6544424750493</v>
      </c>
      <c r="AD268" s="19" t="str">
        <f t="shared" si="73"/>
        <v/>
      </c>
      <c r="AE268" s="19" t="str">
        <f t="shared" si="74"/>
        <v/>
      </c>
      <c r="AF268" s="19" t="str">
        <f>IF(ISERROR(IF('Hidrograma afluente'!I275="",0,'Hidrograma afluente'!I275)+Simulação!G268),"",IF('Hidrograma afluente'!I275="",0,'Hidrograma afluente'!I275)+Simulação!G268)</f>
        <v/>
      </c>
      <c r="AG268" s="17" t="s">
        <v>160</v>
      </c>
      <c r="AH268" s="17" t="s">
        <v>160</v>
      </c>
      <c r="AI268" s="27" t="s">
        <v>160</v>
      </c>
      <c r="AJ268" s="17" t="s">
        <v>160</v>
      </c>
      <c r="AK268" s="19" t="str">
        <f>IF(A268="","",IF('Hidrograma afluente'!I275="",0,'Hidrograma afluente'!I275)+Simulação!B268)</f>
        <v/>
      </c>
    </row>
    <row r="269" spans="1:37" s="17" customFormat="1">
      <c r="A269" s="4" t="str">
        <f t="shared" si="64"/>
        <v/>
      </c>
      <c r="B269" s="5" t="str">
        <f>IF(A269="","",IF(A269&gt;tc_lot_i+tc,0,IF('Hidrograma afluente'!B276="","",'Hidrograma afluente'!B276)))</f>
        <v/>
      </c>
      <c r="C269" s="21" t="str">
        <f t="shared" si="65"/>
        <v/>
      </c>
      <c r="D269" s="21" t="str">
        <f t="shared" si="66"/>
        <v/>
      </c>
      <c r="E269" s="21" t="str">
        <f t="shared" si="67"/>
        <v/>
      </c>
      <c r="F269" s="21" t="str">
        <f t="shared" si="68"/>
        <v/>
      </c>
      <c r="G269" s="21" t="str">
        <f t="shared" si="69"/>
        <v/>
      </c>
      <c r="H269" s="23" t="str">
        <f t="shared" si="60"/>
        <v/>
      </c>
      <c r="I269" s="22" t="str">
        <f t="shared" si="70"/>
        <v/>
      </c>
      <c r="J269" s="1"/>
      <c r="K269" s="51"/>
      <c r="M269" s="81">
        <f t="shared" ca="1" si="61"/>
        <v>1329.4749574695095</v>
      </c>
      <c r="N269" s="19">
        <f t="shared" si="71"/>
        <v>38.641742996342984</v>
      </c>
      <c r="O269" s="17">
        <f t="shared" si="72"/>
        <v>67</v>
      </c>
      <c r="P269" s="19">
        <f ca="1">IF(ISERROR(IF(O269&lt;fi_h/20,0,(OFFSET('Base de dados'!$A$5,IF(O269&lt;20,1,IF(O269&gt;1000,10,MATCH(O269,Cargas,1))),Coluna_fih,1,1))*(1+0.13*0.25)*(PI()*(fi_h/1000)^2/4)*SQRT(2*9.81*(O269/100-fi_h/2/1000))*1000)),"",IF(O269&lt;fi_h/20,0,(OFFSET('Base de dados'!$A$5,IF(O269&lt;20,1,IF(O269&gt;1000,10,MATCH(O269,Cargas,1))),Coluna_fih,1,1))*(PI()*(fi_h/1000)^2/4)*SQRT(2*9.81*(O269/100-fi_h/2/1000))*1000))</f>
        <v>21.081613014567615</v>
      </c>
      <c r="Q269" s="19">
        <f ca="1">IF(O269="","",IF(Tipo_Vertedor="Retangular",IF(O269&lt;=cota_s*100,0,IF(Tipo_Vertedor="Retangular",Cd_sr*Lef_sr*((O269/100-cota_s)^(3/2))*1000)),IF(O269&lt;=cota_s*100+fi_s/20,0,(OFFSET('Base de dados'!$A$4,IF(O269&lt;20,1,IF(O269&gt;1000,10,MATCH(O269,Cargas,1))),Coluna_fis,1,1))*(PI()*(fi_s/1000)^2/4)*(2*9.81*(O269/100-cota_s-fi_s/2/1000))^0.5*1000)))</f>
        <v>20.335244576842474</v>
      </c>
      <c r="R269" s="19">
        <f t="shared" ca="1" si="62"/>
        <v>41.416857591410093</v>
      </c>
      <c r="S269" s="19">
        <f t="shared" ca="1" si="63"/>
        <v>1288.0580998780995</v>
      </c>
      <c r="AD269" s="19" t="str">
        <f t="shared" si="73"/>
        <v/>
      </c>
      <c r="AE269" s="19" t="str">
        <f t="shared" si="74"/>
        <v/>
      </c>
      <c r="AF269" s="19" t="str">
        <f>IF(ISERROR(IF('Hidrograma afluente'!I276="",0,'Hidrograma afluente'!I276)+Simulação!G269),"",IF('Hidrograma afluente'!I276="",0,'Hidrograma afluente'!I276)+Simulação!G269)</f>
        <v/>
      </c>
      <c r="AG269" s="17" t="s">
        <v>160</v>
      </c>
      <c r="AH269" s="17" t="s">
        <v>160</v>
      </c>
      <c r="AI269" s="27" t="s">
        <v>160</v>
      </c>
      <c r="AJ269" s="17" t="s">
        <v>160</v>
      </c>
      <c r="AK269" s="19" t="str">
        <f>IF(A269="","",IF('Hidrograma afluente'!I276="",0,'Hidrograma afluente'!I276)+Simulação!B269)</f>
        <v/>
      </c>
    </row>
    <row r="270" spans="1:37" s="17" customFormat="1">
      <c r="A270" s="4" t="str">
        <f t="shared" si="64"/>
        <v/>
      </c>
      <c r="B270" s="5" t="str">
        <f>IF(A270="","",IF(A270&gt;tc_lot_i+tc,0,IF('Hidrograma afluente'!B277="","",'Hidrograma afluente'!B277)))</f>
        <v/>
      </c>
      <c r="C270" s="21" t="str">
        <f t="shared" si="65"/>
        <v/>
      </c>
      <c r="D270" s="21" t="str">
        <f t="shared" si="66"/>
        <v/>
      </c>
      <c r="E270" s="21" t="str">
        <f t="shared" si="67"/>
        <v/>
      </c>
      <c r="F270" s="21" t="str">
        <f t="shared" si="68"/>
        <v/>
      </c>
      <c r="G270" s="21" t="str">
        <f t="shared" si="69"/>
        <v/>
      </c>
      <c r="H270" s="23" t="str">
        <f t="shared" si="60"/>
        <v/>
      </c>
      <c r="I270" s="22" t="str">
        <f t="shared" si="70"/>
        <v/>
      </c>
      <c r="J270" s="1"/>
      <c r="K270" s="51"/>
      <c r="M270" s="81">
        <f t="shared" ca="1" si="61"/>
        <v>1336.023087806504</v>
      </c>
      <c r="N270" s="19">
        <f t="shared" si="71"/>
        <v>38.803928089572857</v>
      </c>
      <c r="O270" s="17">
        <f t="shared" si="72"/>
        <v>67.25</v>
      </c>
      <c r="P270" s="19">
        <f ca="1">IF(ISERROR(IF(O270&lt;fi_h/20,0,(OFFSET('Base de dados'!$A$5,IF(O270&lt;20,1,IF(O270&gt;1000,10,MATCH(O270,Cargas,1))),Coluna_fih,1,1))*(1+0.13*0.25)*(PI()*(fi_h/1000)^2/4)*SQRT(2*9.81*(O270/100-fi_h/2/1000))*1000)),"",IF(O270&lt;fi_h/20,0,(OFFSET('Base de dados'!$A$5,IF(O270&lt;20,1,IF(O270&gt;1000,10,MATCH(O270,Cargas,1))),Coluna_fih,1,1))*(PI()*(fi_h/1000)^2/4)*SQRT(2*9.81*(O270/100-fi_h/2/1000))*1000))</f>
        <v>21.124515930478257</v>
      </c>
      <c r="Q270" s="19">
        <f ca="1">IF(O270="","",IF(Tipo_Vertedor="Retangular",IF(O270&lt;=cota_s*100,0,IF(Tipo_Vertedor="Retangular",Cd_sr*Lef_sr*((O270/100-cota_s)^(3/2))*1000)),IF(O270&lt;=cota_s*100+fi_s/20,0,(OFFSET('Base de dados'!$A$4,IF(O270&lt;20,1,IF(O270&gt;1000,10,MATCH(O270,Cargas,1))),Coluna_fis,1,1))*(PI()*(fi_s/1000)^2/4)*(2*9.81*(O270/100-cota_s-fi_s/2/1000))^0.5*1000)))</f>
        <v>21.434302223597108</v>
      </c>
      <c r="R270" s="19">
        <f t="shared" ca="1" si="62"/>
        <v>42.558818154075368</v>
      </c>
      <c r="S270" s="19">
        <f t="shared" ca="1" si="63"/>
        <v>1293.4642696524286</v>
      </c>
      <c r="AD270" s="19" t="str">
        <f t="shared" si="73"/>
        <v/>
      </c>
      <c r="AE270" s="19" t="str">
        <f t="shared" si="74"/>
        <v/>
      </c>
      <c r="AF270" s="19" t="str">
        <f>IF(ISERROR(IF('Hidrograma afluente'!I277="",0,'Hidrograma afluente'!I277)+Simulação!G270),"",IF('Hidrograma afluente'!I277="",0,'Hidrograma afluente'!I277)+Simulação!G270)</f>
        <v/>
      </c>
      <c r="AG270" s="17" t="s">
        <v>160</v>
      </c>
      <c r="AH270" s="17" t="s">
        <v>160</v>
      </c>
      <c r="AI270" s="27" t="s">
        <v>160</v>
      </c>
      <c r="AJ270" s="17" t="s">
        <v>160</v>
      </c>
      <c r="AK270" s="19" t="str">
        <f>IF(A270="","",IF('Hidrograma afluente'!I277="",0,'Hidrograma afluente'!I277)+Simulação!B270)</f>
        <v/>
      </c>
    </row>
    <row r="271" spans="1:37" s="17" customFormat="1">
      <c r="A271" s="4" t="str">
        <f t="shared" si="64"/>
        <v/>
      </c>
      <c r="B271" s="5" t="str">
        <f>IF(A271="","",IF(A271&gt;tc_lot_i+tc,0,IF('Hidrograma afluente'!B278="","",'Hidrograma afluente'!B278)))</f>
        <v/>
      </c>
      <c r="C271" s="21" t="str">
        <f t="shared" si="65"/>
        <v/>
      </c>
      <c r="D271" s="21" t="str">
        <f t="shared" si="66"/>
        <v/>
      </c>
      <c r="E271" s="21" t="str">
        <f t="shared" si="67"/>
        <v/>
      </c>
      <c r="F271" s="21" t="str">
        <f t="shared" si="68"/>
        <v/>
      </c>
      <c r="G271" s="21" t="str">
        <f t="shared" si="69"/>
        <v/>
      </c>
      <c r="H271" s="23" t="str">
        <f t="shared" si="60"/>
        <v/>
      </c>
      <c r="I271" s="22" t="str">
        <f t="shared" si="70"/>
        <v/>
      </c>
      <c r="J271" s="1"/>
      <c r="K271" s="51"/>
      <c r="M271" s="81">
        <f t="shared" ca="1" si="61"/>
        <v>1342.5927518141718</v>
      </c>
      <c r="N271" s="19">
        <f t="shared" si="71"/>
        <v>38.966188308597609</v>
      </c>
      <c r="O271" s="17">
        <f t="shared" si="72"/>
        <v>67.5</v>
      </c>
      <c r="P271" s="19">
        <f ca="1">IF(ISERROR(IF(O271&lt;fi_h/20,0,(OFFSET('Base de dados'!$A$5,IF(O271&lt;20,1,IF(O271&gt;1000,10,MATCH(O271,Cargas,1))),Coluna_fih,1,1))*(1+0.13*0.25)*(PI()*(fi_h/1000)^2/4)*SQRT(2*9.81*(O271/100-fi_h/2/1000))*1000)),"",IF(O271&lt;fi_h/20,0,(OFFSET('Base de dados'!$A$5,IF(O271&lt;20,1,IF(O271&gt;1000,10,MATCH(O271,Cargas,1))),Coluna_fih,1,1))*(PI()*(fi_h/1000)^2/4)*SQRT(2*9.81*(O271/100-fi_h/2/1000))*1000))</f>
        <v>21.167331888976292</v>
      </c>
      <c r="Q271" s="19">
        <f ca="1">IF(O271="","",IF(Tipo_Vertedor="Retangular",IF(O271&lt;=cota_s*100,0,IF(Tipo_Vertedor="Retangular",Cd_sr*Lef_sr*((O271/100-cota_s)^(3/2))*1000)),IF(O271&lt;=cota_s*100+fi_s/20,0,(OFFSET('Base de dados'!$A$4,IF(O271&lt;20,1,IF(O271&gt;1000,10,MATCH(O271,Cargas,1))),Coluna_fis,1,1))*(PI()*(fi_s/1000)^2/4)*(2*9.81*(O271/100-cota_s-fi_s/2/1000))^0.5*1000)))</f>
        <v>22.552476305275245</v>
      </c>
      <c r="R271" s="19">
        <f t="shared" ca="1" si="62"/>
        <v>43.719808194251542</v>
      </c>
      <c r="S271" s="19">
        <f t="shared" ca="1" si="63"/>
        <v>1298.8729436199203</v>
      </c>
      <c r="AD271" s="19" t="str">
        <f t="shared" si="73"/>
        <v/>
      </c>
      <c r="AE271" s="19" t="str">
        <f t="shared" si="74"/>
        <v/>
      </c>
      <c r="AF271" s="19" t="str">
        <f>IF(ISERROR(IF('Hidrograma afluente'!I278="",0,'Hidrograma afluente'!I278)+Simulação!G271),"",IF('Hidrograma afluente'!I278="",0,'Hidrograma afluente'!I278)+Simulação!G271)</f>
        <v/>
      </c>
      <c r="AG271" s="17" t="s">
        <v>160</v>
      </c>
      <c r="AH271" s="17" t="s">
        <v>160</v>
      </c>
      <c r="AI271" s="27" t="s">
        <v>160</v>
      </c>
      <c r="AJ271" s="17" t="s">
        <v>160</v>
      </c>
      <c r="AK271" s="19" t="str">
        <f>IF(A271="","",IF('Hidrograma afluente'!I278="",0,'Hidrograma afluente'!I278)+Simulação!B271)</f>
        <v/>
      </c>
    </row>
    <row r="272" spans="1:37" s="17" customFormat="1">
      <c r="A272" s="4" t="str">
        <f t="shared" si="64"/>
        <v/>
      </c>
      <c r="B272" s="5" t="str">
        <f>IF(A272="","",IF(A272&gt;tc_lot_i+tc,0,IF('Hidrograma afluente'!B279="","",'Hidrograma afluente'!B279)))</f>
        <v/>
      </c>
      <c r="C272" s="21" t="str">
        <f t="shared" si="65"/>
        <v/>
      </c>
      <c r="D272" s="21" t="str">
        <f t="shared" si="66"/>
        <v/>
      </c>
      <c r="E272" s="21" t="str">
        <f t="shared" si="67"/>
        <v/>
      </c>
      <c r="F272" s="21" t="str">
        <f t="shared" si="68"/>
        <v/>
      </c>
      <c r="G272" s="21" t="str">
        <f t="shared" si="69"/>
        <v/>
      </c>
      <c r="H272" s="23" t="str">
        <f t="shared" si="60"/>
        <v/>
      </c>
      <c r="I272" s="22" t="str">
        <f t="shared" si="70"/>
        <v/>
      </c>
      <c r="J272" s="1"/>
      <c r="K272" s="51"/>
      <c r="M272" s="81">
        <f t="shared" ca="1" si="61"/>
        <v>1349.1836204987012</v>
      </c>
      <c r="N272" s="19">
        <f t="shared" si="71"/>
        <v>39.128523409778261</v>
      </c>
      <c r="O272" s="17">
        <f t="shared" si="72"/>
        <v>67.75</v>
      </c>
      <c r="P272" s="19">
        <f ca="1">IF(ISERROR(IF(O272&lt;fi_h/20,0,(OFFSET('Base de dados'!$A$5,IF(O272&lt;20,1,IF(O272&gt;1000,10,MATCH(O272,Cargas,1))),Coluna_fih,1,1))*(1+0.13*0.25)*(PI()*(fi_h/1000)^2/4)*SQRT(2*9.81*(O272/100-fi_h/2/1000))*1000)),"",IF(O272&lt;fi_h/20,0,(OFFSET('Base de dados'!$A$5,IF(O272&lt;20,1,IF(O272&gt;1000,10,MATCH(O272,Cargas,1))),Coluna_fih,1,1))*(PI()*(fi_h/1000)^2/4)*SQRT(2*9.81*(O272/100-fi_h/2/1000))*1000))</f>
        <v>21.210061416674765</v>
      </c>
      <c r="Q272" s="19">
        <f ca="1">IF(O272="","",IF(Tipo_Vertedor="Retangular",IF(O272&lt;=cota_s*100,0,IF(Tipo_Vertedor="Retangular",Cd_sr*Lef_sr*((O272/100-cota_s)^(3/2))*1000)),IF(O272&lt;=cota_s*100+fi_s/20,0,(OFFSET('Base de dados'!$A$4,IF(O272&lt;20,1,IF(O272&gt;1000,10,MATCH(O272,Cargas,1))),Coluna_fis,1,1))*(PI()*(fi_s/1000)^2/4)*(2*9.81*(O272/100-cota_s-fi_s/2/1000))^0.5*1000)))</f>
        <v>23.689445422751046</v>
      </c>
      <c r="R272" s="19">
        <f t="shared" ca="1" si="62"/>
        <v>44.899506839425811</v>
      </c>
      <c r="S272" s="19">
        <f t="shared" ca="1" si="63"/>
        <v>1304.2841136592754</v>
      </c>
      <c r="AD272" s="19" t="str">
        <f t="shared" si="73"/>
        <v/>
      </c>
      <c r="AE272" s="19" t="str">
        <f t="shared" si="74"/>
        <v/>
      </c>
      <c r="AF272" s="19" t="str">
        <f>IF(ISERROR(IF('Hidrograma afluente'!I279="",0,'Hidrograma afluente'!I279)+Simulação!G272),"",IF('Hidrograma afluente'!I279="",0,'Hidrograma afluente'!I279)+Simulação!G272)</f>
        <v/>
      </c>
      <c r="AG272" s="17" t="s">
        <v>160</v>
      </c>
      <c r="AH272" s="17" t="s">
        <v>160</v>
      </c>
      <c r="AI272" s="27" t="s">
        <v>160</v>
      </c>
      <c r="AJ272" s="17" t="s">
        <v>160</v>
      </c>
      <c r="AK272" s="19" t="str">
        <f>IF(A272="","",IF('Hidrograma afluente'!I279="",0,'Hidrograma afluente'!I279)+Simulação!B272)</f>
        <v/>
      </c>
    </row>
    <row r="273" spans="1:37" s="17" customFormat="1">
      <c r="A273" s="4" t="str">
        <f t="shared" si="64"/>
        <v/>
      </c>
      <c r="B273" s="5" t="str">
        <f>IF(A273="","",IF(A273&gt;tc_lot_i+tc,0,IF('Hidrograma afluente'!B280="","",'Hidrograma afluente'!B280)))</f>
        <v/>
      </c>
      <c r="C273" s="21" t="str">
        <f t="shared" si="65"/>
        <v/>
      </c>
      <c r="D273" s="21" t="str">
        <f t="shared" si="66"/>
        <v/>
      </c>
      <c r="E273" s="21" t="str">
        <f t="shared" si="67"/>
        <v/>
      </c>
      <c r="F273" s="21" t="str">
        <f t="shared" si="68"/>
        <v/>
      </c>
      <c r="G273" s="21" t="str">
        <f t="shared" si="69"/>
        <v/>
      </c>
      <c r="H273" s="23" t="str">
        <f t="shared" si="60"/>
        <v/>
      </c>
      <c r="I273" s="22" t="str">
        <f t="shared" si="70"/>
        <v/>
      </c>
      <c r="J273" s="1"/>
      <c r="K273" s="51"/>
      <c r="M273" s="81">
        <f t="shared" ca="1" si="61"/>
        <v>1355.7953806040748</v>
      </c>
      <c r="N273" s="19">
        <f t="shared" si="71"/>
        <v>39.290933151162349</v>
      </c>
      <c r="O273" s="17">
        <f t="shared" si="72"/>
        <v>68</v>
      </c>
      <c r="P273" s="19">
        <f ca="1">IF(ISERROR(IF(O273&lt;fi_h/20,0,(OFFSET('Base de dados'!$A$5,IF(O273&lt;20,1,IF(O273&gt;1000,10,MATCH(O273,Cargas,1))),Coluna_fih,1,1))*(1+0.13*0.25)*(PI()*(fi_h/1000)^2/4)*SQRT(2*9.81*(O273/100-fi_h/2/1000))*1000)),"",IF(O273&lt;fi_h/20,0,(OFFSET('Base de dados'!$A$5,IF(O273&lt;20,1,IF(O273&gt;1000,10,MATCH(O273,Cargas,1))),Coluna_fih,1,1))*(PI()*(fi_h/1000)^2/4)*SQRT(2*9.81*(O273/100-fi_h/2/1000))*1000))</f>
        <v>21.252705034892816</v>
      </c>
      <c r="Q273" s="19">
        <f ca="1">IF(O273="","",IF(Tipo_Vertedor="Retangular",IF(O273&lt;=cota_s*100,0,IF(Tipo_Vertedor="Retangular",Cd_sr*Lef_sr*((O273/100-cota_s)^(3/2))*1000)),IF(O273&lt;=cota_s*100+fi_s/20,0,(OFFSET('Base de dados'!$A$4,IF(O273&lt;20,1,IF(O273&gt;1000,10,MATCH(O273,Cargas,1))),Coluna_fis,1,1))*(PI()*(fi_s/1000)^2/4)*(2*9.81*(O273/100-cota_s-fi_s/2/1000))^0.5*1000)))</f>
        <v>24.844903863770565</v>
      </c>
      <c r="R273" s="19">
        <f t="shared" ca="1" si="62"/>
        <v>46.097608898663381</v>
      </c>
      <c r="S273" s="19">
        <f t="shared" ca="1" si="63"/>
        <v>1309.6977717054115</v>
      </c>
      <c r="AD273" s="19" t="str">
        <f t="shared" si="73"/>
        <v/>
      </c>
      <c r="AE273" s="19" t="str">
        <f t="shared" si="74"/>
        <v/>
      </c>
      <c r="AF273" s="19" t="str">
        <f>IF(ISERROR(IF('Hidrograma afluente'!I280="",0,'Hidrograma afluente'!I280)+Simulação!G273),"",IF('Hidrograma afluente'!I280="",0,'Hidrograma afluente'!I280)+Simulação!G273)</f>
        <v/>
      </c>
      <c r="AG273" s="17" t="s">
        <v>160</v>
      </c>
      <c r="AH273" s="17" t="s">
        <v>160</v>
      </c>
      <c r="AI273" s="27" t="s">
        <v>160</v>
      </c>
      <c r="AJ273" s="17" t="s">
        <v>160</v>
      </c>
      <c r="AK273" s="19" t="str">
        <f>IF(A273="","",IF('Hidrograma afluente'!I280="",0,'Hidrograma afluente'!I280)+Simulação!B273)</f>
        <v/>
      </c>
    </row>
    <row r="274" spans="1:37" s="17" customFormat="1">
      <c r="A274" s="4" t="str">
        <f t="shared" si="64"/>
        <v/>
      </c>
      <c r="B274" s="5" t="str">
        <f>IF(A274="","",IF(A274&gt;tc_lot_i+tc,0,IF('Hidrograma afluente'!B281="","",'Hidrograma afluente'!B281)))</f>
        <v/>
      </c>
      <c r="C274" s="21" t="str">
        <f t="shared" si="65"/>
        <v/>
      </c>
      <c r="D274" s="21" t="str">
        <f t="shared" si="66"/>
        <v/>
      </c>
      <c r="E274" s="21" t="str">
        <f t="shared" si="67"/>
        <v/>
      </c>
      <c r="F274" s="21" t="str">
        <f t="shared" si="68"/>
        <v/>
      </c>
      <c r="G274" s="21" t="str">
        <f t="shared" si="69"/>
        <v/>
      </c>
      <c r="H274" s="23" t="str">
        <f t="shared" si="60"/>
        <v/>
      </c>
      <c r="I274" s="22" t="str">
        <f t="shared" si="70"/>
        <v/>
      </c>
      <c r="J274" s="1"/>
      <c r="K274" s="51"/>
      <c r="M274" s="81">
        <f t="shared" ca="1" si="61"/>
        <v>1362.4277333754301</v>
      </c>
      <c r="N274" s="19">
        <f t="shared" si="71"/>
        <v>39.453417292466035</v>
      </c>
      <c r="O274" s="17">
        <f t="shared" si="72"/>
        <v>68.25</v>
      </c>
      <c r="P274" s="19">
        <f ca="1">IF(ISERROR(IF(O274&lt;fi_h/20,0,(OFFSET('Base de dados'!$A$5,IF(O274&lt;20,1,IF(O274&gt;1000,10,MATCH(O274,Cargas,1))),Coluna_fih,1,1))*(1+0.13*0.25)*(PI()*(fi_h/1000)^2/4)*SQRT(2*9.81*(O274/100-fi_h/2/1000))*1000)),"",IF(O274&lt;fi_h/20,0,(OFFSET('Base de dados'!$A$5,IF(O274&lt;20,1,IF(O274&gt;1000,10,MATCH(O274,Cargas,1))),Coluna_fih,1,1))*(PI()*(fi_h/1000)^2/4)*SQRT(2*9.81*(O274/100-fi_h/2/1000))*1000))</f>
        <v>21.295263259729886</v>
      </c>
      <c r="Q274" s="19">
        <f ca="1">IF(O274="","",IF(Tipo_Vertedor="Retangular",IF(O274&lt;=cota_s*100,0,IF(Tipo_Vertedor="Retangular",Cd_sr*Lef_sr*((O274/100-cota_s)^(3/2))*1000)),IF(O274&lt;=cota_s*100+fi_s/20,0,(OFFSET('Base de dados'!$A$4,IF(O274&lt;20,1,IF(O274&gt;1000,10,MATCH(O274,Cargas,1))),Coluna_fis,1,1))*(PI()*(fi_s/1000)^2/4)*(2*9.81*(O274/100-cota_s-fi_s/2/1000))^0.5*1000)))</f>
        <v>26.018560366832371</v>
      </c>
      <c r="R274" s="19">
        <f t="shared" ca="1" si="62"/>
        <v>47.313823626562254</v>
      </c>
      <c r="S274" s="19">
        <f t="shared" ca="1" si="63"/>
        <v>1315.1139097488679</v>
      </c>
      <c r="AD274" s="19" t="str">
        <f t="shared" si="73"/>
        <v/>
      </c>
      <c r="AE274" s="19" t="str">
        <f t="shared" si="74"/>
        <v/>
      </c>
      <c r="AF274" s="19" t="str">
        <f>IF(ISERROR(IF('Hidrograma afluente'!I281="",0,'Hidrograma afluente'!I281)+Simulação!G274),"",IF('Hidrograma afluente'!I281="",0,'Hidrograma afluente'!I281)+Simulação!G274)</f>
        <v/>
      </c>
      <c r="AG274" s="17" t="s">
        <v>160</v>
      </c>
      <c r="AH274" s="17" t="s">
        <v>160</v>
      </c>
      <c r="AI274" s="27" t="s">
        <v>160</v>
      </c>
      <c r="AJ274" s="17" t="s">
        <v>160</v>
      </c>
      <c r="AK274" s="19" t="str">
        <f>IF(A274="","",IF('Hidrograma afluente'!I281="",0,'Hidrograma afluente'!I281)+Simulação!B274)</f>
        <v/>
      </c>
    </row>
    <row r="275" spans="1:37" s="17" customFormat="1">
      <c r="A275" s="4" t="str">
        <f t="shared" si="64"/>
        <v/>
      </c>
      <c r="B275" s="5" t="str">
        <f>IF(A275="","",IF(A275&gt;tc_lot_i+tc,0,IF('Hidrograma afluente'!B282="","",'Hidrograma afluente'!B282)))</f>
        <v/>
      </c>
      <c r="C275" s="21" t="str">
        <f t="shared" si="65"/>
        <v/>
      </c>
      <c r="D275" s="21" t="str">
        <f t="shared" si="66"/>
        <v/>
      </c>
      <c r="E275" s="21" t="str">
        <f t="shared" si="67"/>
        <v/>
      </c>
      <c r="F275" s="21" t="str">
        <f t="shared" si="68"/>
        <v/>
      </c>
      <c r="G275" s="21" t="str">
        <f t="shared" si="69"/>
        <v/>
      </c>
      <c r="H275" s="23" t="str">
        <f t="shared" si="60"/>
        <v/>
      </c>
      <c r="I275" s="22" t="str">
        <f t="shared" si="70"/>
        <v/>
      </c>
      <c r="J275" s="1"/>
      <c r="K275" s="51"/>
      <c r="M275" s="81">
        <f t="shared" ca="1" si="61"/>
        <v>1369.0803934546525</v>
      </c>
      <c r="N275" s="19">
        <f t="shared" si="71"/>
        <v>39.615975595056547</v>
      </c>
      <c r="O275" s="17">
        <f t="shared" si="72"/>
        <v>68.5</v>
      </c>
      <c r="P275" s="19">
        <f ca="1">IF(ISERROR(IF(O275&lt;fi_h/20,0,(OFFSET('Base de dados'!$A$5,IF(O275&lt;20,1,IF(O275&gt;1000,10,MATCH(O275,Cargas,1))),Coluna_fih,1,1))*(1+0.13*0.25)*(PI()*(fi_h/1000)^2/4)*SQRT(2*9.81*(O275/100-fi_h/2/1000))*1000)),"",IF(O275&lt;fi_h/20,0,(OFFSET('Base de dados'!$A$5,IF(O275&lt;20,1,IF(O275&gt;1000,10,MATCH(O275,Cargas,1))),Coluna_fih,1,1))*(PI()*(fi_h/1000)^2/4)*SQRT(2*9.81*(O275/100-fi_h/2/1000))*1000))</f>
        <v>21.33773660213858</v>
      </c>
      <c r="Q275" s="19">
        <f ca="1">IF(O275="","",IF(Tipo_Vertedor="Retangular",IF(O275&lt;=cota_s*100,0,IF(Tipo_Vertedor="Retangular",Cd_sr*Lef_sr*((O275/100-cota_s)^(3/2))*1000)),IF(O275&lt;=cota_s*100+fi_s/20,0,(OFFSET('Base de dados'!$A$4,IF(O275&lt;20,1,IF(O275&gt;1000,10,MATCH(O275,Cargas,1))),Coluna_fis,1,1))*(PI()*(fi_s/1000)^2/4)*(2*9.81*(O275/100-cota_s-fi_s/2/1000))^0.5*1000)))</f>
        <v>27.21013701729564</v>
      </c>
      <c r="R275" s="19">
        <f t="shared" ca="1" si="62"/>
        <v>48.54787361943422</v>
      </c>
      <c r="S275" s="19">
        <f t="shared" ca="1" si="63"/>
        <v>1320.5325198352182</v>
      </c>
      <c r="AD275" s="19" t="str">
        <f t="shared" si="73"/>
        <v/>
      </c>
      <c r="AE275" s="19" t="str">
        <f t="shared" si="74"/>
        <v/>
      </c>
      <c r="AF275" s="19" t="str">
        <f>IF(ISERROR(IF('Hidrograma afluente'!I282="",0,'Hidrograma afluente'!I282)+Simulação!G275),"",IF('Hidrograma afluente'!I282="",0,'Hidrograma afluente'!I282)+Simulação!G275)</f>
        <v/>
      </c>
      <c r="AG275" s="17" t="s">
        <v>160</v>
      </c>
      <c r="AH275" s="17" t="s">
        <v>160</v>
      </c>
      <c r="AI275" s="27" t="s">
        <v>160</v>
      </c>
      <c r="AJ275" s="17" t="s">
        <v>160</v>
      </c>
      <c r="AK275" s="19" t="str">
        <f>IF(A275="","",IF('Hidrograma afluente'!I282="",0,'Hidrograma afluente'!I282)+Simulação!B275)</f>
        <v/>
      </c>
    </row>
    <row r="276" spans="1:37" s="17" customFormat="1">
      <c r="A276" s="4" t="str">
        <f t="shared" si="64"/>
        <v/>
      </c>
      <c r="B276" s="5" t="str">
        <f>IF(A276="","",IF(A276&gt;tc_lot_i+tc,0,IF('Hidrograma afluente'!B283="","",'Hidrograma afluente'!B283)))</f>
        <v/>
      </c>
      <c r="C276" s="21" t="str">
        <f t="shared" si="65"/>
        <v/>
      </c>
      <c r="D276" s="21" t="str">
        <f t="shared" si="66"/>
        <v/>
      </c>
      <c r="E276" s="21" t="str">
        <f t="shared" si="67"/>
        <v/>
      </c>
      <c r="F276" s="21" t="str">
        <f t="shared" si="68"/>
        <v/>
      </c>
      <c r="G276" s="21" t="str">
        <f t="shared" si="69"/>
        <v/>
      </c>
      <c r="H276" s="23" t="str">
        <f t="shared" si="60"/>
        <v/>
      </c>
      <c r="I276" s="22" t="str">
        <f t="shared" si="70"/>
        <v/>
      </c>
      <c r="J276" s="1"/>
      <c r="K276" s="51"/>
      <c r="M276" s="81">
        <f t="shared" ca="1" si="61"/>
        <v>1375.7530878905563</v>
      </c>
      <c r="N276" s="19">
        <f t="shared" si="71"/>
        <v>39.778607821934855</v>
      </c>
      <c r="O276" s="17">
        <f t="shared" si="72"/>
        <v>68.75</v>
      </c>
      <c r="P276" s="19">
        <f ca="1">IF(ISERROR(IF(O276&lt;fi_h/20,0,(OFFSET('Base de dados'!$A$5,IF(O276&lt;20,1,IF(O276&gt;1000,10,MATCH(O276,Cargas,1))),Coluna_fih,1,1))*(1+0.13*0.25)*(PI()*(fi_h/1000)^2/4)*SQRT(2*9.81*(O276/100-fi_h/2/1000))*1000)),"",IF(O276&lt;fi_h/20,0,(OFFSET('Base de dados'!$A$5,IF(O276&lt;20,1,IF(O276&gt;1000,10,MATCH(O276,Cargas,1))),Coluna_fih,1,1))*(PI()*(fi_h/1000)^2/4)*SQRT(2*9.81*(O276/100-fi_h/2/1000))*1000))</f>
        <v>21.380125567996259</v>
      </c>
      <c r="Q276" s="19">
        <f ca="1">IF(O276="","",IF(Tipo_Vertedor="Retangular",IF(O276&lt;=cota_s*100,0,IF(Tipo_Vertedor="Retangular",Cd_sr*Lef_sr*((O276/100-cota_s)^(3/2))*1000)),IF(O276&lt;=cota_s*100+fi_s/20,0,(OFFSET('Base de dados'!$A$4,IF(O276&lt;20,1,IF(O276&gt;1000,10,MATCH(O276,Cargas,1))),Coluna_fis,1,1))*(PI()*(fi_s/1000)^2/4)*(2*9.81*(O276/100-cota_s-fi_s/2/1000))^0.5*1000)))</f>
        <v>28.419368258064782</v>
      </c>
      <c r="R276" s="19">
        <f t="shared" ca="1" si="62"/>
        <v>49.799493826061038</v>
      </c>
      <c r="S276" s="19">
        <f t="shared" ca="1" si="63"/>
        <v>1325.9535940644953</v>
      </c>
      <c r="AD276" s="19" t="str">
        <f t="shared" si="73"/>
        <v/>
      </c>
      <c r="AE276" s="19" t="str">
        <f t="shared" si="74"/>
        <v/>
      </c>
      <c r="AF276" s="19" t="str">
        <f>IF(ISERROR(IF('Hidrograma afluente'!I283="",0,'Hidrograma afluente'!I283)+Simulação!G276),"",IF('Hidrograma afluente'!I283="",0,'Hidrograma afluente'!I283)+Simulação!G276)</f>
        <v/>
      </c>
      <c r="AG276" s="17" t="s">
        <v>160</v>
      </c>
      <c r="AH276" s="17" t="s">
        <v>160</v>
      </c>
      <c r="AI276" s="27" t="s">
        <v>160</v>
      </c>
      <c r="AJ276" s="17" t="s">
        <v>160</v>
      </c>
      <c r="AK276" s="19" t="str">
        <f>IF(A276="","",IF('Hidrograma afluente'!I283="",0,'Hidrograma afluente'!I283)+Simulação!B276)</f>
        <v/>
      </c>
    </row>
    <row r="277" spans="1:37" s="17" customFormat="1">
      <c r="A277" s="4" t="str">
        <f t="shared" si="64"/>
        <v/>
      </c>
      <c r="B277" s="5" t="str">
        <f>IF(A277="","",IF(A277&gt;tc_lot_i+tc,0,IF('Hidrograma afluente'!B284="","",'Hidrograma afluente'!B284)))</f>
        <v/>
      </c>
      <c r="C277" s="21" t="str">
        <f t="shared" si="65"/>
        <v/>
      </c>
      <c r="D277" s="21" t="str">
        <f t="shared" si="66"/>
        <v/>
      </c>
      <c r="E277" s="21" t="str">
        <f t="shared" si="67"/>
        <v/>
      </c>
      <c r="F277" s="21" t="str">
        <f t="shared" si="68"/>
        <v/>
      </c>
      <c r="G277" s="21" t="str">
        <f t="shared" si="69"/>
        <v/>
      </c>
      <c r="H277" s="23" t="str">
        <f t="shared" si="60"/>
        <v/>
      </c>
      <c r="I277" s="22" t="str">
        <f t="shared" si="70"/>
        <v/>
      </c>
      <c r="J277" s="1"/>
      <c r="K277" s="51"/>
      <c r="M277" s="81">
        <f t="shared" ca="1" si="61"/>
        <v>1382.4455552487934</v>
      </c>
      <c r="N277" s="19">
        <f t="shared" si="71"/>
        <v>39.941313737718552</v>
      </c>
      <c r="O277" s="17">
        <f t="shared" si="72"/>
        <v>69</v>
      </c>
      <c r="P277" s="19">
        <f ca="1">IF(ISERROR(IF(O277&lt;fi_h/20,0,(OFFSET('Base de dados'!$A$5,IF(O277&lt;20,1,IF(O277&gt;1000,10,MATCH(O277,Cargas,1))),Coluna_fih,1,1))*(1+0.13*0.25)*(PI()*(fi_h/1000)^2/4)*SQRT(2*9.81*(O277/100-fi_h/2/1000))*1000)),"",IF(O277&lt;fi_h/20,0,(OFFSET('Base de dados'!$A$5,IF(O277&lt;20,1,IF(O277&gt;1000,10,MATCH(O277,Cargas,1))),Coluna_fih,1,1))*(PI()*(fi_h/1000)^2/4)*SQRT(2*9.81*(O277/100-fi_h/2/1000))*1000))</f>
        <v>21.422430658175333</v>
      </c>
      <c r="Q277" s="19">
        <f ca="1">IF(O277="","",IF(Tipo_Vertedor="Retangular",IF(O277&lt;=cota_s*100,0,IF(Tipo_Vertedor="Retangular",Cd_sr*Lef_sr*((O277/100-cota_s)^(3/2))*1000)),IF(O277&lt;=cota_s*100+fi_s/20,0,(OFFSET('Base de dados'!$A$4,IF(O277&lt;20,1,IF(O277&gt;1000,10,MATCH(O277,Cargas,1))),Coluna_fis,1,1))*(PI()*(fi_s/1000)^2/4)*(2*9.81*(O277/100-cota_s-fi_s/2/1000))^0.5*1000)))</f>
        <v>29.645999999999983</v>
      </c>
      <c r="R277" s="19">
        <f t="shared" ca="1" si="62"/>
        <v>51.068430658175316</v>
      </c>
      <c r="S277" s="19">
        <f t="shared" ca="1" si="63"/>
        <v>1331.3771245906182</v>
      </c>
      <c r="AD277" s="19" t="str">
        <f t="shared" si="73"/>
        <v/>
      </c>
      <c r="AE277" s="19" t="str">
        <f t="shared" si="74"/>
        <v/>
      </c>
      <c r="AF277" s="19" t="str">
        <f>IF(ISERROR(IF('Hidrograma afluente'!I284="",0,'Hidrograma afluente'!I284)+Simulação!G277),"",IF('Hidrograma afluente'!I284="",0,'Hidrograma afluente'!I284)+Simulação!G277)</f>
        <v/>
      </c>
      <c r="AG277" s="17" t="s">
        <v>160</v>
      </c>
      <c r="AH277" s="17" t="s">
        <v>160</v>
      </c>
      <c r="AI277" s="27" t="s">
        <v>160</v>
      </c>
      <c r="AJ277" s="17" t="s">
        <v>160</v>
      </c>
      <c r="AK277" s="19" t="str">
        <f>IF(A277="","",IF('Hidrograma afluente'!I284="",0,'Hidrograma afluente'!I284)+Simulação!B277)</f>
        <v/>
      </c>
    </row>
    <row r="278" spans="1:37" s="17" customFormat="1">
      <c r="A278" s="4" t="str">
        <f t="shared" si="64"/>
        <v/>
      </c>
      <c r="B278" s="5" t="str">
        <f>IF(A278="","",IF(A278&gt;tc_lot_i+tc,0,IF('Hidrograma afluente'!B285="","",'Hidrograma afluente'!B285)))</f>
        <v/>
      </c>
      <c r="C278" s="21" t="str">
        <f t="shared" si="65"/>
        <v/>
      </c>
      <c r="D278" s="21" t="str">
        <f t="shared" si="66"/>
        <v/>
      </c>
      <c r="E278" s="21" t="str">
        <f t="shared" si="67"/>
        <v/>
      </c>
      <c r="F278" s="21" t="str">
        <f t="shared" si="68"/>
        <v/>
      </c>
      <c r="G278" s="21" t="str">
        <f t="shared" si="69"/>
        <v/>
      </c>
      <c r="H278" s="23" t="str">
        <f t="shared" si="60"/>
        <v/>
      </c>
      <c r="I278" s="22" t="str">
        <f t="shared" si="70"/>
        <v/>
      </c>
      <c r="J278" s="1"/>
      <c r="K278" s="51"/>
      <c r="M278" s="81">
        <f t="shared" ca="1" si="61"/>
        <v>1389.1575448089347</v>
      </c>
      <c r="N278" s="19">
        <f t="shared" si="71"/>
        <v>40.104093108625072</v>
      </c>
      <c r="O278" s="17">
        <f t="shared" si="72"/>
        <v>69.25</v>
      </c>
      <c r="P278" s="19">
        <f ca="1">IF(ISERROR(IF(O278&lt;fi_h/20,0,(OFFSET('Base de dados'!$A$5,IF(O278&lt;20,1,IF(O278&gt;1000,10,MATCH(O278,Cargas,1))),Coluna_fih,1,1))*(1+0.13*0.25)*(PI()*(fi_h/1000)^2/4)*SQRT(2*9.81*(O278/100-fi_h/2/1000))*1000)),"",IF(O278&lt;fi_h/20,0,(OFFSET('Base de dados'!$A$5,IF(O278&lt;20,1,IF(O278&gt;1000,10,MATCH(O278,Cargas,1))),Coluna_fih,1,1))*(PI()*(fi_h/1000)^2/4)*SQRT(2*9.81*(O278/100-fi_h/2/1000))*1000))</f>
        <v>21.464652368612299</v>
      </c>
      <c r="Q278" s="19">
        <f ca="1">IF(O278="","",IF(Tipo_Vertedor="Retangular",IF(O278&lt;=cota_s*100,0,IF(Tipo_Vertedor="Retangular",Cd_sr*Lef_sr*((O278/100-cota_s)^(3/2))*1000)),IF(O278&lt;=cota_s*100+fi_s/20,0,(OFFSET('Base de dados'!$A$4,IF(O278&lt;20,1,IF(O278&gt;1000,10,MATCH(O278,Cargas,1))),Coluna_fis,1,1))*(PI()*(fi_s/1000)^2/4)*(2*9.81*(O278/100-cota_s-fi_s/2/1000))^0.5*1000)))</f>
        <v>30.889788819486942</v>
      </c>
      <c r="R278" s="19">
        <f t="shared" ca="1" si="62"/>
        <v>52.354441188099244</v>
      </c>
      <c r="S278" s="19">
        <f t="shared" ca="1" si="63"/>
        <v>1336.8031036208356</v>
      </c>
      <c r="AD278" s="19" t="str">
        <f t="shared" si="73"/>
        <v/>
      </c>
      <c r="AE278" s="19" t="str">
        <f t="shared" si="74"/>
        <v/>
      </c>
      <c r="AF278" s="19" t="str">
        <f>IF(ISERROR(IF('Hidrograma afluente'!I285="",0,'Hidrograma afluente'!I285)+Simulação!G278),"",IF('Hidrograma afluente'!I285="",0,'Hidrograma afluente'!I285)+Simulação!G278)</f>
        <v/>
      </c>
      <c r="AG278" s="17" t="s">
        <v>160</v>
      </c>
      <c r="AH278" s="17" t="s">
        <v>160</v>
      </c>
      <c r="AI278" s="27" t="s">
        <v>160</v>
      </c>
      <c r="AJ278" s="17" t="s">
        <v>160</v>
      </c>
      <c r="AK278" s="19" t="str">
        <f>IF(A278="","",IF('Hidrograma afluente'!I285="",0,'Hidrograma afluente'!I285)+Simulação!B278)</f>
        <v/>
      </c>
    </row>
    <row r="279" spans="1:37" s="17" customFormat="1">
      <c r="A279" s="4" t="str">
        <f t="shared" si="64"/>
        <v/>
      </c>
      <c r="B279" s="5" t="str">
        <f>IF(A279="","",IF(A279&gt;tc_lot_i+tc,0,IF('Hidrograma afluente'!B286="","",'Hidrograma afluente'!B286)))</f>
        <v/>
      </c>
      <c r="C279" s="21" t="str">
        <f t="shared" si="65"/>
        <v/>
      </c>
      <c r="D279" s="21" t="str">
        <f t="shared" si="66"/>
        <v/>
      </c>
      <c r="E279" s="21" t="str">
        <f t="shared" si="67"/>
        <v/>
      </c>
      <c r="F279" s="21" t="str">
        <f t="shared" si="68"/>
        <v/>
      </c>
      <c r="G279" s="21" t="str">
        <f t="shared" si="69"/>
        <v/>
      </c>
      <c r="H279" s="23" t="str">
        <f t="shared" si="60"/>
        <v/>
      </c>
      <c r="I279" s="22" t="str">
        <f t="shared" si="70"/>
        <v/>
      </c>
      <c r="J279" s="1"/>
      <c r="K279" s="51"/>
      <c r="M279" s="81">
        <f t="shared" ca="1" si="61"/>
        <v>1395.8888158380266</v>
      </c>
      <c r="N279" s="19">
        <f t="shared" si="71"/>
        <v>40.26694570245499</v>
      </c>
      <c r="O279" s="17">
        <f t="shared" si="72"/>
        <v>69.5</v>
      </c>
      <c r="P279" s="19">
        <f ca="1">IF(ISERROR(IF(O279&lt;fi_h/20,0,(OFFSET('Base de dados'!$A$5,IF(O279&lt;20,1,IF(O279&gt;1000,10,MATCH(O279,Cargas,1))),Coluna_fih,1,1))*(1+0.13*0.25)*(PI()*(fi_h/1000)^2/4)*SQRT(2*9.81*(O279/100-fi_h/2/1000))*1000)),"",IF(O279&lt;fi_h/20,0,(OFFSET('Base de dados'!$A$5,IF(O279&lt;20,1,IF(O279&gt;1000,10,MATCH(O279,Cargas,1))),Coluna_fih,1,1))*(PI()*(fi_h/1000)^2/4)*SQRT(2*9.81*(O279/100-fi_h/2/1000))*1000))</f>
        <v>21.506791190375573</v>
      </c>
      <c r="Q279" s="19">
        <f ca="1">IF(O279="","",IF(Tipo_Vertedor="Retangular",IF(O279&lt;=cota_s*100,0,IF(Tipo_Vertedor="Retangular",Cd_sr*Lef_sr*((O279/100-cota_s)^(3/2))*1000)),IF(O279&lt;=cota_s*100+fi_s/20,0,(OFFSET('Base de dados'!$A$4,IF(O279&lt;20,1,IF(O279&gt;1000,10,MATCH(O279,Cargas,1))),Coluna_fis,1,1))*(PI()*(fi_s/1000)^2/4)*(2*9.81*(O279/100-cota_s-fi_s/2/1000))^0.5*1000)))</f>
        <v>32.150501232484693</v>
      </c>
      <c r="R279" s="19">
        <f t="shared" ca="1" si="62"/>
        <v>53.657292422860266</v>
      </c>
      <c r="S279" s="19">
        <f t="shared" ca="1" si="63"/>
        <v>1342.2315234151663</v>
      </c>
      <c r="AD279" s="19" t="str">
        <f t="shared" si="73"/>
        <v/>
      </c>
      <c r="AE279" s="19" t="str">
        <f t="shared" si="74"/>
        <v/>
      </c>
      <c r="AF279" s="19" t="str">
        <f>IF(ISERROR(IF('Hidrograma afluente'!I286="",0,'Hidrograma afluente'!I286)+Simulação!G279),"",IF('Hidrograma afluente'!I286="",0,'Hidrograma afluente'!I286)+Simulação!G279)</f>
        <v/>
      </c>
      <c r="AG279" s="17" t="s">
        <v>160</v>
      </c>
      <c r="AH279" s="17" t="s">
        <v>160</v>
      </c>
      <c r="AI279" s="27" t="s">
        <v>160</v>
      </c>
      <c r="AJ279" s="17" t="s">
        <v>160</v>
      </c>
      <c r="AK279" s="19" t="str">
        <f>IF(A279="","",IF('Hidrograma afluente'!I286="",0,'Hidrograma afluente'!I286)+Simulação!B279)</f>
        <v/>
      </c>
    </row>
    <row r="280" spans="1:37" s="17" customFormat="1">
      <c r="A280" s="4" t="str">
        <f t="shared" si="64"/>
        <v/>
      </c>
      <c r="B280" s="5" t="str">
        <f>IF(A280="","",IF(A280&gt;tc_lot_i+tc,0,IF('Hidrograma afluente'!B287="","",'Hidrograma afluente'!B287)))</f>
        <v/>
      </c>
      <c r="C280" s="21" t="str">
        <f t="shared" si="65"/>
        <v/>
      </c>
      <c r="D280" s="21" t="str">
        <f t="shared" si="66"/>
        <v/>
      </c>
      <c r="E280" s="21" t="str">
        <f t="shared" si="67"/>
        <v/>
      </c>
      <c r="F280" s="21" t="str">
        <f t="shared" si="68"/>
        <v/>
      </c>
      <c r="G280" s="21" t="str">
        <f t="shared" si="69"/>
        <v/>
      </c>
      <c r="H280" s="23" t="str">
        <f t="shared" si="60"/>
        <v/>
      </c>
      <c r="I280" s="22" t="str">
        <f t="shared" si="70"/>
        <v/>
      </c>
      <c r="J280" s="1"/>
      <c r="K280" s="51"/>
      <c r="M280" s="81">
        <f t="shared" ca="1" si="61"/>
        <v>1402.6391369315168</v>
      </c>
      <c r="N280" s="19">
        <f t="shared" si="71"/>
        <v>40.429871288575725</v>
      </c>
      <c r="O280" s="17">
        <f t="shared" si="72"/>
        <v>69.75</v>
      </c>
      <c r="P280" s="19">
        <f ca="1">IF(ISERROR(IF(O280&lt;fi_h/20,0,(OFFSET('Base de dados'!$A$5,IF(O280&lt;20,1,IF(O280&gt;1000,10,MATCH(O280,Cargas,1))),Coluna_fih,1,1))*(1+0.13*0.25)*(PI()*(fi_h/1000)^2/4)*SQRT(2*9.81*(O280/100-fi_h/2/1000))*1000)),"",IF(O280&lt;fi_h/20,0,(OFFSET('Base de dados'!$A$5,IF(O280&lt;20,1,IF(O280&gt;1000,10,MATCH(O280,Cargas,1))),Coluna_fih,1,1))*(PI()*(fi_h/1000)^2/4)*SQRT(2*9.81*(O280/100-fi_h/2/1000))*1000))</f>
        <v>21.54884760973216</v>
      </c>
      <c r="Q280" s="19">
        <f ca="1">IF(O280="","",IF(Tipo_Vertedor="Retangular",IF(O280&lt;=cota_s*100,0,IF(Tipo_Vertedor="Retangular",Cd_sr*Lef_sr*((O280/100-cota_s)^(3/2))*1000)),IF(O280&lt;=cota_s*100+fi_s/20,0,(OFFSET('Base de dados'!$A$4,IF(O280&lt;20,1,IF(O280&gt;1000,10,MATCH(O280,Cargas,1))),Coluna_fis,1,1))*(PI()*(fi_s/1000)^2/4)*(2*9.81*(O280/100-cota_s-fi_s/2/1000))^0.5*1000)))</f>
        <v>33.427913035927034</v>
      </c>
      <c r="R280" s="19">
        <f t="shared" ca="1" si="62"/>
        <v>54.976760645659198</v>
      </c>
      <c r="S280" s="19">
        <f t="shared" ca="1" si="63"/>
        <v>1347.6623762858576</v>
      </c>
      <c r="AD280" s="19" t="str">
        <f t="shared" si="73"/>
        <v/>
      </c>
      <c r="AE280" s="19" t="str">
        <f t="shared" si="74"/>
        <v/>
      </c>
      <c r="AF280" s="19" t="str">
        <f>IF(ISERROR(IF('Hidrograma afluente'!I287="",0,'Hidrograma afluente'!I287)+Simulação!G280),"",IF('Hidrograma afluente'!I287="",0,'Hidrograma afluente'!I287)+Simulação!G280)</f>
        <v/>
      </c>
      <c r="AG280" s="17" t="s">
        <v>160</v>
      </c>
      <c r="AH280" s="17" t="s">
        <v>160</v>
      </c>
      <c r="AI280" s="27" t="s">
        <v>160</v>
      </c>
      <c r="AJ280" s="17" t="s">
        <v>160</v>
      </c>
      <c r="AK280" s="19" t="str">
        <f>IF(A280="","",IF('Hidrograma afluente'!I287="",0,'Hidrograma afluente'!I287)+Simulação!B280)</f>
        <v/>
      </c>
    </row>
    <row r="281" spans="1:37" s="17" customFormat="1">
      <c r="A281" s="4" t="str">
        <f t="shared" si="64"/>
        <v/>
      </c>
      <c r="B281" s="5" t="str">
        <f>IF(A281="","",IF(A281&gt;tc_lot_i+tc,0,IF('Hidrograma afluente'!B288="","",'Hidrograma afluente'!B288)))</f>
        <v/>
      </c>
      <c r="C281" s="21" t="str">
        <f t="shared" si="65"/>
        <v/>
      </c>
      <c r="D281" s="21" t="str">
        <f t="shared" si="66"/>
        <v/>
      </c>
      <c r="E281" s="21" t="str">
        <f t="shared" si="67"/>
        <v/>
      </c>
      <c r="F281" s="21" t="str">
        <f t="shared" si="68"/>
        <v/>
      </c>
      <c r="G281" s="21" t="str">
        <f t="shared" si="69"/>
        <v/>
      </c>
      <c r="H281" s="23" t="str">
        <f t="shared" si="60"/>
        <v/>
      </c>
      <c r="I281" s="22" t="str">
        <f t="shared" si="70"/>
        <v/>
      </c>
      <c r="J281" s="1"/>
      <c r="K281" s="51"/>
      <c r="M281" s="81">
        <f t="shared" ca="1" si="61"/>
        <v>1409.4082854137066</v>
      </c>
      <c r="N281" s="19">
        <f t="shared" si="71"/>
        <v>40.592869637905345</v>
      </c>
      <c r="O281" s="17">
        <f t="shared" si="72"/>
        <v>70</v>
      </c>
      <c r="P281" s="19">
        <f ca="1">IF(ISERROR(IF(O281&lt;fi_h/20,0,(OFFSET('Base de dados'!$A$5,IF(O281&lt;20,1,IF(O281&gt;1000,10,MATCH(O281,Cargas,1))),Coluna_fih,1,1))*(1+0.13*0.25)*(PI()*(fi_h/1000)^2/4)*SQRT(2*9.81*(O281/100-fi_h/2/1000))*1000)),"",IF(O281&lt;fi_h/20,0,(OFFSET('Base de dados'!$A$5,IF(O281&lt;20,1,IF(O281&gt;1000,10,MATCH(O281,Cargas,1))),Coluna_fih,1,1))*(PI()*(fi_h/1000)^2/4)*SQRT(2*9.81*(O281/100-fi_h/2/1000))*1000))</f>
        <v>21.590822108213068</v>
      </c>
      <c r="Q281" s="19">
        <f ca="1">IF(O281="","",IF(Tipo_Vertedor="Retangular",IF(O281&lt;=cota_s*100,0,IF(Tipo_Vertedor="Retangular",Cd_sr*Lef_sr*((O281/100-cota_s)^(3/2))*1000)),IF(O281&lt;=cota_s*100+fi_s/20,0,(OFFSET('Base de dados'!$A$4,IF(O281&lt;20,1,IF(O281&gt;1000,10,MATCH(O281,Cargas,1))),Coluna_fis,1,1))*(PI()*(fi_s/1000)^2/4)*(2*9.81*(O281/100-cota_s-fi_s/2/1000))^0.5*1000)))</f>
        <v>34.721808708648801</v>
      </c>
      <c r="R281" s="19">
        <f t="shared" ca="1" si="62"/>
        <v>56.312630816861869</v>
      </c>
      <c r="S281" s="19">
        <f t="shared" ca="1" si="63"/>
        <v>1353.0956545968447</v>
      </c>
      <c r="AD281" s="19" t="str">
        <f t="shared" si="73"/>
        <v/>
      </c>
      <c r="AE281" s="19" t="str">
        <f t="shared" si="74"/>
        <v/>
      </c>
      <c r="AF281" s="19" t="str">
        <f>IF(ISERROR(IF('Hidrograma afluente'!I288="",0,'Hidrograma afluente'!I288)+Simulação!G281),"",IF('Hidrograma afluente'!I288="",0,'Hidrograma afluente'!I288)+Simulação!G281)</f>
        <v/>
      </c>
      <c r="AG281" s="17" t="s">
        <v>160</v>
      </c>
      <c r="AH281" s="17" t="s">
        <v>160</v>
      </c>
      <c r="AI281" s="27" t="s">
        <v>160</v>
      </c>
      <c r="AJ281" s="17" t="s">
        <v>160</v>
      </c>
      <c r="AK281" s="19" t="str">
        <f>IF(A281="","",IF('Hidrograma afluente'!I288="",0,'Hidrograma afluente'!I288)+Simulação!B281)</f>
        <v/>
      </c>
    </row>
    <row r="282" spans="1:37" s="17" customFormat="1">
      <c r="A282" s="4" t="str">
        <f t="shared" si="64"/>
        <v/>
      </c>
      <c r="B282" s="5" t="str">
        <f>IF(A282="","",IF(A282&gt;tc_lot_i+tc,0,IF('Hidrograma afluente'!B289="","",'Hidrograma afluente'!B289)))</f>
        <v/>
      </c>
      <c r="C282" s="21" t="str">
        <f t="shared" si="65"/>
        <v/>
      </c>
      <c r="D282" s="21" t="str">
        <f t="shared" si="66"/>
        <v/>
      </c>
      <c r="E282" s="21" t="str">
        <f t="shared" si="67"/>
        <v/>
      </c>
      <c r="F282" s="21" t="str">
        <f t="shared" si="68"/>
        <v/>
      </c>
      <c r="G282" s="21" t="str">
        <f t="shared" si="69"/>
        <v/>
      </c>
      <c r="H282" s="23" t="str">
        <f t="shared" si="60"/>
        <v/>
      </c>
      <c r="I282" s="22" t="str">
        <f t="shared" si="70"/>
        <v/>
      </c>
      <c r="J282" s="1"/>
      <c r="K282" s="51"/>
      <c r="M282" s="81">
        <f t="shared" ca="1" si="61"/>
        <v>1416.196046790993</v>
      </c>
      <c r="N282" s="19">
        <f t="shared" si="71"/>
        <v>40.755940522896644</v>
      </c>
      <c r="O282" s="17">
        <f t="shared" si="72"/>
        <v>70.25</v>
      </c>
      <c r="P282" s="19">
        <f ca="1">IF(ISERROR(IF(O282&lt;fi_h/20,0,(OFFSET('Base de dados'!$A$5,IF(O282&lt;20,1,IF(O282&gt;1000,10,MATCH(O282,Cargas,1))),Coluna_fih,1,1))*(1+0.13*0.25)*(PI()*(fi_h/1000)^2/4)*SQRT(2*9.81*(O282/100-fi_h/2/1000))*1000)),"",IF(O282&lt;fi_h/20,0,(OFFSET('Base de dados'!$A$5,IF(O282&lt;20,1,IF(O282&gt;1000,10,MATCH(O282,Cargas,1))),Coluna_fih,1,1))*(PI()*(fi_h/1000)^2/4)*SQRT(2*9.81*(O282/100-fi_h/2/1000))*1000))</f>
        <v>21.632715162677691</v>
      </c>
      <c r="Q282" s="19">
        <f ca="1">IF(O282="","",IF(Tipo_Vertedor="Retangular",IF(O282&lt;=cota_s*100,0,IF(Tipo_Vertedor="Retangular",Cd_sr*Lef_sr*((O282/100-cota_s)^(3/2))*1000)),IF(O282&lt;=cota_s*100+fi_s/20,0,(OFFSET('Base de dados'!$A$4,IF(O282&lt;20,1,IF(O282&gt;1000,10,MATCH(O282,Cargas,1))),Coluna_fis,1,1))*(PI()*(fi_s/1000)^2/4)*(2*9.81*(O282/100-cota_s-fi_s/2/1000))^0.5*1000)))</f>
        <v>36.03198086509402</v>
      </c>
      <c r="R282" s="19">
        <f t="shared" ca="1" si="62"/>
        <v>57.664696027771711</v>
      </c>
      <c r="S282" s="19">
        <f t="shared" ca="1" si="63"/>
        <v>1358.5313507632213</v>
      </c>
      <c r="AD282" s="19" t="str">
        <f t="shared" si="73"/>
        <v/>
      </c>
      <c r="AE282" s="19" t="str">
        <f t="shared" si="74"/>
        <v/>
      </c>
      <c r="AF282" s="19" t="str">
        <f>IF(ISERROR(IF('Hidrograma afluente'!I289="",0,'Hidrograma afluente'!I289)+Simulação!G282),"",IF('Hidrograma afluente'!I289="",0,'Hidrograma afluente'!I289)+Simulação!G282)</f>
        <v/>
      </c>
      <c r="AG282" s="17" t="s">
        <v>160</v>
      </c>
      <c r="AH282" s="17" t="s">
        <v>160</v>
      </c>
      <c r="AI282" s="27" t="s">
        <v>160</v>
      </c>
      <c r="AJ282" s="17" t="s">
        <v>160</v>
      </c>
      <c r="AK282" s="19" t="str">
        <f>IF(A282="","",IF('Hidrograma afluente'!I289="",0,'Hidrograma afluente'!I289)+Simulação!B282)</f>
        <v/>
      </c>
    </row>
    <row r="283" spans="1:37" s="17" customFormat="1">
      <c r="A283" s="4" t="str">
        <f t="shared" si="64"/>
        <v/>
      </c>
      <c r="B283" s="5" t="str">
        <f>IF(A283="","",IF(A283&gt;tc_lot_i+tc,0,IF('Hidrograma afluente'!B290="","",'Hidrograma afluente'!B290)))</f>
        <v/>
      </c>
      <c r="C283" s="21" t="str">
        <f t="shared" si="65"/>
        <v/>
      </c>
      <c r="D283" s="21" t="str">
        <f t="shared" si="66"/>
        <v/>
      </c>
      <c r="E283" s="21" t="str">
        <f t="shared" si="67"/>
        <v/>
      </c>
      <c r="F283" s="21" t="str">
        <f t="shared" si="68"/>
        <v/>
      </c>
      <c r="G283" s="21" t="str">
        <f t="shared" si="69"/>
        <v/>
      </c>
      <c r="H283" s="23" t="str">
        <f t="shared" ref="H283:H346" si="75">IF(A283="","",IF(ISERROR(B283+C283+D283-G283),0,B283+C283+D283-G283))</f>
        <v/>
      </c>
      <c r="I283" s="22" t="str">
        <f t="shared" si="70"/>
        <v/>
      </c>
      <c r="J283" s="1"/>
      <c r="K283" s="51"/>
      <c r="M283" s="81">
        <f t="shared" ca="1" si="61"/>
        <v>1423.0022142520634</v>
      </c>
      <c r="N283" s="19">
        <f t="shared" si="71"/>
        <v>40.919083717521424</v>
      </c>
      <c r="O283" s="17">
        <f t="shared" si="72"/>
        <v>70.5</v>
      </c>
      <c r="P283" s="19">
        <f ca="1">IF(ISERROR(IF(O283&lt;fi_h/20,0,(OFFSET('Base de dados'!$A$5,IF(O283&lt;20,1,IF(O283&gt;1000,10,MATCH(O283,Cargas,1))),Coluna_fih,1,1))*(1+0.13*0.25)*(PI()*(fi_h/1000)^2/4)*SQRT(2*9.81*(O283/100-fi_h/2/1000))*1000)),"",IF(O283&lt;fi_h/20,0,(OFFSET('Base de dados'!$A$5,IF(O283&lt;20,1,IF(O283&gt;1000,10,MATCH(O283,Cargas,1))),Coluna_fih,1,1))*(PI()*(fi_h/1000)^2/4)*SQRT(2*9.81*(O283/100-fi_h/2/1000))*1000))</f>
        <v>21.674527245376961</v>
      </c>
      <c r="Q283" s="19">
        <f ca="1">IF(O283="","",IF(Tipo_Vertedor="Retangular",IF(O283&lt;=cota_s*100,0,IF(Tipo_Vertedor="Retangular",Cd_sr*Lef_sr*((O283/100-cota_s)^(3/2))*1000)),IF(O283&lt;=cota_s*100+fi_s/20,0,(OFFSET('Base de dados'!$A$4,IF(O283&lt;20,1,IF(O283&gt;1000,10,MATCH(O283,Cargas,1))),Coluna_fis,1,1))*(PI()*(fi_s/1000)^2/4)*(2*9.81*(O283/100-cota_s-fi_s/2/1000))^0.5*1000)))</f>
        <v>37.358229755972111</v>
      </c>
      <c r="R283" s="19">
        <f t="shared" ca="1" si="62"/>
        <v>59.032757001349069</v>
      </c>
      <c r="S283" s="19">
        <f t="shared" ca="1" si="63"/>
        <v>1363.9694572507142</v>
      </c>
      <c r="AD283" s="19" t="str">
        <f t="shared" si="73"/>
        <v/>
      </c>
      <c r="AE283" s="19" t="str">
        <f t="shared" si="74"/>
        <v/>
      </c>
      <c r="AF283" s="19" t="str">
        <f>IF(ISERROR(IF('Hidrograma afluente'!I290="",0,'Hidrograma afluente'!I290)+Simulação!G283),"",IF('Hidrograma afluente'!I290="",0,'Hidrograma afluente'!I290)+Simulação!G283)</f>
        <v/>
      </c>
      <c r="AG283" s="17" t="s">
        <v>160</v>
      </c>
      <c r="AH283" s="17" t="s">
        <v>160</v>
      </c>
      <c r="AI283" s="27" t="s">
        <v>160</v>
      </c>
      <c r="AJ283" s="17" t="s">
        <v>160</v>
      </c>
      <c r="AK283" s="19" t="str">
        <f>IF(A283="","",IF('Hidrograma afluente'!I290="",0,'Hidrograma afluente'!I290)+Simulação!B283)</f>
        <v/>
      </c>
    </row>
    <row r="284" spans="1:37" s="17" customFormat="1">
      <c r="A284" s="4" t="str">
        <f t="shared" si="64"/>
        <v/>
      </c>
      <c r="B284" s="5" t="str">
        <f>IF(A284="","",IF(A284&gt;tc_lot_i+tc,0,IF('Hidrograma afluente'!B291="","",'Hidrograma afluente'!B291)))</f>
        <v/>
      </c>
      <c r="C284" s="21" t="str">
        <f t="shared" si="65"/>
        <v/>
      </c>
      <c r="D284" s="21" t="str">
        <f t="shared" si="66"/>
        <v/>
      </c>
      <c r="E284" s="21" t="str">
        <f t="shared" si="67"/>
        <v/>
      </c>
      <c r="F284" s="21" t="str">
        <f t="shared" si="68"/>
        <v/>
      </c>
      <c r="G284" s="21" t="str">
        <f t="shared" si="69"/>
        <v/>
      </c>
      <c r="H284" s="23" t="str">
        <f t="shared" si="75"/>
        <v/>
      </c>
      <c r="I284" s="22" t="str">
        <f t="shared" si="70"/>
        <v/>
      </c>
      <c r="J284" s="1"/>
      <c r="K284" s="51"/>
      <c r="M284" s="81">
        <f t="shared" ca="1" si="61"/>
        <v>1429.8265882099836</v>
      </c>
      <c r="N284" s="19">
        <f t="shared" si="71"/>
        <v>41.082298997255066</v>
      </c>
      <c r="O284" s="17">
        <f t="shared" si="72"/>
        <v>70.75</v>
      </c>
      <c r="P284" s="19">
        <f ca="1">IF(ISERROR(IF(O284&lt;fi_h/20,0,(OFFSET('Base de dados'!$A$5,IF(O284&lt;20,1,IF(O284&gt;1000,10,MATCH(O284,Cargas,1))),Coluna_fih,1,1))*(1+0.13*0.25)*(PI()*(fi_h/1000)^2/4)*SQRT(2*9.81*(O284/100-fi_h/2/1000))*1000)),"",IF(O284&lt;fi_h/20,0,(OFFSET('Base de dados'!$A$5,IF(O284&lt;20,1,IF(O284&gt;1000,10,MATCH(O284,Cargas,1))),Coluna_fih,1,1))*(PI()*(fi_h/1000)^2/4)*SQRT(2*9.81*(O284/100-fi_h/2/1000))*1000))</f>
        <v>21.716258824015505</v>
      </c>
      <c r="Q284" s="19">
        <f ca="1">IF(O284="","",IF(Tipo_Vertedor="Retangular",IF(O284&lt;=cota_s*100,0,IF(Tipo_Vertedor="Retangular",Cd_sr*Lef_sr*((O284/100-cota_s)^(3/2))*1000)),IF(O284&lt;=cota_s*100+fi_s/20,0,(OFFSET('Base de dados'!$A$4,IF(O284&lt;20,1,IF(O284&gt;1000,10,MATCH(O284,Cargas,1))),Coluna_fis,1,1))*(PI()*(fi_s/1000)^2/4)*(2*9.81*(O284/100-cota_s-fi_s/2/1000))^0.5*1000)))</f>
        <v>38.700362810799341</v>
      </c>
      <c r="R284" s="19">
        <f t="shared" ca="1" si="62"/>
        <v>60.416621634814845</v>
      </c>
      <c r="S284" s="19">
        <f t="shared" ca="1" si="63"/>
        <v>1369.4099665751687</v>
      </c>
      <c r="AD284" s="19" t="str">
        <f t="shared" si="73"/>
        <v/>
      </c>
      <c r="AE284" s="19" t="str">
        <f t="shared" si="74"/>
        <v/>
      </c>
      <c r="AF284" s="19" t="str">
        <f>IF(ISERROR(IF('Hidrograma afluente'!I291="",0,'Hidrograma afluente'!I291)+Simulação!G284),"",IF('Hidrograma afluente'!I291="",0,'Hidrograma afluente'!I291)+Simulação!G284)</f>
        <v/>
      </c>
      <c r="AG284" s="17" t="s">
        <v>160</v>
      </c>
      <c r="AH284" s="17" t="s">
        <v>160</v>
      </c>
      <c r="AI284" s="27" t="s">
        <v>160</v>
      </c>
      <c r="AJ284" s="17" t="s">
        <v>160</v>
      </c>
      <c r="AK284" s="19" t="str">
        <f>IF(A284="","",IF('Hidrograma afluente'!I291="",0,'Hidrograma afluente'!I291)+Simulação!B284)</f>
        <v/>
      </c>
    </row>
    <row r="285" spans="1:37" s="17" customFormat="1">
      <c r="A285" s="4" t="str">
        <f t="shared" si="64"/>
        <v/>
      </c>
      <c r="B285" s="5" t="str">
        <f>IF(A285="","",IF(A285&gt;tc_lot_i+tc,0,IF('Hidrograma afluente'!B292="","",'Hidrograma afluente'!B292)))</f>
        <v/>
      </c>
      <c r="C285" s="21" t="str">
        <f t="shared" si="65"/>
        <v/>
      </c>
      <c r="D285" s="21" t="str">
        <f t="shared" si="66"/>
        <v/>
      </c>
      <c r="E285" s="21" t="str">
        <f t="shared" si="67"/>
        <v/>
      </c>
      <c r="F285" s="21" t="str">
        <f t="shared" si="68"/>
        <v/>
      </c>
      <c r="G285" s="21" t="str">
        <f t="shared" si="69"/>
        <v/>
      </c>
      <c r="H285" s="23" t="str">
        <f t="shared" si="75"/>
        <v/>
      </c>
      <c r="I285" s="22" t="str">
        <f t="shared" si="70"/>
        <v/>
      </c>
      <c r="J285" s="1"/>
      <c r="K285" s="51"/>
      <c r="M285" s="81">
        <f t="shared" ca="1" si="61"/>
        <v>1436.6689758817631</v>
      </c>
      <c r="N285" s="19">
        <f t="shared" si="71"/>
        <v>41.245586139061139</v>
      </c>
      <c r="O285" s="17">
        <f t="shared" si="72"/>
        <v>71</v>
      </c>
      <c r="P285" s="19">
        <f ca="1">IF(ISERROR(IF(O285&lt;fi_h/20,0,(OFFSET('Base de dados'!$A$5,IF(O285&lt;20,1,IF(O285&gt;1000,10,MATCH(O285,Cargas,1))),Coluna_fih,1,1))*(1+0.13*0.25)*(PI()*(fi_h/1000)^2/4)*SQRT(2*9.81*(O285/100-fi_h/2/1000))*1000)),"",IF(O285&lt;fi_h/20,0,(OFFSET('Base de dados'!$A$5,IF(O285&lt;20,1,IF(O285&gt;1000,10,MATCH(O285,Cargas,1))),Coluna_fih,1,1))*(PI()*(fi_h/1000)^2/4)*SQRT(2*9.81*(O285/100-fi_h/2/1000))*1000))</f>
        <v>21.757910361812648</v>
      </c>
      <c r="Q285" s="19">
        <f ca="1">IF(O285="","",IF(Tipo_Vertedor="Retangular",IF(O285&lt;=cota_s*100,0,IF(Tipo_Vertedor="Retangular",Cd_sr*Lef_sr*((O285/100-cota_s)^(3/2))*1000)),IF(O285&lt;=cota_s*100+fi_s/20,0,(OFFSET('Base de dados'!$A$4,IF(O285&lt;20,1,IF(O285&gt;1000,10,MATCH(O285,Cargas,1))),Coluna_fis,1,1))*(PI()*(fi_s/1000)^2/4)*(2*9.81*(O285/100-cota_s-fi_s/2/1000))^0.5*1000)))</f>
        <v>40.058194217912508</v>
      </c>
      <c r="R285" s="19">
        <f t="shared" ca="1" si="62"/>
        <v>61.816104579725156</v>
      </c>
      <c r="S285" s="19">
        <f t="shared" ca="1" si="63"/>
        <v>1374.852871302038</v>
      </c>
      <c r="AD285" s="19" t="str">
        <f t="shared" si="73"/>
        <v/>
      </c>
      <c r="AE285" s="19" t="str">
        <f t="shared" si="74"/>
        <v/>
      </c>
      <c r="AF285" s="19" t="str">
        <f>IF(ISERROR(IF('Hidrograma afluente'!I292="",0,'Hidrograma afluente'!I292)+Simulação!G285),"",IF('Hidrograma afluente'!I292="",0,'Hidrograma afluente'!I292)+Simulação!G285)</f>
        <v/>
      </c>
      <c r="AG285" s="17" t="s">
        <v>160</v>
      </c>
      <c r="AH285" s="17" t="s">
        <v>160</v>
      </c>
      <c r="AI285" s="27" t="s">
        <v>160</v>
      </c>
      <c r="AJ285" s="17" t="s">
        <v>160</v>
      </c>
      <c r="AK285" s="19" t="str">
        <f>IF(A285="","",IF('Hidrograma afluente'!I292="",0,'Hidrograma afluente'!I292)+Simulação!B285)</f>
        <v/>
      </c>
    </row>
    <row r="286" spans="1:37" s="17" customFormat="1">
      <c r="A286" s="4" t="str">
        <f t="shared" si="64"/>
        <v/>
      </c>
      <c r="B286" s="5" t="str">
        <f>IF(A286="","",IF(A286&gt;tc_lot_i+tc,0,IF('Hidrograma afluente'!B293="","",'Hidrograma afluente'!B293)))</f>
        <v/>
      </c>
      <c r="C286" s="21" t="str">
        <f t="shared" si="65"/>
        <v/>
      </c>
      <c r="D286" s="21" t="str">
        <f t="shared" si="66"/>
        <v/>
      </c>
      <c r="E286" s="21" t="str">
        <f t="shared" si="67"/>
        <v/>
      </c>
      <c r="F286" s="21" t="str">
        <f t="shared" si="68"/>
        <v/>
      </c>
      <c r="G286" s="21" t="str">
        <f t="shared" si="69"/>
        <v/>
      </c>
      <c r="H286" s="23" t="str">
        <f t="shared" si="75"/>
        <v/>
      </c>
      <c r="I286" s="22" t="str">
        <f t="shared" si="70"/>
        <v/>
      </c>
      <c r="J286" s="1"/>
      <c r="K286" s="51"/>
      <c r="M286" s="81">
        <f t="shared" ca="1" si="61"/>
        <v>1443.529190901543</v>
      </c>
      <c r="N286" s="19">
        <f t="shared" si="71"/>
        <v>41.408944921376438</v>
      </c>
      <c r="O286" s="17">
        <f t="shared" si="72"/>
        <v>71.25</v>
      </c>
      <c r="P286" s="19">
        <f ca="1">IF(ISERROR(IF(O286&lt;fi_h/20,0,(OFFSET('Base de dados'!$A$5,IF(O286&lt;20,1,IF(O286&gt;1000,10,MATCH(O286,Cargas,1))),Coluna_fih,1,1))*(1+0.13*0.25)*(PI()*(fi_h/1000)^2/4)*SQRT(2*9.81*(O286/100-fi_h/2/1000))*1000)),"",IF(O286&lt;fi_h/20,0,(OFFSET('Base de dados'!$A$5,IF(O286&lt;20,1,IF(O286&gt;1000,10,MATCH(O286,Cargas,1))),Coluna_fih,1,1))*(PI()*(fi_h/1000)^2/4)*SQRT(2*9.81*(O286/100-fi_h/2/1000))*1000))</f>
        <v>21.799482317562433</v>
      </c>
      <c r="Q286" s="19">
        <f ca="1">IF(O286="","",IF(Tipo_Vertedor="Retangular",IF(O286&lt;=cota_s*100,0,IF(Tipo_Vertedor="Retangular",Cd_sr*Lef_sr*((O286/100-cota_s)^(3/2))*1000)),IF(O286&lt;=cota_s*100+fi_s/20,0,(OFFSET('Base de dados'!$A$4,IF(O286&lt;20,1,IF(O286&gt;1000,10,MATCH(O286,Cargas,1))),Coluna_fis,1,1))*(PI()*(fi_s/1000)^2/4)*(2*9.81*(O286/100-cota_s-fi_s/2/1000))^0.5*1000)))</f>
        <v>41.431544538099253</v>
      </c>
      <c r="R286" s="19">
        <f t="shared" ca="1" si="62"/>
        <v>63.231026855661682</v>
      </c>
      <c r="S286" s="19">
        <f t="shared" ca="1" si="63"/>
        <v>1380.2981640458813</v>
      </c>
      <c r="AD286" s="19" t="str">
        <f t="shared" si="73"/>
        <v/>
      </c>
      <c r="AE286" s="19" t="str">
        <f t="shared" si="74"/>
        <v/>
      </c>
      <c r="AF286" s="19" t="str">
        <f>IF(ISERROR(IF('Hidrograma afluente'!I293="",0,'Hidrograma afluente'!I293)+Simulação!G286),"",IF('Hidrograma afluente'!I293="",0,'Hidrograma afluente'!I293)+Simulação!G286)</f>
        <v/>
      </c>
      <c r="AG286" s="17" t="s">
        <v>160</v>
      </c>
      <c r="AH286" s="17" t="s">
        <v>160</v>
      </c>
      <c r="AI286" s="27" t="s">
        <v>160</v>
      </c>
      <c r="AJ286" s="17" t="s">
        <v>160</v>
      </c>
      <c r="AK286" s="19" t="str">
        <f>IF(A286="","",IF('Hidrograma afluente'!I293="",0,'Hidrograma afluente'!I293)+Simulação!B286)</f>
        <v/>
      </c>
    </row>
    <row r="287" spans="1:37" s="17" customFormat="1">
      <c r="A287" s="4" t="str">
        <f t="shared" si="64"/>
        <v/>
      </c>
      <c r="B287" s="5" t="str">
        <f>IF(A287="","",IF(A287&gt;tc_lot_i+tc,0,IF('Hidrograma afluente'!B294="","",'Hidrograma afluente'!B294)))</f>
        <v/>
      </c>
      <c r="C287" s="21" t="str">
        <f t="shared" si="65"/>
        <v/>
      </c>
      <c r="D287" s="21" t="str">
        <f t="shared" si="66"/>
        <v/>
      </c>
      <c r="E287" s="21" t="str">
        <f t="shared" si="67"/>
        <v/>
      </c>
      <c r="F287" s="21" t="str">
        <f t="shared" si="68"/>
        <v/>
      </c>
      <c r="G287" s="21" t="str">
        <f t="shared" si="69"/>
        <v/>
      </c>
      <c r="H287" s="23" t="str">
        <f t="shared" si="75"/>
        <v/>
      </c>
      <c r="I287" s="22" t="str">
        <f t="shared" si="70"/>
        <v/>
      </c>
      <c r="J287" s="1"/>
      <c r="K287" s="51"/>
      <c r="M287" s="81">
        <f t="shared" ca="1" si="61"/>
        <v>1450.4070529640219</v>
      </c>
      <c r="N287" s="19">
        <f t="shared" si="71"/>
        <v>41.572375124096034</v>
      </c>
      <c r="O287" s="17">
        <f t="shared" si="72"/>
        <v>71.5</v>
      </c>
      <c r="P287" s="19">
        <f ca="1">IF(ISERROR(IF(O287&lt;fi_h/20,0,(OFFSET('Base de dados'!$A$5,IF(O287&lt;20,1,IF(O287&gt;1000,10,MATCH(O287,Cargas,1))),Coluna_fih,1,1))*(1+0.13*0.25)*(PI()*(fi_h/1000)^2/4)*SQRT(2*9.81*(O287/100-fi_h/2/1000))*1000)),"",IF(O287&lt;fi_h/20,0,(OFFSET('Base de dados'!$A$5,IF(O287&lt;20,1,IF(O287&gt;1000,10,MATCH(O287,Cargas,1))),Coluna_fih,1,1))*(PI()*(fi_h/1000)^2/4)*SQRT(2*9.81*(O287/100-fi_h/2/1000))*1000))</f>
        <v>21.840975145692557</v>
      </c>
      <c r="Q287" s="19">
        <f ca="1">IF(O287="","",IF(Tipo_Vertedor="Retangular",IF(O287&lt;=cota_s*100,0,IF(Tipo_Vertedor="Retangular",Cd_sr*Lef_sr*((O287/100-cota_s)^(3/2))*1000)),IF(O287&lt;=cota_s*100+fi_s/20,0,(OFFSET('Base de dados'!$A$4,IF(O287&lt;20,1,IF(O287&gt;1000,10,MATCH(O287,Cargas,1))),Coluna_fis,1,1))*(PI()*(fi_s/1000)^2/4)*(2*9.81*(O287/100-cota_s-fi_s/2/1000))^0.5*1000)))</f>
        <v>42.82024034846139</v>
      </c>
      <c r="R287" s="19">
        <f t="shared" ca="1" si="62"/>
        <v>64.66121549415395</v>
      </c>
      <c r="S287" s="19">
        <f t="shared" ca="1" si="63"/>
        <v>1385.7458374698679</v>
      </c>
      <c r="AD287" s="19" t="str">
        <f t="shared" si="73"/>
        <v/>
      </c>
      <c r="AE287" s="19" t="str">
        <f t="shared" si="74"/>
        <v/>
      </c>
      <c r="AF287" s="19" t="str">
        <f>IF(ISERROR(IF('Hidrograma afluente'!I294="",0,'Hidrograma afluente'!I294)+Simulação!G287),"",IF('Hidrograma afluente'!I294="",0,'Hidrograma afluente'!I294)+Simulação!G287)</f>
        <v/>
      </c>
      <c r="AG287" s="17" t="s">
        <v>160</v>
      </c>
      <c r="AH287" s="17" t="s">
        <v>160</v>
      </c>
      <c r="AI287" s="27" t="s">
        <v>160</v>
      </c>
      <c r="AJ287" s="17" t="s">
        <v>160</v>
      </c>
      <c r="AK287" s="19" t="str">
        <f>IF(A287="","",IF('Hidrograma afluente'!I294="",0,'Hidrograma afluente'!I294)+Simulação!B287)</f>
        <v/>
      </c>
    </row>
    <row r="288" spans="1:37" s="17" customFormat="1">
      <c r="A288" s="4" t="str">
        <f t="shared" si="64"/>
        <v/>
      </c>
      <c r="B288" s="5" t="str">
        <f>IF(A288="","",IF(A288&gt;tc_lot_i+tc,0,IF('Hidrograma afluente'!B295="","",'Hidrograma afluente'!B295)))</f>
        <v/>
      </c>
      <c r="C288" s="21" t="str">
        <f t="shared" si="65"/>
        <v/>
      </c>
      <c r="D288" s="21" t="str">
        <f t="shared" si="66"/>
        <v/>
      </c>
      <c r="E288" s="21" t="str">
        <f t="shared" si="67"/>
        <v/>
      </c>
      <c r="F288" s="21" t="str">
        <f t="shared" si="68"/>
        <v/>
      </c>
      <c r="G288" s="21" t="str">
        <f t="shared" si="69"/>
        <v/>
      </c>
      <c r="H288" s="23" t="str">
        <f t="shared" si="75"/>
        <v/>
      </c>
      <c r="I288" s="22" t="str">
        <f t="shared" si="70"/>
        <v/>
      </c>
      <c r="J288" s="1"/>
      <c r="K288" s="51"/>
      <c r="M288" s="81">
        <f t="shared" ca="1" si="61"/>
        <v>1457.3023874951491</v>
      </c>
      <c r="N288" s="19">
        <f t="shared" si="71"/>
        <v>41.735876528558684</v>
      </c>
      <c r="O288" s="17">
        <f t="shared" si="72"/>
        <v>71.75</v>
      </c>
      <c r="P288" s="19">
        <f ca="1">IF(ISERROR(IF(O288&lt;fi_h/20,0,(OFFSET('Base de dados'!$A$5,IF(O288&lt;20,1,IF(O288&gt;1000,10,MATCH(O288,Cargas,1))),Coluna_fih,1,1))*(1+0.13*0.25)*(PI()*(fi_h/1000)^2/4)*SQRT(2*9.81*(O288/100-fi_h/2/1000))*1000)),"",IF(O288&lt;fi_h/20,0,(OFFSET('Base de dados'!$A$5,IF(O288&lt;20,1,IF(O288&gt;1000,10,MATCH(O288,Cargas,1))),Coluna_fih,1,1))*(PI()*(fi_h/1000)^2/4)*SQRT(2*9.81*(O288/100-fi_h/2/1000))*1000))</f>
        <v>21.882389296322355</v>
      </c>
      <c r="Q288" s="19">
        <f ca="1">IF(O288="","",IF(Tipo_Vertedor="Retangular",IF(O288&lt;=cota_s*100,0,IF(Tipo_Vertedor="Retangular",Cd_sr*Lef_sr*((O288/100-cota_s)^(3/2))*1000)),IF(O288&lt;=cota_s*100+fi_s/20,0,(OFFSET('Base de dados'!$A$4,IF(O288&lt;20,1,IF(O288&gt;1000,10,MATCH(O288,Cargas,1))),Coluna_fis,1,1))*(PI()*(fi_s/1000)^2/4)*(2*9.81*(O288/100-cota_s-fi_s/2/1000))^0.5*1000)))</f>
        <v>44.224113913537082</v>
      </c>
      <c r="R288" s="19">
        <f t="shared" ca="1" si="62"/>
        <v>66.10650320985944</v>
      </c>
      <c r="S288" s="19">
        <f t="shared" ca="1" si="63"/>
        <v>1391.1958842852896</v>
      </c>
      <c r="AD288" s="19" t="str">
        <f t="shared" si="73"/>
        <v/>
      </c>
      <c r="AE288" s="19" t="str">
        <f t="shared" si="74"/>
        <v/>
      </c>
      <c r="AF288" s="19" t="str">
        <f>IF(ISERROR(IF('Hidrograma afluente'!I295="",0,'Hidrograma afluente'!I295)+Simulação!G288),"",IF('Hidrograma afluente'!I295="",0,'Hidrograma afluente'!I295)+Simulação!G288)</f>
        <v/>
      </c>
      <c r="AG288" s="17" t="s">
        <v>160</v>
      </c>
      <c r="AH288" s="17" t="s">
        <v>160</v>
      </c>
      <c r="AI288" s="27" t="s">
        <v>160</v>
      </c>
      <c r="AJ288" s="17" t="s">
        <v>160</v>
      </c>
      <c r="AK288" s="19" t="str">
        <f>IF(A288="","",IF('Hidrograma afluente'!I295="",0,'Hidrograma afluente'!I295)+Simulação!B288)</f>
        <v/>
      </c>
    </row>
    <row r="289" spans="1:37" s="17" customFormat="1">
      <c r="A289" s="4" t="str">
        <f t="shared" si="64"/>
        <v/>
      </c>
      <c r="B289" s="5" t="str">
        <f>IF(A289="","",IF(A289&gt;tc_lot_i+tc,0,IF('Hidrograma afluente'!B296="","",'Hidrograma afluente'!B296)))</f>
        <v/>
      </c>
      <c r="C289" s="21" t="str">
        <f t="shared" si="65"/>
        <v/>
      </c>
      <c r="D289" s="21" t="str">
        <f t="shared" si="66"/>
        <v/>
      </c>
      <c r="E289" s="21" t="str">
        <f t="shared" si="67"/>
        <v/>
      </c>
      <c r="F289" s="21" t="str">
        <f t="shared" si="68"/>
        <v/>
      </c>
      <c r="G289" s="21" t="str">
        <f t="shared" si="69"/>
        <v/>
      </c>
      <c r="H289" s="23" t="str">
        <f t="shared" si="75"/>
        <v/>
      </c>
      <c r="I289" s="22" t="str">
        <f t="shared" si="70"/>
        <v/>
      </c>
      <c r="J289" s="1"/>
      <c r="K289" s="51"/>
      <c r="M289" s="81">
        <f t="shared" ca="1" si="61"/>
        <v>1464.2150253474508</v>
      </c>
      <c r="N289" s="19">
        <f t="shared" si="71"/>
        <v>41.899448917532283</v>
      </c>
      <c r="O289" s="17">
        <f t="shared" si="72"/>
        <v>72</v>
      </c>
      <c r="P289" s="19">
        <f ca="1">IF(ISERROR(IF(O289&lt;fi_h/20,0,(OFFSET('Base de dados'!$A$5,IF(O289&lt;20,1,IF(O289&gt;1000,10,MATCH(O289,Cargas,1))),Coluna_fih,1,1))*(1+0.13*0.25)*(PI()*(fi_h/1000)^2/4)*SQRT(2*9.81*(O289/100-fi_h/2/1000))*1000)),"",IF(O289&lt;fi_h/20,0,(OFFSET('Base de dados'!$A$5,IF(O289&lt;20,1,IF(O289&gt;1000,10,MATCH(O289,Cargas,1))),Coluna_fih,1,1))*(PI()*(fi_h/1000)^2/4)*SQRT(2*9.81*(O289/100-fi_h/2/1000))*1000))</f>
        <v>21.923725215319728</v>
      </c>
      <c r="Q289" s="19">
        <f ca="1">IF(O289="","",IF(Tipo_Vertedor="Retangular",IF(O289&lt;=cota_s*100,0,IF(Tipo_Vertedor="Retangular",Cd_sr*Lef_sr*((O289/100-cota_s)^(3/2))*1000)),IF(O289&lt;=cota_s*100+fi_s/20,0,(OFFSET('Base de dados'!$A$4,IF(O289&lt;20,1,IF(O289&gt;1000,10,MATCH(O289,Cargas,1))),Coluna_fis,1,1))*(PI()*(fi_s/1000)^2/4)*(2*9.81*(O289/100-cota_s-fi_s/2/1000))^0.5*1000)))</f>
        <v>45.643002881055061</v>
      </c>
      <c r="R289" s="19">
        <f t="shared" ca="1" si="62"/>
        <v>67.566728096374788</v>
      </c>
      <c r="S289" s="19">
        <f t="shared" ca="1" si="63"/>
        <v>1396.648297251076</v>
      </c>
      <c r="AD289" s="19" t="str">
        <f t="shared" si="73"/>
        <v/>
      </c>
      <c r="AE289" s="19" t="str">
        <f t="shared" si="74"/>
        <v/>
      </c>
      <c r="AF289" s="19" t="str">
        <f>IF(ISERROR(IF('Hidrograma afluente'!I296="",0,'Hidrograma afluente'!I296)+Simulação!G289),"",IF('Hidrograma afluente'!I296="",0,'Hidrograma afluente'!I296)+Simulação!G289)</f>
        <v/>
      </c>
      <c r="AG289" s="17" t="s">
        <v>160</v>
      </c>
      <c r="AH289" s="17" t="s">
        <v>160</v>
      </c>
      <c r="AI289" s="27" t="s">
        <v>160</v>
      </c>
      <c r="AJ289" s="17" t="s">
        <v>160</v>
      </c>
      <c r="AK289" s="19" t="str">
        <f>IF(A289="","",IF('Hidrograma afluente'!I296="",0,'Hidrograma afluente'!I296)+Simulação!B289)</f>
        <v/>
      </c>
    </row>
    <row r="290" spans="1:37" s="17" customFormat="1">
      <c r="A290" s="4" t="str">
        <f t="shared" si="64"/>
        <v/>
      </c>
      <c r="B290" s="5" t="str">
        <f>IF(A290="","",IF(A290&gt;tc_lot_i+tc,0,IF('Hidrograma afluente'!B297="","",'Hidrograma afluente'!B297)))</f>
        <v/>
      </c>
      <c r="C290" s="21" t="str">
        <f t="shared" si="65"/>
        <v/>
      </c>
      <c r="D290" s="21" t="str">
        <f t="shared" si="66"/>
        <v/>
      </c>
      <c r="E290" s="21" t="str">
        <f t="shared" si="67"/>
        <v/>
      </c>
      <c r="F290" s="21" t="str">
        <f t="shared" si="68"/>
        <v/>
      </c>
      <c r="G290" s="21" t="str">
        <f t="shared" si="69"/>
        <v/>
      </c>
      <c r="H290" s="23" t="str">
        <f t="shared" si="75"/>
        <v/>
      </c>
      <c r="I290" s="22" t="str">
        <f t="shared" si="70"/>
        <v/>
      </c>
      <c r="J290" s="1"/>
      <c r="K290" s="51"/>
      <c r="M290" s="81">
        <f t="shared" ca="1" si="61"/>
        <v>1471.1448025176792</v>
      </c>
      <c r="N290" s="19">
        <f t="shared" si="71"/>
        <v>42.063092075199663</v>
      </c>
      <c r="O290" s="17">
        <f t="shared" si="72"/>
        <v>72.25</v>
      </c>
      <c r="P290" s="19">
        <f ca="1">IF(ISERROR(IF(O290&lt;fi_h/20,0,(OFFSET('Base de dados'!$A$5,IF(O290&lt;20,1,IF(O290&gt;1000,10,MATCH(O290,Cargas,1))),Coluna_fih,1,1))*(1+0.13*0.25)*(PI()*(fi_h/1000)^2/4)*SQRT(2*9.81*(O290/100-fi_h/2/1000))*1000)),"",IF(O290&lt;fi_h/20,0,(OFFSET('Base de dados'!$A$5,IF(O290&lt;20,1,IF(O290&gt;1000,10,MATCH(O290,Cargas,1))),Coluna_fih,1,1))*(PI()*(fi_h/1000)^2/4)*SQRT(2*9.81*(O290/100-fi_h/2/1000))*1000))</f>
        <v>21.964983344357197</v>
      </c>
      <c r="Q290" s="19">
        <f ca="1">IF(O290="","",IF(Tipo_Vertedor="Retangular",IF(O290&lt;=cota_s*100,0,IF(Tipo_Vertedor="Retangular",Cd_sr*Lef_sr*((O290/100-cota_s)^(3/2))*1000)),IF(O290&lt;=cota_s*100+fi_s/20,0,(OFFSET('Base de dados'!$A$4,IF(O290&lt;20,1,IF(O290&gt;1000,10,MATCH(O290,Cargas,1))),Coluna_fis,1,1))*(PI()*(fi_s/1000)^2/4)*(2*9.81*(O290/100-cota_s-fi_s/2/1000))^0.5*1000)))</f>
        <v>47.07675000000004</v>
      </c>
      <c r="R290" s="19">
        <f t="shared" ca="1" si="62"/>
        <v>69.04173334435724</v>
      </c>
      <c r="S290" s="19">
        <f t="shared" ca="1" si="63"/>
        <v>1402.103069173322</v>
      </c>
      <c r="AD290" s="19" t="str">
        <f t="shared" si="73"/>
        <v/>
      </c>
      <c r="AE290" s="19" t="str">
        <f t="shared" si="74"/>
        <v/>
      </c>
      <c r="AF290" s="19" t="str">
        <f>IF(ISERROR(IF('Hidrograma afluente'!I297="",0,'Hidrograma afluente'!I297)+Simulação!G290),"",IF('Hidrograma afluente'!I297="",0,'Hidrograma afluente'!I297)+Simulação!G290)</f>
        <v/>
      </c>
      <c r="AG290" s="17" t="s">
        <v>160</v>
      </c>
      <c r="AH290" s="17" t="s">
        <v>160</v>
      </c>
      <c r="AI290" s="27" t="s">
        <v>160</v>
      </c>
      <c r="AJ290" s="17" t="s">
        <v>160</v>
      </c>
      <c r="AK290" s="19" t="str">
        <f>IF(A290="","",IF('Hidrograma afluente'!I297="",0,'Hidrograma afluente'!I297)+Simulação!B290)</f>
        <v/>
      </c>
    </row>
    <row r="291" spans="1:37" s="17" customFormat="1">
      <c r="A291" s="4" t="str">
        <f t="shared" si="64"/>
        <v/>
      </c>
      <c r="B291" s="5" t="str">
        <f>IF(A291="","",IF(A291&gt;tc_lot_i+tc,0,IF('Hidrograma afluente'!B298="","",'Hidrograma afluente'!B298)))</f>
        <v/>
      </c>
      <c r="C291" s="21" t="str">
        <f t="shared" si="65"/>
        <v/>
      </c>
      <c r="D291" s="21" t="str">
        <f t="shared" si="66"/>
        <v/>
      </c>
      <c r="E291" s="21" t="str">
        <f t="shared" si="67"/>
        <v/>
      </c>
      <c r="F291" s="21" t="str">
        <f t="shared" si="68"/>
        <v/>
      </c>
      <c r="G291" s="21" t="str">
        <f t="shared" si="69"/>
        <v/>
      </c>
      <c r="H291" s="23" t="str">
        <f t="shared" si="75"/>
        <v/>
      </c>
      <c r="I291" s="22" t="str">
        <f t="shared" si="70"/>
        <v/>
      </c>
      <c r="J291" s="1"/>
      <c r="K291" s="51"/>
      <c r="M291" s="81">
        <f t="shared" ca="1" si="61"/>
        <v>1478.0915598847093</v>
      </c>
      <c r="N291" s="19">
        <f t="shared" si="71"/>
        <v>42.226805787144464</v>
      </c>
      <c r="O291" s="17">
        <f t="shared" si="72"/>
        <v>72.5</v>
      </c>
      <c r="P291" s="19">
        <f ca="1">IF(ISERROR(IF(O291&lt;fi_h/20,0,(OFFSET('Base de dados'!$A$5,IF(O291&lt;20,1,IF(O291&gt;1000,10,MATCH(O291,Cargas,1))),Coluna_fih,1,1))*(1+0.13*0.25)*(PI()*(fi_h/1000)^2/4)*SQRT(2*9.81*(O291/100-fi_h/2/1000))*1000)),"",IF(O291&lt;fi_h/20,0,(OFFSET('Base de dados'!$A$5,IF(O291&lt;20,1,IF(O291&gt;1000,10,MATCH(O291,Cargas,1))),Coluna_fih,1,1))*(PI()*(fi_h/1000)^2/4)*SQRT(2*9.81*(O291/100-fi_h/2/1000))*1000))</f>
        <v>22.006164120966925</v>
      </c>
      <c r="Q291" s="19">
        <f ca="1">IF(O291="","",IF(Tipo_Vertedor="Retangular",IF(O291&lt;=cota_s*100,0,IF(Tipo_Vertedor="Retangular",Cd_sr*Lef_sr*((O291/100-cota_s)^(3/2))*1000)),IF(O291&lt;=cota_s*100+fi_s/20,0,(OFFSET('Base de dados'!$A$4,IF(O291&lt;20,1,IF(O291&gt;1000,10,MATCH(O291,Cargas,1))),Coluna_fis,1,1))*(PI()*(fi_s/1000)^2/4)*(2*9.81*(O291/100-cota_s-fi_s/2/1000))^0.5*1000)))</f>
        <v>48.525202858926853</v>
      </c>
      <c r="R291" s="19">
        <f t="shared" ca="1" si="62"/>
        <v>70.531366979893775</v>
      </c>
      <c r="S291" s="19">
        <f t="shared" ca="1" si="63"/>
        <v>1407.5601929048155</v>
      </c>
      <c r="AD291" s="19" t="str">
        <f t="shared" si="73"/>
        <v/>
      </c>
      <c r="AE291" s="19" t="str">
        <f t="shared" si="74"/>
        <v/>
      </c>
      <c r="AF291" s="19" t="str">
        <f>IF(ISERROR(IF('Hidrograma afluente'!I298="",0,'Hidrograma afluente'!I298)+Simulação!G291),"",IF('Hidrograma afluente'!I298="",0,'Hidrograma afluente'!I298)+Simulação!G291)</f>
        <v/>
      </c>
      <c r="AG291" s="17" t="s">
        <v>160</v>
      </c>
      <c r="AH291" s="17" t="s">
        <v>160</v>
      </c>
      <c r="AI291" s="27" t="s">
        <v>160</v>
      </c>
      <c r="AJ291" s="17" t="s">
        <v>160</v>
      </c>
      <c r="AK291" s="19" t="str">
        <f>IF(A291="","",IF('Hidrograma afluente'!I298="",0,'Hidrograma afluente'!I298)+Simulação!B291)</f>
        <v/>
      </c>
    </row>
    <row r="292" spans="1:37" s="17" customFormat="1">
      <c r="A292" s="4" t="str">
        <f t="shared" si="64"/>
        <v/>
      </c>
      <c r="B292" s="5" t="str">
        <f>IF(A292="","",IF(A292&gt;tc_lot_i+tc,0,IF('Hidrograma afluente'!B299="","",'Hidrograma afluente'!B299)))</f>
        <v/>
      </c>
      <c r="C292" s="21" t="str">
        <f t="shared" si="65"/>
        <v/>
      </c>
      <c r="D292" s="21" t="str">
        <f t="shared" si="66"/>
        <v/>
      </c>
      <c r="E292" s="21" t="str">
        <f t="shared" si="67"/>
        <v/>
      </c>
      <c r="F292" s="21" t="str">
        <f t="shared" si="68"/>
        <v/>
      </c>
      <c r="G292" s="21" t="str">
        <f t="shared" si="69"/>
        <v/>
      </c>
      <c r="H292" s="23" t="str">
        <f t="shared" si="75"/>
        <v/>
      </c>
      <c r="I292" s="22" t="str">
        <f t="shared" si="70"/>
        <v/>
      </c>
      <c r="J292" s="1"/>
      <c r="K292" s="51"/>
      <c r="M292" s="81">
        <f t="shared" ca="1" si="61"/>
        <v>1485.0551429658633</v>
      </c>
      <c r="N292" s="19">
        <f t="shared" si="71"/>
        <v>42.390589840337263</v>
      </c>
      <c r="O292" s="17">
        <f t="shared" si="72"/>
        <v>72.75</v>
      </c>
      <c r="P292" s="19">
        <f ca="1">IF(ISERROR(IF(O292&lt;fi_h/20,0,(OFFSET('Base de dados'!$A$5,IF(O292&lt;20,1,IF(O292&gt;1000,10,MATCH(O292,Cargas,1))),Coluna_fih,1,1))*(1+0.13*0.25)*(PI()*(fi_h/1000)^2/4)*SQRT(2*9.81*(O292/100-fi_h/2/1000))*1000)),"",IF(O292&lt;fi_h/20,0,(OFFSET('Base de dados'!$A$5,IF(O292&lt;20,1,IF(O292&gt;1000,10,MATCH(O292,Cargas,1))),Coluna_fih,1,1))*(PI()*(fi_h/1000)^2/4)*SQRT(2*9.81*(O292/100-fi_h/2/1000))*1000))</f>
        <v>22.047267978594878</v>
      </c>
      <c r="Q292" s="19">
        <f ca="1">IF(O292="","",IF(Tipo_Vertedor="Retangular",IF(O292&lt;=cota_s*100,0,IF(Tipo_Vertedor="Retangular",Cd_sr*Lef_sr*((O292/100-cota_s)^(3/2))*1000)),IF(O292&lt;=cota_s*100+fi_s/20,0,(OFFSET('Base de dados'!$A$4,IF(O292&lt;20,1,IF(O292&gt;1000,10,MATCH(O292,Cargas,1))),Coluna_fis,1,1))*(PI()*(fi_s/1000)^2/4)*(2*9.81*(O292/100-cota_s-fi_s/2/1000))^0.5*1000)))</f>
        <v>49.988213642692848</v>
      </c>
      <c r="R292" s="19">
        <f t="shared" ca="1" si="62"/>
        <v>72.03548162128773</v>
      </c>
      <c r="S292" s="19">
        <f t="shared" ca="1" si="63"/>
        <v>1413.0196613445755</v>
      </c>
      <c r="AD292" s="19" t="str">
        <f t="shared" si="73"/>
        <v/>
      </c>
      <c r="AE292" s="19" t="str">
        <f t="shared" si="74"/>
        <v/>
      </c>
      <c r="AF292" s="19" t="str">
        <f>IF(ISERROR(IF('Hidrograma afluente'!I299="",0,'Hidrograma afluente'!I299)+Simulação!G292),"",IF('Hidrograma afluente'!I299="",0,'Hidrograma afluente'!I299)+Simulação!G292)</f>
        <v/>
      </c>
      <c r="AG292" s="17" t="s">
        <v>160</v>
      </c>
      <c r="AH292" s="17" t="s">
        <v>160</v>
      </c>
      <c r="AI292" s="27" t="s">
        <v>160</v>
      </c>
      <c r="AJ292" s="17" t="s">
        <v>160</v>
      </c>
      <c r="AK292" s="19" t="str">
        <f>IF(A292="","",IF('Hidrograma afluente'!I299="",0,'Hidrograma afluente'!I299)+Simulação!B292)</f>
        <v/>
      </c>
    </row>
    <row r="293" spans="1:37" s="17" customFormat="1">
      <c r="A293" s="4" t="str">
        <f t="shared" si="64"/>
        <v/>
      </c>
      <c r="B293" s="5" t="str">
        <f>IF(A293="","",IF(A293&gt;tc_lot_i+tc,0,IF('Hidrograma afluente'!B300="","",'Hidrograma afluente'!B300)))</f>
        <v/>
      </c>
      <c r="C293" s="21" t="str">
        <f t="shared" si="65"/>
        <v/>
      </c>
      <c r="D293" s="21" t="str">
        <f t="shared" si="66"/>
        <v/>
      </c>
      <c r="E293" s="21" t="str">
        <f t="shared" si="67"/>
        <v/>
      </c>
      <c r="F293" s="21" t="str">
        <f t="shared" si="68"/>
        <v/>
      </c>
      <c r="G293" s="21" t="str">
        <f t="shared" si="69"/>
        <v/>
      </c>
      <c r="H293" s="23" t="str">
        <f t="shared" si="75"/>
        <v/>
      </c>
      <c r="I293" s="22" t="str">
        <f t="shared" si="70"/>
        <v/>
      </c>
      <c r="J293" s="1"/>
      <c r="K293" s="51"/>
      <c r="M293" s="81">
        <f t="shared" ca="1" si="61"/>
        <v>1492.035401690023</v>
      </c>
      <c r="N293" s="19">
        <f t="shared" si="71"/>
        <v>42.554444023121881</v>
      </c>
      <c r="O293" s="17">
        <f t="shared" si="72"/>
        <v>73</v>
      </c>
      <c r="P293" s="19">
        <f ca="1">IF(ISERROR(IF(O293&lt;fi_h/20,0,(OFFSET('Base de dados'!$A$5,IF(O293&lt;20,1,IF(O293&gt;1000,10,MATCH(O293,Cargas,1))),Coluna_fih,1,1))*(1+0.13*0.25)*(PI()*(fi_h/1000)^2/4)*SQRT(2*9.81*(O293/100-fi_h/2/1000))*1000)),"",IF(O293&lt;fi_h/20,0,(OFFSET('Base de dados'!$A$5,IF(O293&lt;20,1,IF(O293&gt;1000,10,MATCH(O293,Cargas,1))),Coluna_fih,1,1))*(PI()*(fi_h/1000)^2/4)*SQRT(2*9.81*(O293/100-fi_h/2/1000))*1000))</f>
        <v>22.088295346654029</v>
      </c>
      <c r="Q293" s="19">
        <f ca="1">IF(O293="","",IF(Tipo_Vertedor="Retangular",IF(O293&lt;=cota_s*100,0,IF(Tipo_Vertedor="Retangular",Cd_sr*Lef_sr*((O293/100-cota_s)^(3/2))*1000)),IF(O293&lt;=cota_s*100+fi_s/20,0,(OFFSET('Base de dados'!$A$4,IF(O293&lt;20,1,IF(O293&gt;1000,10,MATCH(O293,Cargas,1))),Coluna_fis,1,1))*(PI()*(fi_s/1000)^2/4)*(2*9.81*(O293/100-cota_s-fi_s/2/1000))^0.5*1000)))</f>
        <v>51.465638905972988</v>
      </c>
      <c r="R293" s="19">
        <f t="shared" ca="1" si="62"/>
        <v>73.553934252627016</v>
      </c>
      <c r="S293" s="19">
        <f t="shared" ca="1" si="63"/>
        <v>1418.4814674373961</v>
      </c>
      <c r="AD293" s="19" t="str">
        <f t="shared" si="73"/>
        <v/>
      </c>
      <c r="AE293" s="19" t="str">
        <f t="shared" si="74"/>
        <v/>
      </c>
      <c r="AF293" s="19" t="str">
        <f>IF(ISERROR(IF('Hidrograma afluente'!I300="",0,'Hidrograma afluente'!I300)+Simulação!G293),"",IF('Hidrograma afluente'!I300="",0,'Hidrograma afluente'!I300)+Simulação!G293)</f>
        <v/>
      </c>
      <c r="AG293" s="17" t="s">
        <v>160</v>
      </c>
      <c r="AH293" s="17" t="s">
        <v>160</v>
      </c>
      <c r="AI293" s="27" t="s">
        <v>160</v>
      </c>
      <c r="AJ293" s="17" t="s">
        <v>160</v>
      </c>
      <c r="AK293" s="19" t="str">
        <f>IF(A293="","",IF('Hidrograma afluente'!I300="",0,'Hidrograma afluente'!I300)+Simulação!B293)</f>
        <v/>
      </c>
    </row>
    <row r="294" spans="1:37" s="17" customFormat="1">
      <c r="A294" s="4" t="str">
        <f t="shared" si="64"/>
        <v/>
      </c>
      <c r="B294" s="5" t="str">
        <f>IF(A294="","",IF(A294&gt;tc_lot_i+tc,0,IF('Hidrograma afluente'!B301="","",'Hidrograma afluente'!B301)))</f>
        <v/>
      </c>
      <c r="C294" s="21" t="str">
        <f t="shared" si="65"/>
        <v/>
      </c>
      <c r="D294" s="21" t="str">
        <f t="shared" si="66"/>
        <v/>
      </c>
      <c r="E294" s="21" t="str">
        <f t="shared" si="67"/>
        <v/>
      </c>
      <c r="F294" s="21" t="str">
        <f t="shared" si="68"/>
        <v/>
      </c>
      <c r="G294" s="21" t="str">
        <f t="shared" si="69"/>
        <v/>
      </c>
      <c r="H294" s="23" t="str">
        <f t="shared" si="75"/>
        <v/>
      </c>
      <c r="I294" s="22" t="str">
        <f t="shared" si="70"/>
        <v/>
      </c>
      <c r="J294" s="1"/>
      <c r="K294" s="51"/>
      <c r="M294" s="81">
        <f t="shared" ca="1" si="61"/>
        <v>1499.0321901860696</v>
      </c>
      <c r="N294" s="19">
        <f t="shared" si="71"/>
        <v>42.71836812520182</v>
      </c>
      <c r="O294" s="17">
        <f t="shared" si="72"/>
        <v>73.25</v>
      </c>
      <c r="P294" s="19">
        <f ca="1">IF(ISERROR(IF(O294&lt;fi_h/20,0,(OFFSET('Base de dados'!$A$5,IF(O294&lt;20,1,IF(O294&gt;1000,10,MATCH(O294,Cargas,1))),Coluna_fih,1,1))*(1+0.13*0.25)*(PI()*(fi_h/1000)^2/4)*SQRT(2*9.81*(O294/100-fi_h/2/1000))*1000)),"",IF(O294&lt;fi_h/20,0,(OFFSET('Base de dados'!$A$5,IF(O294&lt;20,1,IF(O294&gt;1000,10,MATCH(O294,Cargas,1))),Coluna_fih,1,1))*(PI()*(fi_h/1000)^2/4)*SQRT(2*9.81*(O294/100-fi_h/2/1000))*1000))</f>
        <v>22.129246650576718</v>
      </c>
      <c r="Q294" s="19">
        <f ca="1">IF(O294="","",IF(Tipo_Vertedor="Retangular",IF(O294&lt;=cota_s*100,0,IF(Tipo_Vertedor="Retangular",Cd_sr*Lef_sr*((O294/100-cota_s)^(3/2))*1000)),IF(O294&lt;=cota_s*100+fi_s/20,0,(OFFSET('Base de dados'!$A$4,IF(O294&lt;20,1,IF(O294&gt;1000,10,MATCH(O294,Cargas,1))),Coluna_fis,1,1))*(PI()*(fi_s/1000)^2/4)*(2*9.81*(O294/100-cota_s-fi_s/2/1000))^0.5*1000)))</f>
        <v>52.957339362098857</v>
      </c>
      <c r="R294" s="19">
        <f t="shared" ca="1" si="62"/>
        <v>75.086586012675582</v>
      </c>
      <c r="S294" s="19">
        <f t="shared" ca="1" si="63"/>
        <v>1423.945604173394</v>
      </c>
      <c r="AD294" s="19" t="str">
        <f t="shared" si="73"/>
        <v/>
      </c>
      <c r="AE294" s="19" t="str">
        <f t="shared" si="74"/>
        <v/>
      </c>
      <c r="AF294" s="19" t="str">
        <f>IF(ISERROR(IF('Hidrograma afluente'!I301="",0,'Hidrograma afluente'!I301)+Simulação!G294),"",IF('Hidrograma afluente'!I301="",0,'Hidrograma afluente'!I301)+Simulação!G294)</f>
        <v/>
      </c>
      <c r="AG294" s="17" t="s">
        <v>160</v>
      </c>
      <c r="AH294" s="17" t="s">
        <v>160</v>
      </c>
      <c r="AI294" s="27" t="s">
        <v>160</v>
      </c>
      <c r="AJ294" s="17" t="s">
        <v>160</v>
      </c>
      <c r="AK294" s="19" t="str">
        <f>IF(A294="","",IF('Hidrograma afluente'!I301="",0,'Hidrograma afluente'!I301)+Simulação!B294)</f>
        <v/>
      </c>
    </row>
    <row r="295" spans="1:37" s="17" customFormat="1">
      <c r="A295" s="4" t="str">
        <f t="shared" si="64"/>
        <v/>
      </c>
      <c r="B295" s="5" t="str">
        <f>IF(A295="","",IF(A295&gt;tc_lot_i+tc,0,IF('Hidrograma afluente'!B302="","",'Hidrograma afluente'!B302)))</f>
        <v/>
      </c>
      <c r="C295" s="21" t="str">
        <f t="shared" si="65"/>
        <v/>
      </c>
      <c r="D295" s="21" t="str">
        <f t="shared" si="66"/>
        <v/>
      </c>
      <c r="E295" s="21" t="str">
        <f t="shared" si="67"/>
        <v/>
      </c>
      <c r="F295" s="21" t="str">
        <f t="shared" si="68"/>
        <v/>
      </c>
      <c r="G295" s="21" t="str">
        <f t="shared" si="69"/>
        <v/>
      </c>
      <c r="H295" s="23" t="str">
        <f t="shared" si="75"/>
        <v/>
      </c>
      <c r="I295" s="22" t="str">
        <f t="shared" si="70"/>
        <v/>
      </c>
      <c r="J295" s="1"/>
      <c r="K295" s="51"/>
      <c r="M295" s="81">
        <f t="shared" ca="1" si="61"/>
        <v>1506.0453665853429</v>
      </c>
      <c r="N295" s="19">
        <f t="shared" si="71"/>
        <v>42.882361937626925</v>
      </c>
      <c r="O295" s="17">
        <f t="shared" si="72"/>
        <v>73.5</v>
      </c>
      <c r="P295" s="19">
        <f ca="1">IF(ISERROR(IF(O295&lt;fi_h/20,0,(OFFSET('Base de dados'!$A$5,IF(O295&lt;20,1,IF(O295&gt;1000,10,MATCH(O295,Cargas,1))),Coluna_fih,1,1))*(1+0.13*0.25)*(PI()*(fi_h/1000)^2/4)*SQRT(2*9.81*(O295/100-fi_h/2/1000))*1000)),"",IF(O295&lt;fi_h/20,0,(OFFSET('Base de dados'!$A$5,IF(O295&lt;20,1,IF(O295&gt;1000,10,MATCH(O295,Cargas,1))),Coluna_fih,1,1))*(PI()*(fi_h/1000)^2/4)*SQRT(2*9.81*(O295/100-fi_h/2/1000))*1000))</f>
        <v>22.17012231186612</v>
      </c>
      <c r="Q295" s="19">
        <f ca="1">IF(O295="","",IF(Tipo_Vertedor="Retangular",IF(O295&lt;=cota_s*100,0,IF(Tipo_Vertedor="Retangular",Cd_sr*Lef_sr*((O295/100-cota_s)^(3/2))*1000)),IF(O295&lt;=cota_s*100+fi_s/20,0,(OFFSET('Base de dados'!$A$4,IF(O295&lt;20,1,IF(O295&gt;1000,10,MATCH(O295,Cargas,1))),Coluna_fis,1,1))*(PI()*(fi_s/1000)^2/4)*(2*9.81*(O295/100-cota_s-fi_s/2/1000))^0.5*1000)))</f>
        <v>54.463179685912586</v>
      </c>
      <c r="R295" s="19">
        <f t="shared" ca="1" si="62"/>
        <v>76.633301997778702</v>
      </c>
      <c r="S295" s="19">
        <f t="shared" ca="1" si="63"/>
        <v>1429.4120645875641</v>
      </c>
      <c r="AD295" s="19" t="str">
        <f t="shared" si="73"/>
        <v/>
      </c>
      <c r="AE295" s="19" t="str">
        <f t="shared" si="74"/>
        <v/>
      </c>
      <c r="AF295" s="19" t="str">
        <f>IF(ISERROR(IF('Hidrograma afluente'!I302="",0,'Hidrograma afluente'!I302)+Simulação!G295),"",IF('Hidrograma afluente'!I302="",0,'Hidrograma afluente'!I302)+Simulação!G295)</f>
        <v/>
      </c>
      <c r="AG295" s="17" t="s">
        <v>160</v>
      </c>
      <c r="AH295" s="17" t="s">
        <v>160</v>
      </c>
      <c r="AI295" s="27" t="s">
        <v>160</v>
      </c>
      <c r="AJ295" s="17" t="s">
        <v>160</v>
      </c>
      <c r="AK295" s="19" t="str">
        <f>IF(A295="","",IF('Hidrograma afluente'!I302="",0,'Hidrograma afluente'!I302)+Simulação!B295)</f>
        <v/>
      </c>
    </row>
    <row r="296" spans="1:37" s="17" customFormat="1">
      <c r="A296" s="4" t="str">
        <f t="shared" si="64"/>
        <v/>
      </c>
      <c r="B296" s="5" t="str">
        <f>IF(A296="","",IF(A296&gt;tc_lot_i+tc,0,IF('Hidrograma afluente'!B303="","",'Hidrograma afluente'!B303)))</f>
        <v/>
      </c>
      <c r="C296" s="21" t="str">
        <f t="shared" si="65"/>
        <v/>
      </c>
      <c r="D296" s="21" t="str">
        <f t="shared" si="66"/>
        <v/>
      </c>
      <c r="E296" s="21" t="str">
        <f t="shared" si="67"/>
        <v/>
      </c>
      <c r="F296" s="21" t="str">
        <f t="shared" si="68"/>
        <v/>
      </c>
      <c r="G296" s="21" t="str">
        <f t="shared" si="69"/>
        <v/>
      </c>
      <c r="H296" s="23" t="str">
        <f t="shared" si="75"/>
        <v/>
      </c>
      <c r="I296" s="22" t="str">
        <f t="shared" si="70"/>
        <v/>
      </c>
      <c r="J296" s="1"/>
      <c r="K296" s="51"/>
      <c r="M296" s="81">
        <f t="shared" ca="1" si="61"/>
        <v>1513.0747928369524</v>
      </c>
      <c r="N296" s="19">
        <f t="shared" si="71"/>
        <v>43.04642525278026</v>
      </c>
      <c r="O296" s="17">
        <f t="shared" si="72"/>
        <v>73.75</v>
      </c>
      <c r="P296" s="19">
        <f ca="1">IF(ISERROR(IF(O296&lt;fi_h/20,0,(OFFSET('Base de dados'!$A$5,IF(O296&lt;20,1,IF(O296&gt;1000,10,MATCH(O296,Cargas,1))),Coluna_fih,1,1))*(1+0.13*0.25)*(PI()*(fi_h/1000)^2/4)*SQRT(2*9.81*(O296/100-fi_h/2/1000))*1000)),"",IF(O296&lt;fi_h/20,0,(OFFSET('Base de dados'!$A$5,IF(O296&lt;20,1,IF(O296&gt;1000,10,MATCH(O296,Cargas,1))),Coluna_fih,1,1))*(PI()*(fi_h/1000)^2/4)*SQRT(2*9.81*(O296/100-fi_h/2/1000))*1000))</f>
        <v>22.210922748146842</v>
      </c>
      <c r="Q296" s="19">
        <f ca="1">IF(O296="","",IF(Tipo_Vertedor="Retangular",IF(O296&lt;=cota_s*100,0,IF(Tipo_Vertedor="Retangular",Cd_sr*Lef_sr*((O296/100-cota_s)^(3/2))*1000)),IF(O296&lt;=cota_s*100+fi_s/20,0,(OFFSET('Base de dados'!$A$4,IF(O296&lt;20,1,IF(O296&gt;1000,10,MATCH(O296,Cargas,1))),Coluna_fis,1,1))*(PI()*(fi_s/1000)^2/4)*(2*9.81*(O296/100-cota_s-fi_s/2/1000))^0.5*1000)))</f>
        <v>55.98302832946343</v>
      </c>
      <c r="R296" s="19">
        <f t="shared" ca="1" si="62"/>
        <v>78.193951077610279</v>
      </c>
      <c r="S296" s="19">
        <f t="shared" ca="1" si="63"/>
        <v>1434.880841759342</v>
      </c>
      <c r="AD296" s="19" t="str">
        <f t="shared" si="73"/>
        <v/>
      </c>
      <c r="AE296" s="19" t="str">
        <f t="shared" si="74"/>
        <v/>
      </c>
      <c r="AF296" s="19" t="str">
        <f>IF(ISERROR(IF('Hidrograma afluente'!I303="",0,'Hidrograma afluente'!I303)+Simulação!G296),"",IF('Hidrograma afluente'!I303="",0,'Hidrograma afluente'!I303)+Simulação!G296)</f>
        <v/>
      </c>
      <c r="AG296" s="17" t="s">
        <v>160</v>
      </c>
      <c r="AH296" s="17" t="s">
        <v>160</v>
      </c>
      <c r="AI296" s="27" t="s">
        <v>160</v>
      </c>
      <c r="AJ296" s="17" t="s">
        <v>160</v>
      </c>
      <c r="AK296" s="19" t="str">
        <f>IF(A296="","",IF('Hidrograma afluente'!I303="",0,'Hidrograma afluente'!I303)+Simulação!B296)</f>
        <v/>
      </c>
    </row>
    <row r="297" spans="1:37" s="17" customFormat="1">
      <c r="A297" s="4" t="str">
        <f t="shared" si="64"/>
        <v/>
      </c>
      <c r="B297" s="5" t="str">
        <f>IF(A297="","",IF(A297&gt;tc_lot_i+tc,0,IF('Hidrograma afluente'!B304="","",'Hidrograma afluente'!B304)))</f>
        <v/>
      </c>
      <c r="C297" s="21" t="str">
        <f t="shared" si="65"/>
        <v/>
      </c>
      <c r="D297" s="21" t="str">
        <f t="shared" si="66"/>
        <v/>
      </c>
      <c r="E297" s="21" t="str">
        <f t="shared" si="67"/>
        <v/>
      </c>
      <c r="F297" s="21" t="str">
        <f t="shared" si="68"/>
        <v/>
      </c>
      <c r="G297" s="21" t="str">
        <f t="shared" si="69"/>
        <v/>
      </c>
      <c r="H297" s="23" t="str">
        <f t="shared" si="75"/>
        <v/>
      </c>
      <c r="I297" s="22" t="str">
        <f t="shared" si="70"/>
        <v/>
      </c>
      <c r="J297" s="1"/>
      <c r="K297" s="51"/>
      <c r="M297" s="81">
        <f t="shared" ca="1" si="61"/>
        <v>1520.1203345348717</v>
      </c>
      <c r="N297" s="19">
        <f t="shared" si="71"/>
        <v>43.210557864365036</v>
      </c>
      <c r="O297" s="17">
        <f t="shared" si="72"/>
        <v>74</v>
      </c>
      <c r="P297" s="19">
        <f ca="1">IF(ISERROR(IF(O297&lt;fi_h/20,0,(OFFSET('Base de dados'!$A$5,IF(O297&lt;20,1,IF(O297&gt;1000,10,MATCH(O297,Cargas,1))),Coluna_fih,1,1))*(1+0.13*0.25)*(PI()*(fi_h/1000)^2/4)*SQRT(2*9.81*(O297/100-fi_h/2/1000))*1000)),"",IF(O297&lt;fi_h/20,0,(OFFSET('Base de dados'!$A$5,IF(O297&lt;20,1,IF(O297&gt;1000,10,MATCH(O297,Cargas,1))),Coluna_fih,1,1))*(PI()*(fi_h/1000)^2/4)*SQRT(2*9.81*(O297/100-fi_h/2/1000))*1000))</f>
        <v>22.251648373214731</v>
      </c>
      <c r="Q297" s="19">
        <f ca="1">IF(O297="","",IF(Tipo_Vertedor="Retangular",IF(O297&lt;=cota_s*100,0,IF(Tipo_Vertedor="Retangular",Cd_sr*Lef_sr*((O297/100-cota_s)^(3/2))*1000)),IF(O297&lt;=cota_s*100+fi_s/20,0,(OFFSET('Base de dados'!$A$4,IF(O297&lt;20,1,IF(O297&gt;1000,10,MATCH(O297,Cargas,1))),Coluna_fis,1,1))*(PI()*(fi_s/1000)^2/4)*(2*9.81*(O297/100-cota_s-fi_s/2/1000))^0.5*1000)))</f>
        <v>57.516757349489041</v>
      </c>
      <c r="R297" s="19">
        <f t="shared" ca="1" si="62"/>
        <v>79.768405722703775</v>
      </c>
      <c r="S297" s="19">
        <f t="shared" ca="1" si="63"/>
        <v>1440.3519288121679</v>
      </c>
      <c r="AD297" s="19" t="str">
        <f t="shared" si="73"/>
        <v/>
      </c>
      <c r="AE297" s="19" t="str">
        <f t="shared" si="74"/>
        <v/>
      </c>
      <c r="AF297" s="19" t="str">
        <f>IF(ISERROR(IF('Hidrograma afluente'!I304="",0,'Hidrograma afluente'!I304)+Simulação!G297),"",IF('Hidrograma afluente'!I304="",0,'Hidrograma afluente'!I304)+Simulação!G297)</f>
        <v/>
      </c>
      <c r="AG297" s="17" t="s">
        <v>160</v>
      </c>
      <c r="AH297" s="17" t="s">
        <v>160</v>
      </c>
      <c r="AI297" s="27" t="s">
        <v>160</v>
      </c>
      <c r="AJ297" s="17" t="s">
        <v>160</v>
      </c>
      <c r="AK297" s="19" t="str">
        <f>IF(A297="","",IF('Hidrograma afluente'!I304="",0,'Hidrograma afluente'!I304)+Simulação!B297)</f>
        <v/>
      </c>
    </row>
    <row r="298" spans="1:37" s="17" customFormat="1">
      <c r="A298" s="4" t="str">
        <f t="shared" si="64"/>
        <v/>
      </c>
      <c r="B298" s="5" t="str">
        <f>IF(A298="","",IF(A298&gt;tc_lot_i+tc,0,IF('Hidrograma afluente'!B305="","",'Hidrograma afluente'!B305)))</f>
        <v/>
      </c>
      <c r="C298" s="21" t="str">
        <f t="shared" si="65"/>
        <v/>
      </c>
      <c r="D298" s="21" t="str">
        <f t="shared" si="66"/>
        <v/>
      </c>
      <c r="E298" s="21" t="str">
        <f t="shared" si="67"/>
        <v/>
      </c>
      <c r="F298" s="21" t="str">
        <f t="shared" si="68"/>
        <v/>
      </c>
      <c r="G298" s="21" t="str">
        <f t="shared" si="69"/>
        <v/>
      </c>
      <c r="H298" s="23" t="str">
        <f t="shared" si="75"/>
        <v/>
      </c>
      <c r="I298" s="22" t="str">
        <f t="shared" si="70"/>
        <v/>
      </c>
      <c r="J298" s="1"/>
      <c r="K298" s="51"/>
      <c r="M298" s="81">
        <f t="shared" ca="1" si="61"/>
        <v>1527.1818607558798</v>
      </c>
      <c r="N298" s="19">
        <f t="shared" si="71"/>
        <v>43.374759567391862</v>
      </c>
      <c r="O298" s="17">
        <f t="shared" si="72"/>
        <v>74.25</v>
      </c>
      <c r="P298" s="19">
        <f ca="1">IF(ISERROR(IF(O298&lt;fi_h/20,0,(OFFSET('Base de dados'!$A$5,IF(O298&lt;20,1,IF(O298&gt;1000,10,MATCH(O298,Cargas,1))),Coluna_fih,1,1))*(1+0.13*0.25)*(PI()*(fi_h/1000)^2/4)*SQRT(2*9.81*(O298/100-fi_h/2/1000))*1000)),"",IF(O298&lt;fi_h/20,0,(OFFSET('Base de dados'!$A$5,IF(O298&lt;20,1,IF(O298&gt;1000,10,MATCH(O298,Cargas,1))),Coluna_fih,1,1))*(PI()*(fi_h/1000)^2/4)*SQRT(2*9.81*(O298/100-fi_h/2/1000))*1000))</f>
        <v>22.292299597085826</v>
      </c>
      <c r="Q298" s="19">
        <f ca="1">IF(O298="","",IF(Tipo_Vertedor="Retangular",IF(O298&lt;=cota_s*100,0,IF(Tipo_Vertedor="Retangular",Cd_sr*Lef_sr*((O298/100-cota_s)^(3/2))*1000)),IF(O298&lt;=cota_s*100+fi_s/20,0,(OFFSET('Base de dados'!$A$4,IF(O298&lt;20,1,IF(O298&gt;1000,10,MATCH(O298,Cargas,1))),Coluna_fis,1,1))*(PI()*(fi_s/1000)^2/4)*(2*9.81*(O298/100-cota_s-fi_s/2/1000))^0.5*1000)))</f>
        <v>59.064242245731933</v>
      </c>
      <c r="R298" s="19">
        <f t="shared" ca="1" si="62"/>
        <v>81.356541842817762</v>
      </c>
      <c r="S298" s="19">
        <f t="shared" ca="1" si="63"/>
        <v>1445.8253189130621</v>
      </c>
      <c r="AD298" s="19" t="str">
        <f t="shared" si="73"/>
        <v/>
      </c>
      <c r="AE298" s="19" t="str">
        <f t="shared" si="74"/>
        <v/>
      </c>
      <c r="AF298" s="19" t="str">
        <f>IF(ISERROR(IF('Hidrograma afluente'!I305="",0,'Hidrograma afluente'!I305)+Simulação!G298),"",IF('Hidrograma afluente'!I305="",0,'Hidrograma afluente'!I305)+Simulação!G298)</f>
        <v/>
      </c>
      <c r="AG298" s="17" t="s">
        <v>160</v>
      </c>
      <c r="AH298" s="17" t="s">
        <v>160</v>
      </c>
      <c r="AI298" s="27" t="s">
        <v>160</v>
      </c>
      <c r="AJ298" s="17" t="s">
        <v>160</v>
      </c>
      <c r="AK298" s="19" t="str">
        <f>IF(A298="","",IF('Hidrograma afluente'!I305="",0,'Hidrograma afluente'!I305)+Simulação!B298)</f>
        <v/>
      </c>
    </row>
    <row r="299" spans="1:37" s="17" customFormat="1">
      <c r="A299" s="4" t="str">
        <f t="shared" si="64"/>
        <v/>
      </c>
      <c r="B299" s="5" t="str">
        <f>IF(A299="","",IF(A299&gt;tc_lot_i+tc,0,IF('Hidrograma afluente'!B306="","",'Hidrograma afluente'!B306)))</f>
        <v/>
      </c>
      <c r="C299" s="21" t="str">
        <f t="shared" si="65"/>
        <v/>
      </c>
      <c r="D299" s="21" t="str">
        <f t="shared" si="66"/>
        <v/>
      </c>
      <c r="E299" s="21" t="str">
        <f t="shared" si="67"/>
        <v/>
      </c>
      <c r="F299" s="21" t="str">
        <f t="shared" si="68"/>
        <v/>
      </c>
      <c r="G299" s="21" t="str">
        <f t="shared" si="69"/>
        <v/>
      </c>
      <c r="H299" s="23" t="str">
        <f t="shared" si="75"/>
        <v/>
      </c>
      <c r="I299" s="22" t="str">
        <f t="shared" si="70"/>
        <v/>
      </c>
      <c r="J299" s="1"/>
      <c r="K299" s="51"/>
      <c r="M299" s="81">
        <f t="shared" ca="1" si="61"/>
        <v>1534.2592439074742</v>
      </c>
      <c r="N299" s="19">
        <f t="shared" si="71"/>
        <v>43.539030158166</v>
      </c>
      <c r="O299" s="17">
        <f t="shared" si="72"/>
        <v>74.5</v>
      </c>
      <c r="P299" s="19">
        <f ca="1">IF(ISERROR(IF(O299&lt;fi_h/20,0,(OFFSET('Base de dados'!$A$5,IF(O299&lt;20,1,IF(O299&gt;1000,10,MATCH(O299,Cargas,1))),Coluna_fih,1,1))*(1+0.13*0.25)*(PI()*(fi_h/1000)^2/4)*SQRT(2*9.81*(O299/100-fi_h/2/1000))*1000)),"",IF(O299&lt;fi_h/20,0,(OFFSET('Base de dados'!$A$5,IF(O299&lt;20,1,IF(O299&gt;1000,10,MATCH(O299,Cargas,1))),Coluna_fih,1,1))*(PI()*(fi_h/1000)^2/4)*SQRT(2*9.81*(O299/100-fi_h/2/1000))*1000))</f>
        <v>22.332876826044505</v>
      </c>
      <c r="Q299" s="19">
        <f ca="1">IF(O299="","",IF(Tipo_Vertedor="Retangular",IF(O299&lt;=cota_s*100,0,IF(Tipo_Vertedor="Retangular",Cd_sr*Lef_sr*((O299/100-cota_s)^(3/2))*1000)),IF(O299&lt;=cota_s*100+fi_s/20,0,(OFFSET('Base de dados'!$A$4,IF(O299&lt;20,1,IF(O299&gt;1000,10,MATCH(O299,Cargas,1))),Coluna_fis,1,1))*(PI()*(fi_s/1000)^2/4)*(2*9.81*(O299/100-cota_s-fi_s/2/1000))^0.5*1000)))</f>
        <v>60.625361809229652</v>
      </c>
      <c r="R299" s="19">
        <f t="shared" ca="1" si="62"/>
        <v>82.958238635274157</v>
      </c>
      <c r="S299" s="19">
        <f t="shared" ca="1" si="63"/>
        <v>1451.3010052722</v>
      </c>
      <c r="AD299" s="19" t="str">
        <f t="shared" si="73"/>
        <v/>
      </c>
      <c r="AE299" s="19" t="str">
        <f t="shared" si="74"/>
        <v/>
      </c>
      <c r="AF299" s="19" t="str">
        <f>IF(ISERROR(IF('Hidrograma afluente'!I306="",0,'Hidrograma afluente'!I306)+Simulação!G299),"",IF('Hidrograma afluente'!I306="",0,'Hidrograma afluente'!I306)+Simulação!G299)</f>
        <v/>
      </c>
      <c r="AG299" s="17" t="s">
        <v>160</v>
      </c>
      <c r="AH299" s="17" t="s">
        <v>160</v>
      </c>
      <c r="AI299" s="27" t="s">
        <v>160</v>
      </c>
      <c r="AJ299" s="17" t="s">
        <v>160</v>
      </c>
      <c r="AK299" s="19" t="str">
        <f>IF(A299="","",IF('Hidrograma afluente'!I306="",0,'Hidrograma afluente'!I306)+Simulação!B299)</f>
        <v/>
      </c>
    </row>
    <row r="300" spans="1:37" s="17" customFormat="1">
      <c r="A300" s="4" t="str">
        <f t="shared" si="64"/>
        <v/>
      </c>
      <c r="B300" s="5" t="str">
        <f>IF(A300="","",IF(A300&gt;tc_lot_i+tc,0,IF('Hidrograma afluente'!B307="","",'Hidrograma afluente'!B307)))</f>
        <v/>
      </c>
      <c r="C300" s="21" t="str">
        <f t="shared" si="65"/>
        <v/>
      </c>
      <c r="D300" s="21" t="str">
        <f t="shared" si="66"/>
        <v/>
      </c>
      <c r="E300" s="21" t="str">
        <f t="shared" si="67"/>
        <v/>
      </c>
      <c r="F300" s="21" t="str">
        <f t="shared" si="68"/>
        <v/>
      </c>
      <c r="G300" s="21" t="str">
        <f t="shared" si="69"/>
        <v/>
      </c>
      <c r="H300" s="23" t="str">
        <f t="shared" si="75"/>
        <v/>
      </c>
      <c r="I300" s="22" t="str">
        <f t="shared" si="70"/>
        <v/>
      </c>
      <c r="J300" s="1"/>
      <c r="K300" s="51"/>
      <c r="M300" s="81">
        <f t="shared" ca="1" si="61"/>
        <v>1541.3523595849927</v>
      </c>
      <c r="N300" s="19">
        <f t="shared" si="71"/>
        <v>43.703369434274961</v>
      </c>
      <c r="O300" s="17">
        <f t="shared" si="72"/>
        <v>74.75</v>
      </c>
      <c r="P300" s="19">
        <f ca="1">IF(ISERROR(IF(O300&lt;fi_h/20,0,(OFFSET('Base de dados'!$A$5,IF(O300&lt;20,1,IF(O300&gt;1000,10,MATCH(O300,Cargas,1))),Coluna_fih,1,1))*(1+0.13*0.25)*(PI()*(fi_h/1000)^2/4)*SQRT(2*9.81*(O300/100-fi_h/2/1000))*1000)),"",IF(O300&lt;fi_h/20,0,(OFFSET('Base de dados'!$A$5,IF(O300&lt;20,1,IF(O300&gt;1000,10,MATCH(O300,Cargas,1))),Coluna_fih,1,1))*(PI()*(fi_h/1000)^2/4)*SQRT(2*9.81*(O300/100-fi_h/2/1000))*1000))</f>
        <v>22.373380462690896</v>
      </c>
      <c r="Q300" s="19">
        <f ca="1">IF(O300="","",IF(Tipo_Vertedor="Retangular",IF(O300&lt;=cota_s*100,0,IF(Tipo_Vertedor="Retangular",Cd_sr*Lef_sr*((O300/100-cota_s)^(3/2))*1000)),IF(O300&lt;=cota_s*100+fi_s/20,0,(OFFSET('Base de dados'!$A$4,IF(O300&lt;20,1,IF(O300&gt;1000,10,MATCH(O300,Cargas,1))),Coluna_fis,1,1))*(PI()*(fi_s/1000)^2/4)*(2*9.81*(O300/100-cota_s-fi_s/2/1000))^0.5*1000)))</f>
        <v>62.199997979803072</v>
      </c>
      <c r="R300" s="19">
        <f t="shared" ca="1" si="62"/>
        <v>84.573378442493976</v>
      </c>
      <c r="S300" s="19">
        <f t="shared" ca="1" si="63"/>
        <v>1456.7789811424987</v>
      </c>
      <c r="AD300" s="19" t="str">
        <f t="shared" si="73"/>
        <v/>
      </c>
      <c r="AE300" s="19" t="str">
        <f t="shared" si="74"/>
        <v/>
      </c>
      <c r="AF300" s="19" t="str">
        <f>IF(ISERROR(IF('Hidrograma afluente'!I307="",0,'Hidrograma afluente'!I307)+Simulação!G300),"",IF('Hidrograma afluente'!I307="",0,'Hidrograma afluente'!I307)+Simulação!G300)</f>
        <v/>
      </c>
      <c r="AG300" s="17" t="s">
        <v>160</v>
      </c>
      <c r="AH300" s="17" t="s">
        <v>160</v>
      </c>
      <c r="AI300" s="27" t="s">
        <v>160</v>
      </c>
      <c r="AJ300" s="17" t="s">
        <v>160</v>
      </c>
      <c r="AK300" s="19" t="str">
        <f>IF(A300="","",IF('Hidrograma afluente'!I307="",0,'Hidrograma afluente'!I307)+Simulação!B300)</f>
        <v/>
      </c>
    </row>
    <row r="301" spans="1:37" s="17" customFormat="1">
      <c r="A301" s="4" t="str">
        <f t="shared" si="64"/>
        <v/>
      </c>
      <c r="B301" s="5" t="str">
        <f>IF(A301="","",IF(A301&gt;tc_lot_i+tc,0,IF('Hidrograma afluente'!B308="","",'Hidrograma afluente'!B308)))</f>
        <v/>
      </c>
      <c r="C301" s="21" t="str">
        <f t="shared" si="65"/>
        <v/>
      </c>
      <c r="D301" s="21" t="str">
        <f t="shared" si="66"/>
        <v/>
      </c>
      <c r="E301" s="21" t="str">
        <f t="shared" si="67"/>
        <v/>
      </c>
      <c r="F301" s="21" t="str">
        <f t="shared" si="68"/>
        <v/>
      </c>
      <c r="G301" s="21" t="str">
        <f t="shared" si="69"/>
        <v/>
      </c>
      <c r="H301" s="23" t="str">
        <f t="shared" si="75"/>
        <v/>
      </c>
      <c r="I301" s="22" t="str">
        <f t="shared" si="70"/>
        <v/>
      </c>
      <c r="J301" s="1"/>
      <c r="K301" s="51"/>
      <c r="M301" s="81">
        <f t="shared" ca="1" si="61"/>
        <v>1548.461086437226</v>
      </c>
      <c r="N301" s="19">
        <f t="shared" si="71"/>
        <v>43.867777194576071</v>
      </c>
      <c r="O301" s="17">
        <f t="shared" si="72"/>
        <v>75</v>
      </c>
      <c r="P301" s="19">
        <f ca="1">IF(ISERROR(IF(O301&lt;fi_h/20,0,(OFFSET('Base de dados'!$A$5,IF(O301&lt;20,1,IF(O301&gt;1000,10,MATCH(O301,Cargas,1))),Coluna_fih,1,1))*(1+0.13*0.25)*(PI()*(fi_h/1000)^2/4)*SQRT(2*9.81*(O301/100-fi_h/2/1000))*1000)),"",IF(O301&lt;fi_h/20,0,(OFFSET('Base de dados'!$A$5,IF(O301&lt;20,1,IF(O301&gt;1000,10,MATCH(O301,Cargas,1))),Coluna_fih,1,1))*(PI()*(fi_h/1000)^2/4)*SQRT(2*9.81*(O301/100-fi_h/2/1000))*1000))</f>
        <v>22.413810905987443</v>
      </c>
      <c r="Q301" s="19">
        <f ca="1">IF(O301="","",IF(Tipo_Vertedor="Retangular",IF(O301&lt;=cota_s*100,0,IF(Tipo_Vertedor="Retangular",Cd_sr*Lef_sr*((O301/100-cota_s)^(3/2))*1000)),IF(O301&lt;=cota_s*100+fi_s/20,0,(OFFSET('Base de dados'!$A$4,IF(O301&lt;20,1,IF(O301&gt;1000,10,MATCH(O301,Cargas,1))),Coluna_fis,1,1))*(PI()*(fi_s/1000)^2/4)*(2*9.81*(O301/100-cota_s-fi_s/2/1000))^0.5*1000)))</f>
        <v>63.788035712036184</v>
      </c>
      <c r="R301" s="19">
        <f t="shared" ca="1" si="62"/>
        <v>86.201846618023623</v>
      </c>
      <c r="S301" s="19">
        <f t="shared" ca="1" si="63"/>
        <v>1462.2592398192023</v>
      </c>
      <c r="AD301" s="19" t="str">
        <f t="shared" si="73"/>
        <v/>
      </c>
      <c r="AE301" s="19" t="str">
        <f t="shared" si="74"/>
        <v/>
      </c>
      <c r="AF301" s="19" t="str">
        <f>IF(ISERROR(IF('Hidrograma afluente'!I308="",0,'Hidrograma afluente'!I308)+Simulação!G301),"",IF('Hidrograma afluente'!I308="",0,'Hidrograma afluente'!I308)+Simulação!G301)</f>
        <v/>
      </c>
      <c r="AG301" s="17" t="s">
        <v>160</v>
      </c>
      <c r="AH301" s="17" t="s">
        <v>160</v>
      </c>
      <c r="AI301" s="27" t="s">
        <v>160</v>
      </c>
      <c r="AJ301" s="17" t="s">
        <v>160</v>
      </c>
      <c r="AK301" s="19" t="str">
        <f>IF(A301="","",IF('Hidrograma afluente'!I308="",0,'Hidrograma afluente'!I308)+Simulação!B301)</f>
        <v/>
      </c>
    </row>
    <row r="302" spans="1:37" s="17" customFormat="1">
      <c r="A302" s="4" t="str">
        <f t="shared" si="64"/>
        <v/>
      </c>
      <c r="B302" s="5" t="str">
        <f>IF(A302="","",IF(A302&gt;tc_lot_i+tc,0,IF('Hidrograma afluente'!B309="","",'Hidrograma afluente'!B309)))</f>
        <v/>
      </c>
      <c r="C302" s="21" t="str">
        <f t="shared" si="65"/>
        <v/>
      </c>
      <c r="D302" s="21" t="str">
        <f t="shared" si="66"/>
        <v/>
      </c>
      <c r="E302" s="21" t="str">
        <f t="shared" si="67"/>
        <v/>
      </c>
      <c r="F302" s="21" t="str">
        <f t="shared" si="68"/>
        <v/>
      </c>
      <c r="G302" s="21" t="str">
        <f t="shared" si="69"/>
        <v/>
      </c>
      <c r="H302" s="23" t="str">
        <f t="shared" si="75"/>
        <v/>
      </c>
      <c r="I302" s="22" t="str">
        <f t="shared" si="70"/>
        <v/>
      </c>
      <c r="J302" s="1"/>
      <c r="K302" s="51"/>
      <c r="M302" s="81">
        <f t="shared" ca="1" si="61"/>
        <v>1555.5853060398945</v>
      </c>
      <c r="N302" s="19">
        <f t="shared" si="71"/>
        <v>44.032253239184406</v>
      </c>
      <c r="O302" s="17">
        <f t="shared" si="72"/>
        <v>75.25</v>
      </c>
      <c r="P302" s="19">
        <f ca="1">IF(ISERROR(IF(O302&lt;fi_h/20,0,(OFFSET('Base de dados'!$A$5,IF(O302&lt;20,1,IF(O302&gt;1000,10,MATCH(O302,Cargas,1))),Coluna_fih,1,1))*(1+0.13*0.25)*(PI()*(fi_h/1000)^2/4)*SQRT(2*9.81*(O302/100-fi_h/2/1000))*1000)),"",IF(O302&lt;fi_h/20,0,(OFFSET('Base de dados'!$A$5,IF(O302&lt;20,1,IF(O302&gt;1000,10,MATCH(O302,Cargas,1))),Coluna_fih,1,1))*(PI()*(fi_h/1000)^2/4)*SQRT(2*9.81*(O302/100-fi_h/2/1000))*1000))</f>
        <v>22.454168551304779</v>
      </c>
      <c r="Q302" s="19">
        <f ca="1">IF(O302="","",IF(Tipo_Vertedor="Retangular",IF(O302&lt;=cota_s*100,0,IF(Tipo_Vertedor="Retangular",Cd_sr*Lef_sr*((O302/100-cota_s)^(3/2))*1000)),IF(O302&lt;=cota_s*100+fi_s/20,0,(OFFSET('Base de dados'!$A$4,IF(O302&lt;20,1,IF(O302&gt;1000,10,MATCH(O302,Cargas,1))),Coluna_fis,1,1))*(PI()*(fi_s/1000)^2/4)*(2*9.81*(O302/100-cota_s-fi_s/2/1000))^0.5*1000)))</f>
        <v>65.389362849109474</v>
      </c>
      <c r="R302" s="19">
        <f t="shared" ca="1" si="62"/>
        <v>87.84353140041425</v>
      </c>
      <c r="S302" s="19">
        <f t="shared" ca="1" si="63"/>
        <v>1467.7417746394801</v>
      </c>
      <c r="AD302" s="19" t="str">
        <f t="shared" si="73"/>
        <v/>
      </c>
      <c r="AE302" s="19" t="str">
        <f t="shared" si="74"/>
        <v/>
      </c>
      <c r="AF302" s="19" t="str">
        <f>IF(ISERROR(IF('Hidrograma afluente'!I309="",0,'Hidrograma afluente'!I309)+Simulação!G302),"",IF('Hidrograma afluente'!I309="",0,'Hidrograma afluente'!I309)+Simulação!G302)</f>
        <v/>
      </c>
      <c r="AG302" s="17" t="s">
        <v>160</v>
      </c>
      <c r="AH302" s="17" t="s">
        <v>160</v>
      </c>
      <c r="AI302" s="27" t="s">
        <v>160</v>
      </c>
      <c r="AJ302" s="17" t="s">
        <v>160</v>
      </c>
      <c r="AK302" s="19" t="str">
        <f>IF(A302="","",IF('Hidrograma afluente'!I309="",0,'Hidrograma afluente'!I309)+Simulação!B302)</f>
        <v/>
      </c>
    </row>
    <row r="303" spans="1:37" s="17" customFormat="1">
      <c r="A303" s="4" t="str">
        <f t="shared" si="64"/>
        <v/>
      </c>
      <c r="B303" s="5" t="str">
        <f>IF(A303="","",IF(A303&gt;tc_lot_i+tc,0,IF('Hidrograma afluente'!B310="","",'Hidrograma afluente'!B310)))</f>
        <v/>
      </c>
      <c r="C303" s="21" t="str">
        <f t="shared" si="65"/>
        <v/>
      </c>
      <c r="D303" s="21" t="str">
        <f t="shared" si="66"/>
        <v/>
      </c>
      <c r="E303" s="21" t="str">
        <f t="shared" si="67"/>
        <v/>
      </c>
      <c r="F303" s="21" t="str">
        <f t="shared" si="68"/>
        <v/>
      </c>
      <c r="G303" s="21" t="str">
        <f t="shared" si="69"/>
        <v/>
      </c>
      <c r="H303" s="23" t="str">
        <f t="shared" si="75"/>
        <v/>
      </c>
      <c r="I303" s="22" t="str">
        <f t="shared" si="70"/>
        <v/>
      </c>
      <c r="J303" s="1"/>
      <c r="K303" s="51"/>
      <c r="M303" s="81">
        <f t="shared" ca="1" si="61"/>
        <v>1562.7249027763935</v>
      </c>
      <c r="N303" s="19">
        <f t="shared" si="71"/>
        <v>44.19679736946069</v>
      </c>
      <c r="O303" s="17">
        <f t="shared" si="72"/>
        <v>75.5</v>
      </c>
      <c r="P303" s="19">
        <f ca="1">IF(ISERROR(IF(O303&lt;fi_h/20,0,(OFFSET('Base de dados'!$A$5,IF(O303&lt;20,1,IF(O303&gt;1000,10,MATCH(O303,Cargas,1))),Coluna_fih,1,1))*(1+0.13*0.25)*(PI()*(fi_h/1000)^2/4)*SQRT(2*9.81*(O303/100-fi_h/2/1000))*1000)),"",IF(O303&lt;fi_h/20,0,(OFFSET('Base de dados'!$A$5,IF(O303&lt;20,1,IF(O303&gt;1000,10,MATCH(O303,Cargas,1))),Coluna_fih,1,1))*(PI()*(fi_h/1000)^2/4)*SQRT(2*9.81*(O303/100-fi_h/2/1000))*1000))</f>
        <v>22.494453790466835</v>
      </c>
      <c r="Q303" s="19">
        <f ca="1">IF(O303="","",IF(Tipo_Vertedor="Retangular",IF(O303&lt;=cota_s*100,0,IF(Tipo_Vertedor="Retangular",Cd_sr*Lef_sr*((O303/100-cota_s)^(3/2))*1000)),IF(O303&lt;=cota_s*100+fi_s/20,0,(OFFSET('Base de dados'!$A$4,IF(O303&lt;20,1,IF(O303&gt;1000,10,MATCH(O303,Cargas,1))),Coluna_fis,1,1))*(PI()*(fi_s/1000)^2/4)*(2*9.81*(O303/100-cota_s-fi_s/2/1000))^0.5*1000)))</f>
        <v>67.003870003903529</v>
      </c>
      <c r="R303" s="19">
        <f t="shared" ca="1" si="62"/>
        <v>89.498323794370364</v>
      </c>
      <c r="S303" s="19">
        <f t="shared" ca="1" si="63"/>
        <v>1473.2265789820231</v>
      </c>
      <c r="AD303" s="19" t="str">
        <f t="shared" si="73"/>
        <v/>
      </c>
      <c r="AE303" s="19" t="str">
        <f t="shared" si="74"/>
        <v/>
      </c>
      <c r="AF303" s="19" t="str">
        <f>IF(ISERROR(IF('Hidrograma afluente'!I310="",0,'Hidrograma afluente'!I310)+Simulação!G303),"",IF('Hidrograma afluente'!I310="",0,'Hidrograma afluente'!I310)+Simulação!G303)</f>
        <v/>
      </c>
      <c r="AG303" s="17" t="s">
        <v>160</v>
      </c>
      <c r="AH303" s="17" t="s">
        <v>160</v>
      </c>
      <c r="AI303" s="27" t="s">
        <v>160</v>
      </c>
      <c r="AJ303" s="17" t="s">
        <v>160</v>
      </c>
      <c r="AK303" s="19" t="str">
        <f>IF(A303="","",IF('Hidrograma afluente'!I310="",0,'Hidrograma afluente'!I310)+Simulação!B303)</f>
        <v/>
      </c>
    </row>
    <row r="304" spans="1:37" s="17" customFormat="1">
      <c r="A304" s="4" t="str">
        <f t="shared" si="64"/>
        <v/>
      </c>
      <c r="B304" s="5" t="str">
        <f>IF(A304="","",IF(A304&gt;tc_lot_i+tc,0,IF('Hidrograma afluente'!B311="","",'Hidrograma afluente'!B311)))</f>
        <v/>
      </c>
      <c r="C304" s="21" t="str">
        <f t="shared" si="65"/>
        <v/>
      </c>
      <c r="D304" s="21" t="str">
        <f t="shared" si="66"/>
        <v/>
      </c>
      <c r="E304" s="21" t="str">
        <f t="shared" si="67"/>
        <v/>
      </c>
      <c r="F304" s="21" t="str">
        <f t="shared" si="68"/>
        <v/>
      </c>
      <c r="G304" s="21" t="str">
        <f t="shared" si="69"/>
        <v/>
      </c>
      <c r="H304" s="23" t="str">
        <f t="shared" si="75"/>
        <v/>
      </c>
      <c r="I304" s="22" t="str">
        <f t="shared" si="70"/>
        <v/>
      </c>
      <c r="J304" s="1"/>
      <c r="K304" s="51"/>
      <c r="M304" s="81">
        <f t="shared" ca="1" si="61"/>
        <v>1569.8797637252874</v>
      </c>
      <c r="N304" s="19">
        <f t="shared" si="71"/>
        <v>44.361409387999466</v>
      </c>
      <c r="O304" s="17">
        <f t="shared" si="72"/>
        <v>75.75</v>
      </c>
      <c r="P304" s="19">
        <f ca="1">IF(ISERROR(IF(O304&lt;fi_h/20,0,(OFFSET('Base de dados'!$A$5,IF(O304&lt;20,1,IF(O304&gt;1000,10,MATCH(O304,Cargas,1))),Coluna_fih,1,1))*(1+0.13*0.25)*(PI()*(fi_h/1000)^2/4)*SQRT(2*9.81*(O304/100-fi_h/2/1000))*1000)),"",IF(O304&lt;fi_h/20,0,(OFFSET('Base de dados'!$A$5,IF(O304&lt;20,1,IF(O304&gt;1000,10,MATCH(O304,Cargas,1))),Coluna_fih,1,1))*(PI()*(fi_h/1000)^2/4)*SQRT(2*9.81*(O304/100-fi_h/2/1000))*1000))</f>
        <v>22.534667011795193</v>
      </c>
      <c r="Q304" s="19">
        <f ca="1">IF(O304="","",IF(Tipo_Vertedor="Retangular",IF(O304&lt;=cota_s*100,0,IF(Tipo_Vertedor="Retangular",Cd_sr*Lef_sr*((O304/100-cota_s)^(3/2))*1000)),IF(O304&lt;=cota_s*100+fi_s/20,0,(OFFSET('Base de dados'!$A$4,IF(O304&lt;20,1,IF(O304&gt;1000,10,MATCH(O304,Cargas,1))),Coluna_fis,1,1))*(PI()*(fi_s/1000)^2/4)*(2*9.81*(O304/100-cota_s-fi_s/2/1000))^0.5*1000)))</f>
        <v>68.631450446843218</v>
      </c>
      <c r="R304" s="19">
        <f t="shared" ca="1" si="62"/>
        <v>91.166117458638411</v>
      </c>
      <c r="S304" s="19">
        <f t="shared" ca="1" si="63"/>
        <v>1478.713646266649</v>
      </c>
      <c r="AD304" s="19" t="str">
        <f t="shared" si="73"/>
        <v/>
      </c>
      <c r="AE304" s="19" t="str">
        <f t="shared" si="74"/>
        <v/>
      </c>
      <c r="AF304" s="19" t="str">
        <f>IF(ISERROR(IF('Hidrograma afluente'!I311="",0,'Hidrograma afluente'!I311)+Simulação!G304),"",IF('Hidrograma afluente'!I311="",0,'Hidrograma afluente'!I311)+Simulação!G304)</f>
        <v/>
      </c>
      <c r="AG304" s="17" t="s">
        <v>160</v>
      </c>
      <c r="AH304" s="17" t="s">
        <v>160</v>
      </c>
      <c r="AI304" s="27" t="s">
        <v>160</v>
      </c>
      <c r="AJ304" s="17" t="s">
        <v>160</v>
      </c>
      <c r="AK304" s="19" t="str">
        <f>IF(A304="","",IF('Hidrograma afluente'!I311="",0,'Hidrograma afluente'!I311)+Simulação!B304)</f>
        <v/>
      </c>
    </row>
    <row r="305" spans="1:37" s="17" customFormat="1">
      <c r="A305" s="4" t="str">
        <f t="shared" si="64"/>
        <v/>
      </c>
      <c r="B305" s="5" t="str">
        <f>IF(A305="","",IF(A305&gt;tc_lot_i+tc,0,IF('Hidrograma afluente'!B312="","",'Hidrograma afluente'!B312)))</f>
        <v/>
      </c>
      <c r="C305" s="21" t="str">
        <f t="shared" si="65"/>
        <v/>
      </c>
      <c r="D305" s="21" t="str">
        <f t="shared" si="66"/>
        <v/>
      </c>
      <c r="E305" s="21" t="str">
        <f t="shared" si="67"/>
        <v/>
      </c>
      <c r="F305" s="21" t="str">
        <f t="shared" si="68"/>
        <v/>
      </c>
      <c r="G305" s="21" t="str">
        <f t="shared" si="69"/>
        <v/>
      </c>
      <c r="H305" s="23" t="str">
        <f t="shared" si="75"/>
        <v/>
      </c>
      <c r="I305" s="22" t="str">
        <f t="shared" si="70"/>
        <v/>
      </c>
      <c r="J305" s="1"/>
      <c r="K305" s="51"/>
      <c r="M305" s="81">
        <f t="shared" ca="1" si="61"/>
        <v>1577.0497785540654</v>
      </c>
      <c r="N305" s="19">
        <f t="shared" si="71"/>
        <v>44.526089098617376</v>
      </c>
      <c r="O305" s="17">
        <f t="shared" si="72"/>
        <v>76</v>
      </c>
      <c r="P305" s="19">
        <f ca="1">IF(ISERROR(IF(O305&lt;fi_h/20,0,(OFFSET('Base de dados'!$A$5,IF(O305&lt;20,1,IF(O305&gt;1000,10,MATCH(O305,Cargas,1))),Coluna_fih,1,1))*(1+0.13*0.25)*(PI()*(fi_h/1000)^2/4)*SQRT(2*9.81*(O305/100-fi_h/2/1000))*1000)),"",IF(O305&lt;fi_h/20,0,(OFFSET('Base de dados'!$A$5,IF(O305&lt;20,1,IF(O305&gt;1000,10,MATCH(O305,Cargas,1))),Coluna_fih,1,1))*(PI()*(fi_h/1000)^2/4)*SQRT(2*9.81*(O305/100-fi_h/2/1000))*1000))</f>
        <v>22.574808600152817</v>
      </c>
      <c r="Q305" s="19">
        <f ca="1">IF(O305="","",IF(Tipo_Vertedor="Retangular",IF(O305&lt;=cota_s*100,0,IF(Tipo_Vertedor="Retangular",Cd_sr*Lef_sr*((O305/100-cota_s)^(3/2))*1000)),IF(O305&lt;=cota_s*100+fi_s/20,0,(OFFSET('Base de dados'!$A$4,IF(O305&lt;20,1,IF(O305&gt;1000,10,MATCH(O305,Cargas,1))),Coluna_fis,1,1))*(PI()*(fi_s/1000)^2/4)*(2*9.81*(O305/100-cota_s-fi_s/2/1000))^0.5*1000)))</f>
        <v>70.272000000000034</v>
      </c>
      <c r="R305" s="19">
        <f t="shared" ca="1" si="62"/>
        <v>92.846808600152855</v>
      </c>
      <c r="S305" s="19">
        <f t="shared" ca="1" si="63"/>
        <v>1484.2029699539125</v>
      </c>
      <c r="AD305" s="19" t="str">
        <f t="shared" si="73"/>
        <v/>
      </c>
      <c r="AE305" s="19" t="str">
        <f t="shared" si="74"/>
        <v/>
      </c>
      <c r="AF305" s="19" t="str">
        <f>IF(ISERROR(IF('Hidrograma afluente'!I312="",0,'Hidrograma afluente'!I312)+Simulação!G305),"",IF('Hidrograma afluente'!I312="",0,'Hidrograma afluente'!I312)+Simulação!G305)</f>
        <v/>
      </c>
      <c r="AG305" s="17" t="s">
        <v>160</v>
      </c>
      <c r="AH305" s="17" t="s">
        <v>160</v>
      </c>
      <c r="AI305" s="27" t="s">
        <v>160</v>
      </c>
      <c r="AJ305" s="17" t="s">
        <v>160</v>
      </c>
      <c r="AK305" s="19" t="str">
        <f>IF(A305="","",IF('Hidrograma afluente'!I312="",0,'Hidrograma afluente'!I312)+Simulação!B305)</f>
        <v/>
      </c>
    </row>
    <row r="306" spans="1:37" s="17" customFormat="1">
      <c r="A306" s="4" t="str">
        <f t="shared" si="64"/>
        <v/>
      </c>
      <c r="B306" s="5" t="str">
        <f>IF(A306="","",IF(A306&gt;tc_lot_i+tc,0,IF('Hidrograma afluente'!B313="","",'Hidrograma afluente'!B313)))</f>
        <v/>
      </c>
      <c r="C306" s="21" t="str">
        <f t="shared" si="65"/>
        <v/>
      </c>
      <c r="D306" s="21" t="str">
        <f t="shared" si="66"/>
        <v/>
      </c>
      <c r="E306" s="21" t="str">
        <f t="shared" si="67"/>
        <v/>
      </c>
      <c r="F306" s="21" t="str">
        <f t="shared" si="68"/>
        <v/>
      </c>
      <c r="G306" s="21" t="str">
        <f t="shared" si="69"/>
        <v/>
      </c>
      <c r="H306" s="23" t="str">
        <f t="shared" si="75"/>
        <v/>
      </c>
      <c r="I306" s="22" t="str">
        <f t="shared" si="70"/>
        <v/>
      </c>
      <c r="J306" s="1"/>
      <c r="K306" s="51"/>
      <c r="M306" s="81">
        <f t="shared" ca="1" si="61"/>
        <v>1584.2348394187159</v>
      </c>
      <c r="N306" s="19">
        <f t="shared" si="71"/>
        <v>44.690836306341616</v>
      </c>
      <c r="O306" s="17">
        <f t="shared" si="72"/>
        <v>76.25</v>
      </c>
      <c r="P306" s="19">
        <f ca="1">IF(ISERROR(IF(O306&lt;fi_h/20,0,(OFFSET('Base de dados'!$A$5,IF(O306&lt;20,1,IF(O306&gt;1000,10,MATCH(O306,Cargas,1))),Coluna_fih,1,1))*(1+0.13*0.25)*(PI()*(fi_h/1000)^2/4)*SQRT(2*9.81*(O306/100-fi_h/2/1000))*1000)),"",IF(O306&lt;fi_h/20,0,(OFFSET('Base de dados'!$A$5,IF(O306&lt;20,1,IF(O306&gt;1000,10,MATCH(O306,Cargas,1))),Coluna_fih,1,1))*(PI()*(fi_h/1000)^2/4)*SQRT(2*9.81*(O306/100-fi_h/2/1000))*1000))</f>
        <v>22.614878936986962</v>
      </c>
      <c r="Q306" s="19">
        <f ca="1">IF(O306="","",IF(Tipo_Vertedor="Retangular",IF(O306&lt;=cota_s*100,0,IF(Tipo_Vertedor="Retangular",Cd_sr*Lef_sr*((O306/100-cota_s)^(3/2))*1000)),IF(O306&lt;=cota_s*100+fi_s/20,0,(OFFSET('Base de dados'!$A$4,IF(O306&lt;20,1,IF(O306&gt;1000,10,MATCH(O306,Cargas,1))),Coluna_fis,1,1))*(PI()*(fi_s/1000)^2/4)*(2*9.81*(O306/100-cota_s-fi_s/2/1000))^0.5*1000)))</f>
        <v>71.925416937008436</v>
      </c>
      <c r="R306" s="19">
        <f t="shared" ca="1" si="62"/>
        <v>94.540295873995404</v>
      </c>
      <c r="S306" s="19">
        <f t="shared" ca="1" si="63"/>
        <v>1489.6945435447205</v>
      </c>
      <c r="AD306" s="19" t="str">
        <f t="shared" si="73"/>
        <v/>
      </c>
      <c r="AE306" s="19" t="str">
        <f t="shared" si="74"/>
        <v/>
      </c>
      <c r="AF306" s="19" t="str">
        <f>IF(ISERROR(IF('Hidrograma afluente'!I313="",0,'Hidrograma afluente'!I313)+Simulação!G306),"",IF('Hidrograma afluente'!I313="",0,'Hidrograma afluente'!I313)+Simulação!G306)</f>
        <v/>
      </c>
      <c r="AG306" s="17" t="s">
        <v>160</v>
      </c>
      <c r="AH306" s="17" t="s">
        <v>160</v>
      </c>
      <c r="AI306" s="27" t="s">
        <v>160</v>
      </c>
      <c r="AJ306" s="17" t="s">
        <v>160</v>
      </c>
      <c r="AK306" s="19" t="str">
        <f>IF(A306="","",IF('Hidrograma afluente'!I313="",0,'Hidrograma afluente'!I313)+Simulação!B306)</f>
        <v/>
      </c>
    </row>
    <row r="307" spans="1:37" s="17" customFormat="1">
      <c r="A307" s="4" t="str">
        <f t="shared" si="64"/>
        <v/>
      </c>
      <c r="B307" s="5" t="str">
        <f>IF(A307="","",IF(A307&gt;tc_lot_i+tc,0,IF('Hidrograma afluente'!B314="","",'Hidrograma afluente'!B314)))</f>
        <v/>
      </c>
      <c r="C307" s="21" t="str">
        <f t="shared" si="65"/>
        <v/>
      </c>
      <c r="D307" s="21" t="str">
        <f t="shared" si="66"/>
        <v/>
      </c>
      <c r="E307" s="21" t="str">
        <f t="shared" si="67"/>
        <v/>
      </c>
      <c r="F307" s="21" t="str">
        <f t="shared" si="68"/>
        <v/>
      </c>
      <c r="G307" s="21" t="str">
        <f t="shared" si="69"/>
        <v/>
      </c>
      <c r="H307" s="23" t="str">
        <f t="shared" si="75"/>
        <v/>
      </c>
      <c r="I307" s="22" t="str">
        <f t="shared" si="70"/>
        <v/>
      </c>
      <c r="J307" s="1"/>
      <c r="K307" s="51"/>
      <c r="M307" s="81">
        <f t="shared" ca="1" si="61"/>
        <v>1591.4348408687163</v>
      </c>
      <c r="N307" s="19">
        <f t="shared" si="71"/>
        <v>44.855650817398498</v>
      </c>
      <c r="O307" s="17">
        <f t="shared" si="72"/>
        <v>76.5</v>
      </c>
      <c r="P307" s="19">
        <f ca="1">IF(ISERROR(IF(O307&lt;fi_h/20,0,(OFFSET('Base de dados'!$A$5,IF(O307&lt;20,1,IF(O307&gt;1000,10,MATCH(O307,Cargas,1))),Coluna_fih,1,1))*(1+0.13*0.25)*(PI()*(fi_h/1000)^2/4)*SQRT(2*9.81*(O307/100-fi_h/2/1000))*1000)),"",IF(O307&lt;fi_h/20,0,(OFFSET('Base de dados'!$A$5,IF(O307&lt;20,1,IF(O307&gt;1000,10,MATCH(O307,Cargas,1))),Coluna_fih,1,1))*(PI()*(fi_h/1000)^2/4)*SQRT(2*9.81*(O307/100-fi_h/2/1000))*1000))</f>
        <v>22.654878400371508</v>
      </c>
      <c r="Q307" s="19">
        <f ca="1">IF(O307="","",IF(Tipo_Vertedor="Retangular",IF(O307&lt;=cota_s*100,0,IF(Tipo_Vertedor="Retangular",Cd_sr*Lef_sr*((O307/100-cota_s)^(3/2))*1000)),IF(O307&lt;=cota_s*100+fi_s/20,0,(OFFSET('Base de dados'!$A$4,IF(O307&lt;20,1,IF(O307&gt;1000,10,MATCH(O307,Cargas,1))),Coluna_fis,1,1))*(PI()*(fi_s/1000)^2/4)*(2*9.81*(O307/100-cota_s-fi_s/2/1000))^0.5*1000)))</f>
        <v>73.591601888394877</v>
      </c>
      <c r="R307" s="19">
        <f t="shared" ca="1" si="62"/>
        <v>96.246480288766378</v>
      </c>
      <c r="S307" s="19">
        <f t="shared" ca="1" si="63"/>
        <v>1495.1883605799499</v>
      </c>
      <c r="AD307" s="19" t="str">
        <f t="shared" si="73"/>
        <v/>
      </c>
      <c r="AE307" s="19" t="str">
        <f t="shared" si="74"/>
        <v/>
      </c>
      <c r="AF307" s="19" t="str">
        <f>IF(ISERROR(IF('Hidrograma afluente'!I314="",0,'Hidrograma afluente'!I314)+Simulação!G307),"",IF('Hidrograma afluente'!I314="",0,'Hidrograma afluente'!I314)+Simulação!G307)</f>
        <v/>
      </c>
      <c r="AG307" s="17" t="s">
        <v>160</v>
      </c>
      <c r="AH307" s="17" t="s">
        <v>160</v>
      </c>
      <c r="AI307" s="27" t="s">
        <v>160</v>
      </c>
      <c r="AJ307" s="17" t="s">
        <v>160</v>
      </c>
      <c r="AK307" s="19" t="str">
        <f>IF(A307="","",IF('Hidrograma afluente'!I314="",0,'Hidrograma afluente'!I314)+Simulação!B307)</f>
        <v/>
      </c>
    </row>
    <row r="308" spans="1:37" s="17" customFormat="1">
      <c r="A308" s="4" t="str">
        <f t="shared" si="64"/>
        <v/>
      </c>
      <c r="B308" s="5" t="str">
        <f>IF(A308="","",IF(A308&gt;tc_lot_i+tc,0,IF('Hidrograma afluente'!B315="","",'Hidrograma afluente'!B315)))</f>
        <v/>
      </c>
      <c r="C308" s="21" t="str">
        <f t="shared" si="65"/>
        <v/>
      </c>
      <c r="D308" s="21" t="str">
        <f t="shared" si="66"/>
        <v/>
      </c>
      <c r="E308" s="21" t="str">
        <f t="shared" si="67"/>
        <v/>
      </c>
      <c r="F308" s="21" t="str">
        <f t="shared" si="68"/>
        <v/>
      </c>
      <c r="G308" s="21" t="str">
        <f t="shared" si="69"/>
        <v/>
      </c>
      <c r="H308" s="23" t="str">
        <f t="shared" si="75"/>
        <v/>
      </c>
      <c r="I308" s="22" t="str">
        <f t="shared" si="70"/>
        <v/>
      </c>
      <c r="J308" s="1"/>
      <c r="K308" s="51"/>
      <c r="M308" s="81">
        <f t="shared" ca="1" si="61"/>
        <v>1598.649679757068</v>
      </c>
      <c r="N308" s="19">
        <f t="shared" si="71"/>
        <v>45.020532439202199</v>
      </c>
      <c r="O308" s="17">
        <f t="shared" si="72"/>
        <v>76.75</v>
      </c>
      <c r="P308" s="19">
        <f ca="1">IF(ISERROR(IF(O308&lt;fi_h/20,0,(OFFSET('Base de dados'!$A$5,IF(O308&lt;20,1,IF(O308&gt;1000,10,MATCH(O308,Cargas,1))),Coluna_fih,1,1))*(1+0.13*0.25)*(PI()*(fi_h/1000)^2/4)*SQRT(2*9.81*(O308/100-fi_h/2/1000))*1000)),"",IF(O308&lt;fi_h/20,0,(OFFSET('Base de dados'!$A$5,IF(O308&lt;20,1,IF(O308&gt;1000,10,MATCH(O308,Cargas,1))),Coluna_fih,1,1))*(PI()*(fi_h/1000)^2/4)*SQRT(2*9.81*(O308/100-fi_h/2/1000))*1000))</f>
        <v>22.694807365048561</v>
      </c>
      <c r="Q308" s="19">
        <f ca="1">IF(O308="","",IF(Tipo_Vertedor="Retangular",IF(O308&lt;=cota_s*100,0,IF(Tipo_Vertedor="Retangular",Cd_sr*Lef_sr*((O308/100-cota_s)^(3/2))*1000)),IF(O308&lt;=cota_s*100+fi_s/20,0,(OFFSET('Base de dados'!$A$4,IF(O308&lt;20,1,IF(O308&gt;1000,10,MATCH(O308,Cargas,1))),Coluna_fis,1,1))*(PI()*(fi_s/1000)^2/4)*(2*9.81*(O308/100-cota_s-fi_s/2/1000))^0.5*1000)))</f>
        <v>75.270457751946083</v>
      </c>
      <c r="R308" s="19">
        <f t="shared" ca="1" si="62"/>
        <v>97.965265116994644</v>
      </c>
      <c r="S308" s="19">
        <f t="shared" ca="1" si="63"/>
        <v>1500.6844146400733</v>
      </c>
      <c r="AD308" s="19" t="str">
        <f t="shared" si="73"/>
        <v/>
      </c>
      <c r="AE308" s="19" t="str">
        <f t="shared" si="74"/>
        <v/>
      </c>
      <c r="AF308" s="19" t="str">
        <f>IF(ISERROR(IF('Hidrograma afluente'!I315="",0,'Hidrograma afluente'!I315)+Simulação!G308),"",IF('Hidrograma afluente'!I315="",0,'Hidrograma afluente'!I315)+Simulação!G308)</f>
        <v/>
      </c>
      <c r="AG308" s="17" t="s">
        <v>160</v>
      </c>
      <c r="AH308" s="17" t="s">
        <v>160</v>
      </c>
      <c r="AI308" s="27" t="s">
        <v>160</v>
      </c>
      <c r="AJ308" s="17" t="s">
        <v>160</v>
      </c>
      <c r="AK308" s="19" t="str">
        <f>IF(A308="","",IF('Hidrograma afluente'!I315="",0,'Hidrograma afluente'!I315)+Simulação!B308)</f>
        <v/>
      </c>
    </row>
    <row r="309" spans="1:37" s="17" customFormat="1">
      <c r="A309" s="4" t="str">
        <f t="shared" si="64"/>
        <v/>
      </c>
      <c r="B309" s="5" t="str">
        <f>IF(A309="","",IF(A309&gt;tc_lot_i+tc,0,IF('Hidrograma afluente'!B316="","",'Hidrograma afluente'!B316)))</f>
        <v/>
      </c>
      <c r="C309" s="21" t="str">
        <f t="shared" si="65"/>
        <v/>
      </c>
      <c r="D309" s="21" t="str">
        <f t="shared" si="66"/>
        <v/>
      </c>
      <c r="E309" s="21" t="str">
        <f t="shared" si="67"/>
        <v/>
      </c>
      <c r="F309" s="21" t="str">
        <f t="shared" si="68"/>
        <v/>
      </c>
      <c r="G309" s="21" t="str">
        <f t="shared" si="69"/>
        <v/>
      </c>
      <c r="H309" s="23" t="str">
        <f t="shared" si="75"/>
        <v/>
      </c>
      <c r="I309" s="22" t="str">
        <f t="shared" si="70"/>
        <v/>
      </c>
      <c r="J309" s="1"/>
      <c r="K309" s="51"/>
      <c r="M309" s="81">
        <f t="shared" ca="1" si="61"/>
        <v>1605.8792551550364</v>
      </c>
      <c r="N309" s="19">
        <f t="shared" si="71"/>
        <v>45.185480980343627</v>
      </c>
      <c r="O309" s="17">
        <f t="shared" si="72"/>
        <v>77</v>
      </c>
      <c r="P309" s="19">
        <f ca="1">IF(ISERROR(IF(O309&lt;fi_h/20,0,(OFFSET('Base de dados'!$A$5,IF(O309&lt;20,1,IF(O309&gt;1000,10,MATCH(O309,Cargas,1))),Coluna_fih,1,1))*(1+0.13*0.25)*(PI()*(fi_h/1000)^2/4)*SQRT(2*9.81*(O309/100-fi_h/2/1000))*1000)),"",IF(O309&lt;fi_h/20,0,(OFFSET('Base de dados'!$A$5,IF(O309&lt;20,1,IF(O309&gt;1000,10,MATCH(O309,Cargas,1))),Coluna_fih,1,1))*(PI()*(fi_h/1000)^2/4)*SQRT(2*9.81*(O309/100-fi_h/2/1000))*1000))</f>
        <v>22.734666202469423</v>
      </c>
      <c r="Q309" s="19">
        <f ca="1">IF(O309="","",IF(Tipo_Vertedor="Retangular",IF(O309&lt;=cota_s*100,0,IF(Tipo_Vertedor="Retangular",Cd_sr*Lef_sr*((O309/100-cota_s)^(3/2))*1000)),IF(O309&lt;=cota_s*100+fi_s/20,0,(OFFSET('Base de dados'!$A$4,IF(O309&lt;20,1,IF(O309&gt;1000,10,MATCH(O309,Cargas,1))),Coluna_fis,1,1))*(PI()*(fi_s/1000)^2/4)*(2*9.81*(O309/100-cota_s-fi_s/2/1000))^0.5*1000)))</f>
        <v>76.961889607779284</v>
      </c>
      <c r="R309" s="19">
        <f t="shared" ca="1" si="62"/>
        <v>99.696555810248711</v>
      </c>
      <c r="S309" s="19">
        <f t="shared" ca="1" si="63"/>
        <v>1506.1826993447876</v>
      </c>
      <c r="AD309" s="19" t="str">
        <f t="shared" si="73"/>
        <v/>
      </c>
      <c r="AE309" s="19" t="str">
        <f t="shared" si="74"/>
        <v/>
      </c>
      <c r="AF309" s="19" t="str">
        <f>IF(ISERROR(IF('Hidrograma afluente'!I316="",0,'Hidrograma afluente'!I316)+Simulação!G309),"",IF('Hidrograma afluente'!I316="",0,'Hidrograma afluente'!I316)+Simulação!G309)</f>
        <v/>
      </c>
      <c r="AG309" s="17" t="s">
        <v>160</v>
      </c>
      <c r="AH309" s="17" t="s">
        <v>160</v>
      </c>
      <c r="AI309" s="27" t="s">
        <v>160</v>
      </c>
      <c r="AJ309" s="17" t="s">
        <v>160</v>
      </c>
      <c r="AK309" s="19" t="str">
        <f>IF(A309="","",IF('Hidrograma afluente'!I316="",0,'Hidrograma afluente'!I316)+Simulação!B309)</f>
        <v/>
      </c>
    </row>
    <row r="310" spans="1:37" s="17" customFormat="1">
      <c r="A310" s="4" t="str">
        <f t="shared" si="64"/>
        <v/>
      </c>
      <c r="B310" s="5" t="str">
        <f>IF(A310="","",IF(A310&gt;tc_lot_i+tc,0,IF('Hidrograma afluente'!B317="","",'Hidrograma afluente'!B317)))</f>
        <v/>
      </c>
      <c r="C310" s="21" t="str">
        <f t="shared" si="65"/>
        <v/>
      </c>
      <c r="D310" s="21" t="str">
        <f t="shared" si="66"/>
        <v/>
      </c>
      <c r="E310" s="21" t="str">
        <f t="shared" si="67"/>
        <v/>
      </c>
      <c r="F310" s="21" t="str">
        <f t="shared" si="68"/>
        <v/>
      </c>
      <c r="G310" s="21" t="str">
        <f t="shared" si="69"/>
        <v/>
      </c>
      <c r="H310" s="23" t="str">
        <f t="shared" si="75"/>
        <v/>
      </c>
      <c r="I310" s="22" t="str">
        <f t="shared" si="70"/>
        <v/>
      </c>
      <c r="J310" s="1"/>
      <c r="K310" s="51"/>
      <c r="M310" s="81">
        <f t="shared" ca="1" si="61"/>
        <v>1613.1234682712816</v>
      </c>
      <c r="N310" s="19">
        <f t="shared" si="71"/>
        <v>45.350496250579404</v>
      </c>
      <c r="O310" s="17">
        <f t="shared" si="72"/>
        <v>77.25</v>
      </c>
      <c r="P310" s="19">
        <f ca="1">IF(ISERROR(IF(O310&lt;fi_h/20,0,(OFFSET('Base de dados'!$A$5,IF(O310&lt;20,1,IF(O310&gt;1000,10,MATCH(O310,Cargas,1))),Coluna_fih,1,1))*(1+0.13*0.25)*(PI()*(fi_h/1000)^2/4)*SQRT(2*9.81*(O310/100-fi_h/2/1000))*1000)),"",IF(O310&lt;fi_h/20,0,(OFFSET('Base de dados'!$A$5,IF(O310&lt;20,1,IF(O310&gt;1000,10,MATCH(O310,Cargas,1))),Coluna_fih,1,1))*(PI()*(fi_h/1000)^2/4)*SQRT(2*9.81*(O310/100-fi_h/2/1000))*1000))</f>
        <v>22.774455280834896</v>
      </c>
      <c r="Q310" s="19">
        <f ca="1">IF(O310="","",IF(Tipo_Vertedor="Retangular",IF(O310&lt;=cota_s*100,0,IF(Tipo_Vertedor="Retangular",Cd_sr*Lef_sr*((O310/100-cota_s)^(3/2))*1000)),IF(O310&lt;=cota_s*100+fi_s/20,0,(OFFSET('Base de dados'!$A$4,IF(O310&lt;20,1,IF(O310&gt;1000,10,MATCH(O310,Cargas,1))),Coluna_fis,1,1))*(PI()*(fi_s/1000)^2/4)*(2*9.81*(O310/100-cota_s-fi_s/2/1000))^0.5*1000)))</f>
        <v>78.665804637799909</v>
      </c>
      <c r="R310" s="19">
        <f t="shared" ca="1" si="62"/>
        <v>101.44025991863481</v>
      </c>
      <c r="S310" s="19">
        <f t="shared" ca="1" si="63"/>
        <v>1511.6832083526467</v>
      </c>
      <c r="AD310" s="19" t="str">
        <f t="shared" si="73"/>
        <v/>
      </c>
      <c r="AE310" s="19" t="str">
        <f t="shared" si="74"/>
        <v/>
      </c>
      <c r="AF310" s="19" t="str">
        <f>IF(ISERROR(IF('Hidrograma afluente'!I317="",0,'Hidrograma afluente'!I317)+Simulação!G310),"",IF('Hidrograma afluente'!I317="",0,'Hidrograma afluente'!I317)+Simulação!G310)</f>
        <v/>
      </c>
      <c r="AG310" s="17" t="s">
        <v>160</v>
      </c>
      <c r="AH310" s="17" t="s">
        <v>160</v>
      </c>
      <c r="AI310" s="27" t="s">
        <v>160</v>
      </c>
      <c r="AJ310" s="17" t="s">
        <v>160</v>
      </c>
      <c r="AK310" s="19" t="str">
        <f>IF(A310="","",IF('Hidrograma afluente'!I317="",0,'Hidrograma afluente'!I317)+Simulação!B310)</f>
        <v/>
      </c>
    </row>
    <row r="311" spans="1:37" s="17" customFormat="1">
      <c r="A311" s="4" t="str">
        <f t="shared" si="64"/>
        <v/>
      </c>
      <c r="B311" s="5" t="str">
        <f>IF(A311="","",IF(A311&gt;tc_lot_i+tc,0,IF('Hidrograma afluente'!B318="","",'Hidrograma afluente'!B318)))</f>
        <v/>
      </c>
      <c r="C311" s="21" t="str">
        <f t="shared" si="65"/>
        <v/>
      </c>
      <c r="D311" s="21" t="str">
        <f t="shared" si="66"/>
        <v/>
      </c>
      <c r="E311" s="21" t="str">
        <f t="shared" si="67"/>
        <v/>
      </c>
      <c r="F311" s="21" t="str">
        <f t="shared" si="68"/>
        <v/>
      </c>
      <c r="G311" s="21" t="str">
        <f t="shared" si="69"/>
        <v/>
      </c>
      <c r="H311" s="23" t="str">
        <f t="shared" si="75"/>
        <v/>
      </c>
      <c r="I311" s="22" t="str">
        <f t="shared" si="70"/>
        <v/>
      </c>
      <c r="J311" s="1"/>
      <c r="K311" s="51"/>
      <c r="M311" s="81">
        <f t="shared" ca="1" si="61"/>
        <v>1620.3822223750992</v>
      </c>
      <c r="N311" s="19">
        <f t="shared" si="71"/>
        <v>45.515578060821085</v>
      </c>
      <c r="O311" s="17">
        <f t="shared" si="72"/>
        <v>77.5</v>
      </c>
      <c r="P311" s="19">
        <f ca="1">IF(ISERROR(IF(O311&lt;fi_h/20,0,(OFFSET('Base de dados'!$A$5,IF(O311&lt;20,1,IF(O311&gt;1000,10,MATCH(O311,Cargas,1))),Coluna_fih,1,1))*(1+0.13*0.25)*(PI()*(fi_h/1000)^2/4)*SQRT(2*9.81*(O311/100-fi_h/2/1000))*1000)),"",IF(O311&lt;fi_h/20,0,(OFFSET('Base de dados'!$A$5,IF(O311&lt;20,1,IF(O311&gt;1000,10,MATCH(O311,Cargas,1))),Coluna_fih,1,1))*(PI()*(fi_h/1000)^2/4)*SQRT(2*9.81*(O311/100-fi_h/2/1000))*1000))</f>
        <v>22.814174965134974</v>
      </c>
      <c r="Q311" s="19">
        <f ca="1">IF(O311="","",IF(Tipo_Vertedor="Retangular",IF(O311&lt;=cota_s*100,0,IF(Tipo_Vertedor="Retangular",Cd_sr*Lef_sr*((O311/100-cota_s)^(3/2))*1000)),IF(O311&lt;=cota_s*100+fi_s/20,0,(OFFSET('Base de dados'!$A$4,IF(O311&lt;20,1,IF(O311&gt;1000,10,MATCH(O311,Cargas,1))),Coluna_fis,1,1))*(PI()*(fi_s/1000)^2/4)*(2*9.81*(O311/100-cota_s-fi_s/2/1000))^0.5*1000)))</f>
        <v>80.382112049261323</v>
      </c>
      <c r="R311" s="19">
        <f t="shared" ca="1" si="62"/>
        <v>103.19628701439629</v>
      </c>
      <c r="S311" s="19">
        <f t="shared" ca="1" si="63"/>
        <v>1517.1859353607028</v>
      </c>
      <c r="AD311" s="19" t="str">
        <f t="shared" si="73"/>
        <v/>
      </c>
      <c r="AE311" s="19" t="str">
        <f t="shared" si="74"/>
        <v/>
      </c>
      <c r="AF311" s="19" t="str">
        <f>IF(ISERROR(IF('Hidrograma afluente'!I318="",0,'Hidrograma afluente'!I318)+Simulação!G311),"",IF('Hidrograma afluente'!I318="",0,'Hidrograma afluente'!I318)+Simulação!G311)</f>
        <v/>
      </c>
      <c r="AG311" s="17" t="s">
        <v>160</v>
      </c>
      <c r="AH311" s="17" t="s">
        <v>160</v>
      </c>
      <c r="AI311" s="27" t="s">
        <v>160</v>
      </c>
      <c r="AJ311" s="17" t="s">
        <v>160</v>
      </c>
      <c r="AK311" s="19" t="str">
        <f>IF(A311="","",IF('Hidrograma afluente'!I318="",0,'Hidrograma afluente'!I318)+Simulação!B311)</f>
        <v/>
      </c>
    </row>
    <row r="312" spans="1:37" s="17" customFormat="1">
      <c r="A312" s="4" t="str">
        <f t="shared" si="64"/>
        <v/>
      </c>
      <c r="B312" s="5" t="str">
        <f>IF(A312="","",IF(A312&gt;tc_lot_i+tc,0,IF('Hidrograma afluente'!B319="","",'Hidrograma afluente'!B319)))</f>
        <v/>
      </c>
      <c r="C312" s="21" t="str">
        <f t="shared" si="65"/>
        <v/>
      </c>
      <c r="D312" s="21" t="str">
        <f t="shared" si="66"/>
        <v/>
      </c>
      <c r="E312" s="21" t="str">
        <f t="shared" si="67"/>
        <v/>
      </c>
      <c r="F312" s="21" t="str">
        <f t="shared" si="68"/>
        <v/>
      </c>
      <c r="G312" s="21" t="str">
        <f t="shared" si="69"/>
        <v/>
      </c>
      <c r="H312" s="23" t="str">
        <f t="shared" si="75"/>
        <v/>
      </c>
      <c r="I312" s="22" t="str">
        <f t="shared" si="70"/>
        <v/>
      </c>
      <c r="J312" s="1"/>
      <c r="K312" s="51"/>
      <c r="M312" s="81">
        <f t="shared" ca="1" si="61"/>
        <v>1627.6554227234935</v>
      </c>
      <c r="N312" s="19">
        <f t="shared" si="71"/>
        <v>45.68072622312436</v>
      </c>
      <c r="O312" s="17">
        <f t="shared" si="72"/>
        <v>77.75</v>
      </c>
      <c r="P312" s="19">
        <f ca="1">IF(ISERROR(IF(O312&lt;fi_h/20,0,(OFFSET('Base de dados'!$A$5,IF(O312&lt;20,1,IF(O312&gt;1000,10,MATCH(O312,Cargas,1))),Coluna_fih,1,1))*(1+0.13*0.25)*(PI()*(fi_h/1000)^2/4)*SQRT(2*9.81*(O312/100-fi_h/2/1000))*1000)),"",IF(O312&lt;fi_h/20,0,(OFFSET('Base de dados'!$A$5,IF(O312&lt;20,1,IF(O312&gt;1000,10,MATCH(O312,Cargas,1))),Coluna_fih,1,1))*(PI()*(fi_h/1000)^2/4)*SQRT(2*9.81*(O312/100-fi_h/2/1000))*1000))</f>
        <v>22.853825617187908</v>
      </c>
      <c r="Q312" s="19">
        <f ca="1">IF(O312="","",IF(Tipo_Vertedor="Retangular",IF(O312&lt;=cota_s*100,0,IF(Tipo_Vertedor="Retangular",Cd_sr*Lef_sr*((O312/100-cota_s)^(3/2))*1000)),IF(O312&lt;=cota_s*100+fi_s/20,0,(OFFSET('Base de dados'!$A$4,IF(O312&lt;20,1,IF(O312&gt;1000,10,MATCH(O312,Cargas,1))),Coluna_fis,1,1))*(PI()*(fi_s/1000)^2/4)*(2*9.81*(O312/100-cota_s-fi_s/2/1000))^0.5*1000)))</f>
        <v>82.110723002160299</v>
      </c>
      <c r="R312" s="19">
        <f t="shared" ca="1" si="62"/>
        <v>104.96454861934821</v>
      </c>
      <c r="S312" s="19">
        <f t="shared" ca="1" si="63"/>
        <v>1522.6908741041452</v>
      </c>
      <c r="AD312" s="19" t="str">
        <f t="shared" si="73"/>
        <v/>
      </c>
      <c r="AE312" s="19" t="str">
        <f t="shared" si="74"/>
        <v/>
      </c>
      <c r="AF312" s="19" t="str">
        <f>IF(ISERROR(IF('Hidrograma afluente'!I319="",0,'Hidrograma afluente'!I319)+Simulação!G312),"",IF('Hidrograma afluente'!I319="",0,'Hidrograma afluente'!I319)+Simulação!G312)</f>
        <v/>
      </c>
      <c r="AG312" s="17" t="s">
        <v>160</v>
      </c>
      <c r="AH312" s="17" t="s">
        <v>160</v>
      </c>
      <c r="AI312" s="27" t="s">
        <v>160</v>
      </c>
      <c r="AJ312" s="17" t="s">
        <v>160</v>
      </c>
      <c r="AK312" s="19" t="str">
        <f>IF(A312="","",IF('Hidrograma afluente'!I319="",0,'Hidrograma afluente'!I319)+Simulação!B312)</f>
        <v/>
      </c>
    </row>
    <row r="313" spans="1:37" s="17" customFormat="1">
      <c r="A313" s="4" t="str">
        <f t="shared" si="64"/>
        <v/>
      </c>
      <c r="B313" s="5" t="str">
        <f>IF(A313="","",IF(A313&gt;tc_lot_i+tc,0,IF('Hidrograma afluente'!B320="","",'Hidrograma afluente'!B320)))</f>
        <v/>
      </c>
      <c r="C313" s="21" t="str">
        <f t="shared" si="65"/>
        <v/>
      </c>
      <c r="D313" s="21" t="str">
        <f t="shared" si="66"/>
        <v/>
      </c>
      <c r="E313" s="21" t="str">
        <f t="shared" si="67"/>
        <v/>
      </c>
      <c r="F313" s="21" t="str">
        <f t="shared" si="68"/>
        <v/>
      </c>
      <c r="G313" s="21" t="str">
        <f t="shared" si="69"/>
        <v/>
      </c>
      <c r="H313" s="23" t="str">
        <f t="shared" si="75"/>
        <v/>
      </c>
      <c r="I313" s="22" t="str">
        <f t="shared" si="70"/>
        <v/>
      </c>
      <c r="J313" s="1"/>
      <c r="K313" s="51"/>
      <c r="M313" s="81">
        <f t="shared" ca="1" si="61"/>
        <v>1634.9429764918557</v>
      </c>
      <c r="N313" s="19">
        <f t="shared" si="71"/>
        <v>45.845940550678549</v>
      </c>
      <c r="O313" s="17">
        <f t="shared" si="72"/>
        <v>78</v>
      </c>
      <c r="P313" s="19">
        <f ca="1">IF(ISERROR(IF(O313&lt;fi_h/20,0,(OFFSET('Base de dados'!$A$5,IF(O313&lt;20,1,IF(O313&gt;1000,10,MATCH(O313,Cargas,1))),Coluna_fih,1,1))*(1+0.13*0.25)*(PI()*(fi_h/1000)^2/4)*SQRT(2*9.81*(O313/100-fi_h/2/1000))*1000)),"",IF(O313&lt;fi_h/20,0,(OFFSET('Base de dados'!$A$5,IF(O313&lt;20,1,IF(O313&gt;1000,10,MATCH(O313,Cargas,1))),Coluna_fih,1,1))*(PI()*(fi_h/1000)^2/4)*SQRT(2*9.81*(O313/100-fi_h/2/1000))*1000))</f>
        <v>22.893407595678664</v>
      </c>
      <c r="Q313" s="19">
        <f ca="1">IF(O313="","",IF(Tipo_Vertedor="Retangular",IF(O313&lt;=cota_s*100,0,IF(Tipo_Vertedor="Retangular",Cd_sr*Lef_sr*((O313/100-cota_s)^(3/2))*1000)),IF(O313&lt;=cota_s*100+fi_s/20,0,(OFFSET('Base de dados'!$A$4,IF(O313&lt;20,1,IF(O313&gt;1000,10,MATCH(O313,Cargas,1))),Coluna_fis,1,1))*(PI()*(fi_s/1000)^2/4)*(2*9.81*(O313/100-cota_s-fi_s/2/1000))^0.5*1000)))</f>
        <v>83.851550540225603</v>
      </c>
      <c r="R313" s="19">
        <f t="shared" ca="1" si="62"/>
        <v>106.74495813590427</v>
      </c>
      <c r="S313" s="19">
        <f t="shared" ca="1" si="63"/>
        <v>1528.1980183559515</v>
      </c>
      <c r="AD313" s="19" t="str">
        <f t="shared" si="73"/>
        <v/>
      </c>
      <c r="AE313" s="19" t="str">
        <f t="shared" si="74"/>
        <v/>
      </c>
      <c r="AF313" s="19" t="str">
        <f>IF(ISERROR(IF('Hidrograma afluente'!I320="",0,'Hidrograma afluente'!I320)+Simulação!G313),"",IF('Hidrograma afluente'!I320="",0,'Hidrograma afluente'!I320)+Simulação!G313)</f>
        <v/>
      </c>
      <c r="AG313" s="17" t="s">
        <v>160</v>
      </c>
      <c r="AH313" s="17" t="s">
        <v>160</v>
      </c>
      <c r="AI313" s="27" t="s">
        <v>160</v>
      </c>
      <c r="AJ313" s="17" t="s">
        <v>160</v>
      </c>
      <c r="AK313" s="19" t="str">
        <f>IF(A313="","",IF('Hidrograma afluente'!I320="",0,'Hidrograma afluente'!I320)+Simulação!B313)</f>
        <v/>
      </c>
    </row>
    <row r="314" spans="1:37" s="17" customFormat="1">
      <c r="A314" s="4" t="str">
        <f t="shared" si="64"/>
        <v/>
      </c>
      <c r="B314" s="5" t="str">
        <f>IF(A314="","",IF(A314&gt;tc_lot_i+tc,0,IF('Hidrograma afluente'!B321="","",'Hidrograma afluente'!B321)))</f>
        <v/>
      </c>
      <c r="C314" s="21" t="str">
        <f t="shared" si="65"/>
        <v/>
      </c>
      <c r="D314" s="21" t="str">
        <f t="shared" si="66"/>
        <v/>
      </c>
      <c r="E314" s="21" t="str">
        <f t="shared" si="67"/>
        <v/>
      </c>
      <c r="F314" s="21" t="str">
        <f t="shared" si="68"/>
        <v/>
      </c>
      <c r="G314" s="21" t="str">
        <f t="shared" si="69"/>
        <v/>
      </c>
      <c r="H314" s="23" t="str">
        <f t="shared" si="75"/>
        <v/>
      </c>
      <c r="I314" s="22" t="str">
        <f t="shared" si="70"/>
        <v/>
      </c>
      <c r="J314" s="1"/>
      <c r="K314" s="51"/>
      <c r="M314" s="81">
        <f t="shared" ca="1" si="61"/>
        <v>1642.2447927080052</v>
      </c>
      <c r="N314" s="19">
        <f t="shared" si="71"/>
        <v>46.011220857796076</v>
      </c>
      <c r="O314" s="17">
        <f t="shared" si="72"/>
        <v>78.25</v>
      </c>
      <c r="P314" s="19">
        <f ca="1">IF(ISERROR(IF(O314&lt;fi_h/20,0,(OFFSET('Base de dados'!$A$5,IF(O314&lt;20,1,IF(O314&gt;1000,10,MATCH(O314,Cargas,1))),Coluna_fih,1,1))*(1+0.13*0.25)*(PI()*(fi_h/1000)^2/4)*SQRT(2*9.81*(O314/100-fi_h/2/1000))*1000)),"",IF(O314&lt;fi_h/20,0,(OFFSET('Base de dados'!$A$5,IF(O314&lt;20,1,IF(O314&gt;1000,10,MATCH(O314,Cargas,1))),Coluna_fih,1,1))*(PI()*(fi_h/1000)^2/4)*SQRT(2*9.81*(O314/100-fi_h/2/1000))*1000))</f>
        <v>22.932921256196742</v>
      </c>
      <c r="Q314" s="19">
        <f ca="1">IF(O314="","",IF(Tipo_Vertedor="Retangular",IF(O314&lt;=cota_s*100,0,IF(Tipo_Vertedor="Retangular",Cd_sr*Lef_sr*((O314/100-cota_s)^(3/2))*1000)),IF(O314&lt;=cota_s*100+fi_s/20,0,(OFFSET('Base de dados'!$A$4,IF(O314&lt;20,1,IF(O314&gt;1000,10,MATCH(O314,Cargas,1))),Coluna_fis,1,1))*(PI()*(fi_s/1000)^2/4)*(2*9.81*(O314/100-cota_s-fi_s/2/1000))^0.5*1000)))</f>
        <v>85.604509525272647</v>
      </c>
      <c r="R314" s="19">
        <f t="shared" ca="1" si="62"/>
        <v>108.5374307814694</v>
      </c>
      <c r="S314" s="19">
        <f t="shared" ca="1" si="63"/>
        <v>1533.7073619265359</v>
      </c>
      <c r="AD314" s="19" t="str">
        <f t="shared" si="73"/>
        <v/>
      </c>
      <c r="AE314" s="19" t="str">
        <f t="shared" si="74"/>
        <v/>
      </c>
      <c r="AF314" s="19" t="str">
        <f>IF(ISERROR(IF('Hidrograma afluente'!I321="",0,'Hidrograma afluente'!I321)+Simulação!G314),"",IF('Hidrograma afluente'!I321="",0,'Hidrograma afluente'!I321)+Simulação!G314)</f>
        <v/>
      </c>
      <c r="AG314" s="17" t="s">
        <v>160</v>
      </c>
      <c r="AH314" s="17" t="s">
        <v>160</v>
      </c>
      <c r="AI314" s="27" t="s">
        <v>160</v>
      </c>
      <c r="AJ314" s="17" t="s">
        <v>160</v>
      </c>
      <c r="AK314" s="19" t="str">
        <f>IF(A314="","",IF('Hidrograma afluente'!I321="",0,'Hidrograma afluente'!I321)+Simulação!B314)</f>
        <v/>
      </c>
    </row>
    <row r="315" spans="1:37" s="17" customFormat="1">
      <c r="A315" s="4" t="str">
        <f t="shared" si="64"/>
        <v/>
      </c>
      <c r="B315" s="5" t="str">
        <f>IF(A315="","",IF(A315&gt;tc_lot_i+tc,0,IF('Hidrograma afluente'!B322="","",'Hidrograma afluente'!B322)))</f>
        <v/>
      </c>
      <c r="C315" s="21" t="str">
        <f t="shared" si="65"/>
        <v/>
      </c>
      <c r="D315" s="21" t="str">
        <f t="shared" si="66"/>
        <v/>
      </c>
      <c r="E315" s="21" t="str">
        <f t="shared" si="67"/>
        <v/>
      </c>
      <c r="F315" s="21" t="str">
        <f t="shared" si="68"/>
        <v/>
      </c>
      <c r="G315" s="21" t="str">
        <f t="shared" si="69"/>
        <v/>
      </c>
      <c r="H315" s="23" t="str">
        <f t="shared" si="75"/>
        <v/>
      </c>
      <c r="I315" s="22" t="str">
        <f t="shared" si="70"/>
        <v/>
      </c>
      <c r="J315" s="1"/>
      <c r="K315" s="51"/>
      <c r="M315" s="81">
        <f t="shared" ca="1" si="61"/>
        <v>1649.5607821894</v>
      </c>
      <c r="N315" s="19">
        <f t="shared" si="71"/>
        <v>46.176566959902246</v>
      </c>
      <c r="O315" s="17">
        <f t="shared" si="72"/>
        <v>78.5</v>
      </c>
      <c r="P315" s="19">
        <f ca="1">IF(ISERROR(IF(O315&lt;fi_h/20,0,(OFFSET('Base de dados'!$A$5,IF(O315&lt;20,1,IF(O315&gt;1000,10,MATCH(O315,Cargas,1))),Coluna_fih,1,1))*(1+0.13*0.25)*(PI()*(fi_h/1000)^2/4)*SQRT(2*9.81*(O315/100-fi_h/2/1000))*1000)),"",IF(O315&lt;fi_h/20,0,(OFFSET('Base de dados'!$A$5,IF(O315&lt;20,1,IF(O315&gt;1000,10,MATCH(O315,Cargas,1))),Coluna_fih,1,1))*(PI()*(fi_h/1000)^2/4)*SQRT(2*9.81*(O315/100-fi_h/2/1000))*1000))</f>
        <v>22.972366951273507</v>
      </c>
      <c r="Q315" s="19">
        <f ca="1">IF(O315="","",IF(Tipo_Vertedor="Retangular",IF(O315&lt;=cota_s*100,0,IF(Tipo_Vertedor="Retangular",Cd_sr*Lef_sr*((O315/100-cota_s)^(3/2))*1000)),IF(O315&lt;=cota_s*100+fi_s/20,0,(OFFSET('Base de dados'!$A$4,IF(O315&lt;20,1,IF(O315&gt;1000,10,MATCH(O315,Cargas,1))),Coluna_fis,1,1))*(PI()*(fi_s/1000)^2/4)*(2*9.81*(O315/100-cota_s-fi_s/2/1000))^0.5*1000)))</f>
        <v>87.36951657471846</v>
      </c>
      <c r="R315" s="19">
        <f t="shared" ca="1" si="62"/>
        <v>110.34188352599196</v>
      </c>
      <c r="S315" s="19">
        <f t="shared" ca="1" si="63"/>
        <v>1539.218898663408</v>
      </c>
      <c r="AD315" s="19" t="str">
        <f t="shared" si="73"/>
        <v/>
      </c>
      <c r="AE315" s="19" t="str">
        <f t="shared" si="74"/>
        <v/>
      </c>
      <c r="AF315" s="19" t="str">
        <f>IF(ISERROR(IF('Hidrograma afluente'!I322="",0,'Hidrograma afluente'!I322)+Simulação!G315),"",IF('Hidrograma afluente'!I322="",0,'Hidrograma afluente'!I322)+Simulação!G315)</f>
        <v/>
      </c>
      <c r="AG315" s="17" t="s">
        <v>160</v>
      </c>
      <c r="AH315" s="17" t="s">
        <v>160</v>
      </c>
      <c r="AI315" s="27" t="s">
        <v>160</v>
      </c>
      <c r="AJ315" s="17" t="s">
        <v>160</v>
      </c>
      <c r="AK315" s="19" t="str">
        <f>IF(A315="","",IF('Hidrograma afluente'!I322="",0,'Hidrograma afluente'!I322)+Simulação!B315)</f>
        <v/>
      </c>
    </row>
    <row r="316" spans="1:37" s="17" customFormat="1">
      <c r="A316" s="4" t="str">
        <f t="shared" si="64"/>
        <v/>
      </c>
      <c r="B316" s="5" t="str">
        <f>IF(A316="","",IF(A316&gt;tc_lot_i+tc,0,IF('Hidrograma afluente'!B323="","",'Hidrograma afluente'!B323)))</f>
        <v/>
      </c>
      <c r="C316" s="21" t="str">
        <f t="shared" si="65"/>
        <v/>
      </c>
      <c r="D316" s="21" t="str">
        <f t="shared" si="66"/>
        <v/>
      </c>
      <c r="E316" s="21" t="str">
        <f t="shared" si="67"/>
        <v/>
      </c>
      <c r="F316" s="21" t="str">
        <f t="shared" si="68"/>
        <v/>
      </c>
      <c r="G316" s="21" t="str">
        <f t="shared" si="69"/>
        <v/>
      </c>
      <c r="H316" s="23" t="str">
        <f t="shared" si="75"/>
        <v/>
      </c>
      <c r="I316" s="22" t="str">
        <f t="shared" si="70"/>
        <v/>
      </c>
      <c r="J316" s="1"/>
      <c r="K316" s="51"/>
      <c r="M316" s="81">
        <f t="shared" ca="1" si="61"/>
        <v>1656.8908574833108</v>
      </c>
      <c r="N316" s="19">
        <f t="shared" si="71"/>
        <v>46.341978673524935</v>
      </c>
      <c r="O316" s="17">
        <f t="shared" si="72"/>
        <v>78.75</v>
      </c>
      <c r="P316" s="19">
        <f ca="1">IF(ISERROR(IF(O316&lt;fi_h/20,0,(OFFSET('Base de dados'!$A$5,IF(O316&lt;20,1,IF(O316&gt;1000,10,MATCH(O316,Cargas,1))),Coluna_fih,1,1))*(1+0.13*0.25)*(PI()*(fi_h/1000)^2/4)*SQRT(2*9.81*(O316/100-fi_h/2/1000))*1000)),"",IF(O316&lt;fi_h/20,0,(OFFSET('Base de dados'!$A$5,IF(O316&lt;20,1,IF(O316&gt;1000,10,MATCH(O316,Cargas,1))),Coluna_fih,1,1))*(PI()*(fi_h/1000)^2/4)*SQRT(2*9.81*(O316/100-fi_h/2/1000))*1000))</f>
        <v>23.011745030418844</v>
      </c>
      <c r="Q316" s="19">
        <f ca="1">IF(O316="","",IF(Tipo_Vertedor="Retangular",IF(O316&lt;=cota_s*100,0,IF(Tipo_Vertedor="Retangular",Cd_sr*Lef_sr*((O316/100-cota_s)^(3/2))*1000)),IF(O316&lt;=cota_s*100+fi_s/20,0,(OFFSET('Base de dados'!$A$4,IF(O316&lt;20,1,IF(O316&gt;1000,10,MATCH(O316,Cargas,1))),Coluna_fis,1,1))*(PI()*(fi_s/1000)^2/4)*(2*9.81*(O316/100-cota_s-fi_s/2/1000))^0.5*1000)))</f>
        <v>89.146490002060659</v>
      </c>
      <c r="R316" s="19">
        <f t="shared" ca="1" si="62"/>
        <v>112.1582350324795</v>
      </c>
      <c r="S316" s="19">
        <f t="shared" ca="1" si="63"/>
        <v>1544.7326224508313</v>
      </c>
      <c r="AD316" s="19" t="str">
        <f t="shared" si="73"/>
        <v/>
      </c>
      <c r="AE316" s="19" t="str">
        <f t="shared" si="74"/>
        <v/>
      </c>
      <c r="AF316" s="19" t="str">
        <f>IF(ISERROR(IF('Hidrograma afluente'!I323="",0,'Hidrograma afluente'!I323)+Simulação!G316),"",IF('Hidrograma afluente'!I323="",0,'Hidrograma afluente'!I323)+Simulação!G316)</f>
        <v/>
      </c>
      <c r="AG316" s="17" t="s">
        <v>160</v>
      </c>
      <c r="AH316" s="17" t="s">
        <v>160</v>
      </c>
      <c r="AI316" s="27" t="s">
        <v>160</v>
      </c>
      <c r="AJ316" s="17" t="s">
        <v>160</v>
      </c>
      <c r="AK316" s="19" t="str">
        <f>IF(A316="","",IF('Hidrograma afluente'!I323="",0,'Hidrograma afluente'!I323)+Simulação!B316)</f>
        <v/>
      </c>
    </row>
    <row r="317" spans="1:37" s="17" customFormat="1">
      <c r="A317" s="4" t="str">
        <f t="shared" si="64"/>
        <v/>
      </c>
      <c r="B317" s="5" t="str">
        <f>IF(A317="","",IF(A317&gt;tc_lot_i+tc,0,IF('Hidrograma afluente'!B324="","",'Hidrograma afluente'!B324)))</f>
        <v/>
      </c>
      <c r="C317" s="21" t="str">
        <f t="shared" si="65"/>
        <v/>
      </c>
      <c r="D317" s="21" t="str">
        <f t="shared" si="66"/>
        <v/>
      </c>
      <c r="E317" s="21" t="str">
        <f t="shared" si="67"/>
        <v/>
      </c>
      <c r="F317" s="21" t="str">
        <f t="shared" si="68"/>
        <v/>
      </c>
      <c r="G317" s="21" t="str">
        <f t="shared" si="69"/>
        <v/>
      </c>
      <c r="H317" s="23" t="str">
        <f t="shared" si="75"/>
        <v/>
      </c>
      <c r="I317" s="22" t="str">
        <f t="shared" si="70"/>
        <v/>
      </c>
      <c r="J317" s="1"/>
      <c r="K317" s="51"/>
      <c r="M317" s="81">
        <f t="shared" ca="1" si="61"/>
        <v>1664.2349328097907</v>
      </c>
      <c r="N317" s="19">
        <f t="shared" si="71"/>
        <v>46.50745581628464</v>
      </c>
      <c r="O317" s="17">
        <f t="shared" si="72"/>
        <v>79</v>
      </c>
      <c r="P317" s="19">
        <f ca="1">IF(ISERROR(IF(O317&lt;fi_h/20,0,(OFFSET('Base de dados'!$A$5,IF(O317&lt;20,1,IF(O317&gt;1000,10,MATCH(O317,Cargas,1))),Coluna_fih,1,1))*(1+0.13*0.25)*(PI()*(fi_h/1000)^2/4)*SQRT(2*9.81*(O317/100-fi_h/2/1000))*1000)),"",IF(O317&lt;fi_h/20,0,(OFFSET('Base de dados'!$A$5,IF(O317&lt;20,1,IF(O317&gt;1000,10,MATCH(O317,Cargas,1))),Coluna_fih,1,1))*(PI()*(fi_h/1000)^2/4)*SQRT(2*9.81*(O317/100-fi_h/2/1000))*1000))</f>
        <v>23.051055840157286</v>
      </c>
      <c r="Q317" s="19">
        <f ca="1">IF(O317="","",IF(Tipo_Vertedor="Retangular",IF(O317&lt;=cota_s*100,0,IF(Tipo_Vertedor="Retangular",Cd_sr*Lef_sr*((O317/100-cota_s)^(3/2))*1000)),IF(O317&lt;=cota_s*100+fi_s/20,0,(OFFSET('Base de dados'!$A$4,IF(O317&lt;20,1,IF(O317&gt;1000,10,MATCH(O317,Cargas,1))),Coluna_fis,1,1))*(PI()*(fi_s/1000)^2/4)*(2*9.81*(O317/100-cota_s-fi_s/2/1000))^0.5*1000)))</f>
        <v>90.93534976014557</v>
      </c>
      <c r="R317" s="19">
        <f t="shared" ca="1" si="62"/>
        <v>113.98640560030286</v>
      </c>
      <c r="S317" s="19">
        <f t="shared" ca="1" si="63"/>
        <v>1550.248527209488</v>
      </c>
      <c r="AD317" s="19" t="str">
        <f t="shared" si="73"/>
        <v/>
      </c>
      <c r="AE317" s="19" t="str">
        <f t="shared" si="74"/>
        <v/>
      </c>
      <c r="AF317" s="19" t="str">
        <f>IF(ISERROR(IF('Hidrograma afluente'!I324="",0,'Hidrograma afluente'!I324)+Simulação!G317),"",IF('Hidrograma afluente'!I324="",0,'Hidrograma afluente'!I324)+Simulação!G317)</f>
        <v/>
      </c>
      <c r="AG317" s="17" t="s">
        <v>160</v>
      </c>
      <c r="AH317" s="17" t="s">
        <v>160</v>
      </c>
      <c r="AI317" s="27" t="s">
        <v>160</v>
      </c>
      <c r="AJ317" s="17" t="s">
        <v>160</v>
      </c>
      <c r="AK317" s="19" t="str">
        <f>IF(A317="","",IF('Hidrograma afluente'!I324="",0,'Hidrograma afluente'!I324)+Simulação!B317)</f>
        <v/>
      </c>
    </row>
    <row r="318" spans="1:37" s="17" customFormat="1">
      <c r="A318" s="4" t="str">
        <f t="shared" si="64"/>
        <v/>
      </c>
      <c r="B318" s="5" t="str">
        <f>IF(A318="","",IF(A318&gt;tc_lot_i+tc,0,IF('Hidrograma afluente'!B325="","",'Hidrograma afluente'!B325)))</f>
        <v/>
      </c>
      <c r="C318" s="21" t="str">
        <f t="shared" si="65"/>
        <v/>
      </c>
      <c r="D318" s="21" t="str">
        <f t="shared" si="66"/>
        <v/>
      </c>
      <c r="E318" s="21" t="str">
        <f t="shared" si="67"/>
        <v/>
      </c>
      <c r="F318" s="21" t="str">
        <f t="shared" si="68"/>
        <v/>
      </c>
      <c r="G318" s="21" t="str">
        <f t="shared" si="69"/>
        <v/>
      </c>
      <c r="H318" s="23" t="str">
        <f t="shared" si="75"/>
        <v/>
      </c>
      <c r="I318" s="22" t="str">
        <f t="shared" si="70"/>
        <v/>
      </c>
      <c r="J318" s="1"/>
      <c r="K318" s="51"/>
      <c r="M318" s="81">
        <f t="shared" ca="1" si="61"/>
        <v>1671.5929240072683</v>
      </c>
      <c r="N318" s="19">
        <f t="shared" si="71"/>
        <v>46.672998206884436</v>
      </c>
      <c r="O318" s="17">
        <f t="shared" si="72"/>
        <v>79.25</v>
      </c>
      <c r="P318" s="19">
        <f ca="1">IF(ISERROR(IF(O318&lt;fi_h/20,0,(OFFSET('Base de dados'!$A$5,IF(O318&lt;20,1,IF(O318&gt;1000,10,MATCH(O318,Cargas,1))),Coluna_fih,1,1))*(1+0.13*0.25)*(PI()*(fi_h/1000)^2/4)*SQRT(2*9.81*(O318/100-fi_h/2/1000))*1000)),"",IF(O318&lt;fi_h/20,0,(OFFSET('Base de dados'!$A$5,IF(O318&lt;20,1,IF(O318&gt;1000,10,MATCH(O318,Cargas,1))),Coluna_fih,1,1))*(PI()*(fi_h/1000)^2/4)*SQRT(2*9.81*(O318/100-fi_h/2/1000))*1000))</f>
        <v>23.090299724063616</v>
      </c>
      <c r="Q318" s="19">
        <f ca="1">IF(O318="","",IF(Tipo_Vertedor="Retangular",IF(O318&lt;=cota_s*100,0,IF(Tipo_Vertedor="Retangular",Cd_sr*Lef_sr*((O318/100-cota_s)^(3/2))*1000)),IF(O318&lt;=cota_s*100+fi_s/20,0,(OFFSET('Base de dados'!$A$4,IF(O318&lt;20,1,IF(O318&gt;1000,10,MATCH(O318,Cargas,1))),Coluna_fis,1,1))*(PI()*(fi_s/1000)^2/4)*(2*9.81*(O318/100-cota_s-fi_s/2/1000))^0.5*1000)))</f>
        <v>92.736017387056847</v>
      </c>
      <c r="R318" s="19">
        <f t="shared" ca="1" si="62"/>
        <v>115.82631711112046</v>
      </c>
      <c r="S318" s="19">
        <f t="shared" ca="1" si="63"/>
        <v>1555.7666068961478</v>
      </c>
      <c r="AD318" s="19" t="str">
        <f t="shared" si="73"/>
        <v/>
      </c>
      <c r="AE318" s="19" t="str">
        <f t="shared" si="74"/>
        <v/>
      </c>
      <c r="AF318" s="19" t="str">
        <f>IF(ISERROR(IF('Hidrograma afluente'!I325="",0,'Hidrograma afluente'!I325)+Simulação!G318),"",IF('Hidrograma afluente'!I325="",0,'Hidrograma afluente'!I325)+Simulação!G318)</f>
        <v/>
      </c>
      <c r="AG318" s="17" t="s">
        <v>160</v>
      </c>
      <c r="AH318" s="17" t="s">
        <v>160</v>
      </c>
      <c r="AI318" s="27" t="s">
        <v>160</v>
      </c>
      <c r="AJ318" s="17" t="s">
        <v>160</v>
      </c>
      <c r="AK318" s="19" t="str">
        <f>IF(A318="","",IF('Hidrograma afluente'!I325="",0,'Hidrograma afluente'!I325)+Simulação!B318)</f>
        <v/>
      </c>
    </row>
    <row r="319" spans="1:37" s="17" customFormat="1">
      <c r="A319" s="4" t="str">
        <f t="shared" si="64"/>
        <v/>
      </c>
      <c r="B319" s="5" t="str">
        <f>IF(A319="","",IF(A319&gt;tc_lot_i+tc,0,IF('Hidrograma afluente'!B326="","",'Hidrograma afluente'!B326)))</f>
        <v/>
      </c>
      <c r="C319" s="21" t="str">
        <f t="shared" si="65"/>
        <v/>
      </c>
      <c r="D319" s="21" t="str">
        <f t="shared" si="66"/>
        <v/>
      </c>
      <c r="E319" s="21" t="str">
        <f t="shared" si="67"/>
        <v/>
      </c>
      <c r="F319" s="21" t="str">
        <f t="shared" si="68"/>
        <v/>
      </c>
      <c r="G319" s="21" t="str">
        <f t="shared" si="69"/>
        <v/>
      </c>
      <c r="H319" s="23" t="str">
        <f t="shared" si="75"/>
        <v/>
      </c>
      <c r="I319" s="22" t="str">
        <f t="shared" si="70"/>
        <v/>
      </c>
      <c r="J319" s="1"/>
      <c r="K319" s="51"/>
      <c r="M319" s="81">
        <f t="shared" ca="1" si="61"/>
        <v>1678.9647484806114</v>
      </c>
      <c r="N319" s="19">
        <f t="shared" si="71"/>
        <v>46.838605665100225</v>
      </c>
      <c r="O319" s="17">
        <f t="shared" si="72"/>
        <v>79.5</v>
      </c>
      <c r="P319" s="19">
        <f ca="1">IF(ISERROR(IF(O319&lt;fi_h/20,0,(OFFSET('Base de dados'!$A$5,IF(O319&lt;20,1,IF(O319&gt;1000,10,MATCH(O319,Cargas,1))),Coluna_fih,1,1))*(1+0.13*0.25)*(PI()*(fi_h/1000)^2/4)*SQRT(2*9.81*(O319/100-fi_h/2/1000))*1000)),"",IF(O319&lt;fi_h/20,0,(OFFSET('Base de dados'!$A$5,IF(O319&lt;20,1,IF(O319&gt;1000,10,MATCH(O319,Cargas,1))),Coluna_fih,1,1))*(PI()*(fi_h/1000)^2/4)*SQRT(2*9.81*(O319/100-fi_h/2/1000))*1000))</f>
        <v>23.129477022797886</v>
      </c>
      <c r="Q319" s="19">
        <f ca="1">IF(O319="","",IF(Tipo_Vertedor="Retangular",IF(O319&lt;=cota_s*100,0,IF(Tipo_Vertedor="Retangular",Cd_sr*Lef_sr*((O319/100-cota_s)^(3/2))*1000)),IF(O319&lt;=cota_s*100+fi_s/20,0,(OFFSET('Base de dados'!$A$4,IF(O319&lt;20,1,IF(O319&gt;1000,10,MATCH(O319,Cargas,1))),Coluna_fis,1,1))*(PI()*(fi_s/1000)^2/4)*(2*9.81*(O319/100-cota_s-fi_s/2/1000))^0.5*1000)))</f>
        <v>94.548415954472802</v>
      </c>
      <c r="R319" s="19">
        <f t="shared" ca="1" si="62"/>
        <v>117.67789297727069</v>
      </c>
      <c r="S319" s="19">
        <f t="shared" ca="1" si="63"/>
        <v>1561.2868555033408</v>
      </c>
      <c r="AD319" s="19" t="str">
        <f t="shared" si="73"/>
        <v/>
      </c>
      <c r="AE319" s="19" t="str">
        <f t="shared" si="74"/>
        <v/>
      </c>
      <c r="AF319" s="19" t="str">
        <f>IF(ISERROR(IF('Hidrograma afluente'!I326="",0,'Hidrograma afluente'!I326)+Simulação!G319),"",IF('Hidrograma afluente'!I326="",0,'Hidrograma afluente'!I326)+Simulação!G319)</f>
        <v/>
      </c>
      <c r="AG319" s="17" t="s">
        <v>160</v>
      </c>
      <c r="AH319" s="17" t="s">
        <v>160</v>
      </c>
      <c r="AI319" s="27" t="s">
        <v>160</v>
      </c>
      <c r="AJ319" s="17" t="s">
        <v>160</v>
      </c>
      <c r="AK319" s="19" t="str">
        <f>IF(A319="","",IF('Hidrograma afluente'!I326="",0,'Hidrograma afluente'!I326)+Simulação!B319)</f>
        <v/>
      </c>
    </row>
    <row r="320" spans="1:37" s="17" customFormat="1">
      <c r="A320" s="4" t="str">
        <f t="shared" si="64"/>
        <v/>
      </c>
      <c r="B320" s="5" t="str">
        <f>IF(A320="","",IF(A320&gt;tc_lot_i+tc,0,IF('Hidrograma afluente'!B327="","",'Hidrograma afluente'!B327)))</f>
        <v/>
      </c>
      <c r="C320" s="21" t="str">
        <f t="shared" si="65"/>
        <v/>
      </c>
      <c r="D320" s="21" t="str">
        <f t="shared" si="66"/>
        <v/>
      </c>
      <c r="E320" s="21" t="str">
        <f t="shared" si="67"/>
        <v/>
      </c>
      <c r="F320" s="21" t="str">
        <f t="shared" si="68"/>
        <v/>
      </c>
      <c r="G320" s="21" t="str">
        <f t="shared" si="69"/>
        <v/>
      </c>
      <c r="H320" s="23" t="str">
        <f t="shared" si="75"/>
        <v/>
      </c>
      <c r="I320" s="22" t="str">
        <f t="shared" si="70"/>
        <v/>
      </c>
      <c r="J320" s="1"/>
      <c r="K320" s="51"/>
      <c r="M320" s="81">
        <f t="shared" ca="1" si="61"/>
        <v>1686.3503251515217</v>
      </c>
      <c r="N320" s="19">
        <f t="shared" si="71"/>
        <v>47.004278011770992</v>
      </c>
      <c r="O320" s="17">
        <f t="shared" si="72"/>
        <v>79.75</v>
      </c>
      <c r="P320" s="19">
        <f ca="1">IF(ISERROR(IF(O320&lt;fi_h/20,0,(OFFSET('Base de dados'!$A$5,IF(O320&lt;20,1,IF(O320&gt;1000,10,MATCH(O320,Cargas,1))),Coluna_fih,1,1))*(1+0.13*0.25)*(PI()*(fi_h/1000)^2/4)*SQRT(2*9.81*(O320/100-fi_h/2/1000))*1000)),"",IF(O320&lt;fi_h/20,0,(OFFSET('Base de dados'!$A$5,IF(O320&lt;20,1,IF(O320&gt;1000,10,MATCH(O320,Cargas,1))),Coluna_fih,1,1))*(PI()*(fi_h/1000)^2/4)*SQRT(2*9.81*(O320/100-fi_h/2/1000))*1000))</f>
        <v>23.168588074139912</v>
      </c>
      <c r="Q320" s="19">
        <f ca="1">IF(O320="","",IF(Tipo_Vertedor="Retangular",IF(O320&lt;=cota_s*100,0,IF(Tipo_Vertedor="Retangular",Cd_sr*Lef_sr*((O320/100-cota_s)^(3/2))*1000)),IF(O320&lt;=cota_s*100+fi_s/20,0,(OFFSET('Base de dados'!$A$4,IF(O320&lt;20,1,IF(O320&gt;1000,10,MATCH(O320,Cargas,1))),Coluna_fis,1,1))*(PI()*(fi_s/1000)^2/4)*(2*9.81*(O320/100-cota_s-fi_s/2/1000))^0.5*1000)))</f>
        <v>96.372470018348608</v>
      </c>
      <c r="R320" s="19">
        <f t="shared" ca="1" si="62"/>
        <v>119.54105809248853</v>
      </c>
      <c r="S320" s="19">
        <f t="shared" ca="1" si="63"/>
        <v>1566.8092670590331</v>
      </c>
      <c r="AD320" s="19" t="str">
        <f t="shared" si="73"/>
        <v/>
      </c>
      <c r="AE320" s="19" t="str">
        <f t="shared" si="74"/>
        <v/>
      </c>
      <c r="AF320" s="19" t="str">
        <f>IF(ISERROR(IF('Hidrograma afluente'!I327="",0,'Hidrograma afluente'!I327)+Simulação!G320),"",IF('Hidrograma afluente'!I327="",0,'Hidrograma afluente'!I327)+Simulação!G320)</f>
        <v/>
      </c>
      <c r="AG320" s="17" t="s">
        <v>160</v>
      </c>
      <c r="AH320" s="17" t="s">
        <v>160</v>
      </c>
      <c r="AI320" s="27" t="s">
        <v>160</v>
      </c>
      <c r="AJ320" s="17" t="s">
        <v>160</v>
      </c>
      <c r="AK320" s="19" t="str">
        <f>IF(A320="","",IF('Hidrograma afluente'!I327="",0,'Hidrograma afluente'!I327)+Simulação!B320)</f>
        <v/>
      </c>
    </row>
    <row r="321" spans="1:37" s="17" customFormat="1">
      <c r="A321" s="4" t="str">
        <f t="shared" si="64"/>
        <v/>
      </c>
      <c r="B321" s="5" t="str">
        <f>IF(A321="","",IF(A321&gt;tc_lot_i+tc,0,IF('Hidrograma afluente'!B328="","",'Hidrograma afluente'!B328)))</f>
        <v/>
      </c>
      <c r="C321" s="21" t="str">
        <f t="shared" si="65"/>
        <v/>
      </c>
      <c r="D321" s="21" t="str">
        <f t="shared" si="66"/>
        <v/>
      </c>
      <c r="E321" s="21" t="str">
        <f t="shared" si="67"/>
        <v/>
      </c>
      <c r="F321" s="21" t="str">
        <f t="shared" si="68"/>
        <v/>
      </c>
      <c r="G321" s="21" t="str">
        <f t="shared" si="69"/>
        <v/>
      </c>
      <c r="H321" s="23" t="str">
        <f t="shared" si="75"/>
        <v/>
      </c>
      <c r="I321" s="22" t="str">
        <f t="shared" si="70"/>
        <v/>
      </c>
      <c r="J321" s="1"/>
      <c r="K321" s="51"/>
      <c r="M321" s="81">
        <f t="shared" ca="1" si="61"/>
        <v>1693.7495744111218</v>
      </c>
      <c r="N321" s="19">
        <f t="shared" si="71"/>
        <v>47.170015068789233</v>
      </c>
      <c r="O321" s="17">
        <f t="shared" si="72"/>
        <v>80</v>
      </c>
      <c r="P321" s="19">
        <f ca="1">IF(ISERROR(IF(O321&lt;fi_h/20,0,(OFFSET('Base de dados'!$A$5,IF(O321&lt;20,1,IF(O321&gt;1000,10,MATCH(O321,Cargas,1))),Coluna_fih,1,1))*(1+0.13*0.25)*(PI()*(fi_h/1000)^2/4)*SQRT(2*9.81*(O321/100-fi_h/2/1000))*1000)),"",IF(O321&lt;fi_h/20,0,(OFFSET('Base de dados'!$A$5,IF(O321&lt;20,1,IF(O321&gt;1000,10,MATCH(O321,Cargas,1))),Coluna_fih,1,1))*(PI()*(fi_h/1000)^2/4)*SQRT(2*9.81*(O321/100-fi_h/2/1000))*1000))</f>
        <v>23.207633213023279</v>
      </c>
      <c r="Q321" s="19">
        <f ca="1">IF(O321="","",IF(Tipo_Vertedor="Retangular",IF(O321&lt;=cota_s*100,0,IF(Tipo_Vertedor="Retangular",Cd_sr*Lef_sr*((O321/100-cota_s)^(3/2))*1000)),IF(O321&lt;=cota_s*100+fi_s/20,0,(OFFSET('Base de dados'!$A$4,IF(O321&lt;20,1,IF(O321&gt;1000,10,MATCH(O321,Cargas,1))),Coluna_fis,1,1))*(PI()*(fi_s/1000)^2/4)*(2*9.81*(O321/100-cota_s-fi_s/2/1000))^0.5*1000)))</f>
        <v>98.208105571790796</v>
      </c>
      <c r="R321" s="19">
        <f t="shared" ca="1" si="62"/>
        <v>121.41573878481407</v>
      </c>
      <c r="S321" s="19">
        <f t="shared" ca="1" si="63"/>
        <v>1572.3338356263077</v>
      </c>
      <c r="AD321" s="19" t="str">
        <f t="shared" si="73"/>
        <v/>
      </c>
      <c r="AE321" s="19" t="str">
        <f t="shared" si="74"/>
        <v/>
      </c>
      <c r="AF321" s="19" t="str">
        <f>IF(ISERROR(IF('Hidrograma afluente'!I328="",0,'Hidrograma afluente'!I328)+Simulação!G321),"",IF('Hidrograma afluente'!I328="",0,'Hidrograma afluente'!I328)+Simulação!G321)</f>
        <v/>
      </c>
      <c r="AG321" s="17" t="s">
        <v>160</v>
      </c>
      <c r="AH321" s="17" t="s">
        <v>160</v>
      </c>
      <c r="AI321" s="27" t="s">
        <v>160</v>
      </c>
      <c r="AJ321" s="17" t="s">
        <v>160</v>
      </c>
      <c r="AK321" s="19" t="str">
        <f>IF(A321="","",IF('Hidrograma afluente'!I328="",0,'Hidrograma afluente'!I328)+Simulação!B321)</f>
        <v/>
      </c>
    </row>
    <row r="322" spans="1:37" s="17" customFormat="1">
      <c r="A322" s="4" t="str">
        <f t="shared" si="64"/>
        <v/>
      </c>
      <c r="B322" s="5" t="str">
        <f>IF(A322="","",IF(A322&gt;tc_lot_i+tc,0,IF('Hidrograma afluente'!B329="","",'Hidrograma afluente'!B329)))</f>
        <v/>
      </c>
      <c r="C322" s="21" t="str">
        <f t="shared" si="65"/>
        <v/>
      </c>
      <c r="D322" s="21" t="str">
        <f t="shared" si="66"/>
        <v/>
      </c>
      <c r="E322" s="21" t="str">
        <f t="shared" si="67"/>
        <v/>
      </c>
      <c r="F322" s="21" t="str">
        <f t="shared" si="68"/>
        <v/>
      </c>
      <c r="G322" s="21" t="str">
        <f t="shared" si="69"/>
        <v/>
      </c>
      <c r="H322" s="23" t="str">
        <f t="shared" si="75"/>
        <v/>
      </c>
      <c r="I322" s="22" t="str">
        <f t="shared" si="70"/>
        <v/>
      </c>
      <c r="J322" s="1"/>
      <c r="K322" s="51"/>
      <c r="M322" s="81">
        <f t="shared" ca="1" si="61"/>
        <v>1701.1624180746187</v>
      </c>
      <c r="N322" s="19">
        <f t="shared" si="71"/>
        <v>47.335816659091499</v>
      </c>
      <c r="O322" s="17">
        <f t="shared" si="72"/>
        <v>80.25</v>
      </c>
      <c r="P322" s="19">
        <f ca="1">IF(ISERROR(IF(O322&lt;fi_h/20,0,(OFFSET('Base de dados'!$A$5,IF(O322&lt;20,1,IF(O322&gt;1000,10,MATCH(O322,Cargas,1))),Coluna_fih,1,1))*(1+0.13*0.25)*(PI()*(fi_h/1000)^2/4)*SQRT(2*9.81*(O322/100-fi_h/2/1000))*1000)),"",IF(O322&lt;fi_h/20,0,(OFFSET('Base de dados'!$A$5,IF(O322&lt;20,1,IF(O322&gt;1000,10,MATCH(O322,Cargas,1))),Coluna_fih,1,1))*(PI()*(fi_h/1000)^2/4)*SQRT(2*9.81*(O322/100-fi_h/2/1000))*1000))</f>
        <v>23.246612771568767</v>
      </c>
      <c r="Q322" s="19">
        <f ca="1">IF(O322="","",IF(Tipo_Vertedor="Retangular",IF(O322&lt;=cota_s*100,0,IF(Tipo_Vertedor="Retangular",Cd_sr*Lef_sr*((O322/100-cota_s)^(3/2))*1000)),IF(O322&lt;=cota_s*100+fi_s/20,0,(OFFSET('Base de dados'!$A$4,IF(O322&lt;20,1,IF(O322&gt;1000,10,MATCH(O322,Cargas,1))),Coluna_fis,1,1))*(PI()*(fi_s/1000)^2/4)*(2*9.81*(O322/100-cota_s-fi_s/2/1000))^0.5*1000)))</f>
        <v>100.05525000000003</v>
      </c>
      <c r="R322" s="19">
        <f t="shared" ca="1" si="62"/>
        <v>123.30186277156879</v>
      </c>
      <c r="S322" s="19">
        <f t="shared" ca="1" si="63"/>
        <v>1577.86055530305</v>
      </c>
      <c r="AD322" s="19" t="str">
        <f t="shared" si="73"/>
        <v/>
      </c>
      <c r="AE322" s="19" t="str">
        <f t="shared" si="74"/>
        <v/>
      </c>
      <c r="AF322" s="19" t="str">
        <f>IF(ISERROR(IF('Hidrograma afluente'!I329="",0,'Hidrograma afluente'!I329)+Simulação!G322),"",IF('Hidrograma afluente'!I329="",0,'Hidrograma afluente'!I329)+Simulação!G322)</f>
        <v/>
      </c>
      <c r="AG322" s="17" t="s">
        <v>160</v>
      </c>
      <c r="AH322" s="17" t="s">
        <v>160</v>
      </c>
      <c r="AI322" s="27" t="s">
        <v>160</v>
      </c>
      <c r="AJ322" s="17" t="s">
        <v>160</v>
      </c>
      <c r="AK322" s="19" t="str">
        <f>IF(A322="","",IF('Hidrograma afluente'!I329="",0,'Hidrograma afluente'!I329)+Simulação!B322)</f>
        <v/>
      </c>
    </row>
    <row r="323" spans="1:37" s="17" customFormat="1">
      <c r="A323" s="4" t="str">
        <f t="shared" si="64"/>
        <v/>
      </c>
      <c r="B323" s="5" t="str">
        <f>IF(A323="","",IF(A323&gt;tc_lot_i+tc,0,IF('Hidrograma afluente'!B330="","",'Hidrograma afluente'!B330)))</f>
        <v/>
      </c>
      <c r="C323" s="21" t="str">
        <f t="shared" si="65"/>
        <v/>
      </c>
      <c r="D323" s="21" t="str">
        <f t="shared" si="66"/>
        <v/>
      </c>
      <c r="E323" s="21" t="str">
        <f t="shared" si="67"/>
        <v/>
      </c>
      <c r="F323" s="21" t="str">
        <f t="shared" si="68"/>
        <v/>
      </c>
      <c r="G323" s="21" t="str">
        <f t="shared" si="69"/>
        <v/>
      </c>
      <c r="H323" s="23" t="str">
        <f t="shared" si="75"/>
        <v/>
      </c>
      <c r="I323" s="22" t="str">
        <f t="shared" si="70"/>
        <v/>
      </c>
      <c r="J323" s="1"/>
      <c r="K323" s="51"/>
      <c r="M323" s="81">
        <f t="shared" ca="1" si="61"/>
        <v>1708.5887793379197</v>
      </c>
      <c r="N323" s="19">
        <f t="shared" si="71"/>
        <v>47.501682606649041</v>
      </c>
      <c r="O323" s="17">
        <f t="shared" si="72"/>
        <v>80.5</v>
      </c>
      <c r="P323" s="19">
        <f ca="1">IF(ISERROR(IF(O323&lt;fi_h/20,0,(OFFSET('Base de dados'!$A$5,IF(O323&lt;20,1,IF(O323&gt;1000,10,MATCH(O323,Cargas,1))),Coluna_fih,1,1))*(1+0.13*0.25)*(PI()*(fi_h/1000)^2/4)*SQRT(2*9.81*(O323/100-fi_h/2/1000))*1000)),"",IF(O323&lt;fi_h/20,0,(OFFSET('Base de dados'!$A$5,IF(O323&lt;20,1,IF(O323&gt;1000,10,MATCH(O323,Cargas,1))),Coluna_fih,1,1))*(PI()*(fi_h/1000)^2/4)*SQRT(2*9.81*(O323/100-fi_h/2/1000))*1000))</f>
        <v>23.28552707911734</v>
      </c>
      <c r="Q323" s="19">
        <f ca="1">IF(O323="","",IF(Tipo_Vertedor="Retangular",IF(O323&lt;=cota_s*100,0,IF(Tipo_Vertedor="Retangular",Cd_sr*Lef_sr*((O323/100-cota_s)^(3/2))*1000)),IF(O323&lt;=cota_s*100+fi_s/20,0,(OFFSET('Base de dados'!$A$4,IF(O323&lt;20,1,IF(O323&gt;1000,10,MATCH(O323,Cargas,1))),Coluna_fis,1,1))*(PI()*(fi_s/1000)^2/4)*(2*9.81*(O323/100-cota_s-fi_s/2/1000))^0.5*1000)))</f>
        <v>101.91383203716759</v>
      </c>
      <c r="R323" s="19">
        <f t="shared" ca="1" si="62"/>
        <v>125.19935911628494</v>
      </c>
      <c r="S323" s="19">
        <f t="shared" ca="1" si="63"/>
        <v>1583.3894202216347</v>
      </c>
      <c r="AD323" s="19" t="str">
        <f t="shared" si="73"/>
        <v/>
      </c>
      <c r="AE323" s="19" t="str">
        <f t="shared" si="74"/>
        <v/>
      </c>
      <c r="AF323" s="19" t="str">
        <f>IF(ISERROR(IF('Hidrograma afluente'!I330="",0,'Hidrograma afluente'!I330)+Simulação!G323),"",IF('Hidrograma afluente'!I330="",0,'Hidrograma afluente'!I330)+Simulação!G323)</f>
        <v/>
      </c>
      <c r="AG323" s="17" t="s">
        <v>160</v>
      </c>
      <c r="AH323" s="17" t="s">
        <v>160</v>
      </c>
      <c r="AI323" s="27" t="s">
        <v>160</v>
      </c>
      <c r="AJ323" s="17" t="s">
        <v>160</v>
      </c>
      <c r="AK323" s="19" t="str">
        <f>IF(A323="","",IF('Hidrograma afluente'!I330="",0,'Hidrograma afluente'!I330)+Simulação!B323)</f>
        <v/>
      </c>
    </row>
    <row r="324" spans="1:37" s="17" customFormat="1">
      <c r="A324" s="4" t="str">
        <f t="shared" si="64"/>
        <v/>
      </c>
      <c r="B324" s="5" t="str">
        <f>IF(A324="","",IF(A324&gt;tc_lot_i+tc,0,IF('Hidrograma afluente'!B331="","",'Hidrograma afluente'!B331)))</f>
        <v/>
      </c>
      <c r="C324" s="21" t="str">
        <f t="shared" si="65"/>
        <v/>
      </c>
      <c r="D324" s="21" t="str">
        <f t="shared" si="66"/>
        <v/>
      </c>
      <c r="E324" s="21" t="str">
        <f t="shared" si="67"/>
        <v/>
      </c>
      <c r="F324" s="21" t="str">
        <f t="shared" si="68"/>
        <v/>
      </c>
      <c r="G324" s="21" t="str">
        <f t="shared" si="69"/>
        <v/>
      </c>
      <c r="H324" s="23" t="str">
        <f t="shared" si="75"/>
        <v/>
      </c>
      <c r="I324" s="22" t="str">
        <f t="shared" si="70"/>
        <v/>
      </c>
      <c r="J324" s="1"/>
      <c r="K324" s="51"/>
      <c r="M324" s="81">
        <f t="shared" ca="1" si="61"/>
        <v>1716.0285827360974</v>
      </c>
      <c r="N324" s="19">
        <f t="shared" si="71"/>
        <v>47.667612736458523</v>
      </c>
      <c r="O324" s="17">
        <f t="shared" si="72"/>
        <v>80.75</v>
      </c>
      <c r="P324" s="19">
        <f ca="1">IF(ISERROR(IF(O324&lt;fi_h/20,0,(OFFSET('Base de dados'!$A$5,IF(O324&lt;20,1,IF(O324&gt;1000,10,MATCH(O324,Cargas,1))),Coluna_fih,1,1))*(1+0.13*0.25)*(PI()*(fi_h/1000)^2/4)*SQRT(2*9.81*(O324/100-fi_h/2/1000))*1000)),"",IF(O324&lt;fi_h/20,0,(OFFSET('Base de dados'!$A$5,IF(O324&lt;20,1,IF(O324&gt;1000,10,MATCH(O324,Cargas,1))),Coluna_fih,1,1))*(PI()*(fi_h/1000)^2/4)*SQRT(2*9.81*(O324/100-fi_h/2/1000))*1000))</f>
        <v>23.324376462262606</v>
      </c>
      <c r="Q324" s="19">
        <f ca="1">IF(O324="","",IF(Tipo_Vertedor="Retangular",IF(O324&lt;=cota_s*100,0,IF(Tipo_Vertedor="Retangular",Cd_sr*Lef_sr*((O324/100-cota_s)^(3/2))*1000)),IF(O324&lt;=cota_s*100+fi_s/20,0,(OFFSET('Base de dados'!$A$4,IF(O324&lt;20,1,IF(O324&gt;1000,10,MATCH(O324,Cargas,1))),Coluna_fis,1,1))*(PI()*(fi_s/1000)^2/4)*(2*9.81*(O324/100-cota_s-fi_s/2/1000))^0.5*1000)))</f>
        <v>103.78378172521712</v>
      </c>
      <c r="R324" s="19">
        <f t="shared" ca="1" si="62"/>
        <v>127.10815818747973</v>
      </c>
      <c r="S324" s="19">
        <f t="shared" ca="1" si="63"/>
        <v>1588.9204245486176</v>
      </c>
      <c r="AD324" s="19" t="str">
        <f t="shared" si="73"/>
        <v/>
      </c>
      <c r="AE324" s="19" t="str">
        <f t="shared" si="74"/>
        <v/>
      </c>
      <c r="AF324" s="19" t="str">
        <f>IF(ISERROR(IF('Hidrograma afluente'!I331="",0,'Hidrograma afluente'!I331)+Simulação!G324),"",IF('Hidrograma afluente'!I331="",0,'Hidrograma afluente'!I331)+Simulação!G324)</f>
        <v/>
      </c>
      <c r="AG324" s="17" t="s">
        <v>160</v>
      </c>
      <c r="AH324" s="17" t="s">
        <v>160</v>
      </c>
      <c r="AI324" s="27" t="s">
        <v>160</v>
      </c>
      <c r="AJ324" s="17" t="s">
        <v>160</v>
      </c>
      <c r="AK324" s="19" t="str">
        <f>IF(A324="","",IF('Hidrograma afluente'!I331="",0,'Hidrograma afluente'!I331)+Simulação!B324)</f>
        <v/>
      </c>
    </row>
    <row r="325" spans="1:37" s="17" customFormat="1">
      <c r="A325" s="4" t="str">
        <f t="shared" si="64"/>
        <v/>
      </c>
      <c r="B325" s="5" t="str">
        <f>IF(A325="","",IF(A325&gt;tc_lot_i+tc,0,IF('Hidrograma afluente'!B332="","",'Hidrograma afluente'!B332)))</f>
        <v/>
      </c>
      <c r="C325" s="21" t="str">
        <f t="shared" si="65"/>
        <v/>
      </c>
      <c r="D325" s="21" t="str">
        <f t="shared" si="66"/>
        <v/>
      </c>
      <c r="E325" s="21" t="str">
        <f t="shared" si="67"/>
        <v/>
      </c>
      <c r="F325" s="21" t="str">
        <f t="shared" si="68"/>
        <v/>
      </c>
      <c r="G325" s="21" t="str">
        <f t="shared" si="69"/>
        <v/>
      </c>
      <c r="H325" s="23" t="str">
        <f t="shared" si="75"/>
        <v/>
      </c>
      <c r="I325" s="22" t="str">
        <f t="shared" si="70"/>
        <v/>
      </c>
      <c r="J325" s="1"/>
      <c r="K325" s="51"/>
      <c r="M325" s="81">
        <f t="shared" ref="M325:M388" ca="1" si="76">IF(O325="","",2*N325*1000/(Passo*60)+R325)</f>
        <v>1723.4817541036064</v>
      </c>
      <c r="N325" s="19">
        <f t="shared" si="71"/>
        <v>47.833606874532954</v>
      </c>
      <c r="O325" s="17">
        <f t="shared" si="72"/>
        <v>81</v>
      </c>
      <c r="P325" s="19">
        <f ca="1">IF(ISERROR(IF(O325&lt;fi_h/20,0,(OFFSET('Base de dados'!$A$5,IF(O325&lt;20,1,IF(O325&gt;1000,10,MATCH(O325,Cargas,1))),Coluna_fih,1,1))*(1+0.13*0.25)*(PI()*(fi_h/1000)^2/4)*SQRT(2*9.81*(O325/100-fi_h/2/1000))*1000)),"",IF(O325&lt;fi_h/20,0,(OFFSET('Base de dados'!$A$5,IF(O325&lt;20,1,IF(O325&gt;1000,10,MATCH(O325,Cargas,1))),Coluna_fih,1,1))*(PI()*(fi_h/1000)^2/4)*SQRT(2*9.81*(O325/100-fi_h/2/1000))*1000))</f>
        <v>23.363161244882789</v>
      </c>
      <c r="Q325" s="19">
        <f ca="1">IF(O325="","",IF(Tipo_Vertedor="Retangular",IF(O325&lt;=cota_s*100,0,IF(Tipo_Vertedor="Retangular",Cd_sr*Lef_sr*((O325/100-cota_s)^(3/2))*1000)),IF(O325&lt;=cota_s*100+fi_s/20,0,(OFFSET('Base de dados'!$A$4,IF(O325&lt;20,1,IF(O325&gt;1000,10,MATCH(O325,Cargas,1))),Coluna_fis,1,1))*(PI()*(fi_s/1000)^2/4)*(2*9.81*(O325/100-cota_s-fi_s/2/1000))^0.5*1000)))</f>
        <v>105.66503037429183</v>
      </c>
      <c r="R325" s="19">
        <f t="shared" ref="R325:R388" ca="1" si="77">IF(O325="","",Q325+P325)</f>
        <v>129.02819161917461</v>
      </c>
      <c r="S325" s="19">
        <f t="shared" ref="S325:S388" ca="1" si="78">IF(M325="","",2*N325*1000/(Passo*60))</f>
        <v>1594.4535624844318</v>
      </c>
      <c r="AD325" s="19" t="str">
        <f t="shared" si="73"/>
        <v/>
      </c>
      <c r="AE325" s="19" t="str">
        <f t="shared" si="74"/>
        <v/>
      </c>
      <c r="AF325" s="19" t="str">
        <f>IF(ISERROR(IF('Hidrograma afluente'!I332="",0,'Hidrograma afluente'!I332)+Simulação!G325),"",IF('Hidrograma afluente'!I332="",0,'Hidrograma afluente'!I332)+Simulação!G325)</f>
        <v/>
      </c>
      <c r="AG325" s="17" t="s">
        <v>160</v>
      </c>
      <c r="AH325" s="17" t="s">
        <v>160</v>
      </c>
      <c r="AI325" s="27" t="s">
        <v>160</v>
      </c>
      <c r="AJ325" s="17" t="s">
        <v>160</v>
      </c>
      <c r="AK325" s="19" t="str">
        <f>IF(A325="","",IF('Hidrograma afluente'!I332="",0,'Hidrograma afluente'!I332)+Simulação!B325)</f>
        <v/>
      </c>
    </row>
    <row r="326" spans="1:37" s="17" customFormat="1">
      <c r="A326" s="4" t="str">
        <f t="shared" ref="A326:A389" si="79">IF(ISERROR(IF(A325+Passo&lt;=tempo_simul,A325+Passo,"")),"",IF(A325+Passo&lt;=tempo_simul,A325+Passo,""))</f>
        <v/>
      </c>
      <c r="B326" s="5" t="str">
        <f>IF(A326="","",IF(A326&gt;tc_lot_i+tc,0,IF('Hidrograma afluente'!B333="","",'Hidrograma afluente'!B333)))</f>
        <v/>
      </c>
      <c r="C326" s="21" t="str">
        <f t="shared" ref="C326:C389" si="80">IF(B327=0,0,IF(B327="","",B327))</f>
        <v/>
      </c>
      <c r="D326" s="21" t="str">
        <f t="shared" ref="D326:D389" si="81">IF(A326="","",IF(ISERROR(VLOOKUP(H325,tabela_auxiliar,7,1)),0,VLOOKUP(H325,tabela_auxiliar,7,1)))</f>
        <v/>
      </c>
      <c r="E326" s="21" t="str">
        <f t="shared" ref="E326:E389" si="82">IF(A326="","",IF(ISERROR(VLOOKUP(H325,tabela_auxiliar,4,TRUE)),0,VLOOKUP(H325,tabela_auxiliar,4,TRUE)))</f>
        <v/>
      </c>
      <c r="F326" s="21" t="str">
        <f t="shared" ref="F326:F389" si="83">IF(A326="","",IF(ISERROR(VLOOKUP(H325,tabela_auxiliar,5,TRUE)),0,VLOOKUP(H325,tabela_auxiliar,5,TRUE)))</f>
        <v/>
      </c>
      <c r="G326" s="21" t="str">
        <f t="shared" ref="G326:G389" si="84">IF(A326="","",IF(ISERROR(VLOOKUP(H325,tabela_auxiliar,6,TRUE)),0,VLOOKUP(H325,tabela_auxiliar,6,TRUE)))</f>
        <v/>
      </c>
      <c r="H326" s="23" t="str">
        <f t="shared" si="75"/>
        <v/>
      </c>
      <c r="I326" s="22" t="str">
        <f t="shared" ref="I326:I389" si="85">IF(A326="","",IF(ISERROR(VLOOKUP(H325,tabela_auxiliar,3,TRUE)),0,VLOOKUP(H325,tabela_auxiliar,3,TRUE)))</f>
        <v/>
      </c>
      <c r="J326" s="1"/>
      <c r="K326" s="51"/>
      <c r="M326" s="81">
        <f t="shared" ca="1" si="76"/>
        <v>1730.9482205361523</v>
      </c>
      <c r="N326" s="19">
        <f t="shared" ref="N326:N389" si="86">IF(O326="","",b_0*(O326/100)^c_0)</f>
        <v>47.999664847892618</v>
      </c>
      <c r="O326" s="17">
        <f t="shared" ref="O326:O389" si="87">IF(ISERROR(IF(O325+passo_altura&gt;h_max_puls*100,"",O325+passo_altura)),"",IF(O325+passo_altura&gt;h_max_puls*100,"",O325+passo_altura))</f>
        <v>81.25</v>
      </c>
      <c r="P326" s="19">
        <f ca="1">IF(ISERROR(IF(O326&lt;fi_h/20,0,(OFFSET('Base de dados'!$A$5,IF(O326&lt;20,1,IF(O326&gt;1000,10,MATCH(O326,Cargas,1))),Coluna_fih,1,1))*(1+0.13*0.25)*(PI()*(fi_h/1000)^2/4)*SQRT(2*9.81*(O326/100-fi_h/2/1000))*1000)),"",IF(O326&lt;fi_h/20,0,(OFFSET('Base de dados'!$A$5,IF(O326&lt;20,1,IF(O326&gt;1000,10,MATCH(O326,Cargas,1))),Coluna_fih,1,1))*(PI()*(fi_h/1000)^2/4)*SQRT(2*9.81*(O326/100-fi_h/2/1000))*1000))</f>
        <v>23.401881748172219</v>
      </c>
      <c r="Q326" s="19">
        <f ca="1">IF(O326="","",IF(Tipo_Vertedor="Retangular",IF(O326&lt;=cota_s*100,0,IF(Tipo_Vertedor="Retangular",Cd_sr*Lef_sr*((O326/100-cota_s)^(3/2))*1000)),IF(O326&lt;=cota_s*100+fi_s/20,0,(OFFSET('Base de dados'!$A$4,IF(O326&lt;20,1,IF(O326&gt;1000,10,MATCH(O326,Cargas,1))),Coluna_fis,1,1))*(PI()*(fi_s/1000)^2/4)*(2*9.81*(O326/100-cota_s-fi_s/2/1000))^0.5*1000)))</f>
        <v>107.55751052489319</v>
      </c>
      <c r="R326" s="19">
        <f t="shared" ca="1" si="77"/>
        <v>130.95939227306542</v>
      </c>
      <c r="S326" s="19">
        <f t="shared" ca="1" si="78"/>
        <v>1599.988828263087</v>
      </c>
      <c r="AD326" s="19" t="str">
        <f t="shared" ref="AD326:AD389" si="88">IF(A326="","",AVERAGE(B326+B325)*Passo*60/1000+AD325)</f>
        <v/>
      </c>
      <c r="AE326" s="19" t="str">
        <f t="shared" ref="AE326:AE389" si="89">IF(A326="","",AE325+AVERAGE(G326+G325)*Passo*60/1000)</f>
        <v/>
      </c>
      <c r="AF326" s="19" t="str">
        <f>IF(ISERROR(IF('Hidrograma afluente'!I333="",0,'Hidrograma afluente'!I333)+Simulação!G326),"",IF('Hidrograma afluente'!I333="",0,'Hidrograma afluente'!I333)+Simulação!G326)</f>
        <v/>
      </c>
      <c r="AG326" s="17" t="s">
        <v>160</v>
      </c>
      <c r="AH326" s="17" t="s">
        <v>160</v>
      </c>
      <c r="AI326" s="27" t="s">
        <v>160</v>
      </c>
      <c r="AJ326" s="17" t="s">
        <v>160</v>
      </c>
      <c r="AK326" s="19" t="str">
        <f>IF(A326="","",IF('Hidrograma afluente'!I333="",0,'Hidrograma afluente'!I333)+Simulação!B326)</f>
        <v/>
      </c>
    </row>
    <row r="327" spans="1:37" s="17" customFormat="1">
      <c r="A327" s="4" t="str">
        <f t="shared" si="79"/>
        <v/>
      </c>
      <c r="B327" s="5" t="str">
        <f>IF(A327="","",IF(A327&gt;tc_lot_i+tc,0,IF('Hidrograma afluente'!B334="","",'Hidrograma afluente'!B334)))</f>
        <v/>
      </c>
      <c r="C327" s="21" t="str">
        <f t="shared" si="80"/>
        <v/>
      </c>
      <c r="D327" s="21" t="str">
        <f t="shared" si="81"/>
        <v/>
      </c>
      <c r="E327" s="21" t="str">
        <f t="shared" si="82"/>
        <v/>
      </c>
      <c r="F327" s="21" t="str">
        <f t="shared" si="83"/>
        <v/>
      </c>
      <c r="G327" s="21" t="str">
        <f t="shared" si="84"/>
        <v/>
      </c>
      <c r="H327" s="23" t="str">
        <f t="shared" si="75"/>
        <v/>
      </c>
      <c r="I327" s="22" t="str">
        <f t="shared" si="85"/>
        <v/>
      </c>
      <c r="J327" s="1"/>
      <c r="K327" s="51"/>
      <c r="M327" s="81">
        <f t="shared" ca="1" si="76"/>
        <v>1738.4279103541294</v>
      </c>
      <c r="N327" s="19">
        <f t="shared" si="86"/>
        <v>48.165786484556207</v>
      </c>
      <c r="O327" s="17">
        <f t="shared" si="87"/>
        <v>81.5</v>
      </c>
      <c r="P327" s="19">
        <f ca="1">IF(ISERROR(IF(O327&lt;fi_h/20,0,(OFFSET('Base de dados'!$A$5,IF(O327&lt;20,1,IF(O327&gt;1000,10,MATCH(O327,Cargas,1))),Coluna_fih,1,1))*(1+0.13*0.25)*(PI()*(fi_h/1000)^2/4)*SQRT(2*9.81*(O327/100-fi_h/2/1000))*1000)),"",IF(O327&lt;fi_h/20,0,(OFFSET('Base de dados'!$A$5,IF(O327&lt;20,1,IF(O327&gt;1000,10,MATCH(O327,Cargas,1))),Coluna_fih,1,1))*(PI()*(fi_h/1000)^2/4)*SQRT(2*9.81*(O327/100-fi_h/2/1000))*1000))</f>
        <v>23.4405382906724</v>
      </c>
      <c r="Q327" s="19">
        <f ca="1">IF(O327="","",IF(Tipo_Vertedor="Retangular",IF(O327&lt;=cota_s*100,0,IF(Tipo_Vertedor="Retangular",Cd_sr*Lef_sr*((O327/100-cota_s)^(3/2))*1000)),IF(O327&lt;=cota_s*100+fi_s/20,0,(OFFSET('Base de dados'!$A$4,IF(O327&lt;20,1,IF(O327&gt;1000,10,MATCH(O327,Cargas,1))),Coluna_fis,1,1))*(PI()*(fi_s/1000)^2/4)*(2*9.81*(O327/100-cota_s-fi_s/2/1000))^0.5*1000)))</f>
        <v>109.46115591158352</v>
      </c>
      <c r="R327" s="19">
        <f t="shared" ca="1" si="77"/>
        <v>132.90169420225592</v>
      </c>
      <c r="S327" s="19">
        <f t="shared" ca="1" si="78"/>
        <v>1605.5262161518735</v>
      </c>
      <c r="AD327" s="19" t="str">
        <f t="shared" si="88"/>
        <v/>
      </c>
      <c r="AE327" s="19" t="str">
        <f t="shared" si="89"/>
        <v/>
      </c>
      <c r="AF327" s="19" t="str">
        <f>IF(ISERROR(IF('Hidrograma afluente'!I334="",0,'Hidrograma afluente'!I334)+Simulação!G327),"",IF('Hidrograma afluente'!I334="",0,'Hidrograma afluente'!I334)+Simulação!G327)</f>
        <v/>
      </c>
      <c r="AG327" s="17" t="s">
        <v>160</v>
      </c>
      <c r="AH327" s="17" t="s">
        <v>160</v>
      </c>
      <c r="AI327" s="27" t="s">
        <v>160</v>
      </c>
      <c r="AJ327" s="17" t="s">
        <v>160</v>
      </c>
      <c r="AK327" s="19" t="str">
        <f>IF(A327="","",IF('Hidrograma afluente'!I334="",0,'Hidrograma afluente'!I334)+Simulação!B327)</f>
        <v/>
      </c>
    </row>
    <row r="328" spans="1:37" s="17" customFormat="1">
      <c r="A328" s="4" t="str">
        <f t="shared" si="79"/>
        <v/>
      </c>
      <c r="B328" s="5" t="str">
        <f>IF(A328="","",IF(A328&gt;tc_lot_i+tc,0,IF('Hidrograma afluente'!B335="","",'Hidrograma afluente'!B335)))</f>
        <v/>
      </c>
      <c r="C328" s="21" t="str">
        <f t="shared" si="80"/>
        <v/>
      </c>
      <c r="D328" s="21" t="str">
        <f t="shared" si="81"/>
        <v/>
      </c>
      <c r="E328" s="21" t="str">
        <f t="shared" si="82"/>
        <v/>
      </c>
      <c r="F328" s="21" t="str">
        <f t="shared" si="83"/>
        <v/>
      </c>
      <c r="G328" s="21" t="str">
        <f t="shared" si="84"/>
        <v/>
      </c>
      <c r="H328" s="23" t="str">
        <f t="shared" si="75"/>
        <v/>
      </c>
      <c r="I328" s="22" t="str">
        <f t="shared" si="85"/>
        <v/>
      </c>
      <c r="J328" s="1"/>
      <c r="K328" s="51"/>
      <c r="M328" s="81">
        <f t="shared" ca="1" si="76"/>
        <v>1745.9207530675394</v>
      </c>
      <c r="N328" s="19">
        <f t="shared" si="86"/>
        <v>48.331971613531991</v>
      </c>
      <c r="O328" s="17">
        <f t="shared" si="87"/>
        <v>81.75</v>
      </c>
      <c r="P328" s="19">
        <f ca="1">IF(ISERROR(IF(O328&lt;fi_h/20,0,(OFFSET('Base de dados'!$A$5,IF(O328&lt;20,1,IF(O328&gt;1000,10,MATCH(O328,Cargas,1))),Coluna_fih,1,1))*(1+0.13*0.25)*(PI()*(fi_h/1000)^2/4)*SQRT(2*9.81*(O328/100-fi_h/2/1000))*1000)),"",IF(O328&lt;fi_h/20,0,(OFFSET('Base de dados'!$A$5,IF(O328&lt;20,1,IF(O328&gt;1000,10,MATCH(O328,Cargas,1))),Coluna_fih,1,1))*(PI()*(fi_h/1000)^2/4)*SQRT(2*9.81*(O328/100-fi_h/2/1000))*1000))</f>
        <v>23.47913118830256</v>
      </c>
      <c r="Q328" s="19">
        <f ca="1">IF(O328="","",IF(Tipo_Vertedor="Retangular",IF(O328&lt;=cota_s*100,0,IF(Tipo_Vertedor="Retangular",Cd_sr*Lef_sr*((O328/100-cota_s)^(3/2))*1000)),IF(O328&lt;=cota_s*100+fi_s/20,0,(OFFSET('Base de dados'!$A$4,IF(O328&lt;20,1,IF(O328&gt;1000,10,MATCH(O328,Cargas,1))),Coluna_fis,1,1))*(PI()*(fi_s/1000)^2/4)*(2*9.81*(O328/100-cota_s-fi_s/2/1000))^0.5*1000)))</f>
        <v>111.37590142817028</v>
      </c>
      <c r="R328" s="19">
        <f t="shared" ca="1" si="77"/>
        <v>134.85503261647284</v>
      </c>
      <c r="S328" s="19">
        <f t="shared" ca="1" si="78"/>
        <v>1611.0657204510665</v>
      </c>
      <c r="AD328" s="19" t="str">
        <f t="shared" si="88"/>
        <v/>
      </c>
      <c r="AE328" s="19" t="str">
        <f t="shared" si="89"/>
        <v/>
      </c>
      <c r="AF328" s="19" t="str">
        <f>IF(ISERROR(IF('Hidrograma afluente'!I335="",0,'Hidrograma afluente'!I335)+Simulação!G328),"",IF('Hidrograma afluente'!I335="",0,'Hidrograma afluente'!I335)+Simulação!G328)</f>
        <v/>
      </c>
      <c r="AG328" s="17" t="s">
        <v>160</v>
      </c>
      <c r="AH328" s="17" t="s">
        <v>160</v>
      </c>
      <c r="AI328" s="27" t="s">
        <v>160</v>
      </c>
      <c r="AJ328" s="17" t="s">
        <v>160</v>
      </c>
      <c r="AK328" s="19" t="str">
        <f>IF(A328="","",IF('Hidrograma afluente'!I335="",0,'Hidrograma afluente'!I335)+Simulação!B328)</f>
        <v/>
      </c>
    </row>
    <row r="329" spans="1:37" s="17" customFormat="1">
      <c r="A329" s="4" t="str">
        <f t="shared" si="79"/>
        <v/>
      </c>
      <c r="B329" s="5" t="str">
        <f>IF(A329="","",IF(A329&gt;tc_lot_i+tc,0,IF('Hidrograma afluente'!B336="","",'Hidrograma afluente'!B336)))</f>
        <v/>
      </c>
      <c r="C329" s="21" t="str">
        <f t="shared" si="80"/>
        <v/>
      </c>
      <c r="D329" s="21" t="str">
        <f t="shared" si="81"/>
        <v/>
      </c>
      <c r="E329" s="21" t="str">
        <f t="shared" si="82"/>
        <v/>
      </c>
      <c r="F329" s="21" t="str">
        <f t="shared" si="83"/>
        <v/>
      </c>
      <c r="G329" s="21" t="str">
        <f t="shared" si="84"/>
        <v/>
      </c>
      <c r="H329" s="23" t="str">
        <f t="shared" si="75"/>
        <v/>
      </c>
      <c r="I329" s="22" t="str">
        <f t="shared" si="85"/>
        <v/>
      </c>
      <c r="J329" s="1"/>
      <c r="K329" s="51"/>
      <c r="M329" s="81">
        <f t="shared" ca="1" si="76"/>
        <v>1753.4266793423201</v>
      </c>
      <c r="N329" s="19">
        <f t="shared" si="86"/>
        <v>48.498220064809075</v>
      </c>
      <c r="O329" s="17">
        <f t="shared" si="87"/>
        <v>82</v>
      </c>
      <c r="P329" s="19">
        <f ca="1">IF(ISERROR(IF(O329&lt;fi_h/20,0,(OFFSET('Base de dados'!$A$5,IF(O329&lt;20,1,IF(O329&gt;1000,10,MATCH(O329,Cargas,1))),Coluna_fih,1,1))*(1+0.13*0.25)*(PI()*(fi_h/1000)^2/4)*SQRT(2*9.81*(O329/100-fi_h/2/1000))*1000)),"",IF(O329&lt;fi_h/20,0,(OFFSET('Base de dados'!$A$5,IF(O329&lt;20,1,IF(O329&gt;1000,10,MATCH(O329,Cargas,1))),Coluna_fih,1,1))*(PI()*(fi_h/1000)^2/4)*SQRT(2*9.81*(O329/100-fi_h/2/1000))*1000))</f>
        <v>23.517660754389773</v>
      </c>
      <c r="Q329" s="19">
        <f ca="1">IF(O329="","",IF(Tipo_Vertedor="Retangular",IF(O329&lt;=cota_s*100,0,IF(Tipo_Vertedor="Retangular",Cd_sr*Lef_sr*((O329/100-cota_s)^(3/2))*1000)),IF(O329&lt;=cota_s*100+fi_s/20,0,(OFFSET('Base de dados'!$A$4,IF(O329&lt;20,1,IF(O329&gt;1000,10,MATCH(O329,Cargas,1))),Coluna_fis,1,1))*(PI()*(fi_s/1000)^2/4)*(2*9.81*(O329/100-cota_s-fi_s/2/1000))^0.5*1000)))</f>
        <v>113.30168309429473</v>
      </c>
      <c r="R329" s="19">
        <f t="shared" ca="1" si="77"/>
        <v>136.8193438486845</v>
      </c>
      <c r="S329" s="19">
        <f t="shared" ca="1" si="78"/>
        <v>1616.6073354936357</v>
      </c>
      <c r="AD329" s="19" t="str">
        <f t="shared" si="88"/>
        <v/>
      </c>
      <c r="AE329" s="19" t="str">
        <f t="shared" si="89"/>
        <v/>
      </c>
      <c r="AF329" s="19" t="str">
        <f>IF(ISERROR(IF('Hidrograma afluente'!I336="",0,'Hidrograma afluente'!I336)+Simulação!G329),"",IF('Hidrograma afluente'!I336="",0,'Hidrograma afluente'!I336)+Simulação!G329)</f>
        <v/>
      </c>
      <c r="AG329" s="17" t="s">
        <v>160</v>
      </c>
      <c r="AH329" s="17" t="s">
        <v>160</v>
      </c>
      <c r="AI329" s="27" t="s">
        <v>160</v>
      </c>
      <c r="AJ329" s="17" t="s">
        <v>160</v>
      </c>
      <c r="AK329" s="19" t="str">
        <f>IF(A329="","",IF('Hidrograma afluente'!I336="",0,'Hidrograma afluente'!I336)+Simulação!B329)</f>
        <v/>
      </c>
    </row>
    <row r="330" spans="1:37" s="17" customFormat="1">
      <c r="A330" s="4" t="str">
        <f t="shared" si="79"/>
        <v/>
      </c>
      <c r="B330" s="5" t="str">
        <f>IF(A330="","",IF(A330&gt;tc_lot_i+tc,0,IF('Hidrograma afluente'!B337="","",'Hidrograma afluente'!B337)))</f>
        <v/>
      </c>
      <c r="C330" s="21" t="str">
        <f t="shared" si="80"/>
        <v/>
      </c>
      <c r="D330" s="21" t="str">
        <f t="shared" si="81"/>
        <v/>
      </c>
      <c r="E330" s="21" t="str">
        <f t="shared" si="82"/>
        <v/>
      </c>
      <c r="F330" s="21" t="str">
        <f t="shared" si="83"/>
        <v/>
      </c>
      <c r="G330" s="21" t="str">
        <f t="shared" si="84"/>
        <v/>
      </c>
      <c r="H330" s="23" t="str">
        <f t="shared" si="75"/>
        <v/>
      </c>
      <c r="I330" s="22" t="str">
        <f t="shared" si="85"/>
        <v/>
      </c>
      <c r="J330" s="1"/>
      <c r="K330" s="51"/>
      <c r="M330" s="81">
        <f t="shared" ca="1" si="76"/>
        <v>1760.9456209680152</v>
      </c>
      <c r="N330" s="19">
        <f t="shared" si="86"/>
        <v>48.664531669348861</v>
      </c>
      <c r="O330" s="17">
        <f t="shared" si="87"/>
        <v>82.25</v>
      </c>
      <c r="P330" s="19">
        <f ca="1">IF(ISERROR(IF(O330&lt;fi_h/20,0,(OFFSET('Base de dados'!$A$5,IF(O330&lt;20,1,IF(O330&gt;1000,10,MATCH(O330,Cargas,1))),Coluna_fih,1,1))*(1+0.13*0.25)*(PI()*(fi_h/1000)^2/4)*SQRT(2*9.81*(O330/100-fi_h/2/1000))*1000)),"",IF(O330&lt;fi_h/20,0,(OFFSET('Base de dados'!$A$5,IF(O330&lt;20,1,IF(O330&gt;1000,10,MATCH(O330,Cargas,1))),Coluna_fih,1,1))*(PI()*(fi_h/1000)^2/4)*SQRT(2*9.81*(O330/100-fi_h/2/1000))*1000))</f>
        <v>23.556127299698648</v>
      </c>
      <c r="Q330" s="19">
        <f ca="1">IF(O330="","",IF(Tipo_Vertedor="Retangular",IF(O330&lt;=cota_s*100,0,IF(Tipo_Vertedor="Retangular",Cd_sr*Lef_sr*((O330/100-cota_s)^(3/2))*1000)),IF(O330&lt;=cota_s*100+fi_s/20,0,(OFFSET('Base de dados'!$A$4,IF(O330&lt;20,1,IF(O330&gt;1000,10,MATCH(O330,Cargas,1))),Coluna_fis,1,1))*(PI()*(fi_s/1000)^2/4)*(2*9.81*(O330/100-cota_s-fi_s/2/1000))^0.5*1000)))</f>
        <v>115.23843802335446</v>
      </c>
      <c r="R330" s="19">
        <f t="shared" ca="1" si="77"/>
        <v>138.79456532305312</v>
      </c>
      <c r="S330" s="19">
        <f t="shared" ca="1" si="78"/>
        <v>1622.1510556449621</v>
      </c>
      <c r="AD330" s="19" t="str">
        <f t="shared" si="88"/>
        <v/>
      </c>
      <c r="AE330" s="19" t="str">
        <f t="shared" si="89"/>
        <v/>
      </c>
      <c r="AF330" s="19" t="str">
        <f>IF(ISERROR(IF('Hidrograma afluente'!I337="",0,'Hidrograma afluente'!I337)+Simulação!G330),"",IF('Hidrograma afluente'!I337="",0,'Hidrograma afluente'!I337)+Simulação!G330)</f>
        <v/>
      </c>
      <c r="AG330" s="17" t="s">
        <v>160</v>
      </c>
      <c r="AH330" s="17" t="s">
        <v>160</v>
      </c>
      <c r="AI330" s="27" t="s">
        <v>160</v>
      </c>
      <c r="AJ330" s="17" t="s">
        <v>160</v>
      </c>
      <c r="AK330" s="19" t="str">
        <f>IF(A330="","",IF('Hidrograma afluente'!I337="",0,'Hidrograma afluente'!I337)+Simulação!B330)</f>
        <v/>
      </c>
    </row>
    <row r="331" spans="1:37" s="17" customFormat="1">
      <c r="A331" s="4" t="str">
        <f t="shared" si="79"/>
        <v/>
      </c>
      <c r="B331" s="5" t="str">
        <f>IF(A331="","",IF(A331&gt;tc_lot_i+tc,0,IF('Hidrograma afluente'!B338="","",'Hidrograma afluente'!B338)))</f>
        <v/>
      </c>
      <c r="C331" s="21" t="str">
        <f t="shared" si="80"/>
        <v/>
      </c>
      <c r="D331" s="21" t="str">
        <f t="shared" si="81"/>
        <v/>
      </c>
      <c r="E331" s="21" t="str">
        <f t="shared" si="82"/>
        <v/>
      </c>
      <c r="F331" s="21" t="str">
        <f t="shared" si="83"/>
        <v/>
      </c>
      <c r="G331" s="21" t="str">
        <f t="shared" si="84"/>
        <v/>
      </c>
      <c r="H331" s="23" t="str">
        <f t="shared" si="75"/>
        <v/>
      </c>
      <c r="I331" s="22" t="str">
        <f t="shared" si="85"/>
        <v/>
      </c>
      <c r="J331" s="1"/>
      <c r="K331" s="51"/>
      <c r="M331" s="81">
        <f t="shared" ca="1" si="76"/>
        <v>1768.4775108267008</v>
      </c>
      <c r="N331" s="19">
        <f t="shared" si="86"/>
        <v>48.830906259076514</v>
      </c>
      <c r="O331" s="17">
        <f t="shared" si="87"/>
        <v>82.5</v>
      </c>
      <c r="P331" s="19">
        <f ca="1">IF(ISERROR(IF(O331&lt;fi_h/20,0,(OFFSET('Base de dados'!$A$5,IF(O331&lt;20,1,IF(O331&gt;1000,10,MATCH(O331,Cargas,1))),Coluna_fih,1,1))*(1+0.13*0.25)*(PI()*(fi_h/1000)^2/4)*SQRT(2*9.81*(O331/100-fi_h/2/1000))*1000)),"",IF(O331&lt;fi_h/20,0,(OFFSET('Base de dados'!$A$5,IF(O331&lt;20,1,IF(O331&gt;1000,10,MATCH(O331,Cargas,1))),Coluna_fih,1,1))*(PI()*(fi_h/1000)^2/4)*SQRT(2*9.81*(O331/100-fi_h/2/1000))*1000))</f>
        <v>23.594531132460567</v>
      </c>
      <c r="Q331" s="19">
        <f ca="1">IF(O331="","",IF(Tipo_Vertedor="Retangular",IF(O331&lt;=cota_s*100,0,IF(Tipo_Vertedor="Retangular",Cd_sr*Lef_sr*((O331/100-cota_s)^(3/2))*1000)),IF(O331&lt;=cota_s*100+fi_s/20,0,(OFFSET('Base de dados'!$A$4,IF(O331&lt;20,1,IF(O331&gt;1000,10,MATCH(O331,Cargas,1))),Coluna_fis,1,1))*(PI()*(fi_s/1000)^2/4)*(2*9.81*(O331/100-cota_s-fi_s/2/1000))^0.5*1000)))</f>
        <v>117.18610439168971</v>
      </c>
      <c r="R331" s="19">
        <f t="shared" ca="1" si="77"/>
        <v>140.78063552415028</v>
      </c>
      <c r="S331" s="19">
        <f t="shared" ca="1" si="78"/>
        <v>1627.6968753025506</v>
      </c>
      <c r="AD331" s="19" t="str">
        <f t="shared" si="88"/>
        <v/>
      </c>
      <c r="AE331" s="19" t="str">
        <f t="shared" si="89"/>
        <v/>
      </c>
      <c r="AF331" s="19" t="str">
        <f>IF(ISERROR(IF('Hidrograma afluente'!I338="",0,'Hidrograma afluente'!I338)+Simulação!G331),"",IF('Hidrograma afluente'!I338="",0,'Hidrograma afluente'!I338)+Simulação!G331)</f>
        <v/>
      </c>
      <c r="AG331" s="17" t="s">
        <v>160</v>
      </c>
      <c r="AH331" s="17" t="s">
        <v>160</v>
      </c>
      <c r="AI331" s="27" t="s">
        <v>160</v>
      </c>
      <c r="AJ331" s="17" t="s">
        <v>160</v>
      </c>
      <c r="AK331" s="19" t="str">
        <f>IF(A331="","",IF('Hidrograma afluente'!I338="",0,'Hidrograma afluente'!I338)+Simulação!B331)</f>
        <v/>
      </c>
    </row>
    <row r="332" spans="1:37" s="17" customFormat="1">
      <c r="A332" s="4" t="str">
        <f t="shared" si="79"/>
        <v/>
      </c>
      <c r="B332" s="5" t="str">
        <f>IF(A332="","",IF(A332&gt;tc_lot_i+tc,0,IF('Hidrograma afluente'!B339="","",'Hidrograma afluente'!B339)))</f>
        <v/>
      </c>
      <c r="C332" s="21" t="str">
        <f t="shared" si="80"/>
        <v/>
      </c>
      <c r="D332" s="21" t="str">
        <f t="shared" si="81"/>
        <v/>
      </c>
      <c r="E332" s="21" t="str">
        <f t="shared" si="82"/>
        <v/>
      </c>
      <c r="F332" s="21" t="str">
        <f t="shared" si="83"/>
        <v/>
      </c>
      <c r="G332" s="21" t="str">
        <f t="shared" si="84"/>
        <v/>
      </c>
      <c r="H332" s="23" t="str">
        <f t="shared" si="75"/>
        <v/>
      </c>
      <c r="I332" s="22" t="str">
        <f t="shared" si="85"/>
        <v/>
      </c>
      <c r="J332" s="1"/>
      <c r="K332" s="51"/>
      <c r="M332" s="81">
        <f t="shared" ca="1" si="76"/>
        <v>1776.0222828631286</v>
      </c>
      <c r="N332" s="19">
        <f t="shared" si="86"/>
        <v>48.997343666872588</v>
      </c>
      <c r="O332" s="17">
        <f t="shared" si="87"/>
        <v>82.75</v>
      </c>
      <c r="P332" s="19">
        <f ca="1">IF(ISERROR(IF(O332&lt;fi_h/20,0,(OFFSET('Base de dados'!$A$5,IF(O332&lt;20,1,IF(O332&gt;1000,10,MATCH(O332,Cargas,1))),Coluna_fih,1,1))*(1+0.13*0.25)*(PI()*(fi_h/1000)^2/4)*SQRT(2*9.81*(O332/100-fi_h/2/1000))*1000)),"",IF(O332&lt;fi_h/20,0,(OFFSET('Base de dados'!$A$5,IF(O332&lt;20,1,IF(O332&gt;1000,10,MATCH(O332,Cargas,1))),Coluna_fih,1,1))*(PI()*(fi_h/1000)^2/4)*SQRT(2*9.81*(O332/100-fi_h/2/1000))*1000))</f>
        <v>23.632872558402497</v>
      </c>
      <c r="Q332" s="19">
        <f ca="1">IF(O332="","",IF(Tipo_Vertedor="Retangular",IF(O332&lt;=cota_s*100,0,IF(Tipo_Vertedor="Retangular",Cd_sr*Lef_sr*((O332/100-cota_s)^(3/2))*1000)),IF(O332&lt;=cota_s*100+fi_s/20,0,(OFFSET('Base de dados'!$A$4,IF(O332&lt;20,1,IF(O332&gt;1000,10,MATCH(O332,Cargas,1))),Coluna_fis,1,1))*(PI()*(fi_s/1000)^2/4)*(2*9.81*(O332/100-cota_s-fi_s/2/1000))^0.5*1000)))</f>
        <v>119.14462140897304</v>
      </c>
      <c r="R332" s="19">
        <f t="shared" ca="1" si="77"/>
        <v>142.77749396737553</v>
      </c>
      <c r="S332" s="19">
        <f t="shared" ca="1" si="78"/>
        <v>1633.2447888957531</v>
      </c>
      <c r="AD332" s="19" t="str">
        <f t="shared" si="88"/>
        <v/>
      </c>
      <c r="AE332" s="19" t="str">
        <f t="shared" si="89"/>
        <v/>
      </c>
      <c r="AF332" s="19" t="str">
        <f>IF(ISERROR(IF('Hidrograma afluente'!I339="",0,'Hidrograma afluente'!I339)+Simulação!G332),"",IF('Hidrograma afluente'!I339="",0,'Hidrograma afluente'!I339)+Simulação!G332)</f>
        <v/>
      </c>
      <c r="AG332" s="17" t="s">
        <v>160</v>
      </c>
      <c r="AH332" s="17" t="s">
        <v>160</v>
      </c>
      <c r="AI332" s="27" t="s">
        <v>160</v>
      </c>
      <c r="AJ332" s="17" t="s">
        <v>160</v>
      </c>
      <c r="AK332" s="19" t="str">
        <f>IF(A332="","",IF('Hidrograma afluente'!I339="",0,'Hidrograma afluente'!I339)+Simulação!B332)</f>
        <v/>
      </c>
    </row>
    <row r="333" spans="1:37" s="17" customFormat="1">
      <c r="A333" s="4" t="str">
        <f t="shared" si="79"/>
        <v/>
      </c>
      <c r="B333" s="5" t="str">
        <f>IF(A333="","",IF(A333&gt;tc_lot_i+tc,0,IF('Hidrograma afluente'!B340="","",'Hidrograma afluente'!B340)))</f>
        <v/>
      </c>
      <c r="C333" s="21" t="str">
        <f t="shared" si="80"/>
        <v/>
      </c>
      <c r="D333" s="21" t="str">
        <f t="shared" si="81"/>
        <v/>
      </c>
      <c r="E333" s="21" t="str">
        <f t="shared" si="82"/>
        <v/>
      </c>
      <c r="F333" s="21" t="str">
        <f t="shared" si="83"/>
        <v/>
      </c>
      <c r="G333" s="21" t="str">
        <f t="shared" si="84"/>
        <v/>
      </c>
      <c r="H333" s="23" t="str">
        <f t="shared" si="75"/>
        <v/>
      </c>
      <c r="I333" s="22" t="str">
        <f t="shared" si="85"/>
        <v/>
      </c>
      <c r="J333" s="1"/>
      <c r="K333" s="51"/>
      <c r="M333" s="81">
        <f t="shared" ca="1" si="76"/>
        <v>1783.5798720560038</v>
      </c>
      <c r="N333" s="19">
        <f t="shared" si="86"/>
        <v>49.163843726564671</v>
      </c>
      <c r="O333" s="17">
        <f t="shared" si="87"/>
        <v>83</v>
      </c>
      <c r="P333" s="19">
        <f ca="1">IF(ISERROR(IF(O333&lt;fi_h/20,0,(OFFSET('Base de dados'!$A$5,IF(O333&lt;20,1,IF(O333&gt;1000,10,MATCH(O333,Cargas,1))),Coluna_fih,1,1))*(1+0.13*0.25)*(PI()*(fi_h/1000)^2/4)*SQRT(2*9.81*(O333/100-fi_h/2/1000))*1000)),"",IF(O333&lt;fi_h/20,0,(OFFSET('Base de dados'!$A$5,IF(O333&lt;20,1,IF(O333&gt;1000,10,MATCH(O333,Cargas,1))),Coluna_fih,1,1))*(PI()*(fi_h/1000)^2/4)*SQRT(2*9.81*(O333/100-fi_h/2/1000))*1000))</f>
        <v>23.671151880775398</v>
      </c>
      <c r="Q333" s="19">
        <f ca="1">IF(O333="","",IF(Tipo_Vertedor="Retangular",IF(O333&lt;=cota_s*100,0,IF(Tipo_Vertedor="Retangular",Cd_sr*Lef_sr*((O333/100-cota_s)^(3/2))*1000)),IF(O333&lt;=cota_s*100+fi_s/20,0,(OFFSET('Base de dados'!$A$4,IF(O333&lt;20,1,IF(O333&gt;1000,10,MATCH(O333,Cargas,1))),Coluna_fis,1,1))*(PI()*(fi_s/1000)^2/4)*(2*9.81*(O333/100-cota_s-fi_s/2/1000))^0.5*1000)))</f>
        <v>121.11392928973946</v>
      </c>
      <c r="R333" s="19">
        <f t="shared" ca="1" si="77"/>
        <v>144.78508117051484</v>
      </c>
      <c r="S333" s="19">
        <f t="shared" ca="1" si="78"/>
        <v>1638.794790885489</v>
      </c>
      <c r="AD333" s="19" t="str">
        <f t="shared" si="88"/>
        <v/>
      </c>
      <c r="AE333" s="19" t="str">
        <f t="shared" si="89"/>
        <v/>
      </c>
      <c r="AF333" s="19" t="str">
        <f>IF(ISERROR(IF('Hidrograma afluente'!I340="",0,'Hidrograma afluente'!I340)+Simulação!G333),"",IF('Hidrograma afluente'!I340="",0,'Hidrograma afluente'!I340)+Simulação!G333)</f>
        <v/>
      </c>
      <c r="AG333" s="17" t="s">
        <v>160</v>
      </c>
      <c r="AH333" s="17" t="s">
        <v>160</v>
      </c>
      <c r="AI333" s="27" t="s">
        <v>160</v>
      </c>
      <c r="AJ333" s="17" t="s">
        <v>160</v>
      </c>
      <c r="AK333" s="19" t="str">
        <f>IF(A333="","",IF('Hidrograma afluente'!I340="",0,'Hidrograma afluente'!I340)+Simulação!B333)</f>
        <v/>
      </c>
    </row>
    <row r="334" spans="1:37" s="17" customFormat="1">
      <c r="A334" s="4" t="str">
        <f t="shared" si="79"/>
        <v/>
      </c>
      <c r="B334" s="5" t="str">
        <f>IF(A334="","",IF(A334&gt;tc_lot_i+tc,0,IF('Hidrograma afluente'!B341="","",'Hidrograma afluente'!B341)))</f>
        <v/>
      </c>
      <c r="C334" s="21" t="str">
        <f t="shared" si="80"/>
        <v/>
      </c>
      <c r="D334" s="21" t="str">
        <f t="shared" si="81"/>
        <v/>
      </c>
      <c r="E334" s="21" t="str">
        <f t="shared" si="82"/>
        <v/>
      </c>
      <c r="F334" s="21" t="str">
        <f t="shared" si="83"/>
        <v/>
      </c>
      <c r="G334" s="21" t="str">
        <f t="shared" si="84"/>
        <v/>
      </c>
      <c r="H334" s="23" t="str">
        <f t="shared" si="75"/>
        <v/>
      </c>
      <c r="I334" s="22" t="str">
        <f t="shared" si="85"/>
        <v/>
      </c>
      <c r="J334" s="1"/>
      <c r="K334" s="51"/>
      <c r="M334" s="81">
        <f t="shared" ca="1" si="76"/>
        <v>1791.1502143903622</v>
      </c>
      <c r="N334" s="19">
        <f t="shared" si="86"/>
        <v>49.330406272919269</v>
      </c>
      <c r="O334" s="17">
        <f t="shared" si="87"/>
        <v>83.25</v>
      </c>
      <c r="P334" s="19">
        <f ca="1">IF(ISERROR(IF(O334&lt;fi_h/20,0,(OFFSET('Base de dados'!$A$5,IF(O334&lt;20,1,IF(O334&gt;1000,10,MATCH(O334,Cargas,1))),Coluna_fih,1,1))*(1+0.13*0.25)*(PI()*(fi_h/1000)^2/4)*SQRT(2*9.81*(O334/100-fi_h/2/1000))*1000)),"",IF(O334&lt;fi_h/20,0,(OFFSET('Base de dados'!$A$5,IF(O334&lt;20,1,IF(O334&gt;1000,10,MATCH(O334,Cargas,1))),Coluna_fih,1,1))*(PI()*(fi_h/1000)^2/4)*SQRT(2*9.81*(O334/100-fi_h/2/1000))*1000))</f>
        <v>23.709369400382201</v>
      </c>
      <c r="Q334" s="19">
        <f ca="1">IF(O334="","",IF(Tipo_Vertedor="Retangular",IF(O334&lt;=cota_s*100,0,IF(Tipo_Vertedor="Retangular",Cd_sr*Lef_sr*((O334/100-cota_s)^(3/2))*1000)),IF(O334&lt;=cota_s*100+fi_s/20,0,(OFFSET('Base de dados'!$A$4,IF(O334&lt;20,1,IF(O334&gt;1000,10,MATCH(O334,Cargas,1))),Coluna_fis,1,1))*(PI()*(fi_s/1000)^2/4)*(2*9.81*(O334/100-cota_s-fi_s/2/1000))^0.5*1000)))</f>
        <v>123.09396922600439</v>
      </c>
      <c r="R334" s="19">
        <f t="shared" ca="1" si="77"/>
        <v>146.80333862638659</v>
      </c>
      <c r="S334" s="19">
        <f t="shared" ca="1" si="78"/>
        <v>1644.3468757639755</v>
      </c>
      <c r="AD334" s="19" t="str">
        <f t="shared" si="88"/>
        <v/>
      </c>
      <c r="AE334" s="19" t="str">
        <f t="shared" si="89"/>
        <v/>
      </c>
      <c r="AF334" s="19" t="str">
        <f>IF(ISERROR(IF('Hidrograma afluente'!I341="",0,'Hidrograma afluente'!I341)+Simulação!G334),"",IF('Hidrograma afluente'!I341="",0,'Hidrograma afluente'!I341)+Simulação!G334)</f>
        <v/>
      </c>
      <c r="AG334" s="17" t="s">
        <v>160</v>
      </c>
      <c r="AH334" s="17" t="s">
        <v>160</v>
      </c>
      <c r="AI334" s="27" t="s">
        <v>160</v>
      </c>
      <c r="AJ334" s="17" t="s">
        <v>160</v>
      </c>
      <c r="AK334" s="19" t="str">
        <f>IF(A334="","",IF('Hidrograma afluente'!I341="",0,'Hidrograma afluente'!I341)+Simulação!B334)</f>
        <v/>
      </c>
    </row>
    <row r="335" spans="1:37" s="17" customFormat="1">
      <c r="A335" s="4" t="str">
        <f t="shared" si="79"/>
        <v/>
      </c>
      <c r="B335" s="5" t="str">
        <f>IF(A335="","",IF(A335&gt;tc_lot_i+tc,0,IF('Hidrograma afluente'!B342="","",'Hidrograma afluente'!B342)))</f>
        <v/>
      </c>
      <c r="C335" s="21" t="str">
        <f t="shared" si="80"/>
        <v/>
      </c>
      <c r="D335" s="21" t="str">
        <f t="shared" si="81"/>
        <v/>
      </c>
      <c r="E335" s="21" t="str">
        <f t="shared" si="82"/>
        <v/>
      </c>
      <c r="F335" s="21" t="str">
        <f t="shared" si="83"/>
        <v/>
      </c>
      <c r="G335" s="21" t="str">
        <f t="shared" si="84"/>
        <v/>
      </c>
      <c r="H335" s="23" t="str">
        <f t="shared" si="75"/>
        <v/>
      </c>
      <c r="I335" s="22" t="str">
        <f t="shared" si="85"/>
        <v/>
      </c>
      <c r="J335" s="1"/>
      <c r="K335" s="51"/>
      <c r="M335" s="81">
        <f t="shared" ca="1" si="76"/>
        <v>1798.7332468309721</v>
      </c>
      <c r="N335" s="19">
        <f t="shared" si="86"/>
        <v>49.497031141633599</v>
      </c>
      <c r="O335" s="17">
        <f t="shared" si="87"/>
        <v>83.5</v>
      </c>
      <c r="P335" s="19">
        <f ca="1">IF(ISERROR(IF(O335&lt;fi_h/20,0,(OFFSET('Base de dados'!$A$5,IF(O335&lt;20,1,IF(O335&gt;1000,10,MATCH(O335,Cargas,1))),Coluna_fih,1,1))*(1+0.13*0.25)*(PI()*(fi_h/1000)^2/4)*SQRT(2*9.81*(O335/100-fi_h/2/1000))*1000)),"",IF(O335&lt;fi_h/20,0,(OFFSET('Base de dados'!$A$5,IF(O335&lt;20,1,IF(O335&gt;1000,10,MATCH(O335,Cargas,1))),Coluna_fih,1,1))*(PI()*(fi_h/1000)^2/4)*SQRT(2*9.81*(O335/100-fi_h/2/1000))*1000))</f>
        <v>23.747525415605363</v>
      </c>
      <c r="Q335" s="19">
        <f ca="1">IF(O335="","",IF(Tipo_Vertedor="Retangular",IF(O335&lt;=cota_s*100,0,IF(Tipo_Vertedor="Retangular",Cd_sr*Lef_sr*((O335/100-cota_s)^(3/2))*1000)),IF(O335&lt;=cota_s*100+fi_s/20,0,(OFFSET('Base de dados'!$A$4,IF(O335&lt;20,1,IF(O335&gt;1000,10,MATCH(O335,Cargas,1))),Coluna_fis,1,1))*(PI()*(fi_s/1000)^2/4)*(2*9.81*(O335/100-cota_s-fi_s/2/1000))^0.5*1000)))</f>
        <v>125.08468336091353</v>
      </c>
      <c r="R335" s="19">
        <f t="shared" ca="1" si="77"/>
        <v>148.83220877651888</v>
      </c>
      <c r="S335" s="19">
        <f t="shared" ca="1" si="78"/>
        <v>1649.9010380544532</v>
      </c>
      <c r="AD335" s="19" t="str">
        <f t="shared" si="88"/>
        <v/>
      </c>
      <c r="AE335" s="19" t="str">
        <f t="shared" si="89"/>
        <v/>
      </c>
      <c r="AF335" s="19" t="str">
        <f>IF(ISERROR(IF('Hidrograma afluente'!I342="",0,'Hidrograma afluente'!I342)+Simulação!G335),"",IF('Hidrograma afluente'!I342="",0,'Hidrograma afluente'!I342)+Simulação!G335)</f>
        <v/>
      </c>
      <c r="AG335" s="17" t="s">
        <v>160</v>
      </c>
      <c r="AH335" s="17" t="s">
        <v>160</v>
      </c>
      <c r="AI335" s="27" t="s">
        <v>160</v>
      </c>
      <c r="AJ335" s="17" t="s">
        <v>160</v>
      </c>
      <c r="AK335" s="19" t="str">
        <f>IF(A335="","",IF('Hidrograma afluente'!I342="",0,'Hidrograma afluente'!I342)+Simulação!B335)</f>
        <v/>
      </c>
    </row>
    <row r="336" spans="1:37" s="17" customFormat="1">
      <c r="A336" s="4" t="str">
        <f t="shared" si="79"/>
        <v/>
      </c>
      <c r="B336" s="5" t="str">
        <f>IF(A336="","",IF(A336&gt;tc_lot_i+tc,0,IF('Hidrograma afluente'!B343="","",'Hidrograma afluente'!B343)))</f>
        <v/>
      </c>
      <c r="C336" s="21" t="str">
        <f t="shared" si="80"/>
        <v/>
      </c>
      <c r="D336" s="21" t="str">
        <f t="shared" si="81"/>
        <v/>
      </c>
      <c r="E336" s="21" t="str">
        <f t="shared" si="82"/>
        <v/>
      </c>
      <c r="F336" s="21" t="str">
        <f t="shared" si="83"/>
        <v/>
      </c>
      <c r="G336" s="21" t="str">
        <f t="shared" si="84"/>
        <v/>
      </c>
      <c r="H336" s="23" t="str">
        <f t="shared" si="75"/>
        <v/>
      </c>
      <c r="I336" s="22" t="str">
        <f t="shared" si="85"/>
        <v/>
      </c>
      <c r="J336" s="1"/>
      <c r="K336" s="51"/>
      <c r="M336" s="81">
        <f t="shared" ca="1" si="76"/>
        <v>1806.3289072967343</v>
      </c>
      <c r="N336" s="19">
        <f t="shared" si="86"/>
        <v>49.663718169327666</v>
      </c>
      <c r="O336" s="17">
        <f t="shared" si="87"/>
        <v>83.75</v>
      </c>
      <c r="P336" s="19">
        <f ca="1">IF(ISERROR(IF(O336&lt;fi_h/20,0,(OFFSET('Base de dados'!$A$5,IF(O336&lt;20,1,IF(O336&gt;1000,10,MATCH(O336,Cargas,1))),Coluna_fih,1,1))*(1+0.13*0.25)*(PI()*(fi_h/1000)^2/4)*SQRT(2*9.81*(O336/100-fi_h/2/1000))*1000)),"",IF(O336&lt;fi_h/20,0,(OFFSET('Base de dados'!$A$5,IF(O336&lt;20,1,IF(O336&gt;1000,10,MATCH(O336,Cargas,1))),Coluna_fih,1,1))*(PI()*(fi_h/1000)^2/4)*SQRT(2*9.81*(O336/100-fi_h/2/1000))*1000))</f>
        <v>23.785620222434094</v>
      </c>
      <c r="Q336" s="19">
        <f ca="1">IF(O336="","",IF(Tipo_Vertedor="Retangular",IF(O336&lt;=cota_s*100,0,IF(Tipo_Vertedor="Retangular",Cd_sr*Lef_sr*((O336/100-cota_s)^(3/2))*1000)),IF(O336&lt;=cota_s*100+fi_s/20,0,(OFFSET('Base de dados'!$A$4,IF(O336&lt;20,1,IF(O336&gt;1000,10,MATCH(O336,Cargas,1))),Coluna_fis,1,1))*(PI()*(fi_s/1000)^2/4)*(2*9.81*(O336/100-cota_s-fi_s/2/1000))^0.5*1000)))</f>
        <v>127.08601476337792</v>
      </c>
      <c r="R336" s="19">
        <f t="shared" ca="1" si="77"/>
        <v>150.87163498581202</v>
      </c>
      <c r="S336" s="19">
        <f t="shared" ca="1" si="78"/>
        <v>1655.4572723109222</v>
      </c>
      <c r="AD336" s="19" t="str">
        <f t="shared" si="88"/>
        <v/>
      </c>
      <c r="AE336" s="19" t="str">
        <f t="shared" si="89"/>
        <v/>
      </c>
      <c r="AF336" s="19" t="str">
        <f>IF(ISERROR(IF('Hidrograma afluente'!I343="",0,'Hidrograma afluente'!I343)+Simulação!G336),"",IF('Hidrograma afluente'!I343="",0,'Hidrograma afluente'!I343)+Simulação!G336)</f>
        <v/>
      </c>
      <c r="AG336" s="17" t="s">
        <v>160</v>
      </c>
      <c r="AH336" s="17" t="s">
        <v>160</v>
      </c>
      <c r="AI336" s="27" t="s">
        <v>160</v>
      </c>
      <c r="AJ336" s="17" t="s">
        <v>160</v>
      </c>
      <c r="AK336" s="19" t="str">
        <f>IF(A336="","",IF('Hidrograma afluente'!I343="",0,'Hidrograma afluente'!I343)+Simulação!B336)</f>
        <v/>
      </c>
    </row>
    <row r="337" spans="1:37" s="17" customFormat="1">
      <c r="A337" s="4" t="str">
        <f t="shared" si="79"/>
        <v/>
      </c>
      <c r="B337" s="5" t="str">
        <f>IF(A337="","",IF(A337&gt;tc_lot_i+tc,0,IF('Hidrograma afluente'!B344="","",'Hidrograma afluente'!B344)))</f>
        <v/>
      </c>
      <c r="C337" s="21" t="str">
        <f t="shared" si="80"/>
        <v/>
      </c>
      <c r="D337" s="21" t="str">
        <f t="shared" si="81"/>
        <v/>
      </c>
      <c r="E337" s="21" t="str">
        <f t="shared" si="82"/>
        <v/>
      </c>
      <c r="F337" s="21" t="str">
        <f t="shared" si="83"/>
        <v/>
      </c>
      <c r="G337" s="21" t="str">
        <f t="shared" si="84"/>
        <v/>
      </c>
      <c r="H337" s="23" t="str">
        <f t="shared" si="75"/>
        <v/>
      </c>
      <c r="I337" s="22" t="str">
        <f t="shared" si="85"/>
        <v/>
      </c>
      <c r="J337" s="1"/>
      <c r="K337" s="51"/>
      <c r="M337" s="81">
        <f t="shared" ca="1" si="76"/>
        <v>1813.9371346360103</v>
      </c>
      <c r="N337" s="19">
        <f t="shared" si="86"/>
        <v>49.830467193536244</v>
      </c>
      <c r="O337" s="17">
        <f t="shared" si="87"/>
        <v>84</v>
      </c>
      <c r="P337" s="19">
        <f ca="1">IF(ISERROR(IF(O337&lt;fi_h/20,0,(OFFSET('Base de dados'!$A$5,IF(O337&lt;20,1,IF(O337&gt;1000,10,MATCH(O337,Cargas,1))),Coluna_fih,1,1))*(1+0.13*0.25)*(PI()*(fi_h/1000)^2/4)*SQRT(2*9.81*(O337/100-fi_h/2/1000))*1000)),"",IF(O337&lt;fi_h/20,0,(OFFSET('Base de dados'!$A$5,IF(O337&lt;20,1,IF(O337&gt;1000,10,MATCH(O337,Cargas,1))),Coluna_fih,1,1))*(PI()*(fi_h/1000)^2/4)*SQRT(2*9.81*(O337/100-fi_h/2/1000))*1000))</f>
        <v>23.823654114491095</v>
      </c>
      <c r="Q337" s="19">
        <f ca="1">IF(O337="","",IF(Tipo_Vertedor="Retangular",IF(O337&lt;=cota_s*100,0,IF(Tipo_Vertedor="Retangular",Cd_sr*Lef_sr*((O337/100-cota_s)^(3/2))*1000)),IF(O337&lt;=cota_s*100+fi_s/20,0,(OFFSET('Base de dados'!$A$4,IF(O337&lt;20,1,IF(O337&gt;1000,10,MATCH(O337,Cargas,1))),Coluna_fis,1,1))*(PI()*(fi_s/1000)^2/4)*(2*9.81*(O337/100-cota_s-fi_s/2/1000))^0.5*1000)))</f>
        <v>129.0979074036446</v>
      </c>
      <c r="R337" s="19">
        <f t="shared" ca="1" si="77"/>
        <v>152.92156151813569</v>
      </c>
      <c r="S337" s="19">
        <f t="shared" ca="1" si="78"/>
        <v>1661.0155731178747</v>
      </c>
      <c r="AD337" s="19" t="str">
        <f t="shared" si="88"/>
        <v/>
      </c>
      <c r="AE337" s="19" t="str">
        <f t="shared" si="89"/>
        <v/>
      </c>
      <c r="AF337" s="19" t="str">
        <f>IF(ISERROR(IF('Hidrograma afluente'!I344="",0,'Hidrograma afluente'!I344)+Simulação!G337),"",IF('Hidrograma afluente'!I344="",0,'Hidrograma afluente'!I344)+Simulação!G337)</f>
        <v/>
      </c>
      <c r="AG337" s="17" t="s">
        <v>160</v>
      </c>
      <c r="AH337" s="17" t="s">
        <v>160</v>
      </c>
      <c r="AI337" s="27" t="s">
        <v>160</v>
      </c>
      <c r="AJ337" s="17" t="s">
        <v>160</v>
      </c>
      <c r="AK337" s="19" t="str">
        <f>IF(A337="","",IF('Hidrograma afluente'!I344="",0,'Hidrograma afluente'!I344)+Simulação!B337)</f>
        <v/>
      </c>
    </row>
    <row r="338" spans="1:37" s="17" customFormat="1">
      <c r="A338" s="4" t="str">
        <f t="shared" si="79"/>
        <v/>
      </c>
      <c r="B338" s="5" t="str">
        <f>IF(A338="","",IF(A338&gt;tc_lot_i+tc,0,IF('Hidrograma afluente'!B345="","",'Hidrograma afluente'!B345)))</f>
        <v/>
      </c>
      <c r="C338" s="21" t="str">
        <f t="shared" si="80"/>
        <v/>
      </c>
      <c r="D338" s="21" t="str">
        <f t="shared" si="81"/>
        <v/>
      </c>
      <c r="E338" s="21" t="str">
        <f t="shared" si="82"/>
        <v/>
      </c>
      <c r="F338" s="21" t="str">
        <f t="shared" si="83"/>
        <v/>
      </c>
      <c r="G338" s="21" t="str">
        <f t="shared" si="84"/>
        <v/>
      </c>
      <c r="H338" s="23" t="str">
        <f t="shared" si="75"/>
        <v/>
      </c>
      <c r="I338" s="22" t="str">
        <f t="shared" si="85"/>
        <v/>
      </c>
      <c r="J338" s="1"/>
      <c r="K338" s="51"/>
      <c r="M338" s="81">
        <f t="shared" ca="1" si="76"/>
        <v>1821.5578686028596</v>
      </c>
      <c r="N338" s="19">
        <f t="shared" si="86"/>
        <v>49.997278052701155</v>
      </c>
      <c r="O338" s="17">
        <f t="shared" si="87"/>
        <v>84.25</v>
      </c>
      <c r="P338" s="19">
        <f ca="1">IF(ISERROR(IF(O338&lt;fi_h/20,0,(OFFSET('Base de dados'!$A$5,IF(O338&lt;20,1,IF(O338&gt;1000,10,MATCH(O338,Cargas,1))),Coluna_fih,1,1))*(1+0.13*0.25)*(PI()*(fi_h/1000)^2/4)*SQRT(2*9.81*(O338/100-fi_h/2/1000))*1000)),"",IF(O338&lt;fi_h/20,0,(OFFSET('Base de dados'!$A$5,IF(O338&lt;20,1,IF(O338&gt;1000,10,MATCH(O338,Cargas,1))),Coluna_fih,1,1))*(PI()*(fi_h/1000)^2/4)*SQRT(2*9.81*(O338/100-fi_h/2/1000))*1000))</f>
        <v>23.861627383059012</v>
      </c>
      <c r="Q338" s="19">
        <f ca="1">IF(O338="","",IF(Tipo_Vertedor="Retangular",IF(O338&lt;=cota_s*100,0,IF(Tipo_Vertedor="Retangular",Cd_sr*Lef_sr*((O338/100-cota_s)^(3/2))*1000)),IF(O338&lt;=cota_s*100+fi_s/20,0,(OFFSET('Base de dados'!$A$4,IF(O338&lt;20,1,IF(O338&gt;1000,10,MATCH(O338,Cargas,1))),Coluna_fis,1,1))*(PI()*(fi_s/1000)^2/4)*(2*9.81*(O338/100-cota_s-fi_s/2/1000))^0.5*1000)))</f>
        <v>131.12030612976204</v>
      </c>
      <c r="R338" s="19">
        <f t="shared" ca="1" si="77"/>
        <v>154.98193351282106</v>
      </c>
      <c r="S338" s="19">
        <f t="shared" ca="1" si="78"/>
        <v>1666.5759350900385</v>
      </c>
      <c r="AD338" s="19" t="str">
        <f t="shared" si="88"/>
        <v/>
      </c>
      <c r="AE338" s="19" t="str">
        <f t="shared" si="89"/>
        <v/>
      </c>
      <c r="AF338" s="19" t="str">
        <f>IF(ISERROR(IF('Hidrograma afluente'!I345="",0,'Hidrograma afluente'!I345)+Simulação!G338),"",IF('Hidrograma afluente'!I345="",0,'Hidrograma afluente'!I345)+Simulação!G338)</f>
        <v/>
      </c>
      <c r="AG338" s="17" t="s">
        <v>160</v>
      </c>
      <c r="AH338" s="17" t="s">
        <v>160</v>
      </c>
      <c r="AI338" s="27" t="s">
        <v>160</v>
      </c>
      <c r="AJ338" s="17" t="s">
        <v>160</v>
      </c>
      <c r="AK338" s="19" t="str">
        <f>IF(A338="","",IF('Hidrograma afluente'!I345="",0,'Hidrograma afluente'!I345)+Simulação!B338)</f>
        <v/>
      </c>
    </row>
    <row r="339" spans="1:37" s="17" customFormat="1">
      <c r="A339" s="4" t="str">
        <f t="shared" si="79"/>
        <v/>
      </c>
      <c r="B339" s="5" t="str">
        <f>IF(A339="","",IF(A339&gt;tc_lot_i+tc,0,IF('Hidrograma afluente'!B346="","",'Hidrograma afluente'!B346)))</f>
        <v/>
      </c>
      <c r="C339" s="21" t="str">
        <f t="shared" si="80"/>
        <v/>
      </c>
      <c r="D339" s="21" t="str">
        <f t="shared" si="81"/>
        <v/>
      </c>
      <c r="E339" s="21" t="str">
        <f t="shared" si="82"/>
        <v/>
      </c>
      <c r="F339" s="21" t="str">
        <f t="shared" si="83"/>
        <v/>
      </c>
      <c r="G339" s="21" t="str">
        <f t="shared" si="84"/>
        <v/>
      </c>
      <c r="H339" s="23" t="str">
        <f t="shared" si="75"/>
        <v/>
      </c>
      <c r="I339" s="22" t="str">
        <f t="shared" si="85"/>
        <v/>
      </c>
      <c r="J339" s="1"/>
      <c r="K339" s="51"/>
      <c r="M339" s="81">
        <f t="shared" ca="1" si="76"/>
        <v>1829.1910498341156</v>
      </c>
      <c r="N339" s="19">
        <f t="shared" si="86"/>
        <v>50.164150586163423</v>
      </c>
      <c r="O339" s="17">
        <f t="shared" si="87"/>
        <v>84.5</v>
      </c>
      <c r="P339" s="19">
        <f ca="1">IF(ISERROR(IF(O339&lt;fi_h/20,0,(OFFSET('Base de dados'!$A$5,IF(O339&lt;20,1,IF(O339&gt;1000,10,MATCH(O339,Cargas,1))),Coluna_fih,1,1))*(1+0.13*0.25)*(PI()*(fi_h/1000)^2/4)*SQRT(2*9.81*(O339/100-fi_h/2/1000))*1000)),"",IF(O339&lt;fi_h/20,0,(OFFSET('Base de dados'!$A$5,IF(O339&lt;20,1,IF(O339&gt;1000,10,MATCH(O339,Cargas,1))),Coluna_fih,1,1))*(PI()*(fi_h/1000)^2/4)*SQRT(2*9.81*(O339/100-fi_h/2/1000))*1000))</f>
        <v>23.899540317106403</v>
      </c>
      <c r="Q339" s="19">
        <f ca="1">IF(O339="","",IF(Tipo_Vertedor="Retangular",IF(O339&lt;=cota_s*100,0,IF(Tipo_Vertedor="Retangular",Cd_sr*Lef_sr*((O339/100-cota_s)^(3/2))*1000)),IF(O339&lt;=cota_s*100+fi_s/20,0,(OFFSET('Base de dados'!$A$4,IF(O339&lt;20,1,IF(O339&gt;1000,10,MATCH(O339,Cargas,1))),Coluna_fis,1,1))*(PI()*(fi_s/1000)^2/4)*(2*9.81*(O339/100-cota_s-fi_s/2/1000))^0.5*1000)))</f>
        <v>133.15315664489523</v>
      </c>
      <c r="R339" s="19">
        <f t="shared" ca="1" si="77"/>
        <v>157.05269696200165</v>
      </c>
      <c r="S339" s="19">
        <f t="shared" ca="1" si="78"/>
        <v>1672.138352872114</v>
      </c>
      <c r="AD339" s="19" t="str">
        <f t="shared" si="88"/>
        <v/>
      </c>
      <c r="AE339" s="19" t="str">
        <f t="shared" si="89"/>
        <v/>
      </c>
      <c r="AF339" s="19" t="str">
        <f>IF(ISERROR(IF('Hidrograma afluente'!I346="",0,'Hidrograma afluente'!I346)+Simulação!G339),"",IF('Hidrograma afluente'!I346="",0,'Hidrograma afluente'!I346)+Simulação!G339)</f>
        <v/>
      </c>
      <c r="AG339" s="17" t="s">
        <v>160</v>
      </c>
      <c r="AH339" s="17" t="s">
        <v>160</v>
      </c>
      <c r="AI339" s="27" t="s">
        <v>160</v>
      </c>
      <c r="AJ339" s="17" t="s">
        <v>160</v>
      </c>
      <c r="AK339" s="19" t="str">
        <f>IF(A339="","",IF('Hidrograma afluente'!I346="",0,'Hidrograma afluente'!I346)+Simulação!B339)</f>
        <v/>
      </c>
    </row>
    <row r="340" spans="1:37" s="17" customFormat="1">
      <c r="A340" s="4" t="str">
        <f t="shared" si="79"/>
        <v/>
      </c>
      <c r="B340" s="5" t="str">
        <f>IF(A340="","",IF(A340&gt;tc_lot_i+tc,0,IF('Hidrograma afluente'!B347="","",'Hidrograma afluente'!B347)))</f>
        <v/>
      </c>
      <c r="C340" s="21" t="str">
        <f t="shared" si="80"/>
        <v/>
      </c>
      <c r="D340" s="21" t="str">
        <f t="shared" si="81"/>
        <v/>
      </c>
      <c r="E340" s="21" t="str">
        <f t="shared" si="82"/>
        <v/>
      </c>
      <c r="F340" s="21" t="str">
        <f t="shared" si="83"/>
        <v/>
      </c>
      <c r="G340" s="21" t="str">
        <f t="shared" si="84"/>
        <v/>
      </c>
      <c r="H340" s="23" t="str">
        <f t="shared" si="75"/>
        <v/>
      </c>
      <c r="I340" s="22" t="str">
        <f t="shared" si="85"/>
        <v/>
      </c>
      <c r="J340" s="1"/>
      <c r="K340" s="51"/>
      <c r="M340" s="81">
        <f t="shared" ca="1" si="76"/>
        <v>1836.836619827292</v>
      </c>
      <c r="N340" s="19">
        <f t="shared" si="86"/>
        <v>50.331084634155708</v>
      </c>
      <c r="O340" s="17">
        <f t="shared" si="87"/>
        <v>84.75</v>
      </c>
      <c r="P340" s="19">
        <f ca="1">IF(ISERROR(IF(O340&lt;fi_h/20,0,(OFFSET('Base de dados'!$A$5,IF(O340&lt;20,1,IF(O340&gt;1000,10,MATCH(O340,Cargas,1))),Coluna_fih,1,1))*(1+0.13*0.25)*(PI()*(fi_h/1000)^2/4)*SQRT(2*9.81*(O340/100-fi_h/2/1000))*1000)),"",IF(O340&lt;fi_h/20,0,(OFFSET('Base de dados'!$A$5,IF(O340&lt;20,1,IF(O340&gt;1000,10,MATCH(O340,Cargas,1))),Coluna_fih,1,1))*(PI()*(fi_h/1000)^2/4)*SQRT(2*9.81*(O340/100-fi_h/2/1000))*1000))</f>
        <v>23.937393203313462</v>
      </c>
      <c r="Q340" s="19">
        <f ca="1">IF(O340="","",IF(Tipo_Vertedor="Retangular",IF(O340&lt;=cota_s*100,0,IF(Tipo_Vertedor="Retangular",Cd_sr*Lef_sr*((O340/100-cota_s)^(3/2))*1000)),IF(O340&lt;=cota_s*100+fi_s/20,0,(OFFSET('Base de dados'!$A$4,IF(O340&lt;20,1,IF(O340&gt;1000,10,MATCH(O340,Cargas,1))),Coluna_fis,1,1))*(PI()*(fi_s/1000)^2/4)*(2*9.81*(O340/100-cota_s-fi_s/2/1000))^0.5*1000)))</f>
        <v>135.19640548545482</v>
      </c>
      <c r="R340" s="19">
        <f t="shared" ca="1" si="77"/>
        <v>159.13379868876828</v>
      </c>
      <c r="S340" s="19">
        <f t="shared" ca="1" si="78"/>
        <v>1677.7028211385236</v>
      </c>
      <c r="AD340" s="19" t="str">
        <f t="shared" si="88"/>
        <v/>
      </c>
      <c r="AE340" s="19" t="str">
        <f t="shared" si="89"/>
        <v/>
      </c>
      <c r="AF340" s="19" t="str">
        <f>IF(ISERROR(IF('Hidrograma afluente'!I347="",0,'Hidrograma afluente'!I347)+Simulação!G340),"",IF('Hidrograma afluente'!I347="",0,'Hidrograma afluente'!I347)+Simulação!G340)</f>
        <v/>
      </c>
      <c r="AG340" s="17" t="s">
        <v>160</v>
      </c>
      <c r="AH340" s="17" t="s">
        <v>160</v>
      </c>
      <c r="AI340" s="27" t="s">
        <v>160</v>
      </c>
      <c r="AJ340" s="17" t="s">
        <v>160</v>
      </c>
      <c r="AK340" s="19" t="str">
        <f>IF(A340="","",IF('Hidrograma afluente'!I347="",0,'Hidrograma afluente'!I347)+Simulação!B340)</f>
        <v/>
      </c>
    </row>
    <row r="341" spans="1:37" s="17" customFormat="1">
      <c r="A341" s="4" t="str">
        <f t="shared" si="79"/>
        <v/>
      </c>
      <c r="B341" s="5" t="str">
        <f>IF(A341="","",IF(A341&gt;tc_lot_i+tc,0,IF('Hidrograma afluente'!B348="","",'Hidrograma afluente'!B348)))</f>
        <v/>
      </c>
      <c r="C341" s="21" t="str">
        <f t="shared" si="80"/>
        <v/>
      </c>
      <c r="D341" s="21" t="str">
        <f t="shared" si="81"/>
        <v/>
      </c>
      <c r="E341" s="21" t="str">
        <f t="shared" si="82"/>
        <v/>
      </c>
      <c r="F341" s="21" t="str">
        <f t="shared" si="83"/>
        <v/>
      </c>
      <c r="G341" s="21" t="str">
        <f t="shared" si="84"/>
        <v/>
      </c>
      <c r="H341" s="23" t="str">
        <f t="shared" si="75"/>
        <v/>
      </c>
      <c r="I341" s="22" t="str">
        <f t="shared" si="85"/>
        <v/>
      </c>
      <c r="J341" s="1"/>
      <c r="K341" s="51"/>
      <c r="M341" s="81">
        <f t="shared" ca="1" si="76"/>
        <v>1844.4945209192533</v>
      </c>
      <c r="N341" s="19">
        <f t="shared" si="86"/>
        <v>50.498080037794686</v>
      </c>
      <c r="O341" s="17">
        <f t="shared" si="87"/>
        <v>85</v>
      </c>
      <c r="P341" s="19">
        <f ca="1">IF(ISERROR(IF(O341&lt;fi_h/20,0,(OFFSET('Base de dados'!$A$5,IF(O341&lt;20,1,IF(O341&gt;1000,10,MATCH(O341,Cargas,1))),Coluna_fih,1,1))*(1+0.13*0.25)*(PI()*(fi_h/1000)^2/4)*SQRT(2*9.81*(O341/100-fi_h/2/1000))*1000)),"",IF(O341&lt;fi_h/20,0,(OFFSET('Base de dados'!$A$5,IF(O341&lt;20,1,IF(O341&gt;1000,10,MATCH(O341,Cargas,1))),Coluna_fih,1,1))*(PI()*(fi_h/1000)^2/4)*SQRT(2*9.81*(O341/100-fi_h/2/1000))*1000))</f>
        <v>23.975186326097248</v>
      </c>
      <c r="Q341" s="19">
        <f ca="1">IF(O341="","",IF(Tipo_Vertedor="Retangular",IF(O341&lt;=cota_s*100,0,IF(Tipo_Vertedor="Retangular",Cd_sr*Lef_sr*((O341/100-cota_s)^(3/2))*1000)),IF(O341&lt;=cota_s*100+fi_s/20,0,(OFFSET('Base de dados'!$A$4,IF(O341&lt;20,1,IF(O341&gt;1000,10,MATCH(O341,Cargas,1))),Coluna_fis,1,1))*(PI()*(fi_s/1000)^2/4)*(2*9.81*(O341/100-cota_s-fi_s/2/1000))^0.5*1000)))</f>
        <v>137.25000000000003</v>
      </c>
      <c r="R341" s="19">
        <f t="shared" ca="1" si="77"/>
        <v>161.22518632609729</v>
      </c>
      <c r="S341" s="19">
        <f t="shared" ca="1" si="78"/>
        <v>1683.2693345931561</v>
      </c>
      <c r="AD341" s="19" t="str">
        <f t="shared" si="88"/>
        <v/>
      </c>
      <c r="AE341" s="19" t="str">
        <f t="shared" si="89"/>
        <v/>
      </c>
      <c r="AF341" s="19" t="str">
        <f>IF(ISERROR(IF('Hidrograma afluente'!I348="",0,'Hidrograma afluente'!I348)+Simulação!G341),"",IF('Hidrograma afluente'!I348="",0,'Hidrograma afluente'!I348)+Simulação!G341)</f>
        <v/>
      </c>
      <c r="AG341" s="17" t="s">
        <v>160</v>
      </c>
      <c r="AH341" s="17" t="s">
        <v>160</v>
      </c>
      <c r="AI341" s="27" t="s">
        <v>160</v>
      </c>
      <c r="AJ341" s="17" t="s">
        <v>160</v>
      </c>
      <c r="AK341" s="19" t="str">
        <f>IF(A341="","",IF('Hidrograma afluente'!I348="",0,'Hidrograma afluente'!I348)+Simulação!B341)</f>
        <v/>
      </c>
    </row>
    <row r="342" spans="1:37" s="17" customFormat="1">
      <c r="A342" s="4" t="str">
        <f t="shared" si="79"/>
        <v/>
      </c>
      <c r="B342" s="5" t="str">
        <f>IF(A342="","",IF(A342&gt;tc_lot_i+tc,0,IF('Hidrograma afluente'!B349="","",'Hidrograma afluente'!B349)))</f>
        <v/>
      </c>
      <c r="C342" s="21" t="str">
        <f t="shared" si="80"/>
        <v/>
      </c>
      <c r="D342" s="21" t="str">
        <f t="shared" si="81"/>
        <v/>
      </c>
      <c r="E342" s="21" t="str">
        <f t="shared" si="82"/>
        <v/>
      </c>
      <c r="F342" s="21" t="str">
        <f t="shared" si="83"/>
        <v/>
      </c>
      <c r="G342" s="21" t="str">
        <f t="shared" si="84"/>
        <v/>
      </c>
      <c r="H342" s="23" t="str">
        <f t="shared" si="75"/>
        <v/>
      </c>
      <c r="I342" s="22" t="str">
        <f t="shared" si="85"/>
        <v/>
      </c>
      <c r="J342" s="1"/>
      <c r="K342" s="51"/>
      <c r="M342" s="81">
        <f t="shared" ca="1" si="76"/>
        <v>1852.16469626564</v>
      </c>
      <c r="N342" s="19">
        <f t="shared" si="86"/>
        <v>50.665136639073609</v>
      </c>
      <c r="O342" s="17">
        <f t="shared" si="87"/>
        <v>85.25</v>
      </c>
      <c r="P342" s="19">
        <f ca="1">IF(ISERROR(IF(O342&lt;fi_h/20,0,(OFFSET('Base de dados'!$A$5,IF(O342&lt;20,1,IF(O342&gt;1000,10,MATCH(O342,Cargas,1))),Coluna_fih,1,1))*(1+0.13*0.25)*(PI()*(fi_h/1000)^2/4)*SQRT(2*9.81*(O342/100-fi_h/2/1000))*1000)),"",IF(O342&lt;fi_h/20,0,(OFFSET('Base de dados'!$A$5,IF(O342&lt;20,1,IF(O342&gt;1000,10,MATCH(O342,Cargas,1))),Coluna_fih,1,1))*(PI()*(fi_h/1000)^2/4)*SQRT(2*9.81*(O342/100-fi_h/2/1000))*1000))</f>
        <v>24.012919967636662</v>
      </c>
      <c r="Q342" s="19">
        <f ca="1">IF(O342="","",IF(Tipo_Vertedor="Retangular",IF(O342&lt;=cota_s*100,0,IF(Tipo_Vertedor="Retangular",Cd_sr*Lef_sr*((O342/100-cota_s)^(3/2))*1000)),IF(O342&lt;=cota_s*100+fi_s/20,0,(OFFSET('Base de dados'!$A$4,IF(O342&lt;20,1,IF(O342&gt;1000,10,MATCH(O342,Cargas,1))),Coluna_fis,1,1))*(PI()*(fi_s/1000)^2/4)*(2*9.81*(O342/100-cota_s-fi_s/2/1000))^0.5*1000)))</f>
        <v>139.31388832888314</v>
      </c>
      <c r="R342" s="19">
        <f t="shared" ca="1" si="77"/>
        <v>163.3268082965198</v>
      </c>
      <c r="S342" s="19">
        <f t="shared" ca="1" si="78"/>
        <v>1688.8378879691202</v>
      </c>
      <c r="AD342" s="19" t="str">
        <f t="shared" si="88"/>
        <v/>
      </c>
      <c r="AE342" s="19" t="str">
        <f t="shared" si="89"/>
        <v/>
      </c>
      <c r="AF342" s="19" t="str">
        <f>IF(ISERROR(IF('Hidrograma afluente'!I349="",0,'Hidrograma afluente'!I349)+Simulação!G342),"",IF('Hidrograma afluente'!I349="",0,'Hidrograma afluente'!I349)+Simulação!G342)</f>
        <v/>
      </c>
      <c r="AG342" s="17" t="s">
        <v>160</v>
      </c>
      <c r="AH342" s="17" t="s">
        <v>160</v>
      </c>
      <c r="AI342" s="27" t="s">
        <v>160</v>
      </c>
      <c r="AJ342" s="17" t="s">
        <v>160</v>
      </c>
      <c r="AK342" s="19" t="str">
        <f>IF(A342="","",IF('Hidrograma afluente'!I349="",0,'Hidrograma afluente'!I349)+Simulação!B342)</f>
        <v/>
      </c>
    </row>
    <row r="343" spans="1:37" s="17" customFormat="1">
      <c r="A343" s="4" t="str">
        <f t="shared" si="79"/>
        <v/>
      </c>
      <c r="B343" s="5" t="str">
        <f>IF(A343="","",IF(A343&gt;tc_lot_i+tc,0,IF('Hidrograma afluente'!B350="","",'Hidrograma afluente'!B350)))</f>
        <v/>
      </c>
      <c r="C343" s="21" t="str">
        <f t="shared" si="80"/>
        <v/>
      </c>
      <c r="D343" s="21" t="str">
        <f t="shared" si="81"/>
        <v/>
      </c>
      <c r="E343" s="21" t="str">
        <f t="shared" si="82"/>
        <v/>
      </c>
      <c r="F343" s="21" t="str">
        <f t="shared" si="83"/>
        <v/>
      </c>
      <c r="G343" s="21" t="str">
        <f t="shared" si="84"/>
        <v/>
      </c>
      <c r="H343" s="23" t="str">
        <f t="shared" si="75"/>
        <v/>
      </c>
      <c r="I343" s="22" t="str">
        <f t="shared" si="85"/>
        <v/>
      </c>
      <c r="J343" s="1"/>
      <c r="K343" s="51"/>
      <c r="M343" s="81">
        <f t="shared" ca="1" si="76"/>
        <v>1859.8470898209928</v>
      </c>
      <c r="N343" s="19">
        <f t="shared" si="86"/>
        <v>50.832254280854876</v>
      </c>
      <c r="O343" s="17">
        <f t="shared" si="87"/>
        <v>85.5</v>
      </c>
      <c r="P343" s="19">
        <f ca="1">IF(ISERROR(IF(O343&lt;fi_h/20,0,(OFFSET('Base de dados'!$A$5,IF(O343&lt;20,1,IF(O343&gt;1000,10,MATCH(O343,Cargas,1))),Coluna_fih,1,1))*(1+0.13*0.25)*(PI()*(fi_h/1000)^2/4)*SQRT(2*9.81*(O343/100-fi_h/2/1000))*1000)),"",IF(O343&lt;fi_h/20,0,(OFFSET('Base de dados'!$A$5,IF(O343&lt;20,1,IF(O343&gt;1000,10,MATCH(O343,Cargas,1))),Coluna_fih,1,1))*(PI()*(fi_h/1000)^2/4)*SQRT(2*9.81*(O343/100-fi_h/2/1000))*1000))</f>
        <v>24.050594407896998</v>
      </c>
      <c r="Q343" s="19">
        <f ca="1">IF(O343="","",IF(Tipo_Vertedor="Retangular",IF(O343&lt;=cota_s*100,0,IF(Tipo_Vertedor="Retangular",Cd_sr*Lef_sr*((O343/100-cota_s)^(3/2))*1000)),IF(O343&lt;=cota_s*100+fi_s/20,0,(OFFSET('Base de dados'!$A$4,IF(O343&lt;20,1,IF(O343&gt;1000,10,MATCH(O343,Cargas,1))),Coluna_fis,1,1))*(PI()*(fi_s/1000)^2/4)*(2*9.81*(O343/100-cota_s-fi_s/2/1000))^0.5*1000)))</f>
        <v>141.38801938459997</v>
      </c>
      <c r="R343" s="19">
        <f t="shared" ca="1" si="77"/>
        <v>165.43861379249697</v>
      </c>
      <c r="S343" s="19">
        <f t="shared" ca="1" si="78"/>
        <v>1694.4084760284959</v>
      </c>
      <c r="AD343" s="19" t="str">
        <f t="shared" si="88"/>
        <v/>
      </c>
      <c r="AE343" s="19" t="str">
        <f t="shared" si="89"/>
        <v/>
      </c>
      <c r="AF343" s="19" t="str">
        <f>IF(ISERROR(IF('Hidrograma afluente'!I350="",0,'Hidrograma afluente'!I350)+Simulação!G343),"",IF('Hidrograma afluente'!I350="",0,'Hidrograma afluente'!I350)+Simulação!G343)</f>
        <v/>
      </c>
      <c r="AG343" s="17" t="s">
        <v>160</v>
      </c>
      <c r="AH343" s="17" t="s">
        <v>160</v>
      </c>
      <c r="AI343" s="27" t="s">
        <v>160</v>
      </c>
      <c r="AJ343" s="17" t="s">
        <v>160</v>
      </c>
      <c r="AK343" s="19" t="str">
        <f>IF(A343="","",IF('Hidrograma afluente'!I350="",0,'Hidrograma afluente'!I350)+Simulação!B343)</f>
        <v/>
      </c>
    </row>
    <row r="344" spans="1:37" s="17" customFormat="1">
      <c r="A344" s="4" t="str">
        <f t="shared" si="79"/>
        <v/>
      </c>
      <c r="B344" s="5" t="str">
        <f>IF(A344="","",IF(A344&gt;tc_lot_i+tc,0,IF('Hidrograma afluente'!B351="","",'Hidrograma afluente'!B351)))</f>
        <v/>
      </c>
      <c r="C344" s="21" t="str">
        <f t="shared" si="80"/>
        <v/>
      </c>
      <c r="D344" s="21" t="str">
        <f t="shared" si="81"/>
        <v/>
      </c>
      <c r="E344" s="21" t="str">
        <f t="shared" si="82"/>
        <v/>
      </c>
      <c r="F344" s="21" t="str">
        <f t="shared" si="83"/>
        <v/>
      </c>
      <c r="G344" s="21" t="str">
        <f t="shared" si="84"/>
        <v/>
      </c>
      <c r="H344" s="23" t="str">
        <f t="shared" si="75"/>
        <v/>
      </c>
      <c r="I344" s="22" t="str">
        <f t="shared" si="85"/>
        <v/>
      </c>
      <c r="J344" s="1"/>
      <c r="K344" s="51"/>
      <c r="M344" s="81">
        <f t="shared" ca="1" si="76"/>
        <v>1867.5416463195634</v>
      </c>
      <c r="N344" s="19">
        <f t="shared" si="86"/>
        <v>50.99943280686275</v>
      </c>
      <c r="O344" s="17">
        <f t="shared" si="87"/>
        <v>85.75</v>
      </c>
      <c r="P344" s="19">
        <f ca="1">IF(ISERROR(IF(O344&lt;fi_h/20,0,(OFFSET('Base de dados'!$A$5,IF(O344&lt;20,1,IF(O344&gt;1000,10,MATCH(O344,Cargas,1))),Coluna_fih,1,1))*(1+0.13*0.25)*(PI()*(fi_h/1000)^2/4)*SQRT(2*9.81*(O344/100-fi_h/2/1000))*1000)),"",IF(O344&lt;fi_h/20,0,(OFFSET('Base de dados'!$A$5,IF(O344&lt;20,1,IF(O344&gt;1000,10,MATCH(O344,Cargas,1))),Coluna_fih,1,1))*(PI()*(fi_h/1000)^2/4)*SQRT(2*9.81*(O344/100-fi_h/2/1000))*1000))</f>
        <v>24.088209924654212</v>
      </c>
      <c r="Q344" s="19">
        <f ca="1">IF(O344="","",IF(Tipo_Vertedor="Retangular",IF(O344&lt;=cota_s*100,0,IF(Tipo_Vertedor="Retangular",Cd_sr*Lef_sr*((O344/100-cota_s)^(3/2))*1000)),IF(O344&lt;=cota_s*100+fi_s/20,0,(OFFSET('Base de dados'!$A$4,IF(O344&lt;20,1,IF(O344&gt;1000,10,MATCH(O344,Cargas,1))),Coluna_fis,1,1))*(PI()*(fi_s/1000)^2/4)*(2*9.81*(O344/100-cota_s-fi_s/2/1000))^0.5*1000)))</f>
        <v>143.47234283281745</v>
      </c>
      <c r="R344" s="19">
        <f t="shared" ca="1" si="77"/>
        <v>167.56055275747167</v>
      </c>
      <c r="S344" s="19">
        <f t="shared" ca="1" si="78"/>
        <v>1699.9810935620917</v>
      </c>
      <c r="AD344" s="19" t="str">
        <f t="shared" si="88"/>
        <v/>
      </c>
      <c r="AE344" s="19" t="str">
        <f t="shared" si="89"/>
        <v/>
      </c>
      <c r="AF344" s="19" t="str">
        <f>IF(ISERROR(IF('Hidrograma afluente'!I351="",0,'Hidrograma afluente'!I351)+Simulação!G344),"",IF('Hidrograma afluente'!I351="",0,'Hidrograma afluente'!I351)+Simulação!G344)</f>
        <v/>
      </c>
      <c r="AG344" s="17" t="s">
        <v>160</v>
      </c>
      <c r="AH344" s="17" t="s">
        <v>160</v>
      </c>
      <c r="AI344" s="27" t="s">
        <v>160</v>
      </c>
      <c r="AJ344" s="17" t="s">
        <v>160</v>
      </c>
      <c r="AK344" s="19" t="str">
        <f>IF(A344="","",IF('Hidrograma afluente'!I351="",0,'Hidrograma afluente'!I351)+Simulação!B344)</f>
        <v/>
      </c>
    </row>
    <row r="345" spans="1:37" s="17" customFormat="1">
      <c r="A345" s="4" t="str">
        <f t="shared" si="79"/>
        <v/>
      </c>
      <c r="B345" s="5" t="str">
        <f>IF(A345="","",IF(A345&gt;tc_lot_i+tc,0,IF('Hidrograma afluente'!B352="","",'Hidrograma afluente'!B352)))</f>
        <v/>
      </c>
      <c r="C345" s="21" t="str">
        <f t="shared" si="80"/>
        <v/>
      </c>
      <c r="D345" s="21" t="str">
        <f t="shared" si="81"/>
        <v/>
      </c>
      <c r="E345" s="21" t="str">
        <f t="shared" si="82"/>
        <v/>
      </c>
      <c r="F345" s="21" t="str">
        <f t="shared" si="83"/>
        <v/>
      </c>
      <c r="G345" s="21" t="str">
        <f t="shared" si="84"/>
        <v/>
      </c>
      <c r="H345" s="23" t="str">
        <f t="shared" si="75"/>
        <v/>
      </c>
      <c r="I345" s="22" t="str">
        <f t="shared" si="85"/>
        <v/>
      </c>
      <c r="J345" s="1"/>
      <c r="K345" s="51"/>
      <c r="M345" s="81">
        <f t="shared" ca="1" si="76"/>
        <v>1875.2483112567695</v>
      </c>
      <c r="N345" s="19">
        <f t="shared" si="86"/>
        <v>51.166672061676117</v>
      </c>
      <c r="O345" s="17">
        <f t="shared" si="87"/>
        <v>86</v>
      </c>
      <c r="P345" s="19">
        <f ca="1">IF(ISERROR(IF(O345&lt;fi_h/20,0,(OFFSET('Base de dados'!$A$5,IF(O345&lt;20,1,IF(O345&gt;1000,10,MATCH(O345,Cargas,1))),Coluna_fih,1,1))*(1+0.13*0.25)*(PI()*(fi_h/1000)^2/4)*SQRT(2*9.81*(O345/100-fi_h/2/1000))*1000)),"",IF(O345&lt;fi_h/20,0,(OFFSET('Base de dados'!$A$5,IF(O345&lt;20,1,IF(O345&gt;1000,10,MATCH(O345,Cargas,1))),Coluna_fih,1,1))*(PI()*(fi_h/1000)^2/4)*SQRT(2*9.81*(O345/100-fi_h/2/1000))*1000))</f>
        <v>24.125766793518761</v>
      </c>
      <c r="Q345" s="19">
        <f ca="1">IF(O345="","",IF(Tipo_Vertedor="Retangular",IF(O345&lt;=cota_s*100,0,IF(Tipo_Vertedor="Retangular",Cd_sr*Lef_sr*((O345/100-cota_s)^(3/2))*1000)),IF(O345&lt;=cota_s*100+fi_s/20,0,(OFFSET('Base de dados'!$A$4,IF(O345&lt;20,1,IF(O345&gt;1000,10,MATCH(O345,Cargas,1))),Coluna_fis,1,1))*(PI()*(fi_s/1000)^2/4)*(2*9.81*(O345/100-cota_s-fi_s/2/1000))^0.5*1000)))</f>
        <v>145.56680907404683</v>
      </c>
      <c r="R345" s="19">
        <f t="shared" ca="1" si="77"/>
        <v>169.69257586756558</v>
      </c>
      <c r="S345" s="19">
        <f t="shared" ca="1" si="78"/>
        <v>1705.5557353892038</v>
      </c>
      <c r="AD345" s="19" t="str">
        <f t="shared" si="88"/>
        <v/>
      </c>
      <c r="AE345" s="19" t="str">
        <f t="shared" si="89"/>
        <v/>
      </c>
      <c r="AF345" s="19" t="str">
        <f>IF(ISERROR(IF('Hidrograma afluente'!I352="",0,'Hidrograma afluente'!I352)+Simulação!G345),"",IF('Hidrograma afluente'!I352="",0,'Hidrograma afluente'!I352)+Simulação!G345)</f>
        <v/>
      </c>
      <c r="AG345" s="17" t="s">
        <v>160</v>
      </c>
      <c r="AH345" s="17" t="s">
        <v>160</v>
      </c>
      <c r="AI345" s="27" t="s">
        <v>160</v>
      </c>
      <c r="AJ345" s="17" t="s">
        <v>160</v>
      </c>
      <c r="AK345" s="19" t="str">
        <f>IF(A345="","",IF('Hidrograma afluente'!I352="",0,'Hidrograma afluente'!I352)+Simulação!B345)</f>
        <v/>
      </c>
    </row>
    <row r="346" spans="1:37" s="17" customFormat="1">
      <c r="A346" s="4" t="str">
        <f t="shared" si="79"/>
        <v/>
      </c>
      <c r="B346" s="5" t="str">
        <f>IF(A346="","",IF(A346&gt;tc_lot_i+tc,0,IF('Hidrograma afluente'!B353="","",'Hidrograma afluente'!B353)))</f>
        <v/>
      </c>
      <c r="C346" s="21" t="str">
        <f t="shared" si="80"/>
        <v/>
      </c>
      <c r="D346" s="21" t="str">
        <f t="shared" si="81"/>
        <v/>
      </c>
      <c r="E346" s="21" t="str">
        <f t="shared" si="82"/>
        <v/>
      </c>
      <c r="F346" s="21" t="str">
        <f t="shared" si="83"/>
        <v/>
      </c>
      <c r="G346" s="21" t="str">
        <f t="shared" si="84"/>
        <v/>
      </c>
      <c r="H346" s="23" t="str">
        <f t="shared" si="75"/>
        <v/>
      </c>
      <c r="I346" s="22" t="str">
        <f t="shared" si="85"/>
        <v/>
      </c>
      <c r="J346" s="1"/>
      <c r="K346" s="51"/>
      <c r="M346" s="81">
        <f t="shared" ca="1" si="76"/>
        <v>1882.9670308712734</v>
      </c>
      <c r="N346" s="19">
        <f t="shared" si="86"/>
        <v>51.333971890721365</v>
      </c>
      <c r="O346" s="17">
        <f t="shared" si="87"/>
        <v>86.25</v>
      </c>
      <c r="P346" s="19">
        <f ca="1">IF(ISERROR(IF(O346&lt;fi_h/20,0,(OFFSET('Base de dados'!$A$5,IF(O346&lt;20,1,IF(O346&gt;1000,10,MATCH(O346,Cargas,1))),Coluna_fih,1,1))*(1+0.13*0.25)*(PI()*(fi_h/1000)^2/4)*SQRT(2*9.81*(O346/100-fi_h/2/1000))*1000)),"",IF(O346&lt;fi_h/20,0,(OFFSET('Base de dados'!$A$5,IF(O346&lt;20,1,IF(O346&gt;1000,10,MATCH(O346,Cargas,1))),Coluna_fih,1,1))*(PI()*(fi_h/1000)^2/4)*SQRT(2*9.81*(O346/100-fi_h/2/1000))*1000))</f>
        <v>24.163265287959231</v>
      </c>
      <c r="Q346" s="19">
        <f ca="1">IF(O346="","",IF(Tipo_Vertedor="Retangular",IF(O346&lt;=cota_s*100,0,IF(Tipo_Vertedor="Retangular",Cd_sr*Lef_sr*((O346/100-cota_s)^(3/2))*1000)),IF(O346&lt;=cota_s*100+fi_s/20,0,(OFFSET('Base de dados'!$A$4,IF(O346&lt;20,1,IF(O346&gt;1000,10,MATCH(O346,Cargas,1))),Coluna_fis,1,1))*(PI()*(fi_s/1000)^2/4)*(2*9.81*(O346/100-cota_s-fi_s/2/1000))^0.5*1000)))</f>
        <v>147.67136922593534</v>
      </c>
      <c r="R346" s="19">
        <f t="shared" ca="1" si="77"/>
        <v>171.83463451389457</v>
      </c>
      <c r="S346" s="19">
        <f t="shared" ca="1" si="78"/>
        <v>1711.1323963573789</v>
      </c>
      <c r="AD346" s="19" t="str">
        <f t="shared" si="88"/>
        <v/>
      </c>
      <c r="AE346" s="19" t="str">
        <f t="shared" si="89"/>
        <v/>
      </c>
      <c r="AF346" s="19" t="str">
        <f>IF(ISERROR(IF('Hidrograma afluente'!I353="",0,'Hidrograma afluente'!I353)+Simulação!G346),"",IF('Hidrograma afluente'!I353="",0,'Hidrograma afluente'!I353)+Simulação!G346)</f>
        <v/>
      </c>
      <c r="AG346" s="17" t="s">
        <v>160</v>
      </c>
      <c r="AH346" s="17" t="s">
        <v>160</v>
      </c>
      <c r="AI346" s="27" t="s">
        <v>160</v>
      </c>
      <c r="AJ346" s="17" t="s">
        <v>160</v>
      </c>
      <c r="AK346" s="19" t="str">
        <f>IF(A346="","",IF('Hidrograma afluente'!I353="",0,'Hidrograma afluente'!I353)+Simulação!B346)</f>
        <v/>
      </c>
    </row>
    <row r="347" spans="1:37" s="17" customFormat="1">
      <c r="A347" s="4" t="str">
        <f t="shared" si="79"/>
        <v/>
      </c>
      <c r="B347" s="5" t="str">
        <f>IF(A347="","",IF(A347&gt;tc_lot_i+tc,0,IF('Hidrograma afluente'!B354="","",'Hidrograma afluente'!B354)))</f>
        <v/>
      </c>
      <c r="C347" s="21" t="str">
        <f t="shared" si="80"/>
        <v/>
      </c>
      <c r="D347" s="21" t="str">
        <f t="shared" si="81"/>
        <v/>
      </c>
      <c r="E347" s="21" t="str">
        <f t="shared" si="82"/>
        <v/>
      </c>
      <c r="F347" s="21" t="str">
        <f t="shared" si="83"/>
        <v/>
      </c>
      <c r="G347" s="21" t="str">
        <f t="shared" si="84"/>
        <v/>
      </c>
      <c r="H347" s="23" t="str">
        <f t="shared" ref="H347:H410" si="90">IF(A347="","",IF(ISERROR(B347+C347+D347-G347),0,B347+C347+D347-G347))</f>
        <v/>
      </c>
      <c r="I347" s="22" t="str">
        <f t="shared" si="85"/>
        <v/>
      </c>
      <c r="J347" s="1"/>
      <c r="K347" s="51"/>
      <c r="M347" s="81">
        <f t="shared" ca="1" si="76"/>
        <v>1890.697752127651</v>
      </c>
      <c r="N347" s="19">
        <f t="shared" si="86"/>
        <v>51.501332140265291</v>
      </c>
      <c r="O347" s="17">
        <f t="shared" si="87"/>
        <v>86.5</v>
      </c>
      <c r="P347" s="19">
        <f ca="1">IF(ISERROR(IF(O347&lt;fi_h/20,0,(OFFSET('Base de dados'!$A$5,IF(O347&lt;20,1,IF(O347&gt;1000,10,MATCH(O347,Cargas,1))),Coluna_fih,1,1))*(1+0.13*0.25)*(PI()*(fi_h/1000)^2/4)*SQRT(2*9.81*(O347/100-fi_h/2/1000))*1000)),"",IF(O347&lt;fi_h/20,0,(OFFSET('Base de dados'!$A$5,IF(O347&lt;20,1,IF(O347&gt;1000,10,MATCH(O347,Cargas,1))),Coluna_fih,1,1))*(PI()*(fi_h/1000)^2/4)*SQRT(2*9.81*(O347/100-fi_h/2/1000))*1000))</f>
        <v>24.20070567932552</v>
      </c>
      <c r="Q347" s="19">
        <f ca="1">IF(O347="","",IF(Tipo_Vertedor="Retangular",IF(O347&lt;=cota_s*100,0,IF(Tipo_Vertedor="Retangular",Cd_sr*Lef_sr*((O347/100-cota_s)^(3/2))*1000)),IF(O347&lt;=cota_s*100+fi_s/20,0,(OFFSET('Base de dados'!$A$4,IF(O347&lt;20,1,IF(O347&gt;1000,10,MATCH(O347,Cargas,1))),Coluna_fis,1,1))*(PI()*(fi_s/1000)^2/4)*(2*9.81*(O347/100-cota_s-fi_s/2/1000))^0.5*1000)))</f>
        <v>149.78597510614941</v>
      </c>
      <c r="R347" s="19">
        <f t="shared" ca="1" si="77"/>
        <v>173.98668078547493</v>
      </c>
      <c r="S347" s="19">
        <f t="shared" ca="1" si="78"/>
        <v>1716.7110713421762</v>
      </c>
      <c r="AD347" s="19" t="str">
        <f t="shared" si="88"/>
        <v/>
      </c>
      <c r="AE347" s="19" t="str">
        <f t="shared" si="89"/>
        <v/>
      </c>
      <c r="AF347" s="19" t="str">
        <f>IF(ISERROR(IF('Hidrograma afluente'!I354="",0,'Hidrograma afluente'!I354)+Simulação!G347),"",IF('Hidrograma afluente'!I354="",0,'Hidrograma afluente'!I354)+Simulação!G347)</f>
        <v/>
      </c>
      <c r="AG347" s="17" t="s">
        <v>160</v>
      </c>
      <c r="AH347" s="17" t="s">
        <v>160</v>
      </c>
      <c r="AI347" s="27" t="s">
        <v>160</v>
      </c>
      <c r="AJ347" s="17" t="s">
        <v>160</v>
      </c>
      <c r="AK347" s="19" t="str">
        <f>IF(A347="","",IF('Hidrograma afluente'!I354="",0,'Hidrograma afluente'!I354)+Simulação!B347)</f>
        <v/>
      </c>
    </row>
    <row r="348" spans="1:37" s="17" customFormat="1">
      <c r="A348" s="4" t="str">
        <f t="shared" si="79"/>
        <v/>
      </c>
      <c r="B348" s="5" t="str">
        <f>IF(A348="","",IF(A348&gt;tc_lot_i+tc,0,IF('Hidrograma afluente'!B355="","",'Hidrograma afluente'!B355)))</f>
        <v/>
      </c>
      <c r="C348" s="21" t="str">
        <f t="shared" si="80"/>
        <v/>
      </c>
      <c r="D348" s="21" t="str">
        <f t="shared" si="81"/>
        <v/>
      </c>
      <c r="E348" s="21" t="str">
        <f t="shared" si="82"/>
        <v/>
      </c>
      <c r="F348" s="21" t="str">
        <f t="shared" si="83"/>
        <v/>
      </c>
      <c r="G348" s="21" t="str">
        <f t="shared" si="84"/>
        <v/>
      </c>
      <c r="H348" s="23" t="str">
        <f t="shared" si="90"/>
        <v/>
      </c>
      <c r="I348" s="22" t="str">
        <f t="shared" si="85"/>
        <v/>
      </c>
      <c r="J348" s="1"/>
      <c r="K348" s="51"/>
      <c r="M348" s="81">
        <f t="shared" ca="1" si="76"/>
        <v>1898.4404226996342</v>
      </c>
      <c r="N348" s="19">
        <f t="shared" si="86"/>
        <v>51.668752657408113</v>
      </c>
      <c r="O348" s="17">
        <f t="shared" si="87"/>
        <v>86.75</v>
      </c>
      <c r="P348" s="19">
        <f ca="1">IF(ISERROR(IF(O348&lt;fi_h/20,0,(OFFSET('Base de dados'!$A$5,IF(O348&lt;20,1,IF(O348&gt;1000,10,MATCH(O348,Cargas,1))),Coluna_fih,1,1))*(1+0.13*0.25)*(PI()*(fi_h/1000)^2/4)*SQRT(2*9.81*(O348/100-fi_h/2/1000))*1000)),"",IF(O348&lt;fi_h/20,0,(OFFSET('Base de dados'!$A$5,IF(O348&lt;20,1,IF(O348&gt;1000,10,MATCH(O348,Cargas,1))),Coluna_fih,1,1))*(PI()*(fi_h/1000)^2/4)*SQRT(2*9.81*(O348/100-fi_h/2/1000))*1000))</f>
        <v>24.238088236871764</v>
      </c>
      <c r="Q348" s="19">
        <f ca="1">IF(O348="","",IF(Tipo_Vertedor="Retangular",IF(O348&lt;=cota_s*100,0,IF(Tipo_Vertedor="Retangular",Cd_sr*Lef_sr*((O348/100-cota_s)^(3/2))*1000)),IF(O348&lt;=cota_s*100+fi_s/20,0,(OFFSET('Base de dados'!$A$4,IF(O348&lt;20,1,IF(O348&gt;1000,10,MATCH(O348,Cargas,1))),Coluna_fis,1,1))*(PI()*(fi_s/1000)^2/4)*(2*9.81*(O348/100-cota_s-fi_s/2/1000))^0.5*1000)))</f>
        <v>151.91057921582529</v>
      </c>
      <c r="R348" s="19">
        <f t="shared" ca="1" si="77"/>
        <v>176.14866745269705</v>
      </c>
      <c r="S348" s="19">
        <f t="shared" ca="1" si="78"/>
        <v>1722.2917552469371</v>
      </c>
      <c r="AD348" s="19" t="str">
        <f t="shared" si="88"/>
        <v/>
      </c>
      <c r="AE348" s="19" t="str">
        <f t="shared" si="89"/>
        <v/>
      </c>
      <c r="AF348" s="19" t="str">
        <f>IF(ISERROR(IF('Hidrograma afluente'!I355="",0,'Hidrograma afluente'!I355)+Simulação!G348),"",IF('Hidrograma afluente'!I355="",0,'Hidrograma afluente'!I355)+Simulação!G348)</f>
        <v/>
      </c>
      <c r="AG348" s="17" t="s">
        <v>160</v>
      </c>
      <c r="AH348" s="17" t="s">
        <v>160</v>
      </c>
      <c r="AI348" s="27" t="s">
        <v>160</v>
      </c>
      <c r="AJ348" s="17" t="s">
        <v>160</v>
      </c>
      <c r="AK348" s="19" t="str">
        <f>IF(A348="","",IF('Hidrograma afluente'!I355="",0,'Hidrograma afluente'!I355)+Simulação!B348)</f>
        <v/>
      </c>
    </row>
    <row r="349" spans="1:37" s="17" customFormat="1">
      <c r="A349" s="4" t="str">
        <f t="shared" si="79"/>
        <v/>
      </c>
      <c r="B349" s="5" t="str">
        <f>IF(A349="","",IF(A349&gt;tc_lot_i+tc,0,IF('Hidrograma afluente'!B356="","",'Hidrograma afluente'!B356)))</f>
        <v/>
      </c>
      <c r="C349" s="21" t="str">
        <f t="shared" si="80"/>
        <v/>
      </c>
      <c r="D349" s="21" t="str">
        <f t="shared" si="81"/>
        <v/>
      </c>
      <c r="E349" s="21" t="str">
        <f t="shared" si="82"/>
        <v/>
      </c>
      <c r="F349" s="21" t="str">
        <f t="shared" si="83"/>
        <v/>
      </c>
      <c r="G349" s="21" t="str">
        <f t="shared" si="84"/>
        <v/>
      </c>
      <c r="H349" s="23" t="str">
        <f t="shared" si="90"/>
        <v/>
      </c>
      <c r="I349" s="22" t="str">
        <f t="shared" si="85"/>
        <v/>
      </c>
      <c r="J349" s="1"/>
      <c r="K349" s="51"/>
      <c r="M349" s="81">
        <f t="shared" ca="1" si="76"/>
        <v>1906.194990953893</v>
      </c>
      <c r="N349" s="19">
        <f t="shared" si="86"/>
        <v>51.836233290076599</v>
      </c>
      <c r="O349" s="17">
        <f t="shared" si="87"/>
        <v>87</v>
      </c>
      <c r="P349" s="19">
        <f ca="1">IF(ISERROR(IF(O349&lt;fi_h/20,0,(OFFSET('Base de dados'!$A$5,IF(O349&lt;20,1,IF(O349&gt;1000,10,MATCH(O349,Cargas,1))),Coluna_fih,1,1))*(1+0.13*0.25)*(PI()*(fi_h/1000)^2/4)*SQRT(2*9.81*(O349/100-fi_h/2/1000))*1000)),"",IF(O349&lt;fi_h/20,0,(OFFSET('Base de dados'!$A$5,IF(O349&lt;20,1,IF(O349&gt;1000,10,MATCH(O349,Cargas,1))),Coluna_fih,1,1))*(PI()*(fi_h/1000)^2/4)*SQRT(2*9.81*(O349/100-fi_h/2/1000))*1000))</f>
        <v>24.27541322777893</v>
      </c>
      <c r="Q349" s="19">
        <f ca="1">IF(O349="","",IF(Tipo_Vertedor="Retangular",IF(O349&lt;=cota_s*100,0,IF(Tipo_Vertedor="Retangular",Cd_sr*Lef_sr*((O349/100-cota_s)^(3/2))*1000)),IF(O349&lt;=cota_s*100+fi_s/20,0,(OFFSET('Base de dados'!$A$4,IF(O349&lt;20,1,IF(O349&gt;1000,10,MATCH(O349,Cargas,1))),Coluna_fis,1,1))*(PI()*(fi_s/1000)^2/4)*(2*9.81*(O349/100-cota_s-fi_s/2/1000))^0.5*1000)))</f>
        <v>154.04513472356084</v>
      </c>
      <c r="R349" s="19">
        <f t="shared" ca="1" si="77"/>
        <v>178.32054795133976</v>
      </c>
      <c r="S349" s="19">
        <f t="shared" ca="1" si="78"/>
        <v>1727.8744430025533</v>
      </c>
      <c r="AD349" s="19" t="str">
        <f t="shared" si="88"/>
        <v/>
      </c>
      <c r="AE349" s="19" t="str">
        <f t="shared" si="89"/>
        <v/>
      </c>
      <c r="AF349" s="19" t="str">
        <f>IF(ISERROR(IF('Hidrograma afluente'!I356="",0,'Hidrograma afluente'!I356)+Simulação!G349),"",IF('Hidrograma afluente'!I356="",0,'Hidrograma afluente'!I356)+Simulação!G349)</f>
        <v/>
      </c>
      <c r="AG349" s="17" t="s">
        <v>160</v>
      </c>
      <c r="AH349" s="17" t="s">
        <v>160</v>
      </c>
      <c r="AI349" s="27" t="s">
        <v>160</v>
      </c>
      <c r="AJ349" s="17" t="s">
        <v>160</v>
      </c>
      <c r="AK349" s="19" t="str">
        <f>IF(A349="","",IF('Hidrograma afluente'!I356="",0,'Hidrograma afluente'!I356)+Simulação!B349)</f>
        <v/>
      </c>
    </row>
    <row r="350" spans="1:37" s="17" customFormat="1">
      <c r="A350" s="4" t="str">
        <f t="shared" si="79"/>
        <v/>
      </c>
      <c r="B350" s="5" t="str">
        <f>IF(A350="","",IF(A350&gt;tc_lot_i+tc,0,IF('Hidrograma afluente'!B357="","",'Hidrograma afluente'!B357)))</f>
        <v/>
      </c>
      <c r="C350" s="21" t="str">
        <f t="shared" si="80"/>
        <v/>
      </c>
      <c r="D350" s="21" t="str">
        <f t="shared" si="81"/>
        <v/>
      </c>
      <c r="E350" s="21" t="str">
        <f t="shared" si="82"/>
        <v/>
      </c>
      <c r="F350" s="21" t="str">
        <f t="shared" si="83"/>
        <v/>
      </c>
      <c r="G350" s="21" t="str">
        <f t="shared" si="84"/>
        <v/>
      </c>
      <c r="H350" s="23" t="str">
        <f t="shared" si="90"/>
        <v/>
      </c>
      <c r="I350" s="22" t="str">
        <f t="shared" si="85"/>
        <v/>
      </c>
      <c r="J350" s="1"/>
      <c r="K350" s="51"/>
      <c r="M350" s="81">
        <f t="shared" ca="1" si="76"/>
        <v>1913.9614059343467</v>
      </c>
      <c r="N350" s="19">
        <f t="shared" si="86"/>
        <v>52.003773887017211</v>
      </c>
      <c r="O350" s="17">
        <f t="shared" si="87"/>
        <v>87.25</v>
      </c>
      <c r="P350" s="19">
        <f ca="1">IF(ISERROR(IF(O350&lt;fi_h/20,0,(OFFSET('Base de dados'!$A$5,IF(O350&lt;20,1,IF(O350&gt;1000,10,MATCH(O350,Cargas,1))),Coluna_fih,1,1))*(1+0.13*0.25)*(PI()*(fi_h/1000)^2/4)*SQRT(2*9.81*(O350/100-fi_h/2/1000))*1000)),"",IF(O350&lt;fi_h/20,0,(OFFSET('Base de dados'!$A$5,IF(O350&lt;20,1,IF(O350&gt;1000,10,MATCH(O350,Cargas,1))),Coluna_fih,1,1))*(PI()*(fi_h/1000)^2/4)*SQRT(2*9.81*(O350/100-fi_h/2/1000))*1000))</f>
        <v>24.312680917177094</v>
      </c>
      <c r="Q350" s="19">
        <f ca="1">IF(O350="","",IF(Tipo_Vertedor="Retangular",IF(O350&lt;=cota_s*100,0,IF(Tipo_Vertedor="Retangular",Cd_sr*Lef_sr*((O350/100-cota_s)^(3/2))*1000)),IF(O350&lt;=cota_s*100+fi_s/20,0,(OFFSET('Base de dados'!$A$4,IF(O350&lt;20,1,IF(O350&gt;1000,10,MATCH(O350,Cargas,1))),Coluna_fis,1,1))*(PI()*(fi_s/1000)^2/4)*(2*9.81*(O350/100-cota_s-fi_s/2/1000))^0.5*1000)))</f>
        <v>156.18959544992913</v>
      </c>
      <c r="R350" s="19">
        <f t="shared" ca="1" si="77"/>
        <v>180.50227636710622</v>
      </c>
      <c r="S350" s="19">
        <f t="shared" ca="1" si="78"/>
        <v>1733.4591295672403</v>
      </c>
      <c r="AD350" s="19" t="str">
        <f t="shared" si="88"/>
        <v/>
      </c>
      <c r="AE350" s="19" t="str">
        <f t="shared" si="89"/>
        <v/>
      </c>
      <c r="AF350" s="19" t="str">
        <f>IF(ISERROR(IF('Hidrograma afluente'!I357="",0,'Hidrograma afluente'!I357)+Simulação!G350),"",IF('Hidrograma afluente'!I357="",0,'Hidrograma afluente'!I357)+Simulação!G350)</f>
        <v/>
      </c>
      <c r="AG350" s="17" t="s">
        <v>160</v>
      </c>
      <c r="AH350" s="17" t="s">
        <v>160</v>
      </c>
      <c r="AI350" s="27" t="s">
        <v>160</v>
      </c>
      <c r="AJ350" s="17" t="s">
        <v>160</v>
      </c>
      <c r="AK350" s="19" t="str">
        <f>IF(A350="","",IF('Hidrograma afluente'!I357="",0,'Hidrograma afluente'!I357)+Simulação!B350)</f>
        <v/>
      </c>
    </row>
    <row r="351" spans="1:37" s="17" customFormat="1">
      <c r="A351" s="4" t="str">
        <f t="shared" si="79"/>
        <v/>
      </c>
      <c r="B351" s="5" t="str">
        <f>IF(A351="","",IF(A351&gt;tc_lot_i+tc,0,IF('Hidrograma afluente'!B358="","",'Hidrograma afluente'!B358)))</f>
        <v/>
      </c>
      <c r="C351" s="21" t="str">
        <f t="shared" si="80"/>
        <v/>
      </c>
      <c r="D351" s="21" t="str">
        <f t="shared" si="81"/>
        <v/>
      </c>
      <c r="E351" s="21" t="str">
        <f t="shared" si="82"/>
        <v/>
      </c>
      <c r="F351" s="21" t="str">
        <f t="shared" si="83"/>
        <v/>
      </c>
      <c r="G351" s="21" t="str">
        <f t="shared" si="84"/>
        <v/>
      </c>
      <c r="H351" s="23" t="str">
        <f t="shared" si="90"/>
        <v/>
      </c>
      <c r="I351" s="22" t="str">
        <f t="shared" si="85"/>
        <v/>
      </c>
      <c r="J351" s="1"/>
      <c r="K351" s="51"/>
      <c r="M351" s="81">
        <f t="shared" ca="1" si="76"/>
        <v>1921.739617346967</v>
      </c>
      <c r="N351" s="19">
        <f t="shared" si="86"/>
        <v>52.171374297789328</v>
      </c>
      <c r="O351" s="17">
        <f t="shared" si="87"/>
        <v>87.5</v>
      </c>
      <c r="P351" s="19">
        <f ca="1">IF(ISERROR(IF(O351&lt;fi_h/20,0,(OFFSET('Base de dados'!$A$5,IF(O351&lt;20,1,IF(O351&gt;1000,10,MATCH(O351,Cargas,1))),Coluna_fih,1,1))*(1+0.13*0.25)*(PI()*(fi_h/1000)^2/4)*SQRT(2*9.81*(O351/100-fi_h/2/1000))*1000)),"",IF(O351&lt;fi_h/20,0,(OFFSET('Base de dados'!$A$5,IF(O351&lt;20,1,IF(O351&gt;1000,10,MATCH(O351,Cargas,1))),Coluna_fih,1,1))*(PI()*(fi_h/1000)^2/4)*SQRT(2*9.81*(O351/100-fi_h/2/1000))*1000))</f>
        <v>24.349891568167408</v>
      </c>
      <c r="Q351" s="19">
        <f ca="1">IF(O351="","",IF(Tipo_Vertedor="Retangular",IF(O351&lt;=cota_s*100,0,IF(Tipo_Vertedor="Retangular",Cd_sr*Lef_sr*((O351/100-cota_s)^(3/2))*1000)),IF(O351&lt;=cota_s*100+fi_s/20,0,(OFFSET('Base de dados'!$A$4,IF(O351&lt;20,1,IF(O351&gt;1000,10,MATCH(O351,Cargas,1))),Coluna_fis,1,1))*(PI()*(fi_s/1000)^2/4)*(2*9.81*(O351/100-cota_s-fi_s/2/1000))^0.5*1000)))</f>
        <v>158.34391585248866</v>
      </c>
      <c r="R351" s="19">
        <f t="shared" ca="1" si="77"/>
        <v>182.69380742065607</v>
      </c>
      <c r="S351" s="19">
        <f t="shared" ca="1" si="78"/>
        <v>1739.045809926311</v>
      </c>
      <c r="AD351" s="19" t="str">
        <f t="shared" si="88"/>
        <v/>
      </c>
      <c r="AE351" s="19" t="str">
        <f t="shared" si="89"/>
        <v/>
      </c>
      <c r="AF351" s="19" t="str">
        <f>IF(ISERROR(IF('Hidrograma afluente'!I358="",0,'Hidrograma afluente'!I358)+Simulação!G351),"",IF('Hidrograma afluente'!I358="",0,'Hidrograma afluente'!I358)+Simulação!G351)</f>
        <v/>
      </c>
      <c r="AG351" s="17" t="s">
        <v>160</v>
      </c>
      <c r="AH351" s="17" t="s">
        <v>160</v>
      </c>
      <c r="AI351" s="27" t="s">
        <v>160</v>
      </c>
      <c r="AJ351" s="17" t="s">
        <v>160</v>
      </c>
      <c r="AK351" s="19" t="str">
        <f>IF(A351="","",IF('Hidrograma afluente'!I358="",0,'Hidrograma afluente'!I358)+Simulação!B351)</f>
        <v/>
      </c>
    </row>
    <row r="352" spans="1:37" s="17" customFormat="1">
      <c r="A352" s="4" t="str">
        <f t="shared" si="79"/>
        <v/>
      </c>
      <c r="B352" s="5" t="str">
        <f>IF(A352="","",IF(A352&gt;tc_lot_i+tc,0,IF('Hidrograma afluente'!B359="","",'Hidrograma afluente'!B359)))</f>
        <v/>
      </c>
      <c r="C352" s="21" t="str">
        <f t="shared" si="80"/>
        <v/>
      </c>
      <c r="D352" s="21" t="str">
        <f t="shared" si="81"/>
        <v/>
      </c>
      <c r="E352" s="21" t="str">
        <f t="shared" si="82"/>
        <v/>
      </c>
      <c r="F352" s="21" t="str">
        <f t="shared" si="83"/>
        <v/>
      </c>
      <c r="G352" s="21" t="str">
        <f t="shared" si="84"/>
        <v/>
      </c>
      <c r="H352" s="23" t="str">
        <f t="shared" si="90"/>
        <v/>
      </c>
      <c r="I352" s="22" t="str">
        <f t="shared" si="85"/>
        <v/>
      </c>
      <c r="J352" s="1"/>
      <c r="K352" s="51"/>
      <c r="M352" s="81">
        <f t="shared" ca="1" si="76"/>
        <v>1929.5295755450707</v>
      </c>
      <c r="N352" s="19">
        <f t="shared" si="86"/>
        <v>52.339034372758611</v>
      </c>
      <c r="O352" s="17">
        <f t="shared" si="87"/>
        <v>87.75</v>
      </c>
      <c r="P352" s="19">
        <f ca="1">IF(ISERROR(IF(O352&lt;fi_h/20,0,(OFFSET('Base de dados'!$A$5,IF(O352&lt;20,1,IF(O352&gt;1000,10,MATCH(O352,Cargas,1))),Coluna_fih,1,1))*(1+0.13*0.25)*(PI()*(fi_h/1000)^2/4)*SQRT(2*9.81*(O352/100-fi_h/2/1000))*1000)),"",IF(O352&lt;fi_h/20,0,(OFFSET('Base de dados'!$A$5,IF(O352&lt;20,1,IF(O352&gt;1000,10,MATCH(O352,Cargas,1))),Coluna_fih,1,1))*(PI()*(fi_h/1000)^2/4)*SQRT(2*9.81*(O352/100-fi_h/2/1000))*1000))</f>
        <v>24.387045441843771</v>
      </c>
      <c r="Q352" s="19">
        <f ca="1">IF(O352="","",IF(Tipo_Vertedor="Retangular",IF(O352&lt;=cota_s*100,0,IF(Tipo_Vertedor="Retangular",Cd_sr*Lef_sr*((O352/100-cota_s)^(3/2))*1000)),IF(O352&lt;=cota_s*100+fi_s/20,0,(OFFSET('Base de dados'!$A$4,IF(O352&lt;20,1,IF(O352&gt;1000,10,MATCH(O352,Cargas,1))),Coluna_fis,1,1))*(PI()*(fi_s/1000)^2/4)*(2*9.81*(O352/100-cota_s-fi_s/2/1000))^0.5*1000)))</f>
        <v>160.50805101127321</v>
      </c>
      <c r="R352" s="19">
        <f t="shared" ca="1" si="77"/>
        <v>184.89509645311699</v>
      </c>
      <c r="S352" s="19">
        <f t="shared" ca="1" si="78"/>
        <v>1744.6344790919536</v>
      </c>
      <c r="AD352" s="19" t="str">
        <f t="shared" si="88"/>
        <v/>
      </c>
      <c r="AE352" s="19" t="str">
        <f t="shared" si="89"/>
        <v/>
      </c>
      <c r="AF352" s="19" t="str">
        <f>IF(ISERROR(IF('Hidrograma afluente'!I359="",0,'Hidrograma afluente'!I359)+Simulação!G352),"",IF('Hidrograma afluente'!I359="",0,'Hidrograma afluente'!I359)+Simulação!G352)</f>
        <v/>
      </c>
      <c r="AG352" s="17" t="s">
        <v>160</v>
      </c>
      <c r="AH352" s="17" t="s">
        <v>160</v>
      </c>
      <c r="AI352" s="27" t="s">
        <v>160</v>
      </c>
      <c r="AJ352" s="17" t="s">
        <v>160</v>
      </c>
      <c r="AK352" s="19" t="str">
        <f>IF(A352="","",IF('Hidrograma afluente'!I359="",0,'Hidrograma afluente'!I359)+Simulação!B352)</f>
        <v/>
      </c>
    </row>
    <row r="353" spans="1:37" s="17" customFormat="1">
      <c r="A353" s="4" t="str">
        <f t="shared" si="79"/>
        <v/>
      </c>
      <c r="B353" s="5" t="str">
        <f>IF(A353="","",IF(A353&gt;tc_lot_i+tc,0,IF('Hidrograma afluente'!B360="","",'Hidrograma afluente'!B360)))</f>
        <v/>
      </c>
      <c r="C353" s="21" t="str">
        <f t="shared" si="80"/>
        <v/>
      </c>
      <c r="D353" s="21" t="str">
        <f t="shared" si="81"/>
        <v/>
      </c>
      <c r="E353" s="21" t="str">
        <f t="shared" si="82"/>
        <v/>
      </c>
      <c r="F353" s="21" t="str">
        <f t="shared" si="83"/>
        <v/>
      </c>
      <c r="G353" s="21" t="str">
        <f t="shared" si="84"/>
        <v/>
      </c>
      <c r="H353" s="23" t="str">
        <f t="shared" si="90"/>
        <v/>
      </c>
      <c r="I353" s="22" t="str">
        <f t="shared" si="85"/>
        <v/>
      </c>
      <c r="J353" s="1"/>
      <c r="K353" s="51"/>
      <c r="M353" s="81">
        <f t="shared" ca="1" si="76"/>
        <v>1937.331231515067</v>
      </c>
      <c r="N353" s="19">
        <f t="shared" si="86"/>
        <v>52.506753963090389</v>
      </c>
      <c r="O353" s="17">
        <f t="shared" si="87"/>
        <v>88</v>
      </c>
      <c r="P353" s="19">
        <f ca="1">IF(ISERROR(IF(O353&lt;fi_h/20,0,(OFFSET('Base de dados'!$A$5,IF(O353&lt;20,1,IF(O353&gt;1000,10,MATCH(O353,Cargas,1))),Coluna_fih,1,1))*(1+0.13*0.25)*(PI()*(fi_h/1000)^2/4)*SQRT(2*9.81*(O353/100-fi_h/2/1000))*1000)),"",IF(O353&lt;fi_h/20,0,(OFFSET('Base de dados'!$A$5,IF(O353&lt;20,1,IF(O353&gt;1000,10,MATCH(O353,Cargas,1))),Coluna_fih,1,1))*(PI()*(fi_h/1000)^2/4)*SQRT(2*9.81*(O353/100-fi_h/2/1000))*1000))</f>
        <v>24.424142797314222</v>
      </c>
      <c r="Q353" s="19">
        <f ca="1">IF(O353="","",IF(Tipo_Vertedor="Retangular",IF(O353&lt;=cota_s*100,0,IF(Tipo_Vertedor="Retangular",Cd_sr*Lef_sr*((O353/100-cota_s)^(3/2))*1000)),IF(O353&lt;=cota_s*100+fi_s/20,0,(OFFSET('Base de dados'!$A$4,IF(O353&lt;20,1,IF(O353&gt;1000,10,MATCH(O353,Cargas,1))),Coluna_fis,1,1))*(PI()*(fi_s/1000)^2/4)*(2*9.81*(O353/100-cota_s-fi_s/2/1000))^0.5*1000)))</f>
        <v>162.68195661473962</v>
      </c>
      <c r="R353" s="19">
        <f t="shared" ca="1" si="77"/>
        <v>187.10609941205385</v>
      </c>
      <c r="S353" s="19">
        <f t="shared" ca="1" si="78"/>
        <v>1750.225132103013</v>
      </c>
      <c r="AD353" s="19" t="str">
        <f t="shared" si="88"/>
        <v/>
      </c>
      <c r="AE353" s="19" t="str">
        <f t="shared" si="89"/>
        <v/>
      </c>
      <c r="AF353" s="19" t="str">
        <f>IF(ISERROR(IF('Hidrograma afluente'!I360="",0,'Hidrograma afluente'!I360)+Simulação!G353),"",IF('Hidrograma afluente'!I360="",0,'Hidrograma afluente'!I360)+Simulação!G353)</f>
        <v/>
      </c>
      <c r="AG353" s="17" t="s">
        <v>160</v>
      </c>
      <c r="AH353" s="17" t="s">
        <v>160</v>
      </c>
      <c r="AI353" s="27" t="s">
        <v>160</v>
      </c>
      <c r="AJ353" s="17" t="s">
        <v>160</v>
      </c>
      <c r="AK353" s="19" t="str">
        <f>IF(A353="","",IF('Hidrograma afluente'!I360="",0,'Hidrograma afluente'!I360)+Simulação!B353)</f>
        <v/>
      </c>
    </row>
    <row r="354" spans="1:37" s="17" customFormat="1">
      <c r="A354" s="4" t="str">
        <f t="shared" si="79"/>
        <v/>
      </c>
      <c r="B354" s="5" t="str">
        <f>IF(A354="","",IF(A354&gt;tc_lot_i+tc,0,IF('Hidrograma afluente'!B361="","",'Hidrograma afluente'!B361)))</f>
        <v/>
      </c>
      <c r="C354" s="21" t="str">
        <f t="shared" si="80"/>
        <v/>
      </c>
      <c r="D354" s="21" t="str">
        <f t="shared" si="81"/>
        <v/>
      </c>
      <c r="E354" s="21" t="str">
        <f t="shared" si="82"/>
        <v/>
      </c>
      <c r="F354" s="21" t="str">
        <f t="shared" si="83"/>
        <v/>
      </c>
      <c r="G354" s="21" t="str">
        <f t="shared" si="84"/>
        <v/>
      </c>
      <c r="H354" s="23" t="str">
        <f t="shared" si="90"/>
        <v/>
      </c>
      <c r="I354" s="22" t="str">
        <f t="shared" si="85"/>
        <v/>
      </c>
      <c r="J354" s="1"/>
      <c r="K354" s="51"/>
      <c r="M354" s="81">
        <f t="shared" ca="1" si="76"/>
        <v>1945.1445368626464</v>
      </c>
      <c r="N354" s="19">
        <f t="shared" si="86"/>
        <v>52.674532920743083</v>
      </c>
      <c r="O354" s="17">
        <f t="shared" si="87"/>
        <v>88.25</v>
      </c>
      <c r="P354" s="19">
        <f ca="1">IF(ISERROR(IF(O354&lt;fi_h/20,0,(OFFSET('Base de dados'!$A$5,IF(O354&lt;20,1,IF(O354&gt;1000,10,MATCH(O354,Cargas,1))),Coluna_fih,1,1))*(1+0.13*0.25)*(PI()*(fi_h/1000)^2/4)*SQRT(2*9.81*(O354/100-fi_h/2/1000))*1000)),"",IF(O354&lt;fi_h/20,0,(OFFSET('Base de dados'!$A$5,IF(O354&lt;20,1,IF(O354&gt;1000,10,MATCH(O354,Cargas,1))),Coluna_fih,1,1))*(PI()*(fi_h/1000)^2/4)*SQRT(2*9.81*(O354/100-fi_h/2/1000))*1000))</f>
        <v>24.461183891721987</v>
      </c>
      <c r="Q354" s="19">
        <f ca="1">IF(O354="","",IF(Tipo_Vertedor="Retangular",IF(O354&lt;=cota_s*100,0,IF(Tipo_Vertedor="Retangular",Cd_sr*Lef_sr*((O354/100-cota_s)^(3/2))*1000)),IF(O354&lt;=cota_s*100+fi_s/20,0,(OFFSET('Base de dados'!$A$4,IF(O354&lt;20,1,IF(O354&gt;1000,10,MATCH(O354,Cargas,1))),Coluna_fis,1,1))*(PI()*(fi_s/1000)^2/4)*(2*9.81*(O354/100-cota_s-fi_s/2/1000))^0.5*1000)))</f>
        <v>164.86558894615484</v>
      </c>
      <c r="R354" s="19">
        <f t="shared" ca="1" si="77"/>
        <v>189.32677283787683</v>
      </c>
      <c r="S354" s="19">
        <f t="shared" ca="1" si="78"/>
        <v>1755.8177640247695</v>
      </c>
      <c r="AD354" s="19" t="str">
        <f t="shared" si="88"/>
        <v/>
      </c>
      <c r="AE354" s="19" t="str">
        <f t="shared" si="89"/>
        <v/>
      </c>
      <c r="AF354" s="19" t="str">
        <f>IF(ISERROR(IF('Hidrograma afluente'!I361="",0,'Hidrograma afluente'!I361)+Simulação!G354),"",IF('Hidrograma afluente'!I361="",0,'Hidrograma afluente'!I361)+Simulação!G354)</f>
        <v/>
      </c>
      <c r="AG354" s="17" t="s">
        <v>160</v>
      </c>
      <c r="AH354" s="17" t="s">
        <v>160</v>
      </c>
      <c r="AI354" s="27" t="s">
        <v>160</v>
      </c>
      <c r="AJ354" s="17" t="s">
        <v>160</v>
      </c>
      <c r="AK354" s="19" t="str">
        <f>IF(A354="","",IF('Hidrograma afluente'!I361="",0,'Hidrograma afluente'!I361)+Simulação!B354)</f>
        <v/>
      </c>
    </row>
    <row r="355" spans="1:37" s="17" customFormat="1">
      <c r="A355" s="4" t="str">
        <f t="shared" si="79"/>
        <v/>
      </c>
      <c r="B355" s="5" t="str">
        <f>IF(A355="","",IF(A355&gt;tc_lot_i+tc,0,IF('Hidrograma afluente'!B362="","",'Hidrograma afluente'!B362)))</f>
        <v/>
      </c>
      <c r="C355" s="21" t="str">
        <f t="shared" si="80"/>
        <v/>
      </c>
      <c r="D355" s="21" t="str">
        <f t="shared" si="81"/>
        <v/>
      </c>
      <c r="E355" s="21" t="str">
        <f t="shared" si="82"/>
        <v/>
      </c>
      <c r="F355" s="21" t="str">
        <f t="shared" si="83"/>
        <v/>
      </c>
      <c r="G355" s="21" t="str">
        <f t="shared" si="84"/>
        <v/>
      </c>
      <c r="H355" s="23" t="str">
        <f t="shared" si="90"/>
        <v/>
      </c>
      <c r="I355" s="22" t="str">
        <f t="shared" si="85"/>
        <v/>
      </c>
      <c r="J355" s="1"/>
      <c r="K355" s="51"/>
      <c r="M355" s="81">
        <f t="shared" ca="1" si="76"/>
        <v>1952.9694437994008</v>
      </c>
      <c r="N355" s="19">
        <f t="shared" si="86"/>
        <v>52.842371098461797</v>
      </c>
      <c r="O355" s="17">
        <f t="shared" si="87"/>
        <v>88.5</v>
      </c>
      <c r="P355" s="19">
        <f ca="1">IF(ISERROR(IF(O355&lt;fi_h/20,0,(OFFSET('Base de dados'!$A$5,IF(O355&lt;20,1,IF(O355&gt;1000,10,MATCH(O355,Cargas,1))),Coluna_fih,1,1))*(1+0.13*0.25)*(PI()*(fi_h/1000)^2/4)*SQRT(2*9.81*(O355/100-fi_h/2/1000))*1000)),"",IF(O355&lt;fi_h/20,0,(OFFSET('Base de dados'!$A$5,IF(O355&lt;20,1,IF(O355&gt;1000,10,MATCH(O355,Cargas,1))),Coluna_fih,1,1))*(PI()*(fi_h/1000)^2/4)*SQRT(2*9.81*(O355/100-fi_h/2/1000))*1000))</f>
        <v>24.498168980266303</v>
      </c>
      <c r="Q355" s="19">
        <f ca="1">IF(O355="","",IF(Tipo_Vertedor="Retangular",IF(O355&lt;=cota_s*100,0,IF(Tipo_Vertedor="Retangular",Cd_sr*Lef_sr*((O355/100-cota_s)^(3/2))*1000)),IF(O355&lt;=cota_s*100+fi_s/20,0,(OFFSET('Base de dados'!$A$4,IF(O355&lt;20,1,IF(O355&gt;1000,10,MATCH(O355,Cargas,1))),Coluna_fis,1,1))*(PI()*(fi_s/1000)^2/4)*(2*9.81*(O355/100-cota_s-fi_s/2/1000))^0.5*1000)))</f>
        <v>167.05890487040793</v>
      </c>
      <c r="R355" s="19">
        <f t="shared" ca="1" si="77"/>
        <v>191.55707385067424</v>
      </c>
      <c r="S355" s="19">
        <f t="shared" ca="1" si="78"/>
        <v>1761.4123699487266</v>
      </c>
      <c r="AD355" s="19" t="str">
        <f t="shared" si="88"/>
        <v/>
      </c>
      <c r="AE355" s="19" t="str">
        <f t="shared" si="89"/>
        <v/>
      </c>
      <c r="AF355" s="19" t="str">
        <f>IF(ISERROR(IF('Hidrograma afluente'!I362="",0,'Hidrograma afluente'!I362)+Simulação!G355),"",IF('Hidrograma afluente'!I362="",0,'Hidrograma afluente'!I362)+Simulação!G355)</f>
        <v/>
      </c>
      <c r="AG355" s="17" t="s">
        <v>160</v>
      </c>
      <c r="AH355" s="17" t="s">
        <v>160</v>
      </c>
      <c r="AI355" s="27" t="s">
        <v>160</v>
      </c>
      <c r="AJ355" s="17" t="s">
        <v>160</v>
      </c>
      <c r="AK355" s="19" t="str">
        <f>IF(A355="","",IF('Hidrograma afluente'!I362="",0,'Hidrograma afluente'!I362)+Simulação!B355)</f>
        <v/>
      </c>
    </row>
    <row r="356" spans="1:37" s="17" customFormat="1">
      <c r="A356" s="4" t="str">
        <f t="shared" si="79"/>
        <v/>
      </c>
      <c r="B356" s="5" t="str">
        <f>IF(A356="","",IF(A356&gt;tc_lot_i+tc,0,IF('Hidrograma afluente'!B363="","",'Hidrograma afluente'!B363)))</f>
        <v/>
      </c>
      <c r="C356" s="21" t="str">
        <f t="shared" si="80"/>
        <v/>
      </c>
      <c r="D356" s="21" t="str">
        <f t="shared" si="81"/>
        <v/>
      </c>
      <c r="E356" s="21" t="str">
        <f t="shared" si="82"/>
        <v/>
      </c>
      <c r="F356" s="21" t="str">
        <f t="shared" si="83"/>
        <v/>
      </c>
      <c r="G356" s="21" t="str">
        <f t="shared" si="84"/>
        <v/>
      </c>
      <c r="H356" s="23" t="str">
        <f t="shared" si="90"/>
        <v/>
      </c>
      <c r="I356" s="22" t="str">
        <f t="shared" si="85"/>
        <v/>
      </c>
      <c r="J356" s="1"/>
      <c r="K356" s="51"/>
      <c r="M356" s="81">
        <f t="shared" ca="1" si="76"/>
        <v>1960.8059051298439</v>
      </c>
      <c r="N356" s="19">
        <f t="shared" si="86"/>
        <v>53.010268349771884</v>
      </c>
      <c r="O356" s="17">
        <f t="shared" si="87"/>
        <v>88.75</v>
      </c>
      <c r="P356" s="19">
        <f ca="1">IF(ISERROR(IF(O356&lt;fi_h/20,0,(OFFSET('Base de dados'!$A$5,IF(O356&lt;20,1,IF(O356&gt;1000,10,MATCH(O356,Cargas,1))),Coluna_fih,1,1))*(1+0.13*0.25)*(PI()*(fi_h/1000)^2/4)*SQRT(2*9.81*(O356/100-fi_h/2/1000))*1000)),"",IF(O356&lt;fi_h/20,0,(OFFSET('Base de dados'!$A$5,IF(O356&lt;20,1,IF(O356&gt;1000,10,MATCH(O356,Cargas,1))),Coluna_fih,1,1))*(PI()*(fi_h/1000)^2/4)*SQRT(2*9.81*(O356/100-fi_h/2/1000))*1000))</f>
        <v>24.535098316222928</v>
      </c>
      <c r="Q356" s="19">
        <f ca="1">IF(O356="","",IF(Tipo_Vertedor="Retangular",IF(O356&lt;=cota_s*100,0,IF(Tipo_Vertedor="Retangular",Cd_sr*Lef_sr*((O356/100-cota_s)^(3/2))*1000)),IF(O356&lt;=cota_s*100+fi_s/20,0,(OFFSET('Base de dados'!$A$4,IF(O356&lt;20,1,IF(O356&gt;1000,10,MATCH(O356,Cargas,1))),Coluna_fis,1,1))*(PI()*(fi_s/1000)^2/4)*(2*9.81*(O356/100-cota_s-fi_s/2/1000))^0.5*1000)))</f>
        <v>169.2618618212251</v>
      </c>
      <c r="R356" s="19">
        <f t="shared" ca="1" si="77"/>
        <v>193.79696013744802</v>
      </c>
      <c r="S356" s="19">
        <f t="shared" ca="1" si="78"/>
        <v>1767.008944992396</v>
      </c>
      <c r="AD356" s="19" t="str">
        <f t="shared" si="88"/>
        <v/>
      </c>
      <c r="AE356" s="19" t="str">
        <f t="shared" si="89"/>
        <v/>
      </c>
      <c r="AF356" s="19" t="str">
        <f>IF(ISERROR(IF('Hidrograma afluente'!I363="",0,'Hidrograma afluente'!I363)+Simulação!G356),"",IF('Hidrograma afluente'!I363="",0,'Hidrograma afluente'!I363)+Simulação!G356)</f>
        <v/>
      </c>
      <c r="AG356" s="17" t="s">
        <v>160</v>
      </c>
      <c r="AH356" s="17" t="s">
        <v>160</v>
      </c>
      <c r="AI356" s="27" t="s">
        <v>160</v>
      </c>
      <c r="AJ356" s="17" t="s">
        <v>160</v>
      </c>
      <c r="AK356" s="19" t="str">
        <f>IF(A356="","",IF('Hidrograma afluente'!I363="",0,'Hidrograma afluente'!I363)+Simulação!B356)</f>
        <v/>
      </c>
    </row>
    <row r="357" spans="1:37" s="17" customFormat="1">
      <c r="A357" s="4" t="str">
        <f t="shared" si="79"/>
        <v/>
      </c>
      <c r="B357" s="5" t="str">
        <f>IF(A357="","",IF(A357&gt;tc_lot_i+tc,0,IF('Hidrograma afluente'!B364="","",'Hidrograma afluente'!B364)))</f>
        <v/>
      </c>
      <c r="C357" s="21" t="str">
        <f t="shared" si="80"/>
        <v/>
      </c>
      <c r="D357" s="21" t="str">
        <f t="shared" si="81"/>
        <v/>
      </c>
      <c r="E357" s="21" t="str">
        <f t="shared" si="82"/>
        <v/>
      </c>
      <c r="F357" s="21" t="str">
        <f t="shared" si="83"/>
        <v/>
      </c>
      <c r="G357" s="21" t="str">
        <f t="shared" si="84"/>
        <v/>
      </c>
      <c r="H357" s="23" t="str">
        <f t="shared" si="90"/>
        <v/>
      </c>
      <c r="I357" s="22" t="str">
        <f t="shared" si="85"/>
        <v/>
      </c>
      <c r="J357" s="1"/>
      <c r="K357" s="51"/>
      <c r="M357" s="81">
        <f t="shared" ca="1" si="76"/>
        <v>1968.6538742388302</v>
      </c>
      <c r="N357" s="19">
        <f t="shared" si="86"/>
        <v>53.17822452897267</v>
      </c>
      <c r="O357" s="17">
        <f t="shared" si="87"/>
        <v>89</v>
      </c>
      <c r="P357" s="19">
        <f ca="1">IF(ISERROR(IF(O357&lt;fi_h/20,0,(OFFSET('Base de dados'!$A$5,IF(O357&lt;20,1,IF(O357&gt;1000,10,MATCH(O357,Cargas,1))),Coluna_fih,1,1))*(1+0.13*0.25)*(PI()*(fi_h/1000)^2/4)*SQRT(2*9.81*(O357/100-fi_h/2/1000))*1000)),"",IF(O357&lt;fi_h/20,0,(OFFSET('Base de dados'!$A$5,IF(O357&lt;20,1,IF(O357&gt;1000,10,MATCH(O357,Cargas,1))),Coluna_fih,1,1))*(PI()*(fi_h/1000)^2/4)*SQRT(2*9.81*(O357/100-fi_h/2/1000))*1000))</f>
        <v>24.571972150964363</v>
      </c>
      <c r="Q357" s="19">
        <f ca="1">IF(O357="","",IF(Tipo_Vertedor="Retangular",IF(O357&lt;=cota_s*100,0,IF(Tipo_Vertedor="Retangular",Cd_sr*Lef_sr*((O357/100-cota_s)^(3/2))*1000)),IF(O357&lt;=cota_s*100+fi_s/20,0,(OFFSET('Base de dados'!$A$4,IF(O357&lt;20,1,IF(O357&gt;1000,10,MATCH(O357,Cargas,1))),Coluna_fis,1,1))*(PI()*(fi_s/1000)^2/4)*(2*9.81*(O357/100-cota_s-fi_s/2/1000))^0.5*1000)))</f>
        <v>171.47441778877689</v>
      </c>
      <c r="R357" s="19">
        <f t="shared" ca="1" si="77"/>
        <v>196.04638993974126</v>
      </c>
      <c r="S357" s="19">
        <f t="shared" ca="1" si="78"/>
        <v>1772.607484299089</v>
      </c>
      <c r="AD357" s="19" t="str">
        <f t="shared" si="88"/>
        <v/>
      </c>
      <c r="AE357" s="19" t="str">
        <f t="shared" si="89"/>
        <v/>
      </c>
      <c r="AF357" s="19" t="str">
        <f>IF(ISERROR(IF('Hidrograma afluente'!I364="",0,'Hidrograma afluente'!I364)+Simulação!G357),"",IF('Hidrograma afluente'!I364="",0,'Hidrograma afluente'!I364)+Simulação!G357)</f>
        <v/>
      </c>
      <c r="AG357" s="17" t="s">
        <v>160</v>
      </c>
      <c r="AH357" s="17" t="s">
        <v>160</v>
      </c>
      <c r="AI357" s="27" t="s">
        <v>160</v>
      </c>
      <c r="AJ357" s="17" t="s">
        <v>160</v>
      </c>
      <c r="AK357" s="19" t="str">
        <f>IF(A357="","",IF('Hidrograma afluente'!I364="",0,'Hidrograma afluente'!I364)+Simulação!B357)</f>
        <v/>
      </c>
    </row>
    <row r="358" spans="1:37" s="17" customFormat="1">
      <c r="A358" s="4" t="str">
        <f t="shared" si="79"/>
        <v/>
      </c>
      <c r="B358" s="5" t="str">
        <f>IF(A358="","",IF(A358&gt;tc_lot_i+tc,0,IF('Hidrograma afluente'!B365="","",'Hidrograma afluente'!B365)))</f>
        <v/>
      </c>
      <c r="C358" s="21" t="str">
        <f t="shared" si="80"/>
        <v/>
      </c>
      <c r="D358" s="21" t="str">
        <f t="shared" si="81"/>
        <v/>
      </c>
      <c r="E358" s="21" t="str">
        <f t="shared" si="82"/>
        <v/>
      </c>
      <c r="F358" s="21" t="str">
        <f t="shared" si="83"/>
        <v/>
      </c>
      <c r="G358" s="21" t="str">
        <f t="shared" si="84"/>
        <v/>
      </c>
      <c r="H358" s="23" t="str">
        <f t="shared" si="90"/>
        <v/>
      </c>
      <c r="I358" s="22" t="str">
        <f t="shared" si="85"/>
        <v/>
      </c>
      <c r="J358" s="1"/>
      <c r="K358" s="51"/>
      <c r="M358" s="81">
        <f t="shared" ca="1" si="76"/>
        <v>1976.5133050793436</v>
      </c>
      <c r="N358" s="19">
        <f t="shared" si="86"/>
        <v>53.346239491131151</v>
      </c>
      <c r="O358" s="17">
        <f t="shared" si="87"/>
        <v>89.25</v>
      </c>
      <c r="P358" s="19">
        <f ca="1">IF(ISERROR(IF(O358&lt;fi_h/20,0,(OFFSET('Base de dados'!$A$5,IF(O358&lt;20,1,IF(O358&gt;1000,10,MATCH(O358,Cargas,1))),Coluna_fih,1,1))*(1+0.13*0.25)*(PI()*(fi_h/1000)^2/4)*SQRT(2*9.81*(O358/100-fi_h/2/1000))*1000)),"",IF(O358&lt;fi_h/20,0,(OFFSET('Base de dados'!$A$5,IF(O358&lt;20,1,IF(O358&gt;1000,10,MATCH(O358,Cargas,1))),Coluna_fih,1,1))*(PI()*(fi_h/1000)^2/4)*SQRT(2*9.81*(O358/100-fi_h/2/1000))*1000))</f>
        <v>24.608790733979816</v>
      </c>
      <c r="Q358" s="19">
        <f ca="1">IF(O358="","",IF(Tipo_Vertedor="Retangular",IF(O358&lt;=cota_s*100,0,IF(Tipo_Vertedor="Retangular",Cd_sr*Lef_sr*((O358/100-cota_s)^(3/2))*1000)),IF(O358&lt;=cota_s*100+fi_s/20,0,(OFFSET('Base de dados'!$A$4,IF(O358&lt;20,1,IF(O358&gt;1000,10,MATCH(O358,Cargas,1))),Coluna_fis,1,1))*(PI()*(fi_s/1000)^2/4)*(2*9.81*(O358/100-cota_s-fi_s/2/1000))^0.5*1000)))</f>
        <v>173.69653130765886</v>
      </c>
      <c r="R358" s="19">
        <f t="shared" ca="1" si="77"/>
        <v>198.30532204163868</v>
      </c>
      <c r="S358" s="19">
        <f t="shared" ca="1" si="78"/>
        <v>1778.2079830377049</v>
      </c>
      <c r="AD358" s="19" t="str">
        <f t="shared" si="88"/>
        <v/>
      </c>
      <c r="AE358" s="19" t="str">
        <f t="shared" si="89"/>
        <v/>
      </c>
      <c r="AF358" s="19" t="str">
        <f>IF(ISERROR(IF('Hidrograma afluente'!I365="",0,'Hidrograma afluente'!I365)+Simulação!G358),"",IF('Hidrograma afluente'!I365="",0,'Hidrograma afluente'!I365)+Simulação!G358)</f>
        <v/>
      </c>
      <c r="AG358" s="17" t="s">
        <v>160</v>
      </c>
      <c r="AH358" s="17" t="s">
        <v>160</v>
      </c>
      <c r="AI358" s="27" t="s">
        <v>160</v>
      </c>
      <c r="AJ358" s="17" t="s">
        <v>160</v>
      </c>
      <c r="AK358" s="19" t="str">
        <f>IF(A358="","",IF('Hidrograma afluente'!I365="",0,'Hidrograma afluente'!I365)+Simulação!B358)</f>
        <v/>
      </c>
    </row>
    <row r="359" spans="1:37" s="17" customFormat="1">
      <c r="A359" s="4" t="str">
        <f t="shared" si="79"/>
        <v/>
      </c>
      <c r="B359" s="5" t="str">
        <f>IF(A359="","",IF(A359&gt;tc_lot_i+tc,0,IF('Hidrograma afluente'!B366="","",'Hidrograma afluente'!B366)))</f>
        <v/>
      </c>
      <c r="C359" s="21" t="str">
        <f t="shared" si="80"/>
        <v/>
      </c>
      <c r="D359" s="21" t="str">
        <f t="shared" si="81"/>
        <v/>
      </c>
      <c r="E359" s="21" t="str">
        <f t="shared" si="82"/>
        <v/>
      </c>
      <c r="F359" s="21" t="str">
        <f t="shared" si="83"/>
        <v/>
      </c>
      <c r="G359" s="21" t="str">
        <f t="shared" si="84"/>
        <v/>
      </c>
      <c r="H359" s="23" t="str">
        <f t="shared" si="90"/>
        <v/>
      </c>
      <c r="I359" s="22" t="str">
        <f t="shared" si="85"/>
        <v/>
      </c>
      <c r="J359" s="1"/>
      <c r="K359" s="51"/>
      <c r="M359" s="81">
        <f t="shared" ca="1" si="76"/>
        <v>1984.3841521606569</v>
      </c>
      <c r="N359" s="19">
        <f t="shared" si="86"/>
        <v>53.514313092075867</v>
      </c>
      <c r="O359" s="17">
        <f t="shared" si="87"/>
        <v>89.5</v>
      </c>
      <c r="P359" s="19">
        <f ca="1">IF(ISERROR(IF(O359&lt;fi_h/20,0,(OFFSET('Base de dados'!$A$5,IF(O359&lt;20,1,IF(O359&gt;1000,10,MATCH(O359,Cargas,1))),Coluna_fih,1,1))*(1+0.13*0.25)*(PI()*(fi_h/1000)^2/4)*SQRT(2*9.81*(O359/100-fi_h/2/1000))*1000)),"",IF(O359&lt;fi_h/20,0,(OFFSET('Base de dados'!$A$5,IF(O359&lt;20,1,IF(O359&gt;1000,10,MATCH(O359,Cargas,1))),Coluna_fih,1,1))*(PI()*(fi_h/1000)^2/4)*SQRT(2*9.81*(O359/100-fi_h/2/1000))*1000))</f>
        <v>24.645554312894934</v>
      </c>
      <c r="Q359" s="19">
        <f ca="1">IF(O359="","",IF(Tipo_Vertedor="Retangular",IF(O359&lt;=cota_s*100,0,IF(Tipo_Vertedor="Retangular",Cd_sr*Lef_sr*((O359/100-cota_s)^(3/2))*1000)),IF(O359&lt;=cota_s*100+fi_s/20,0,(OFFSET('Base de dados'!$A$4,IF(O359&lt;20,1,IF(O359&gt;1000,10,MATCH(O359,Cargas,1))),Coluna_fis,1,1))*(PI()*(fi_s/1000)^2/4)*(2*9.81*(O359/100-cota_s-fi_s/2/1000))^0.5*1000)))</f>
        <v>175.92816144523314</v>
      </c>
      <c r="R359" s="19">
        <f t="shared" ca="1" si="77"/>
        <v>200.57371575812809</v>
      </c>
      <c r="S359" s="19">
        <f t="shared" ca="1" si="78"/>
        <v>1783.8104364025287</v>
      </c>
      <c r="AD359" s="19" t="str">
        <f t="shared" si="88"/>
        <v/>
      </c>
      <c r="AE359" s="19" t="str">
        <f t="shared" si="89"/>
        <v/>
      </c>
      <c r="AF359" s="19" t="str">
        <f>IF(ISERROR(IF('Hidrograma afluente'!I366="",0,'Hidrograma afluente'!I366)+Simulação!G359),"",IF('Hidrograma afluente'!I366="",0,'Hidrograma afluente'!I366)+Simulação!G359)</f>
        <v/>
      </c>
      <c r="AG359" s="17" t="s">
        <v>160</v>
      </c>
      <c r="AH359" s="17" t="s">
        <v>160</v>
      </c>
      <c r="AI359" s="27" t="s">
        <v>160</v>
      </c>
      <c r="AJ359" s="17" t="s">
        <v>160</v>
      </c>
      <c r="AK359" s="19" t="str">
        <f>IF(A359="","",IF('Hidrograma afluente'!I366="",0,'Hidrograma afluente'!I366)+Simulação!B359)</f>
        <v/>
      </c>
    </row>
    <row r="360" spans="1:37" s="17" customFormat="1">
      <c r="A360" s="4" t="str">
        <f t="shared" si="79"/>
        <v/>
      </c>
      <c r="B360" s="5" t="str">
        <f>IF(A360="","",IF(A360&gt;tc_lot_i+tc,0,IF('Hidrograma afluente'!B367="","",'Hidrograma afluente'!B367)))</f>
        <v/>
      </c>
      <c r="C360" s="21" t="str">
        <f t="shared" si="80"/>
        <v/>
      </c>
      <c r="D360" s="21" t="str">
        <f t="shared" si="81"/>
        <v/>
      </c>
      <c r="E360" s="21" t="str">
        <f t="shared" si="82"/>
        <v/>
      </c>
      <c r="F360" s="21" t="str">
        <f t="shared" si="83"/>
        <v/>
      </c>
      <c r="G360" s="21" t="str">
        <f t="shared" si="84"/>
        <v/>
      </c>
      <c r="H360" s="23" t="str">
        <f t="shared" si="90"/>
        <v/>
      </c>
      <c r="I360" s="22" t="str">
        <f t="shared" si="85"/>
        <v/>
      </c>
      <c r="J360" s="1"/>
      <c r="K360" s="51"/>
      <c r="M360" s="81">
        <f t="shared" ca="1" si="76"/>
        <v>1992.2663705368309</v>
      </c>
      <c r="N360" s="19">
        <f t="shared" si="86"/>
        <v>53.682445188390702</v>
      </c>
      <c r="O360" s="17">
        <f t="shared" si="87"/>
        <v>89.75</v>
      </c>
      <c r="P360" s="19">
        <f ca="1">IF(ISERROR(IF(O360&lt;fi_h/20,0,(OFFSET('Base de dados'!$A$5,IF(O360&lt;20,1,IF(O360&gt;1000,10,MATCH(O360,Cargas,1))),Coluna_fih,1,1))*(1+0.13*0.25)*(PI()*(fi_h/1000)^2/4)*SQRT(2*9.81*(O360/100-fi_h/2/1000))*1000)),"",IF(O360&lt;fi_h/20,0,(OFFSET('Base de dados'!$A$5,IF(O360&lt;20,1,IF(O360&gt;1000,10,MATCH(O360,Cargas,1))),Coluna_fih,1,1))*(PI()*(fi_h/1000)^2/4)*SQRT(2*9.81*(O360/100-fi_h/2/1000))*1000))</f>
        <v>24.682263133491162</v>
      </c>
      <c r="Q360" s="19">
        <f ca="1">IF(O360="","",IF(Tipo_Vertedor="Retangular",IF(O360&lt;=cota_s*100,0,IF(Tipo_Vertedor="Retangular",Cd_sr*Lef_sr*((O360/100-cota_s)^(3/2))*1000)),IF(O360&lt;=cota_s*100+fi_s/20,0,(OFFSET('Base de dados'!$A$4,IF(O360&lt;20,1,IF(O360&gt;1000,10,MATCH(O360,Cargas,1))),Coluna_fis,1,1))*(PI()*(fi_s/1000)^2/4)*(2*9.81*(O360/100-cota_s-fi_s/2/1000))^0.5*1000)))</f>
        <v>178.16926779031644</v>
      </c>
      <c r="R360" s="19">
        <f t="shared" ca="1" si="77"/>
        <v>202.85153092380762</v>
      </c>
      <c r="S360" s="19">
        <f t="shared" ca="1" si="78"/>
        <v>1789.4148396130233</v>
      </c>
      <c r="AD360" s="19" t="str">
        <f t="shared" si="88"/>
        <v/>
      </c>
      <c r="AE360" s="19" t="str">
        <f t="shared" si="89"/>
        <v/>
      </c>
      <c r="AF360" s="19" t="str">
        <f>IF(ISERROR(IF('Hidrograma afluente'!I367="",0,'Hidrograma afluente'!I367)+Simulação!G360),"",IF('Hidrograma afluente'!I367="",0,'Hidrograma afluente'!I367)+Simulação!G360)</f>
        <v/>
      </c>
      <c r="AG360" s="17" t="s">
        <v>160</v>
      </c>
      <c r="AH360" s="17" t="s">
        <v>160</v>
      </c>
      <c r="AI360" s="27" t="s">
        <v>160</v>
      </c>
      <c r="AJ360" s="17" t="s">
        <v>160</v>
      </c>
      <c r="AK360" s="19" t="str">
        <f>IF(A360="","",IF('Hidrograma afluente'!I367="",0,'Hidrograma afluente'!I367)+Simulação!B360)</f>
        <v/>
      </c>
    </row>
    <row r="361" spans="1:37" s="17" customFormat="1">
      <c r="A361" s="4" t="str">
        <f t="shared" si="79"/>
        <v/>
      </c>
      <c r="B361" s="5" t="str">
        <f>IF(A361="","",IF(A361&gt;tc_lot_i+tc,0,IF('Hidrograma afluente'!B368="","",'Hidrograma afluente'!B368)))</f>
        <v/>
      </c>
      <c r="C361" s="21" t="str">
        <f t="shared" si="80"/>
        <v/>
      </c>
      <c r="D361" s="21" t="str">
        <f t="shared" si="81"/>
        <v/>
      </c>
      <c r="E361" s="21" t="str">
        <f t="shared" si="82"/>
        <v/>
      </c>
      <c r="F361" s="21" t="str">
        <f t="shared" si="83"/>
        <v/>
      </c>
      <c r="G361" s="21" t="str">
        <f t="shared" si="84"/>
        <v/>
      </c>
      <c r="H361" s="23" t="str">
        <f t="shared" si="90"/>
        <v/>
      </c>
      <c r="I361" s="22" t="str">
        <f t="shared" si="85"/>
        <v/>
      </c>
      <c r="J361" s="1"/>
      <c r="K361" s="51"/>
      <c r="M361" s="81">
        <f t="shared" ca="1" si="76"/>
        <v>2000.1599157955579</v>
      </c>
      <c r="N361" s="19">
        <f t="shared" si="86"/>
        <v>53.850635637408935</v>
      </c>
      <c r="O361" s="17">
        <f t="shared" si="87"/>
        <v>90</v>
      </c>
      <c r="P361" s="19">
        <f ca="1">IF(ISERROR(IF(O361&lt;fi_h/20,0,(OFFSET('Base de dados'!$A$5,IF(O361&lt;20,1,IF(O361&gt;1000,10,MATCH(O361,Cargas,1))),Coluna_fih,1,1))*(1+0.13*0.25)*(PI()*(fi_h/1000)^2/4)*SQRT(2*9.81*(O361/100-fi_h/2/1000))*1000)),"",IF(O361&lt;fi_h/20,0,(OFFSET('Base de dados'!$A$5,IF(O361&lt;20,1,IF(O361&gt;1000,10,MATCH(O361,Cargas,1))),Coluna_fih,1,1))*(PI()*(fi_h/1000)^2/4)*SQRT(2*9.81*(O361/100-fi_h/2/1000))*1000))</f>
        <v>24.718917439724986</v>
      </c>
      <c r="Q361" s="19">
        <f ca="1">IF(O361="","",IF(Tipo_Vertedor="Retangular",IF(O361&lt;=cota_s*100,0,IF(Tipo_Vertedor="Retangular",Cd_sr*Lef_sr*((O361/100-cota_s)^(3/2))*1000)),IF(O361&lt;=cota_s*100+fi_s/20,0,(OFFSET('Base de dados'!$A$4,IF(O361&lt;20,1,IF(O361&gt;1000,10,MATCH(O361,Cargas,1))),Coluna_fis,1,1))*(PI()*(fi_s/1000)^2/4)*(2*9.81*(O361/100-cota_s-fi_s/2/1000))^0.5*1000)))</f>
        <v>180.41981044220176</v>
      </c>
      <c r="R361" s="19">
        <f t="shared" ca="1" si="77"/>
        <v>205.13872788192674</v>
      </c>
      <c r="S361" s="19">
        <f t="shared" ca="1" si="78"/>
        <v>1795.0211879136311</v>
      </c>
      <c r="AD361" s="19" t="str">
        <f t="shared" si="88"/>
        <v/>
      </c>
      <c r="AE361" s="19" t="str">
        <f t="shared" si="89"/>
        <v/>
      </c>
      <c r="AF361" s="19" t="str">
        <f>IF(ISERROR(IF('Hidrograma afluente'!I368="",0,'Hidrograma afluente'!I368)+Simulação!G361),"",IF('Hidrograma afluente'!I368="",0,'Hidrograma afluente'!I368)+Simulação!G361)</f>
        <v/>
      </c>
      <c r="AG361" s="17" t="s">
        <v>160</v>
      </c>
      <c r="AH361" s="17" t="s">
        <v>160</v>
      </c>
      <c r="AI361" s="27" t="s">
        <v>160</v>
      </c>
      <c r="AJ361" s="17" t="s">
        <v>160</v>
      </c>
      <c r="AK361" s="19" t="str">
        <f>IF(A361="","",IF('Hidrograma afluente'!I368="",0,'Hidrograma afluente'!I368)+Simulação!B361)</f>
        <v/>
      </c>
    </row>
    <row r="362" spans="1:37" s="17" customFormat="1">
      <c r="A362" s="4" t="str">
        <f t="shared" si="79"/>
        <v/>
      </c>
      <c r="B362" s="5" t="str">
        <f>IF(A362="","",IF(A362&gt;tc_lot_i+tc,0,IF('Hidrograma afluente'!B369="","",'Hidrograma afluente'!B369)))</f>
        <v/>
      </c>
      <c r="C362" s="21" t="str">
        <f t="shared" si="80"/>
        <v/>
      </c>
      <c r="D362" s="21" t="str">
        <f t="shared" si="81"/>
        <v/>
      </c>
      <c r="E362" s="21" t="str">
        <f t="shared" si="82"/>
        <v/>
      </c>
      <c r="F362" s="21" t="str">
        <f t="shared" si="83"/>
        <v/>
      </c>
      <c r="G362" s="21" t="str">
        <f t="shared" si="84"/>
        <v/>
      </c>
      <c r="H362" s="23" t="str">
        <f t="shared" si="90"/>
        <v/>
      </c>
      <c r="I362" s="22" t="str">
        <f t="shared" si="85"/>
        <v/>
      </c>
      <c r="J362" s="1"/>
      <c r="K362" s="51"/>
      <c r="M362" s="81">
        <f t="shared" ca="1" si="76"/>
        <v>2008.0647440473192</v>
      </c>
      <c r="N362" s="19">
        <f t="shared" si="86"/>
        <v>54.018884297207173</v>
      </c>
      <c r="O362" s="17">
        <f t="shared" si="87"/>
        <v>90.25</v>
      </c>
      <c r="P362" s="19">
        <f ca="1">IF(ISERROR(IF(O362&lt;fi_h/20,0,(OFFSET('Base de dados'!$A$5,IF(O362&lt;20,1,IF(O362&gt;1000,10,MATCH(O362,Cargas,1))),Coluna_fih,1,1))*(1+0.13*0.25)*(PI()*(fi_h/1000)^2/4)*SQRT(2*9.81*(O362/100-fi_h/2/1000))*1000)),"",IF(O362&lt;fi_h/20,0,(OFFSET('Base de dados'!$A$5,IF(O362&lt;20,1,IF(O362&gt;1000,10,MATCH(O362,Cargas,1))),Coluna_fih,1,1))*(PI()*(fi_h/1000)^2/4)*SQRT(2*9.81*(O362/100-fi_h/2/1000))*1000))</f>
        <v>24.755517473746796</v>
      </c>
      <c r="Q362" s="19">
        <f ca="1">IF(O362="","",IF(Tipo_Vertedor="Retangular",IF(O362&lt;=cota_s*100,0,IF(Tipo_Vertedor="Retangular",Cd_sr*Lef_sr*((O362/100-cota_s)^(3/2))*1000)),IF(O362&lt;=cota_s*100+fi_s/20,0,(OFFSET('Base de dados'!$A$4,IF(O362&lt;20,1,IF(O362&gt;1000,10,MATCH(O362,Cargas,1))),Coluna_fis,1,1))*(PI()*(fi_s/1000)^2/4)*(2*9.81*(O362/100-cota_s-fi_s/2/1000))^0.5*1000)))</f>
        <v>182.67975000000001</v>
      </c>
      <c r="R362" s="19">
        <f t="shared" ca="1" si="77"/>
        <v>207.43526747374682</v>
      </c>
      <c r="S362" s="19">
        <f t="shared" ca="1" si="78"/>
        <v>1800.6294765735724</v>
      </c>
      <c r="AD362" s="19" t="str">
        <f t="shared" si="88"/>
        <v/>
      </c>
      <c r="AE362" s="19" t="str">
        <f t="shared" si="89"/>
        <v/>
      </c>
      <c r="AF362" s="19" t="str">
        <f>IF(ISERROR(IF('Hidrograma afluente'!I369="",0,'Hidrograma afluente'!I369)+Simulação!G362),"",IF('Hidrograma afluente'!I369="",0,'Hidrograma afluente'!I369)+Simulação!G362)</f>
        <v/>
      </c>
      <c r="AG362" s="17" t="s">
        <v>160</v>
      </c>
      <c r="AH362" s="17" t="s">
        <v>160</v>
      </c>
      <c r="AI362" s="27" t="s">
        <v>160</v>
      </c>
      <c r="AJ362" s="17" t="s">
        <v>160</v>
      </c>
      <c r="AK362" s="19" t="str">
        <f>IF(A362="","",IF('Hidrograma afluente'!I369="",0,'Hidrograma afluente'!I369)+Simulação!B362)</f>
        <v/>
      </c>
    </row>
    <row r="363" spans="1:37" s="17" customFormat="1">
      <c r="A363" s="4" t="str">
        <f t="shared" si="79"/>
        <v/>
      </c>
      <c r="B363" s="5" t="str">
        <f>IF(A363="","",IF(A363&gt;tc_lot_i+tc,0,IF('Hidrograma afluente'!B370="","",'Hidrograma afluente'!B370)))</f>
        <v/>
      </c>
      <c r="C363" s="21" t="str">
        <f t="shared" si="80"/>
        <v/>
      </c>
      <c r="D363" s="21" t="str">
        <f t="shared" si="81"/>
        <v/>
      </c>
      <c r="E363" s="21" t="str">
        <f t="shared" si="82"/>
        <v/>
      </c>
      <c r="F363" s="21" t="str">
        <f t="shared" si="83"/>
        <v/>
      </c>
      <c r="G363" s="21" t="str">
        <f t="shared" si="84"/>
        <v/>
      </c>
      <c r="H363" s="23" t="str">
        <f t="shared" si="90"/>
        <v/>
      </c>
      <c r="I363" s="22" t="str">
        <f t="shared" si="85"/>
        <v/>
      </c>
      <c r="J363" s="1"/>
      <c r="K363" s="51"/>
      <c r="M363" s="81">
        <f t="shared" ca="1" si="76"/>
        <v>2015.9808119148606</v>
      </c>
      <c r="N363" s="19">
        <f t="shared" si="86"/>
        <v>54.187191026599464</v>
      </c>
      <c r="O363" s="17">
        <f t="shared" si="87"/>
        <v>90.5</v>
      </c>
      <c r="P363" s="19">
        <f ca="1">IF(ISERROR(IF(O363&lt;fi_h/20,0,(OFFSET('Base de dados'!$A$5,IF(O363&lt;20,1,IF(O363&gt;1000,10,MATCH(O363,Cargas,1))),Coluna_fih,1,1))*(1+0.13*0.25)*(PI()*(fi_h/1000)^2/4)*SQRT(2*9.81*(O363/100-fi_h/2/1000))*1000)),"",IF(O363&lt;fi_h/20,0,(OFFSET('Base de dados'!$A$5,IF(O363&lt;20,1,IF(O363&gt;1000,10,MATCH(O363,Cargas,1))),Coluna_fih,1,1))*(PI()*(fi_h/1000)^2/4)*SQRT(2*9.81*(O363/100-fi_h/2/1000))*1000))</f>
        <v>24.792063475919583</v>
      </c>
      <c r="Q363" s="19">
        <f ca="1">IF(O363="","",IF(Tipo_Vertedor="Retangular",IF(O363&lt;=cota_s*100,0,IF(Tipo_Vertedor="Retangular",Cd_sr*Lef_sr*((O363/100-cota_s)^(3/2))*1000)),IF(O363&lt;=cota_s*100+fi_s/20,0,(OFFSET('Base de dados'!$A$4,IF(O363&lt;20,1,IF(O363&gt;1000,10,MATCH(O363,Cargas,1))),Coluna_fis,1,1))*(PI()*(fi_s/1000)^2/4)*(2*9.81*(O363/100-cota_s-fi_s/2/1000))^0.5*1000)))</f>
        <v>184.94904755229217</v>
      </c>
      <c r="R363" s="19">
        <f t="shared" ca="1" si="77"/>
        <v>209.74111102821175</v>
      </c>
      <c r="S363" s="19">
        <f t="shared" ca="1" si="78"/>
        <v>1806.239700886649</v>
      </c>
      <c r="AD363" s="19" t="str">
        <f t="shared" si="88"/>
        <v/>
      </c>
      <c r="AE363" s="19" t="str">
        <f t="shared" si="89"/>
        <v/>
      </c>
      <c r="AF363" s="19" t="str">
        <f>IF(ISERROR(IF('Hidrograma afluente'!I370="",0,'Hidrograma afluente'!I370)+Simulação!G363),"",IF('Hidrograma afluente'!I370="",0,'Hidrograma afluente'!I370)+Simulação!G363)</f>
        <v/>
      </c>
      <c r="AG363" s="17" t="s">
        <v>160</v>
      </c>
      <c r="AH363" s="17" t="s">
        <v>160</v>
      </c>
      <c r="AI363" s="27" t="s">
        <v>160</v>
      </c>
      <c r="AJ363" s="17" t="s">
        <v>160</v>
      </c>
      <c r="AK363" s="19" t="str">
        <f>IF(A363="","",IF('Hidrograma afluente'!I370="",0,'Hidrograma afluente'!I370)+Simulação!B363)</f>
        <v/>
      </c>
    </row>
    <row r="364" spans="1:37" s="17" customFormat="1">
      <c r="A364" s="4" t="str">
        <f t="shared" si="79"/>
        <v/>
      </c>
      <c r="B364" s="5" t="str">
        <f>IF(A364="","",IF(A364&gt;tc_lot_i+tc,0,IF('Hidrograma afluente'!B371="","",'Hidrograma afluente'!B371)))</f>
        <v/>
      </c>
      <c r="C364" s="21" t="str">
        <f t="shared" si="80"/>
        <v/>
      </c>
      <c r="D364" s="21" t="str">
        <f t="shared" si="81"/>
        <v/>
      </c>
      <c r="E364" s="21" t="str">
        <f t="shared" si="82"/>
        <v/>
      </c>
      <c r="F364" s="21" t="str">
        <f t="shared" si="83"/>
        <v/>
      </c>
      <c r="G364" s="21" t="str">
        <f t="shared" si="84"/>
        <v/>
      </c>
      <c r="H364" s="23" t="str">
        <f t="shared" si="90"/>
        <v/>
      </c>
      <c r="I364" s="22" t="str">
        <f t="shared" si="85"/>
        <v/>
      </c>
      <c r="J364" s="1"/>
      <c r="K364" s="51"/>
      <c r="M364" s="81">
        <f t="shared" ca="1" si="76"/>
        <v>2023.9080765229617</v>
      </c>
      <c r="N364" s="19">
        <f t="shared" si="86"/>
        <v>54.355555685131414</v>
      </c>
      <c r="O364" s="17">
        <f t="shared" si="87"/>
        <v>90.75</v>
      </c>
      <c r="P364" s="19">
        <f ca="1">IF(ISERROR(IF(O364&lt;fi_h/20,0,(OFFSET('Base de dados'!$A$5,IF(O364&lt;20,1,IF(O364&gt;1000,10,MATCH(O364,Cargas,1))),Coluna_fih,1,1))*(1+0.13*0.25)*(PI()*(fi_h/1000)^2/4)*SQRT(2*9.81*(O364/100-fi_h/2/1000))*1000)),"",IF(O364&lt;fi_h/20,0,(OFFSET('Base de dados'!$A$5,IF(O364&lt;20,1,IF(O364&gt;1000,10,MATCH(O364,Cargas,1))),Coluna_fih,1,1))*(PI()*(fi_h/1000)^2/4)*SQRT(2*9.81*(O364/100-fi_h/2/1000))*1000))</f>
        <v>24.828555684837347</v>
      </c>
      <c r="Q364" s="19">
        <f ca="1">IF(O364="","",IF(Tipo_Vertedor="Retangular",IF(O364&lt;=cota_s*100,0,IF(Tipo_Vertedor="Retangular",Cd_sr*Lef_sr*((O364/100-cota_s)^(3/2))*1000)),IF(O364&lt;=cota_s*100+fi_s/20,0,(OFFSET('Base de dados'!$A$4,IF(O364&lt;20,1,IF(O364&gt;1000,10,MATCH(O364,Cargas,1))),Coluna_fis,1,1))*(PI()*(fi_s/1000)^2/4)*(2*9.81*(O364/100-cota_s-fi_s/2/1000))^0.5*1000)))</f>
        <v>187.22766466707722</v>
      </c>
      <c r="R364" s="19">
        <f t="shared" ca="1" si="77"/>
        <v>212.05622035191456</v>
      </c>
      <c r="S364" s="19">
        <f t="shared" ca="1" si="78"/>
        <v>1811.8518561710471</v>
      </c>
      <c r="AD364" s="19" t="str">
        <f t="shared" si="88"/>
        <v/>
      </c>
      <c r="AE364" s="19" t="str">
        <f t="shared" si="89"/>
        <v/>
      </c>
      <c r="AF364" s="19" t="str">
        <f>IF(ISERROR(IF('Hidrograma afluente'!I371="",0,'Hidrograma afluente'!I371)+Simulação!G364),"",IF('Hidrograma afluente'!I371="",0,'Hidrograma afluente'!I371)+Simulação!G364)</f>
        <v/>
      </c>
      <c r="AG364" s="17" t="s">
        <v>160</v>
      </c>
      <c r="AH364" s="17" t="s">
        <v>160</v>
      </c>
      <c r="AI364" s="27" t="s">
        <v>160</v>
      </c>
      <c r="AJ364" s="17" t="s">
        <v>160</v>
      </c>
      <c r="AK364" s="19" t="str">
        <f>IF(A364="","",IF('Hidrograma afluente'!I371="",0,'Hidrograma afluente'!I371)+Simulação!B364)</f>
        <v/>
      </c>
    </row>
    <row r="365" spans="1:37" s="17" customFormat="1">
      <c r="A365" s="4" t="str">
        <f t="shared" si="79"/>
        <v/>
      </c>
      <c r="B365" s="5" t="str">
        <f>IF(A365="","",IF(A365&gt;tc_lot_i+tc,0,IF('Hidrograma afluente'!B372="","",'Hidrograma afluente'!B372)))</f>
        <v/>
      </c>
      <c r="C365" s="21" t="str">
        <f t="shared" si="80"/>
        <v/>
      </c>
      <c r="D365" s="21" t="str">
        <f t="shared" si="81"/>
        <v/>
      </c>
      <c r="E365" s="21" t="str">
        <f t="shared" si="82"/>
        <v/>
      </c>
      <c r="F365" s="21" t="str">
        <f t="shared" si="83"/>
        <v/>
      </c>
      <c r="G365" s="21" t="str">
        <f t="shared" si="84"/>
        <v/>
      </c>
      <c r="H365" s="23" t="str">
        <f t="shared" si="90"/>
        <v/>
      </c>
      <c r="I365" s="22" t="str">
        <f t="shared" si="85"/>
        <v/>
      </c>
      <c r="J365" s="1"/>
      <c r="K365" s="51"/>
      <c r="M365" s="81">
        <f t="shared" ca="1" si="76"/>
        <v>2031.8464954885003</v>
      </c>
      <c r="N365" s="19">
        <f t="shared" si="86"/>
        <v>54.523978133074458</v>
      </c>
      <c r="O365" s="17">
        <f t="shared" si="87"/>
        <v>91</v>
      </c>
      <c r="P365" s="19">
        <f ca="1">IF(ISERROR(IF(O365&lt;fi_h/20,0,(OFFSET('Base de dados'!$A$5,IF(O365&lt;20,1,IF(O365&gt;1000,10,MATCH(O365,Cargas,1))),Coluna_fih,1,1))*(1+0.13*0.25)*(PI()*(fi_h/1000)^2/4)*SQRT(2*9.81*(O365/100-fi_h/2/1000))*1000)),"",IF(O365&lt;fi_h/20,0,(OFFSET('Base de dados'!$A$5,IF(O365&lt;20,1,IF(O365&gt;1000,10,MATCH(O365,Cargas,1))),Coluna_fih,1,1))*(PI()*(fi_h/1000)^2/4)*SQRT(2*9.81*(O365/100-fi_h/2/1000))*1000))</f>
        <v>24.864994337343248</v>
      </c>
      <c r="Q365" s="19">
        <f ca="1">IF(O365="","",IF(Tipo_Vertedor="Retangular",IF(O365&lt;=cota_s*100,0,IF(Tipo_Vertedor="Retangular",Cd_sr*Lef_sr*((O365/100-cota_s)^(3/2))*1000)),IF(O365&lt;=cota_s*100+fi_s/20,0,(OFFSET('Base de dados'!$A$4,IF(O365&lt;20,1,IF(O365&gt;1000,10,MATCH(O365,Cargas,1))),Coluna_fis,1,1))*(PI()*(fi_s/1000)^2/4)*(2*9.81*(O365/100-cota_s-fi_s/2/1000))^0.5*1000)))</f>
        <v>189.51556338200834</v>
      </c>
      <c r="R365" s="19">
        <f t="shared" ca="1" si="77"/>
        <v>214.3805577193516</v>
      </c>
      <c r="S365" s="19">
        <f t="shared" ca="1" si="78"/>
        <v>1817.4659377691487</v>
      </c>
      <c r="AD365" s="19" t="str">
        <f t="shared" si="88"/>
        <v/>
      </c>
      <c r="AE365" s="19" t="str">
        <f t="shared" si="89"/>
        <v/>
      </c>
      <c r="AF365" s="19" t="str">
        <f>IF(ISERROR(IF('Hidrograma afluente'!I372="",0,'Hidrograma afluente'!I372)+Simulação!G365),"",IF('Hidrograma afluente'!I372="",0,'Hidrograma afluente'!I372)+Simulação!G365)</f>
        <v/>
      </c>
      <c r="AG365" s="17" t="s">
        <v>160</v>
      </c>
      <c r="AH365" s="17" t="s">
        <v>160</v>
      </c>
      <c r="AI365" s="27" t="s">
        <v>160</v>
      </c>
      <c r="AJ365" s="17" t="s">
        <v>160</v>
      </c>
      <c r="AK365" s="19" t="str">
        <f>IF(A365="","",IF('Hidrograma afluente'!I372="",0,'Hidrograma afluente'!I372)+Simulação!B365)</f>
        <v/>
      </c>
    </row>
    <row r="366" spans="1:37" s="17" customFormat="1">
      <c r="A366" s="4" t="str">
        <f t="shared" si="79"/>
        <v/>
      </c>
      <c r="B366" s="5" t="str">
        <f>IF(A366="","",IF(A366&gt;tc_lot_i+tc,0,IF('Hidrograma afluente'!B373="","",'Hidrograma afluente'!B373)))</f>
        <v/>
      </c>
      <c r="C366" s="21" t="str">
        <f t="shared" si="80"/>
        <v/>
      </c>
      <c r="D366" s="21" t="str">
        <f t="shared" si="81"/>
        <v/>
      </c>
      <c r="E366" s="21" t="str">
        <f t="shared" si="82"/>
        <v/>
      </c>
      <c r="F366" s="21" t="str">
        <f t="shared" si="83"/>
        <v/>
      </c>
      <c r="G366" s="21" t="str">
        <f t="shared" si="84"/>
        <v/>
      </c>
      <c r="H366" s="23" t="str">
        <f t="shared" si="90"/>
        <v/>
      </c>
      <c r="I366" s="22" t="str">
        <f t="shared" si="85"/>
        <v/>
      </c>
      <c r="J366" s="1"/>
      <c r="K366" s="51"/>
      <c r="M366" s="81">
        <f t="shared" ca="1" si="76"/>
        <v>2039.796026910785</v>
      </c>
      <c r="N366" s="19">
        <f t="shared" si="86"/>
        <v>54.692458231420005</v>
      </c>
      <c r="O366" s="17">
        <f t="shared" si="87"/>
        <v>91.25</v>
      </c>
      <c r="P366" s="19">
        <f ca="1">IF(ISERROR(IF(O366&lt;fi_h/20,0,(OFFSET('Base de dados'!$A$5,IF(O366&lt;20,1,IF(O366&gt;1000,10,MATCH(O366,Cargas,1))),Coluna_fih,1,1))*(1+0.13*0.25)*(PI()*(fi_h/1000)^2/4)*SQRT(2*9.81*(O366/100-fi_h/2/1000))*1000)),"",IF(O366&lt;fi_h/20,0,(OFFSET('Base de dados'!$A$5,IF(O366&lt;20,1,IF(O366&gt;1000,10,MATCH(O366,Cargas,1))),Coluna_fih,1,1))*(PI()*(fi_h/1000)^2/4)*SQRT(2*9.81*(O366/100-fi_h/2/1000))*1000))</f>
        <v>24.90137966854758</v>
      </c>
      <c r="Q366" s="19">
        <f ca="1">IF(O366="","",IF(Tipo_Vertedor="Retangular",IF(O366&lt;=cota_s*100,0,IF(Tipo_Vertedor="Retangular",Cd_sr*Lef_sr*((O366/100-cota_s)^(3/2))*1000)),IF(O366&lt;=cota_s*100+fi_s/20,0,(OFFSET('Base de dados'!$A$4,IF(O366&lt;20,1,IF(O366&gt;1000,10,MATCH(O366,Cargas,1))),Coluna_fis,1,1))*(PI()*(fi_s/1000)^2/4)*(2*9.81*(O366/100-cota_s-fi_s/2/1000))^0.5*1000)))</f>
        <v>191.81270619490388</v>
      </c>
      <c r="R366" s="19">
        <f t="shared" ca="1" si="77"/>
        <v>216.71408586345146</v>
      </c>
      <c r="S366" s="19">
        <f t="shared" ca="1" si="78"/>
        <v>1823.0819410473337</v>
      </c>
      <c r="AD366" s="19" t="str">
        <f t="shared" si="88"/>
        <v/>
      </c>
      <c r="AE366" s="19" t="str">
        <f t="shared" si="89"/>
        <v/>
      </c>
      <c r="AF366" s="19" t="str">
        <f>IF(ISERROR(IF('Hidrograma afluente'!I373="",0,'Hidrograma afluente'!I373)+Simulação!G366),"",IF('Hidrograma afluente'!I373="",0,'Hidrograma afluente'!I373)+Simulação!G366)</f>
        <v/>
      </c>
      <c r="AG366" s="17" t="s">
        <v>160</v>
      </c>
      <c r="AH366" s="17" t="s">
        <v>160</v>
      </c>
      <c r="AI366" s="27" t="s">
        <v>160</v>
      </c>
      <c r="AJ366" s="17" t="s">
        <v>160</v>
      </c>
      <c r="AK366" s="19" t="str">
        <f>IF(A366="","",IF('Hidrograma afluente'!I373="",0,'Hidrograma afluente'!I373)+Simulação!B366)</f>
        <v/>
      </c>
    </row>
    <row r="367" spans="1:37" s="17" customFormat="1">
      <c r="A367" s="4" t="str">
        <f t="shared" si="79"/>
        <v/>
      </c>
      <c r="B367" s="5" t="str">
        <f>IF(A367="","",IF(A367&gt;tc_lot_i+tc,0,IF('Hidrograma afluente'!B374="","",'Hidrograma afluente'!B374)))</f>
        <v/>
      </c>
      <c r="C367" s="21" t="str">
        <f t="shared" si="80"/>
        <v/>
      </c>
      <c r="D367" s="21" t="str">
        <f t="shared" si="81"/>
        <v/>
      </c>
      <c r="E367" s="21" t="str">
        <f t="shared" si="82"/>
        <v/>
      </c>
      <c r="F367" s="21" t="str">
        <f t="shared" si="83"/>
        <v/>
      </c>
      <c r="G367" s="21" t="str">
        <f t="shared" si="84"/>
        <v/>
      </c>
      <c r="H367" s="23" t="str">
        <f t="shared" si="90"/>
        <v/>
      </c>
      <c r="I367" s="22" t="str">
        <f t="shared" si="85"/>
        <v/>
      </c>
      <c r="J367" s="1"/>
      <c r="K367" s="51"/>
      <c r="M367" s="81">
        <f t="shared" ca="1" si="76"/>
        <v>2047.756629362168</v>
      </c>
      <c r="N367" s="19">
        <f t="shared" si="86"/>
        <v>54.860995841873908</v>
      </c>
      <c r="O367" s="17">
        <f t="shared" si="87"/>
        <v>91.5</v>
      </c>
      <c r="P367" s="19">
        <f ca="1">IF(ISERROR(IF(O367&lt;fi_h/20,0,(OFFSET('Base de dados'!$A$5,IF(O367&lt;20,1,IF(O367&gt;1000,10,MATCH(O367,Cargas,1))),Coluna_fih,1,1))*(1+0.13*0.25)*(PI()*(fi_h/1000)^2/4)*SQRT(2*9.81*(O367/100-fi_h/2/1000))*1000)),"",IF(O367&lt;fi_h/20,0,(OFFSET('Base de dados'!$A$5,IF(O367&lt;20,1,IF(O367&gt;1000,10,MATCH(O367,Cargas,1))),Coluna_fih,1,1))*(PI()*(fi_h/1000)^2/4)*SQRT(2*9.81*(O367/100-fi_h/2/1000))*1000))</f>
        <v>24.93771191184544</v>
      </c>
      <c r="Q367" s="19">
        <f ca="1">IF(O367="","",IF(Tipo_Vertedor="Retangular",IF(O367&lt;=cota_s*100,0,IF(Tipo_Vertedor="Retangular",Cd_sr*Lef_sr*((O367/100-cota_s)^(3/2))*1000)),IF(O367&lt;=cota_s*100+fi_s/20,0,(OFFSET('Base de dados'!$A$4,IF(O367&lt;20,1,IF(O367&gt;1000,10,MATCH(O367,Cargas,1))),Coluna_fis,1,1))*(PI()*(fi_s/1000)^2/4)*(2*9.81*(O367/100-cota_s-fi_s/2/1000))^0.5*1000)))</f>
        <v>194.11905605452557</v>
      </c>
      <c r="R367" s="19">
        <f t="shared" ca="1" si="77"/>
        <v>219.05676796637101</v>
      </c>
      <c r="S367" s="19">
        <f t="shared" ca="1" si="78"/>
        <v>1828.6998613957971</v>
      </c>
      <c r="AD367" s="19" t="str">
        <f t="shared" si="88"/>
        <v/>
      </c>
      <c r="AE367" s="19" t="str">
        <f t="shared" si="89"/>
        <v/>
      </c>
      <c r="AF367" s="19" t="str">
        <f>IF(ISERROR(IF('Hidrograma afluente'!I374="",0,'Hidrograma afluente'!I374)+Simulação!G367),"",IF('Hidrograma afluente'!I374="",0,'Hidrograma afluente'!I374)+Simulação!G367)</f>
        <v/>
      </c>
      <c r="AG367" s="17" t="s">
        <v>160</v>
      </c>
      <c r="AH367" s="17" t="s">
        <v>160</v>
      </c>
      <c r="AI367" s="27" t="s">
        <v>160</v>
      </c>
      <c r="AJ367" s="17" t="s">
        <v>160</v>
      </c>
      <c r="AK367" s="19" t="str">
        <f>IF(A367="","",IF('Hidrograma afluente'!I374="",0,'Hidrograma afluente'!I374)+Simulação!B367)</f>
        <v/>
      </c>
    </row>
    <row r="368" spans="1:37" s="17" customFormat="1">
      <c r="A368" s="4" t="str">
        <f t="shared" si="79"/>
        <v/>
      </c>
      <c r="B368" s="5" t="str">
        <f>IF(A368="","",IF(A368&gt;tc_lot_i+tc,0,IF('Hidrograma afluente'!B375="","",'Hidrograma afluente'!B375)))</f>
        <v/>
      </c>
      <c r="C368" s="21" t="str">
        <f t="shared" si="80"/>
        <v/>
      </c>
      <c r="D368" s="21" t="str">
        <f t="shared" si="81"/>
        <v/>
      </c>
      <c r="E368" s="21" t="str">
        <f t="shared" si="82"/>
        <v/>
      </c>
      <c r="F368" s="21" t="str">
        <f t="shared" si="83"/>
        <v/>
      </c>
      <c r="G368" s="21" t="str">
        <f t="shared" si="84"/>
        <v/>
      </c>
      <c r="H368" s="23" t="str">
        <f t="shared" si="90"/>
        <v/>
      </c>
      <c r="I368" s="22" t="str">
        <f t="shared" si="85"/>
        <v/>
      </c>
      <c r="J368" s="1"/>
      <c r="K368" s="51"/>
      <c r="M368" s="81">
        <f t="shared" ca="1" si="76"/>
        <v>2055.728261878904</v>
      </c>
      <c r="N368" s="19">
        <f t="shared" si="86"/>
        <v>55.029590826850715</v>
      </c>
      <c r="O368" s="17">
        <f t="shared" si="87"/>
        <v>91.75</v>
      </c>
      <c r="P368" s="19">
        <f ca="1">IF(ISERROR(IF(O368&lt;fi_h/20,0,(OFFSET('Base de dados'!$A$5,IF(O368&lt;20,1,IF(O368&gt;1000,10,MATCH(O368,Cargas,1))),Coluna_fih,1,1))*(1+0.13*0.25)*(PI()*(fi_h/1000)^2/4)*SQRT(2*9.81*(O368/100-fi_h/2/1000))*1000)),"",IF(O368&lt;fi_h/20,0,(OFFSET('Base de dados'!$A$5,IF(O368&lt;20,1,IF(O368&gt;1000,10,MATCH(O368,Cargas,1))),Coluna_fih,1,1))*(PI()*(fi_h/1000)^2/4)*SQRT(2*9.81*(O368/100-fi_h/2/1000))*1000))</f>
        <v>24.973991298934191</v>
      </c>
      <c r="Q368" s="19">
        <f ca="1">IF(O368="","",IF(Tipo_Vertedor="Retangular",IF(O368&lt;=cota_s*100,0,IF(Tipo_Vertedor="Retangular",Cd_sr*Lef_sr*((O368/100-cota_s)^(3/2))*1000)),IF(O368&lt;=cota_s*100+fi_s/20,0,(OFFSET('Base de dados'!$A$4,IF(O368&lt;20,1,IF(O368&gt;1000,10,MATCH(O368,Cargas,1))),Coluna_fis,1,1))*(PI()*(fi_s/1000)^2/4)*(2*9.81*(O368/100-cota_s-fi_s/2/1000))^0.5*1000)))</f>
        <v>196.43457635161255</v>
      </c>
      <c r="R368" s="19">
        <f t="shared" ca="1" si="77"/>
        <v>221.40856765054673</v>
      </c>
      <c r="S368" s="19">
        <f t="shared" ca="1" si="78"/>
        <v>1834.3196942283571</v>
      </c>
      <c r="AD368" s="19" t="str">
        <f t="shared" si="88"/>
        <v/>
      </c>
      <c r="AE368" s="19" t="str">
        <f t="shared" si="89"/>
        <v/>
      </c>
      <c r="AF368" s="19" t="str">
        <f>IF(ISERROR(IF('Hidrograma afluente'!I375="",0,'Hidrograma afluente'!I375)+Simulação!G368),"",IF('Hidrograma afluente'!I375="",0,'Hidrograma afluente'!I375)+Simulação!G368)</f>
        <v/>
      </c>
      <c r="AG368" s="17" t="s">
        <v>160</v>
      </c>
      <c r="AH368" s="17" t="s">
        <v>160</v>
      </c>
      <c r="AI368" s="27" t="s">
        <v>160</v>
      </c>
      <c r="AJ368" s="17" t="s">
        <v>160</v>
      </c>
      <c r="AK368" s="19" t="str">
        <f>IF(A368="","",IF('Hidrograma afluente'!I375="",0,'Hidrograma afluente'!I375)+Simulação!B368)</f>
        <v/>
      </c>
    </row>
    <row r="369" spans="1:37" s="17" customFormat="1">
      <c r="A369" s="4" t="str">
        <f t="shared" si="79"/>
        <v/>
      </c>
      <c r="B369" s="5" t="str">
        <f>IF(A369="","",IF(A369&gt;tc_lot_i+tc,0,IF('Hidrograma afluente'!B376="","",'Hidrograma afluente'!B376)))</f>
        <v/>
      </c>
      <c r="C369" s="21" t="str">
        <f t="shared" si="80"/>
        <v/>
      </c>
      <c r="D369" s="21" t="str">
        <f t="shared" si="81"/>
        <v/>
      </c>
      <c r="E369" s="21" t="str">
        <f t="shared" si="82"/>
        <v/>
      </c>
      <c r="F369" s="21" t="str">
        <f t="shared" si="83"/>
        <v/>
      </c>
      <c r="G369" s="21" t="str">
        <f t="shared" si="84"/>
        <v/>
      </c>
      <c r="H369" s="23" t="str">
        <f t="shared" si="90"/>
        <v/>
      </c>
      <c r="I369" s="22" t="str">
        <f t="shared" si="85"/>
        <v/>
      </c>
      <c r="J369" s="1"/>
      <c r="K369" s="51"/>
      <c r="M369" s="81">
        <f t="shared" ca="1" si="76"/>
        <v>2063.7108839522693</v>
      </c>
      <c r="N369" s="19">
        <f t="shared" si="86"/>
        <v>55.198243049468232</v>
      </c>
      <c r="O369" s="17">
        <f t="shared" si="87"/>
        <v>92</v>
      </c>
      <c r="P369" s="19">
        <f ca="1">IF(ISERROR(IF(O369&lt;fi_h/20,0,(OFFSET('Base de dados'!$A$5,IF(O369&lt;20,1,IF(O369&gt;1000,10,MATCH(O369,Cargas,1))),Coluna_fih,1,1))*(1+0.13*0.25)*(PI()*(fi_h/1000)^2/4)*SQRT(2*9.81*(O369/100-fi_h/2/1000))*1000)),"",IF(O369&lt;fi_h/20,0,(OFFSET('Base de dados'!$A$5,IF(O369&lt;20,1,IF(O369&gt;1000,10,MATCH(O369,Cargas,1))),Coluna_fih,1,1))*(PI()*(fi_h/1000)^2/4)*SQRT(2*9.81*(O369/100-fi_h/2/1000))*1000))</f>
        <v>25.010218059830738</v>
      </c>
      <c r="Q369" s="19">
        <f ca="1">IF(O369="","",IF(Tipo_Vertedor="Retangular",IF(O369&lt;=cota_s*100,0,IF(Tipo_Vertedor="Retangular",Cd_sr*Lef_sr*((O369/100-cota_s)^(3/2))*1000)),IF(O369&lt;=cota_s*100+fi_s/20,0,(OFFSET('Base de dados'!$A$4,IF(O369&lt;20,1,IF(O369&gt;1000,10,MATCH(O369,Cargas,1))),Coluna_fis,1,1))*(PI()*(fi_s/1000)^2/4)*(2*9.81*(O369/100-cota_s-fi_s/2/1000))^0.5*1000)))</f>
        <v>198.75923091016438</v>
      </c>
      <c r="R369" s="19">
        <f t="shared" ca="1" si="77"/>
        <v>223.76944896999512</v>
      </c>
      <c r="S369" s="19">
        <f t="shared" ca="1" si="78"/>
        <v>1839.9414349822744</v>
      </c>
      <c r="AD369" s="19" t="str">
        <f t="shared" si="88"/>
        <v/>
      </c>
      <c r="AE369" s="19" t="str">
        <f t="shared" si="89"/>
        <v/>
      </c>
      <c r="AF369" s="19" t="str">
        <f>IF(ISERROR(IF('Hidrograma afluente'!I376="",0,'Hidrograma afluente'!I376)+Simulação!G369),"",IF('Hidrograma afluente'!I376="",0,'Hidrograma afluente'!I376)+Simulação!G369)</f>
        <v/>
      </c>
      <c r="AG369" s="17" t="s">
        <v>160</v>
      </c>
      <c r="AH369" s="17" t="s">
        <v>160</v>
      </c>
      <c r="AI369" s="27" t="s">
        <v>160</v>
      </c>
      <c r="AJ369" s="17" t="s">
        <v>160</v>
      </c>
      <c r="AK369" s="19" t="str">
        <f>IF(A369="","",IF('Hidrograma afluente'!I376="",0,'Hidrograma afluente'!I376)+Simulação!B369)</f>
        <v/>
      </c>
    </row>
    <row r="370" spans="1:37" s="17" customFormat="1">
      <c r="A370" s="4" t="str">
        <f t="shared" si="79"/>
        <v/>
      </c>
      <c r="B370" s="5" t="str">
        <f>IF(A370="","",IF(A370&gt;tc_lot_i+tc,0,IF('Hidrograma afluente'!B377="","",'Hidrograma afluente'!B377)))</f>
        <v/>
      </c>
      <c r="C370" s="21" t="str">
        <f t="shared" si="80"/>
        <v/>
      </c>
      <c r="D370" s="21" t="str">
        <f t="shared" si="81"/>
        <v/>
      </c>
      <c r="E370" s="21" t="str">
        <f t="shared" si="82"/>
        <v/>
      </c>
      <c r="F370" s="21" t="str">
        <f t="shared" si="83"/>
        <v/>
      </c>
      <c r="G370" s="21" t="str">
        <f t="shared" si="84"/>
        <v/>
      </c>
      <c r="H370" s="23" t="str">
        <f t="shared" si="90"/>
        <v/>
      </c>
      <c r="I370" s="22" t="str">
        <f t="shared" si="85"/>
        <v/>
      </c>
      <c r="J370" s="1"/>
      <c r="K370" s="51"/>
      <c r="M370" s="81">
        <f t="shared" ca="1" si="76"/>
        <v>2071.7044555199132</v>
      </c>
      <c r="N370" s="19">
        <f t="shared" si="86"/>
        <v>55.366952373541928</v>
      </c>
      <c r="O370" s="17">
        <f t="shared" si="87"/>
        <v>92.25</v>
      </c>
      <c r="P370" s="19">
        <f ca="1">IF(ISERROR(IF(O370&lt;fi_h/20,0,(OFFSET('Base de dados'!$A$5,IF(O370&lt;20,1,IF(O370&gt;1000,10,MATCH(O370,Cargas,1))),Coluna_fih,1,1))*(1+0.13*0.25)*(PI()*(fi_h/1000)^2/4)*SQRT(2*9.81*(O370/100-fi_h/2/1000))*1000)),"",IF(O370&lt;fi_h/20,0,(OFFSET('Base de dados'!$A$5,IF(O370&lt;20,1,IF(O370&gt;1000,10,MATCH(O370,Cargas,1))),Coluna_fih,1,1))*(PI()*(fi_h/1000)^2/4)*SQRT(2*9.81*(O370/100-fi_h/2/1000))*1000))</f>
        <v>25.046392422888502</v>
      </c>
      <c r="Q370" s="19">
        <f ca="1">IF(O370="","",IF(Tipo_Vertedor="Retangular",IF(O370&lt;=cota_s*100,0,IF(Tipo_Vertedor="Retangular",Cd_sr*Lef_sr*((O370/100-cota_s)^(3/2))*1000)),IF(O370&lt;=cota_s*100+fi_s/20,0,(OFFSET('Base de dados'!$A$4,IF(O370&lt;20,1,IF(O370&gt;1000,10,MATCH(O370,Cargas,1))),Coluna_fis,1,1))*(PI()*(fi_s/1000)^2/4)*(2*9.81*(O370/100-cota_s-fi_s/2/1000))^0.5*1000)))</f>
        <v>201.09298397896063</v>
      </c>
      <c r="R370" s="19">
        <f t="shared" ca="1" si="77"/>
        <v>226.13937640184912</v>
      </c>
      <c r="S370" s="19">
        <f t="shared" ca="1" si="78"/>
        <v>1845.5650791180642</v>
      </c>
      <c r="AD370" s="19" t="str">
        <f t="shared" si="88"/>
        <v/>
      </c>
      <c r="AE370" s="19" t="str">
        <f t="shared" si="89"/>
        <v/>
      </c>
      <c r="AF370" s="19" t="str">
        <f>IF(ISERROR(IF('Hidrograma afluente'!I377="",0,'Hidrograma afluente'!I377)+Simulação!G370),"",IF('Hidrograma afluente'!I377="",0,'Hidrograma afluente'!I377)+Simulação!G370)</f>
        <v/>
      </c>
      <c r="AG370" s="17" t="s">
        <v>160</v>
      </c>
      <c r="AH370" s="17" t="s">
        <v>160</v>
      </c>
      <c r="AI370" s="27" t="s">
        <v>160</v>
      </c>
      <c r="AJ370" s="17" t="s">
        <v>160</v>
      </c>
      <c r="AK370" s="19" t="str">
        <f>IF(A370="","",IF('Hidrograma afluente'!I377="",0,'Hidrograma afluente'!I377)+Simulação!B370)</f>
        <v/>
      </c>
    </row>
    <row r="371" spans="1:37" s="17" customFormat="1">
      <c r="A371" s="4" t="str">
        <f t="shared" si="79"/>
        <v/>
      </c>
      <c r="B371" s="5" t="str">
        <f>IF(A371="","",IF(A371&gt;tc_lot_i+tc,0,IF('Hidrograma afluente'!B378="","",'Hidrograma afluente'!B378)))</f>
        <v/>
      </c>
      <c r="C371" s="21" t="str">
        <f t="shared" si="80"/>
        <v/>
      </c>
      <c r="D371" s="21" t="str">
        <f t="shared" si="81"/>
        <v/>
      </c>
      <c r="E371" s="21" t="str">
        <f t="shared" si="82"/>
        <v/>
      </c>
      <c r="F371" s="21" t="str">
        <f t="shared" si="83"/>
        <v/>
      </c>
      <c r="G371" s="21" t="str">
        <f t="shared" si="84"/>
        <v/>
      </c>
      <c r="H371" s="23" t="str">
        <f t="shared" si="90"/>
        <v/>
      </c>
      <c r="I371" s="22" t="str">
        <f t="shared" si="85"/>
        <v/>
      </c>
      <c r="J371" s="1"/>
      <c r="K371" s="51"/>
      <c r="M371" s="81">
        <f t="shared" ca="1" si="76"/>
        <v>2079.7089369574473</v>
      </c>
      <c r="N371" s="19">
        <f t="shared" si="86"/>
        <v>55.53571866357958</v>
      </c>
      <c r="O371" s="17">
        <f t="shared" si="87"/>
        <v>92.5</v>
      </c>
      <c r="P371" s="19">
        <f ca="1">IF(ISERROR(IF(O371&lt;fi_h/20,0,(OFFSET('Base de dados'!$A$5,IF(O371&lt;20,1,IF(O371&gt;1000,10,MATCH(O371,Cargas,1))),Coluna_fih,1,1))*(1+0.13*0.25)*(PI()*(fi_h/1000)^2/4)*SQRT(2*9.81*(O371/100-fi_h/2/1000))*1000)),"",IF(O371&lt;fi_h/20,0,(OFFSET('Base de dados'!$A$5,IF(O371&lt;20,1,IF(O371&gt;1000,10,MATCH(O371,Cargas,1))),Coluna_fih,1,1))*(PI()*(fi_h/1000)^2/4)*SQRT(2*9.81*(O371/100-fi_h/2/1000))*1000))</f>
        <v>25.082514614814237</v>
      </c>
      <c r="Q371" s="19">
        <f ca="1">IF(O371="","",IF(Tipo_Vertedor="Retangular",IF(O371&lt;=cota_s*100,0,IF(Tipo_Vertedor="Retangular",Cd_sr*Lef_sr*((O371/100-cota_s)^(3/2))*1000)),IF(O371&lt;=cota_s*100+fi_s/20,0,(OFFSET('Base de dados'!$A$4,IF(O371&lt;20,1,IF(O371&gt;1000,10,MATCH(O371,Cargas,1))),Coluna_fis,1,1))*(PI()*(fi_s/1000)^2/4)*(2*9.81*(O371/100-cota_s-fi_s/2/1000))^0.5*1000)))</f>
        <v>203.43580022331383</v>
      </c>
      <c r="R371" s="19">
        <f t="shared" ca="1" si="77"/>
        <v>228.51831483812808</v>
      </c>
      <c r="S371" s="19">
        <f t="shared" ca="1" si="78"/>
        <v>1851.1906221193194</v>
      </c>
      <c r="AD371" s="19" t="str">
        <f t="shared" si="88"/>
        <v/>
      </c>
      <c r="AE371" s="19" t="str">
        <f t="shared" si="89"/>
        <v/>
      </c>
      <c r="AF371" s="19" t="str">
        <f>IF(ISERROR(IF('Hidrograma afluente'!I378="",0,'Hidrograma afluente'!I378)+Simulação!G371),"",IF('Hidrograma afluente'!I378="",0,'Hidrograma afluente'!I378)+Simulação!G371)</f>
        <v/>
      </c>
      <c r="AG371" s="17" t="s">
        <v>160</v>
      </c>
      <c r="AH371" s="17" t="s">
        <v>160</v>
      </c>
      <c r="AI371" s="27" t="s">
        <v>160</v>
      </c>
      <c r="AJ371" s="17" t="s">
        <v>160</v>
      </c>
      <c r="AK371" s="19" t="str">
        <f>IF(A371="","",IF('Hidrograma afluente'!I378="",0,'Hidrograma afluente'!I378)+Simulação!B371)</f>
        <v/>
      </c>
    </row>
    <row r="372" spans="1:37" s="17" customFormat="1">
      <c r="A372" s="4" t="str">
        <f t="shared" si="79"/>
        <v/>
      </c>
      <c r="B372" s="5" t="str">
        <f>IF(A372="","",IF(A372&gt;tc_lot_i+tc,0,IF('Hidrograma afluente'!B379="","",'Hidrograma afluente'!B379)))</f>
        <v/>
      </c>
      <c r="C372" s="21" t="str">
        <f t="shared" si="80"/>
        <v/>
      </c>
      <c r="D372" s="21" t="str">
        <f t="shared" si="81"/>
        <v/>
      </c>
      <c r="E372" s="21" t="str">
        <f t="shared" si="82"/>
        <v/>
      </c>
      <c r="F372" s="21" t="str">
        <f t="shared" si="83"/>
        <v/>
      </c>
      <c r="G372" s="21" t="str">
        <f t="shared" si="84"/>
        <v/>
      </c>
      <c r="H372" s="23" t="str">
        <f t="shared" si="90"/>
        <v/>
      </c>
      <c r="I372" s="22" t="str">
        <f t="shared" si="85"/>
        <v/>
      </c>
      <c r="J372" s="1"/>
      <c r="K372" s="51"/>
      <c r="M372" s="81">
        <f t="shared" ca="1" si="76"/>
        <v>2087.7242890702546</v>
      </c>
      <c r="N372" s="19">
        <f t="shared" si="86"/>
        <v>55.704541784775827</v>
      </c>
      <c r="O372" s="17">
        <f t="shared" si="87"/>
        <v>92.75</v>
      </c>
      <c r="P372" s="19">
        <f ca="1">IF(ISERROR(IF(O372&lt;fi_h/20,0,(OFFSET('Base de dados'!$A$5,IF(O372&lt;20,1,IF(O372&gt;1000,10,MATCH(O372,Cargas,1))),Coluna_fih,1,1))*(1+0.13*0.25)*(PI()*(fi_h/1000)^2/4)*SQRT(2*9.81*(O372/100-fi_h/2/1000))*1000)),"",IF(O372&lt;fi_h/20,0,(OFFSET('Base de dados'!$A$5,IF(O372&lt;20,1,IF(O372&gt;1000,10,MATCH(O372,Cargas,1))),Coluna_fih,1,1))*(PI()*(fi_h/1000)^2/4)*SQRT(2*9.81*(O372/100-fi_h/2/1000))*1000))</f>
        <v>25.118584860684582</v>
      </c>
      <c r="Q372" s="19">
        <f ca="1">IF(O372="","",IF(Tipo_Vertedor="Retangular",IF(O372&lt;=cota_s*100,0,IF(Tipo_Vertedor="Retangular",Cd_sr*Lef_sr*((O372/100-cota_s)^(3/2))*1000)),IF(O372&lt;=cota_s*100+fi_s/20,0,(OFFSET('Base de dados'!$A$4,IF(O372&lt;20,1,IF(O372&gt;1000,10,MATCH(O372,Cargas,1))),Coluna_fis,1,1))*(PI()*(fi_s/1000)^2/4)*(2*9.81*(O372/100-cota_s-fi_s/2/1000))^0.5*1000)))</f>
        <v>205.78764471704207</v>
      </c>
      <c r="R372" s="19">
        <f t="shared" ca="1" si="77"/>
        <v>230.90622957772666</v>
      </c>
      <c r="S372" s="19">
        <f t="shared" ca="1" si="78"/>
        <v>1856.8180594925277</v>
      </c>
      <c r="AD372" s="19" t="str">
        <f t="shared" si="88"/>
        <v/>
      </c>
      <c r="AE372" s="19" t="str">
        <f t="shared" si="89"/>
        <v/>
      </c>
      <c r="AF372" s="19" t="str">
        <f>IF(ISERROR(IF('Hidrograma afluente'!I379="",0,'Hidrograma afluente'!I379)+Simulação!G372),"",IF('Hidrograma afluente'!I379="",0,'Hidrograma afluente'!I379)+Simulação!G372)</f>
        <v/>
      </c>
      <c r="AG372" s="17" t="s">
        <v>160</v>
      </c>
      <c r="AH372" s="17" t="s">
        <v>160</v>
      </c>
      <c r="AI372" s="27" t="s">
        <v>160</v>
      </c>
      <c r="AJ372" s="17" t="s">
        <v>160</v>
      </c>
      <c r="AK372" s="19" t="str">
        <f>IF(A372="","",IF('Hidrograma afluente'!I379="",0,'Hidrograma afluente'!I379)+Simulação!B372)</f>
        <v/>
      </c>
    </row>
    <row r="373" spans="1:37" s="17" customFormat="1">
      <c r="A373" s="4" t="str">
        <f t="shared" si="79"/>
        <v/>
      </c>
      <c r="B373" s="5" t="str">
        <f>IF(A373="","",IF(A373&gt;tc_lot_i+tc,0,IF('Hidrograma afluente'!B380="","",'Hidrograma afluente'!B380)))</f>
        <v/>
      </c>
      <c r="C373" s="21" t="str">
        <f t="shared" si="80"/>
        <v/>
      </c>
      <c r="D373" s="21" t="str">
        <f t="shared" si="81"/>
        <v/>
      </c>
      <c r="E373" s="21" t="str">
        <f t="shared" si="82"/>
        <v/>
      </c>
      <c r="F373" s="21" t="str">
        <f t="shared" si="83"/>
        <v/>
      </c>
      <c r="G373" s="21" t="str">
        <f t="shared" si="84"/>
        <v/>
      </c>
      <c r="H373" s="23" t="str">
        <f t="shared" si="90"/>
        <v/>
      </c>
      <c r="I373" s="22" t="str">
        <f t="shared" si="85"/>
        <v/>
      </c>
      <c r="J373" s="1"/>
      <c r="K373" s="51"/>
      <c r="M373" s="81">
        <f t="shared" ca="1" si="76"/>
        <v>2095.750473085518</v>
      </c>
      <c r="N373" s="19">
        <f t="shared" si="86"/>
        <v>55.873421603006896</v>
      </c>
      <c r="O373" s="17">
        <f t="shared" si="87"/>
        <v>93</v>
      </c>
      <c r="P373" s="19">
        <f ca="1">IF(ISERROR(IF(O373&lt;fi_h/20,0,(OFFSET('Base de dados'!$A$5,IF(O373&lt;20,1,IF(O373&gt;1000,10,MATCH(O373,Cargas,1))),Coluna_fih,1,1))*(1+0.13*0.25)*(PI()*(fi_h/1000)^2/4)*SQRT(2*9.81*(O373/100-fi_h/2/1000))*1000)),"",IF(O373&lt;fi_h/20,0,(OFFSET('Base de dados'!$A$5,IF(O373&lt;20,1,IF(O373&gt;1000,10,MATCH(O373,Cargas,1))),Coluna_fih,1,1))*(PI()*(fi_h/1000)^2/4)*SQRT(2*9.81*(O373/100-fi_h/2/1000))*1000))</f>
        <v>25.15460338396246</v>
      </c>
      <c r="Q373" s="19">
        <f ca="1">IF(O373="","",IF(Tipo_Vertedor="Retangular",IF(O373&lt;=cota_s*100,0,IF(Tipo_Vertedor="Retangular",Cd_sr*Lef_sr*((O373/100-cota_s)^(3/2))*1000)),IF(O373&lt;=cota_s*100+fi_s/20,0,(OFFSET('Base de dados'!$A$4,IF(O373&lt;20,1,IF(O373&gt;1000,10,MATCH(O373,Cargas,1))),Coluna_fis,1,1))*(PI()*(fi_s/1000)^2/4)*(2*9.81*(O373/100-cota_s-fi_s/2/1000))^0.5*1000)))</f>
        <v>208.14848293465903</v>
      </c>
      <c r="R373" s="19">
        <f t="shared" ca="1" si="77"/>
        <v>233.3030863186215</v>
      </c>
      <c r="S373" s="19">
        <f t="shared" ca="1" si="78"/>
        <v>1862.4473867668964</v>
      </c>
      <c r="AD373" s="19" t="str">
        <f t="shared" si="88"/>
        <v/>
      </c>
      <c r="AE373" s="19" t="str">
        <f t="shared" si="89"/>
        <v/>
      </c>
      <c r="AF373" s="19" t="str">
        <f>IF(ISERROR(IF('Hidrograma afluente'!I380="",0,'Hidrograma afluente'!I380)+Simulação!G373),"",IF('Hidrograma afluente'!I380="",0,'Hidrograma afluente'!I380)+Simulação!G373)</f>
        <v/>
      </c>
      <c r="AG373" s="17" t="s">
        <v>160</v>
      </c>
      <c r="AH373" s="17" t="s">
        <v>160</v>
      </c>
      <c r="AI373" s="27" t="s">
        <v>160</v>
      </c>
      <c r="AJ373" s="17" t="s">
        <v>160</v>
      </c>
      <c r="AK373" s="19" t="str">
        <f>IF(A373="","",IF('Hidrograma afluente'!I380="",0,'Hidrograma afluente'!I380)+Simulação!B373)</f>
        <v/>
      </c>
    </row>
    <row r="374" spans="1:37" s="17" customFormat="1">
      <c r="A374" s="4" t="str">
        <f t="shared" si="79"/>
        <v/>
      </c>
      <c r="B374" s="5" t="str">
        <f>IF(A374="","",IF(A374&gt;tc_lot_i+tc,0,IF('Hidrograma afluente'!B381="","",'Hidrograma afluente'!B381)))</f>
        <v/>
      </c>
      <c r="C374" s="21" t="str">
        <f t="shared" si="80"/>
        <v/>
      </c>
      <c r="D374" s="21" t="str">
        <f t="shared" si="81"/>
        <v/>
      </c>
      <c r="E374" s="21" t="str">
        <f t="shared" si="82"/>
        <v/>
      </c>
      <c r="F374" s="21" t="str">
        <f t="shared" si="83"/>
        <v/>
      </c>
      <c r="G374" s="21" t="str">
        <f t="shared" si="84"/>
        <v/>
      </c>
      <c r="H374" s="23" t="str">
        <f t="shared" si="90"/>
        <v/>
      </c>
      <c r="I374" s="22" t="str">
        <f t="shared" si="85"/>
        <v/>
      </c>
      <c r="J374" s="1"/>
      <c r="K374" s="51"/>
      <c r="M374" s="81">
        <f t="shared" ca="1" si="76"/>
        <v>2103.7874506444591</v>
      </c>
      <c r="N374" s="19">
        <f t="shared" si="86"/>
        <v>56.042357984825294</v>
      </c>
      <c r="O374" s="17">
        <f t="shared" si="87"/>
        <v>93.25</v>
      </c>
      <c r="P374" s="19">
        <f ca="1">IF(ISERROR(IF(O374&lt;fi_h/20,0,(OFFSET('Base de dados'!$A$5,IF(O374&lt;20,1,IF(O374&gt;1000,10,MATCH(O374,Cargas,1))),Coluna_fih,1,1))*(1+0.13*0.25)*(PI()*(fi_h/1000)^2/4)*SQRT(2*9.81*(O374/100-fi_h/2/1000))*1000)),"",IF(O374&lt;fi_h/20,0,(OFFSET('Base de dados'!$A$5,IF(O374&lt;20,1,IF(O374&gt;1000,10,MATCH(O374,Cargas,1))),Coluna_fih,1,1))*(PI()*(fi_h/1000)^2/4)*SQRT(2*9.81*(O374/100-fi_h/2/1000))*1000))</f>
        <v>25.190570406513199</v>
      </c>
      <c r="Q374" s="19">
        <f ca="1">IF(O374="","",IF(Tipo_Vertedor="Retangular",IF(O374&lt;=cota_s*100,0,IF(Tipo_Vertedor="Retangular",Cd_sr*Lef_sr*((O374/100-cota_s)^(3/2))*1000)),IF(O374&lt;=cota_s*100+fi_s/20,0,(OFFSET('Base de dados'!$A$4,IF(O374&lt;20,1,IF(O374&gt;1000,10,MATCH(O374,Cargas,1))),Coluna_fis,1,1))*(PI()*(fi_s/1000)^2/4)*(2*9.81*(O374/100-cota_s-fi_s/2/1000))^0.5*1000)))</f>
        <v>210.51828074376937</v>
      </c>
      <c r="R374" s="19">
        <f t="shared" ca="1" si="77"/>
        <v>235.70885115028256</v>
      </c>
      <c r="S374" s="19">
        <f t="shared" ca="1" si="78"/>
        <v>1868.0785994941764</v>
      </c>
      <c r="AD374" s="19" t="str">
        <f t="shared" si="88"/>
        <v/>
      </c>
      <c r="AE374" s="19" t="str">
        <f t="shared" si="89"/>
        <v/>
      </c>
      <c r="AF374" s="19" t="str">
        <f>IF(ISERROR(IF('Hidrograma afluente'!I381="",0,'Hidrograma afluente'!I381)+Simulação!G374),"",IF('Hidrograma afluente'!I381="",0,'Hidrograma afluente'!I381)+Simulação!G374)</f>
        <v/>
      </c>
      <c r="AG374" s="17" t="s">
        <v>160</v>
      </c>
      <c r="AH374" s="17" t="s">
        <v>160</v>
      </c>
      <c r="AI374" s="27" t="s">
        <v>160</v>
      </c>
      <c r="AJ374" s="17" t="s">
        <v>160</v>
      </c>
      <c r="AK374" s="19" t="str">
        <f>IF(A374="","",IF('Hidrograma afluente'!I381="",0,'Hidrograma afluente'!I381)+Simulação!B374)</f>
        <v/>
      </c>
    </row>
    <row r="375" spans="1:37" s="17" customFormat="1">
      <c r="A375" s="4" t="str">
        <f t="shared" si="79"/>
        <v/>
      </c>
      <c r="B375" s="5" t="str">
        <f>IF(A375="","",IF(A375&gt;tc_lot_i+tc,0,IF('Hidrograma afluente'!B382="","",'Hidrograma afluente'!B382)))</f>
        <v/>
      </c>
      <c r="C375" s="21" t="str">
        <f t="shared" si="80"/>
        <v/>
      </c>
      <c r="D375" s="21" t="str">
        <f t="shared" si="81"/>
        <v/>
      </c>
      <c r="E375" s="21" t="str">
        <f t="shared" si="82"/>
        <v/>
      </c>
      <c r="F375" s="21" t="str">
        <f t="shared" si="83"/>
        <v/>
      </c>
      <c r="G375" s="21" t="str">
        <f t="shared" si="84"/>
        <v/>
      </c>
      <c r="H375" s="23" t="str">
        <f t="shared" si="90"/>
        <v/>
      </c>
      <c r="I375" s="22" t="str">
        <f t="shared" si="85"/>
        <v/>
      </c>
      <c r="J375" s="1"/>
      <c r="K375" s="51"/>
      <c r="M375" s="81">
        <f t="shared" ca="1" si="76"/>
        <v>2111.8351837947744</v>
      </c>
      <c r="N375" s="19">
        <f t="shared" si="86"/>
        <v>56.211350797454621</v>
      </c>
      <c r="O375" s="17">
        <f t="shared" si="87"/>
        <v>93.5</v>
      </c>
      <c r="P375" s="19">
        <f ca="1">IF(ISERROR(IF(O375&lt;fi_h/20,0,(OFFSET('Base de dados'!$A$5,IF(O375&lt;20,1,IF(O375&gt;1000,10,MATCH(O375,Cargas,1))),Coluna_fih,1,1))*(1+0.13*0.25)*(PI()*(fi_h/1000)^2/4)*SQRT(2*9.81*(O375/100-fi_h/2/1000))*1000)),"",IF(O375&lt;fi_h/20,0,(OFFSET('Base de dados'!$A$5,IF(O375&lt;20,1,IF(O375&gt;1000,10,MATCH(O375,Cargas,1))),Coluna_fih,1,1))*(PI()*(fi_h/1000)^2/4)*SQRT(2*9.81*(O375/100-fi_h/2/1000))*1000))</f>
        <v>25.226486148620491</v>
      </c>
      <c r="Q375" s="19">
        <f ca="1">IF(O375="","",IF(Tipo_Vertedor="Retangular",IF(O375&lt;=cota_s*100,0,IF(Tipo_Vertedor="Retangular",Cd_sr*Lef_sr*((O375/100-cota_s)^(3/2))*1000)),IF(O375&lt;=cota_s*100+fi_s/20,0,(OFFSET('Base de dados'!$A$4,IF(O375&lt;20,1,IF(O375&gt;1000,10,MATCH(O375,Cargas,1))),Coluna_fis,1,1))*(PI()*(fi_s/1000)^2/4)*(2*9.81*(O375/100-cota_s-fi_s/2/1000))^0.5*1000)))</f>
        <v>212.89700439766656</v>
      </c>
      <c r="R375" s="19">
        <f t="shared" ca="1" si="77"/>
        <v>238.12349054628706</v>
      </c>
      <c r="S375" s="19">
        <f t="shared" ca="1" si="78"/>
        <v>1873.7116932484873</v>
      </c>
      <c r="AD375" s="19" t="str">
        <f t="shared" si="88"/>
        <v/>
      </c>
      <c r="AE375" s="19" t="str">
        <f t="shared" si="89"/>
        <v/>
      </c>
      <c r="AF375" s="19" t="str">
        <f>IF(ISERROR(IF('Hidrograma afluente'!I382="",0,'Hidrograma afluente'!I382)+Simulação!G375),"",IF('Hidrograma afluente'!I382="",0,'Hidrograma afluente'!I382)+Simulação!G375)</f>
        <v/>
      </c>
      <c r="AG375" s="17" t="s">
        <v>160</v>
      </c>
      <c r="AH375" s="17" t="s">
        <v>160</v>
      </c>
      <c r="AI375" s="27" t="s">
        <v>160</v>
      </c>
      <c r="AJ375" s="17" t="s">
        <v>160</v>
      </c>
      <c r="AK375" s="19" t="str">
        <f>IF(A375="","",IF('Hidrograma afluente'!I382="",0,'Hidrograma afluente'!I382)+Simulação!B375)</f>
        <v/>
      </c>
    </row>
    <row r="376" spans="1:37" s="17" customFormat="1">
      <c r="A376" s="4" t="str">
        <f t="shared" si="79"/>
        <v/>
      </c>
      <c r="B376" s="5" t="str">
        <f>IF(A376="","",IF(A376&gt;tc_lot_i+tc,0,IF('Hidrograma afluente'!B383="","",'Hidrograma afluente'!B383)))</f>
        <v/>
      </c>
      <c r="C376" s="21" t="str">
        <f t="shared" si="80"/>
        <v/>
      </c>
      <c r="D376" s="21" t="str">
        <f t="shared" si="81"/>
        <v/>
      </c>
      <c r="E376" s="21" t="str">
        <f t="shared" si="82"/>
        <v/>
      </c>
      <c r="F376" s="21" t="str">
        <f t="shared" si="83"/>
        <v/>
      </c>
      <c r="G376" s="21" t="str">
        <f t="shared" si="84"/>
        <v/>
      </c>
      <c r="H376" s="23" t="str">
        <f t="shared" si="90"/>
        <v/>
      </c>
      <c r="I376" s="22" t="str">
        <f t="shared" si="85"/>
        <v/>
      </c>
      <c r="J376" s="1"/>
      <c r="K376" s="51"/>
      <c r="M376" s="81">
        <f t="shared" ca="1" si="76"/>
        <v>2119.8936349832702</v>
      </c>
      <c r="N376" s="19">
        <f t="shared" si="86"/>
        <v>56.380399908784383</v>
      </c>
      <c r="O376" s="17">
        <f t="shared" si="87"/>
        <v>93.75</v>
      </c>
      <c r="P376" s="19">
        <f ca="1">IF(ISERROR(IF(O376&lt;fi_h/20,0,(OFFSET('Base de dados'!$A$5,IF(O376&lt;20,1,IF(O376&gt;1000,10,MATCH(O376,Cargas,1))),Coluna_fih,1,1))*(1+0.13*0.25)*(PI()*(fi_h/1000)^2/4)*SQRT(2*9.81*(O376/100-fi_h/2/1000))*1000)),"",IF(O376&lt;fi_h/20,0,(OFFSET('Base de dados'!$A$5,IF(O376&lt;20,1,IF(O376&gt;1000,10,MATCH(O376,Cargas,1))),Coluna_fih,1,1))*(PI()*(fi_h/1000)^2/4)*SQRT(2*9.81*(O376/100-fi_h/2/1000))*1000))</f>
        <v>25.262350829002131</v>
      </c>
      <c r="Q376" s="19">
        <f ca="1">IF(O376="","",IF(Tipo_Vertedor="Retangular",IF(O376&lt;=cota_s*100,0,IF(Tipo_Vertedor="Retangular",Cd_sr*Lef_sr*((O376/100-cota_s)^(3/2))*1000)),IF(O376&lt;=cota_s*100+fi_s/20,0,(OFFSET('Base de dados'!$A$4,IF(O376&lt;20,1,IF(O376&gt;1000,10,MATCH(O376,Cargas,1))),Coluna_fis,1,1))*(PI()*(fi_s/1000)^2/4)*(2*9.81*(O376/100-cota_s-fi_s/2/1000))^0.5*1000)))</f>
        <v>215.28462052812205</v>
      </c>
      <c r="R376" s="19">
        <f t="shared" ca="1" si="77"/>
        <v>240.54697135712416</v>
      </c>
      <c r="S376" s="19">
        <f t="shared" ca="1" si="78"/>
        <v>1879.3466636261462</v>
      </c>
      <c r="AD376" s="19" t="str">
        <f t="shared" si="88"/>
        <v/>
      </c>
      <c r="AE376" s="19" t="str">
        <f t="shared" si="89"/>
        <v/>
      </c>
      <c r="AF376" s="19" t="str">
        <f>IF(ISERROR(IF('Hidrograma afluente'!I383="",0,'Hidrograma afluente'!I383)+Simulação!G376),"",IF('Hidrograma afluente'!I383="",0,'Hidrograma afluente'!I383)+Simulação!G376)</f>
        <v/>
      </c>
      <c r="AG376" s="17" t="s">
        <v>160</v>
      </c>
      <c r="AH376" s="17" t="s">
        <v>160</v>
      </c>
      <c r="AI376" s="27" t="s">
        <v>160</v>
      </c>
      <c r="AJ376" s="17" t="s">
        <v>160</v>
      </c>
      <c r="AK376" s="19" t="str">
        <f>IF(A376="","",IF('Hidrograma afluente'!I383="",0,'Hidrograma afluente'!I383)+Simulação!B376)</f>
        <v/>
      </c>
    </row>
    <row r="377" spans="1:37" s="17" customFormat="1">
      <c r="A377" s="4" t="str">
        <f t="shared" si="79"/>
        <v/>
      </c>
      <c r="B377" s="5" t="str">
        <f>IF(A377="","",IF(A377&gt;tc_lot_i+tc,0,IF('Hidrograma afluente'!B384="","",'Hidrograma afluente'!B384)))</f>
        <v/>
      </c>
      <c r="C377" s="21" t="str">
        <f t="shared" si="80"/>
        <v/>
      </c>
      <c r="D377" s="21" t="str">
        <f t="shared" si="81"/>
        <v/>
      </c>
      <c r="E377" s="21" t="str">
        <f t="shared" si="82"/>
        <v/>
      </c>
      <c r="F377" s="21" t="str">
        <f t="shared" si="83"/>
        <v/>
      </c>
      <c r="G377" s="21" t="str">
        <f t="shared" si="84"/>
        <v/>
      </c>
      <c r="H377" s="23" t="str">
        <f t="shared" si="90"/>
        <v/>
      </c>
      <c r="I377" s="22" t="str">
        <f t="shared" si="85"/>
        <v/>
      </c>
      <c r="J377" s="1"/>
      <c r="K377" s="51"/>
      <c r="M377" s="81">
        <f t="shared" ca="1" si="76"/>
        <v>2127.962767048688</v>
      </c>
      <c r="N377" s="19">
        <f t="shared" si="86"/>
        <v>56.549505187364922</v>
      </c>
      <c r="O377" s="17">
        <f t="shared" si="87"/>
        <v>94</v>
      </c>
      <c r="P377" s="19">
        <f ca="1">IF(ISERROR(IF(O377&lt;fi_h/20,0,(OFFSET('Base de dados'!$A$5,IF(O377&lt;20,1,IF(O377&gt;1000,10,MATCH(O377,Cargas,1))),Coluna_fih,1,1))*(1+0.13*0.25)*(PI()*(fi_h/1000)^2/4)*SQRT(2*9.81*(O377/100-fi_h/2/1000))*1000)),"",IF(O377&lt;fi_h/20,0,(OFFSET('Base de dados'!$A$5,IF(O377&lt;20,1,IF(O377&gt;1000,10,MATCH(O377,Cargas,1))),Coluna_fih,1,1))*(PI()*(fi_h/1000)^2/4)*SQRT(2*9.81*(O377/100-fi_h/2/1000))*1000))</f>
        <v>25.298164664825538</v>
      </c>
      <c r="Q377" s="19">
        <f ca="1">IF(O377="","",IF(Tipo_Vertedor="Retangular",IF(O377&lt;=cota_s*100,0,IF(Tipo_Vertedor="Retangular",Cd_sr*Lef_sr*((O377/100-cota_s)^(3/2))*1000)),IF(O377&lt;=cota_s*100+fi_s/20,0,(OFFSET('Base de dados'!$A$4,IF(O377&lt;20,1,IF(O377&gt;1000,10,MATCH(O377,Cargas,1))),Coluna_fis,1,1))*(PI()*(fi_s/1000)^2/4)*(2*9.81*(O377/100-cota_s-fi_s/2/1000))^0.5*1000)))</f>
        <v>217.68109613836478</v>
      </c>
      <c r="R377" s="19">
        <f t="shared" ca="1" si="77"/>
        <v>242.97926080319033</v>
      </c>
      <c r="S377" s="19">
        <f t="shared" ca="1" si="78"/>
        <v>1884.9835062454974</v>
      </c>
      <c r="AD377" s="19" t="str">
        <f t="shared" si="88"/>
        <v/>
      </c>
      <c r="AE377" s="19" t="str">
        <f t="shared" si="89"/>
        <v/>
      </c>
      <c r="AF377" s="19" t="str">
        <f>IF(ISERROR(IF('Hidrograma afluente'!I384="",0,'Hidrograma afluente'!I384)+Simulação!G377),"",IF('Hidrograma afluente'!I384="",0,'Hidrograma afluente'!I384)+Simulação!G377)</f>
        <v/>
      </c>
      <c r="AG377" s="17" t="s">
        <v>160</v>
      </c>
      <c r="AH377" s="17" t="s">
        <v>160</v>
      </c>
      <c r="AI377" s="27" t="s">
        <v>160</v>
      </c>
      <c r="AJ377" s="17" t="s">
        <v>160</v>
      </c>
      <c r="AK377" s="19" t="str">
        <f>IF(A377="","",IF('Hidrograma afluente'!I384="",0,'Hidrograma afluente'!I384)+Simulação!B377)</f>
        <v/>
      </c>
    </row>
    <row r="378" spans="1:37" s="17" customFormat="1">
      <c r="A378" s="4" t="str">
        <f t="shared" si="79"/>
        <v/>
      </c>
      <c r="B378" s="5" t="str">
        <f>IF(A378="","",IF(A378&gt;tc_lot_i+tc,0,IF('Hidrograma afluente'!B385="","",'Hidrograma afluente'!B385)))</f>
        <v/>
      </c>
      <c r="C378" s="21" t="str">
        <f t="shared" si="80"/>
        <v/>
      </c>
      <c r="D378" s="21" t="str">
        <f t="shared" si="81"/>
        <v/>
      </c>
      <c r="E378" s="21" t="str">
        <f t="shared" si="82"/>
        <v/>
      </c>
      <c r="F378" s="21" t="str">
        <f t="shared" si="83"/>
        <v/>
      </c>
      <c r="G378" s="21" t="str">
        <f t="shared" si="84"/>
        <v/>
      </c>
      <c r="H378" s="23" t="str">
        <f t="shared" si="90"/>
        <v/>
      </c>
      <c r="I378" s="22" t="str">
        <f t="shared" si="85"/>
        <v/>
      </c>
      <c r="J378" s="1"/>
      <c r="K378" s="51"/>
      <c r="M378" s="81">
        <f t="shared" ca="1" si="76"/>
        <v>2136.0425432147067</v>
      </c>
      <c r="N378" s="19">
        <f t="shared" si="86"/>
        <v>56.718666502402336</v>
      </c>
      <c r="O378" s="17">
        <f t="shared" si="87"/>
        <v>94.25</v>
      </c>
      <c r="P378" s="19">
        <f ca="1">IF(ISERROR(IF(O378&lt;fi_h/20,0,(OFFSET('Base de dados'!$A$5,IF(O378&lt;20,1,IF(O378&gt;1000,10,MATCH(O378,Cargas,1))),Coluna_fih,1,1))*(1+0.13*0.25)*(PI()*(fi_h/1000)^2/4)*SQRT(2*9.81*(O378/100-fi_h/2/1000))*1000)),"",IF(O378&lt;fi_h/20,0,(OFFSET('Base de dados'!$A$5,IF(O378&lt;20,1,IF(O378&gt;1000,10,MATCH(O378,Cargas,1))),Coluna_fih,1,1))*(PI()*(fi_h/1000)^2/4)*SQRT(2*9.81*(O378/100-fi_h/2/1000))*1000))</f>
        <v>25.333927871723141</v>
      </c>
      <c r="Q378" s="19">
        <f ca="1">IF(O378="","",IF(Tipo_Vertedor="Retangular",IF(O378&lt;=cota_s*100,0,IF(Tipo_Vertedor="Retangular",Cd_sr*Lef_sr*((O378/100-cota_s)^(3/2))*1000)),IF(O378&lt;=cota_s*100+fi_s/20,0,(OFFSET('Base de dados'!$A$4,IF(O378&lt;20,1,IF(O378&gt;1000,10,MATCH(O378,Cargas,1))),Coluna_fis,1,1))*(PI()*(fi_s/1000)^2/4)*(2*9.81*(O378/100-cota_s-fi_s/2/1000))^0.5*1000)))</f>
        <v>220.08639859623881</v>
      </c>
      <c r="R378" s="19">
        <f t="shared" ca="1" si="77"/>
        <v>245.42032646796196</v>
      </c>
      <c r="S378" s="19">
        <f t="shared" ca="1" si="78"/>
        <v>1890.6222167467447</v>
      </c>
      <c r="AD378" s="19" t="str">
        <f t="shared" si="88"/>
        <v/>
      </c>
      <c r="AE378" s="19" t="str">
        <f t="shared" si="89"/>
        <v/>
      </c>
      <c r="AF378" s="19" t="str">
        <f>IF(ISERROR(IF('Hidrograma afluente'!I385="",0,'Hidrograma afluente'!I385)+Simulação!G378),"",IF('Hidrograma afluente'!I385="",0,'Hidrograma afluente'!I385)+Simulação!G378)</f>
        <v/>
      </c>
      <c r="AG378" s="17" t="s">
        <v>160</v>
      </c>
      <c r="AH378" s="17" t="s">
        <v>160</v>
      </c>
      <c r="AI378" s="27" t="s">
        <v>160</v>
      </c>
      <c r="AJ378" s="17" t="s">
        <v>160</v>
      </c>
      <c r="AK378" s="19" t="str">
        <f>IF(A378="","",IF('Hidrograma afluente'!I385="",0,'Hidrograma afluente'!I385)+Simulação!B378)</f>
        <v/>
      </c>
    </row>
    <row r="379" spans="1:37" s="17" customFormat="1">
      <c r="A379" s="4" t="str">
        <f t="shared" si="79"/>
        <v/>
      </c>
      <c r="B379" s="5" t="str">
        <f>IF(A379="","",IF(A379&gt;tc_lot_i+tc,0,IF('Hidrograma afluente'!B386="","",'Hidrograma afluente'!B386)))</f>
        <v/>
      </c>
      <c r="C379" s="21" t="str">
        <f t="shared" si="80"/>
        <v/>
      </c>
      <c r="D379" s="21" t="str">
        <f t="shared" si="81"/>
        <v/>
      </c>
      <c r="E379" s="21" t="str">
        <f t="shared" si="82"/>
        <v/>
      </c>
      <c r="F379" s="21" t="str">
        <f t="shared" si="83"/>
        <v/>
      </c>
      <c r="G379" s="21" t="str">
        <f t="shared" si="84"/>
        <v/>
      </c>
      <c r="H379" s="23" t="str">
        <f t="shared" si="90"/>
        <v/>
      </c>
      <c r="I379" s="22" t="str">
        <f t="shared" si="85"/>
        <v/>
      </c>
      <c r="J379" s="1"/>
      <c r="K379" s="51"/>
      <c r="M379" s="81">
        <f t="shared" ca="1" si="76"/>
        <v>2144.1329270831266</v>
      </c>
      <c r="N379" s="19">
        <f t="shared" si="86"/>
        <v>56.88788372375344</v>
      </c>
      <c r="O379" s="17">
        <f t="shared" si="87"/>
        <v>94.5</v>
      </c>
      <c r="P379" s="19">
        <f ca="1">IF(ISERROR(IF(O379&lt;fi_h/20,0,(OFFSET('Base de dados'!$A$5,IF(O379&lt;20,1,IF(O379&gt;1000,10,MATCH(O379,Cargas,1))),Coluna_fih,1,1))*(1+0.13*0.25)*(PI()*(fi_h/1000)^2/4)*SQRT(2*9.81*(O379/100-fi_h/2/1000))*1000)),"",IF(O379&lt;fi_h/20,0,(OFFSET('Base de dados'!$A$5,IF(O379&lt;20,1,IF(O379&gt;1000,10,MATCH(O379,Cargas,1))),Coluna_fih,1,1))*(PI()*(fi_h/1000)^2/4)*SQRT(2*9.81*(O379/100-fi_h/2/1000))*1000))</f>
        <v>25.369640663807466</v>
      </c>
      <c r="Q379" s="19">
        <f ca="1">IF(O379="","",IF(Tipo_Vertedor="Retangular",IF(O379&lt;=cota_s*100,0,IF(Tipo_Vertedor="Retangular",Cd_sr*Lef_sr*((O379/100-cota_s)^(3/2))*1000)),IF(O379&lt;=cota_s*100+fi_s/20,0,(OFFSET('Base de dados'!$A$4,IF(O379&lt;20,1,IF(O379&gt;1000,10,MATCH(O379,Cargas,1))),Coluna_fis,1,1))*(PI()*(fi_s/1000)^2/4)*(2*9.81*(O379/100-cota_s-fi_s/2/1000))^0.5*1000)))</f>
        <v>222.5004956275379</v>
      </c>
      <c r="R379" s="19">
        <f t="shared" ca="1" si="77"/>
        <v>247.87013629134537</v>
      </c>
      <c r="S379" s="19">
        <f t="shared" ca="1" si="78"/>
        <v>1896.2627907917813</v>
      </c>
      <c r="AD379" s="19" t="str">
        <f t="shared" si="88"/>
        <v/>
      </c>
      <c r="AE379" s="19" t="str">
        <f t="shared" si="89"/>
        <v/>
      </c>
      <c r="AF379" s="19" t="str">
        <f>IF(ISERROR(IF('Hidrograma afluente'!I386="",0,'Hidrograma afluente'!I386)+Simulação!G379),"",IF('Hidrograma afluente'!I386="",0,'Hidrograma afluente'!I386)+Simulação!G379)</f>
        <v/>
      </c>
      <c r="AG379" s="17" t="s">
        <v>160</v>
      </c>
      <c r="AH379" s="17" t="s">
        <v>160</v>
      </c>
      <c r="AI379" s="27" t="s">
        <v>160</v>
      </c>
      <c r="AJ379" s="17" t="s">
        <v>160</v>
      </c>
      <c r="AK379" s="19" t="str">
        <f>IF(A379="","",IF('Hidrograma afluente'!I386="",0,'Hidrograma afluente'!I386)+Simulação!B379)</f>
        <v/>
      </c>
    </row>
    <row r="380" spans="1:37" s="17" customFormat="1">
      <c r="A380" s="4" t="str">
        <f t="shared" si="79"/>
        <v/>
      </c>
      <c r="B380" s="5" t="str">
        <f>IF(A380="","",IF(A380&gt;tc_lot_i+tc,0,IF('Hidrograma afluente'!B387="","",'Hidrograma afluente'!B387)))</f>
        <v/>
      </c>
      <c r="C380" s="21" t="str">
        <f t="shared" si="80"/>
        <v/>
      </c>
      <c r="D380" s="21" t="str">
        <f t="shared" si="81"/>
        <v/>
      </c>
      <c r="E380" s="21" t="str">
        <f t="shared" si="82"/>
        <v/>
      </c>
      <c r="F380" s="21" t="str">
        <f t="shared" si="83"/>
        <v/>
      </c>
      <c r="G380" s="21" t="str">
        <f t="shared" si="84"/>
        <v/>
      </c>
      <c r="H380" s="23" t="str">
        <f t="shared" si="90"/>
        <v/>
      </c>
      <c r="I380" s="22" t="str">
        <f t="shared" si="85"/>
        <v/>
      </c>
      <c r="J380" s="1"/>
      <c r="K380" s="51"/>
      <c r="M380" s="81">
        <f t="shared" ca="1" si="76"/>
        <v>2152.2338826272257</v>
      </c>
      <c r="N380" s="19">
        <f t="shared" si="86"/>
        <v>57.057156721920933</v>
      </c>
      <c r="O380" s="17">
        <f t="shared" si="87"/>
        <v>94.75</v>
      </c>
      <c r="P380" s="19">
        <f ca="1">IF(ISERROR(IF(O380&lt;fi_h/20,0,(OFFSET('Base de dados'!$A$5,IF(O380&lt;20,1,IF(O380&gt;1000,10,MATCH(O380,Cargas,1))),Coluna_fih,1,1))*(1+0.13*0.25)*(PI()*(fi_h/1000)^2/4)*SQRT(2*9.81*(O380/100-fi_h/2/1000))*1000)),"",IF(O380&lt;fi_h/20,0,(OFFSET('Base de dados'!$A$5,IF(O380&lt;20,1,IF(O380&gt;1000,10,MATCH(O380,Cargas,1))),Coluna_fih,1,1))*(PI()*(fi_h/1000)^2/4)*SQRT(2*9.81*(O380/100-fi_h/2/1000))*1000))</f>
        <v>25.40530325368616</v>
      </c>
      <c r="Q380" s="19">
        <f ca="1">IF(O380="","",IF(Tipo_Vertedor="Retangular",IF(O380&lt;=cota_s*100,0,IF(Tipo_Vertedor="Retangular",Cd_sr*Lef_sr*((O380/100-cota_s)^(3/2))*1000)),IF(O380&lt;=cota_s*100+fi_s/20,0,(OFFSET('Base de dados'!$A$4,IF(O380&lt;20,1,IF(O380&gt;1000,10,MATCH(O380,Cargas,1))),Coluna_fis,1,1))*(PI()*(fi_s/1000)^2/4)*(2*9.81*(O380/100-cota_s-fi_s/2/1000))^0.5*1000)))</f>
        <v>224.92335530950874</v>
      </c>
      <c r="R380" s="19">
        <f t="shared" ca="1" si="77"/>
        <v>250.32865856319489</v>
      </c>
      <c r="S380" s="19">
        <f t="shared" ca="1" si="78"/>
        <v>1901.905224064031</v>
      </c>
      <c r="AD380" s="19" t="str">
        <f t="shared" si="88"/>
        <v/>
      </c>
      <c r="AE380" s="19" t="str">
        <f t="shared" si="89"/>
        <v/>
      </c>
      <c r="AF380" s="19" t="str">
        <f>IF(ISERROR(IF('Hidrograma afluente'!I387="",0,'Hidrograma afluente'!I387)+Simulação!G380),"",IF('Hidrograma afluente'!I387="",0,'Hidrograma afluente'!I387)+Simulação!G380)</f>
        <v/>
      </c>
      <c r="AG380" s="17" t="s">
        <v>160</v>
      </c>
      <c r="AH380" s="17" t="s">
        <v>160</v>
      </c>
      <c r="AI380" s="27" t="s">
        <v>160</v>
      </c>
      <c r="AJ380" s="17" t="s">
        <v>160</v>
      </c>
      <c r="AK380" s="19" t="str">
        <f>IF(A380="","",IF('Hidrograma afluente'!I387="",0,'Hidrograma afluente'!I387)+Simulação!B380)</f>
        <v/>
      </c>
    </row>
    <row r="381" spans="1:37" s="17" customFormat="1">
      <c r="A381" s="4" t="str">
        <f t="shared" si="79"/>
        <v/>
      </c>
      <c r="B381" s="5" t="str">
        <f>IF(A381="","",IF(A381&gt;tc_lot_i+tc,0,IF('Hidrograma afluente'!B388="","",'Hidrograma afluente'!B388)))</f>
        <v/>
      </c>
      <c r="C381" s="21" t="str">
        <f t="shared" si="80"/>
        <v/>
      </c>
      <c r="D381" s="21" t="str">
        <f t="shared" si="81"/>
        <v/>
      </c>
      <c r="E381" s="21" t="str">
        <f t="shared" si="82"/>
        <v/>
      </c>
      <c r="F381" s="21" t="str">
        <f t="shared" si="83"/>
        <v/>
      </c>
      <c r="G381" s="21" t="str">
        <f t="shared" si="84"/>
        <v/>
      </c>
      <c r="H381" s="23" t="str">
        <f t="shared" si="90"/>
        <v/>
      </c>
      <c r="I381" s="22" t="str">
        <f t="shared" si="85"/>
        <v/>
      </c>
      <c r="J381" s="1"/>
      <c r="K381" s="51"/>
      <c r="M381" s="81">
        <f t="shared" ca="1" si="76"/>
        <v>2160.3453741852727</v>
      </c>
      <c r="N381" s="19">
        <f t="shared" si="86"/>
        <v>57.226485368048344</v>
      </c>
      <c r="O381" s="17">
        <f t="shared" si="87"/>
        <v>95</v>
      </c>
      <c r="P381" s="19">
        <f ca="1">IF(ISERROR(IF(O381&lt;fi_h/20,0,(OFFSET('Base de dados'!$A$5,IF(O381&lt;20,1,IF(O381&gt;1000,10,MATCH(O381,Cargas,1))),Coluna_fih,1,1))*(1+0.13*0.25)*(PI()*(fi_h/1000)^2/4)*SQRT(2*9.81*(O381/100-fi_h/2/1000))*1000)),"",IF(O381&lt;fi_h/20,0,(OFFSET('Base de dados'!$A$5,IF(O381&lt;20,1,IF(O381&gt;1000,10,MATCH(O381,Cargas,1))),Coluna_fih,1,1))*(PI()*(fi_h/1000)^2/4)*SQRT(2*9.81*(O381/100-fi_h/2/1000))*1000))</f>
        <v>25.440915852476682</v>
      </c>
      <c r="Q381" s="19">
        <f ca="1">IF(O381="","",IF(Tipo_Vertedor="Retangular",IF(O381&lt;=cota_s*100,0,IF(Tipo_Vertedor="Retangular",Cd_sr*Lef_sr*((O381/100-cota_s)^(3/2))*1000)),IF(O381&lt;=cota_s*100+fi_s/20,0,(OFFSET('Base de dados'!$A$4,IF(O381&lt;20,1,IF(O381&gt;1000,10,MATCH(O381,Cargas,1))),Coluna_fis,1,1))*(PI()*(fi_s/1000)^2/4)*(2*9.81*(O381/100-cota_s-fi_s/2/1000))^0.5*1000)))</f>
        <v>227.35494606451823</v>
      </c>
      <c r="R381" s="19">
        <f t="shared" ca="1" si="77"/>
        <v>252.79586191699491</v>
      </c>
      <c r="S381" s="19">
        <f t="shared" ca="1" si="78"/>
        <v>1907.549512268278</v>
      </c>
      <c r="AD381" s="19" t="str">
        <f t="shared" si="88"/>
        <v/>
      </c>
      <c r="AE381" s="19" t="str">
        <f t="shared" si="89"/>
        <v/>
      </c>
      <c r="AF381" s="19" t="str">
        <f>IF(ISERROR(IF('Hidrograma afluente'!I388="",0,'Hidrograma afluente'!I388)+Simulação!G381),"",IF('Hidrograma afluente'!I388="",0,'Hidrograma afluente'!I388)+Simulação!G381)</f>
        <v/>
      </c>
      <c r="AG381" s="17" t="s">
        <v>160</v>
      </c>
      <c r="AH381" s="17" t="s">
        <v>160</v>
      </c>
      <c r="AI381" s="27" t="s">
        <v>160</v>
      </c>
      <c r="AJ381" s="17" t="s">
        <v>160</v>
      </c>
      <c r="AK381" s="19" t="str">
        <f>IF(A381="","",IF('Hidrograma afluente'!I388="",0,'Hidrograma afluente'!I388)+Simulação!B381)</f>
        <v/>
      </c>
    </row>
    <row r="382" spans="1:37" s="17" customFormat="1">
      <c r="A382" s="4" t="str">
        <f t="shared" si="79"/>
        <v/>
      </c>
      <c r="B382" s="5" t="str">
        <f>IF(A382="","",IF(A382&gt;tc_lot_i+tc,0,IF('Hidrograma afluente'!B389="","",'Hidrograma afluente'!B389)))</f>
        <v/>
      </c>
      <c r="C382" s="21" t="str">
        <f t="shared" si="80"/>
        <v/>
      </c>
      <c r="D382" s="21" t="str">
        <f t="shared" si="81"/>
        <v/>
      </c>
      <c r="E382" s="21" t="str">
        <f t="shared" si="82"/>
        <v/>
      </c>
      <c r="F382" s="21" t="str">
        <f t="shared" si="83"/>
        <v/>
      </c>
      <c r="G382" s="21" t="str">
        <f t="shared" si="84"/>
        <v/>
      </c>
      <c r="H382" s="23" t="str">
        <f t="shared" si="90"/>
        <v/>
      </c>
      <c r="I382" s="22" t="str">
        <f t="shared" si="85"/>
        <v/>
      </c>
      <c r="J382" s="1"/>
      <c r="K382" s="51"/>
      <c r="M382" s="81">
        <f t="shared" ca="1" si="76"/>
        <v>2168.4673664542111</v>
      </c>
      <c r="N382" s="19">
        <f t="shared" si="86"/>
        <v>57.39586953391531</v>
      </c>
      <c r="O382" s="17">
        <f t="shared" si="87"/>
        <v>95.25</v>
      </c>
      <c r="P382" s="19">
        <f ca="1">IF(ISERROR(IF(O382&lt;fi_h/20,0,(OFFSET('Base de dados'!$A$5,IF(O382&lt;20,1,IF(O382&gt;1000,10,MATCH(O382,Cargas,1))),Coluna_fih,1,1))*(1+0.13*0.25)*(PI()*(fi_h/1000)^2/4)*SQRT(2*9.81*(O382/100-fi_h/2/1000))*1000)),"",IF(O382&lt;fi_h/20,0,(OFFSET('Base de dados'!$A$5,IF(O382&lt;20,1,IF(O382&gt;1000,10,MATCH(O382,Cargas,1))),Coluna_fih,1,1))*(PI()*(fi_h/1000)^2/4)*SQRT(2*9.81*(O382/100-fi_h/2/1000))*1000))</f>
        <v>25.47647866982096</v>
      </c>
      <c r="Q382" s="19">
        <f ca="1">IF(O382="","",IF(Tipo_Vertedor="Retangular",IF(O382&lt;=cota_s*100,0,IF(Tipo_Vertedor="Retangular",Cd_sr*Lef_sr*((O382/100-cota_s)^(3/2))*1000)),IF(O382&lt;=cota_s*100+fi_s/20,0,(OFFSET('Base de dados'!$A$4,IF(O382&lt;20,1,IF(O382&gt;1000,10,MATCH(O382,Cargas,1))),Coluna_fis,1,1))*(PI()*(fi_s/1000)^2/4)*(2*9.81*(O382/100-cota_s-fi_s/2/1000))^0.5*1000)))</f>
        <v>229.79523665387956</v>
      </c>
      <c r="R382" s="19">
        <f t="shared" ca="1" si="77"/>
        <v>255.2717153237005</v>
      </c>
      <c r="S382" s="19">
        <f t="shared" ca="1" si="78"/>
        <v>1913.1956511305104</v>
      </c>
      <c r="AD382" s="19" t="str">
        <f t="shared" si="88"/>
        <v/>
      </c>
      <c r="AE382" s="19" t="str">
        <f t="shared" si="89"/>
        <v/>
      </c>
      <c r="AF382" s="19" t="str">
        <f>IF(ISERROR(IF('Hidrograma afluente'!I389="",0,'Hidrograma afluente'!I389)+Simulação!G382),"",IF('Hidrograma afluente'!I389="",0,'Hidrograma afluente'!I389)+Simulação!G382)</f>
        <v/>
      </c>
      <c r="AG382" s="17" t="s">
        <v>160</v>
      </c>
      <c r="AH382" s="17" t="s">
        <v>160</v>
      </c>
      <c r="AI382" s="27" t="s">
        <v>160</v>
      </c>
      <c r="AJ382" s="17" t="s">
        <v>160</v>
      </c>
      <c r="AK382" s="19" t="str">
        <f>IF(A382="","",IF('Hidrograma afluente'!I389="",0,'Hidrograma afluente'!I389)+Simulação!B382)</f>
        <v/>
      </c>
    </row>
    <row r="383" spans="1:37" s="17" customFormat="1">
      <c r="A383" s="4" t="str">
        <f t="shared" si="79"/>
        <v/>
      </c>
      <c r="B383" s="5" t="str">
        <f>IF(A383="","",IF(A383&gt;tc_lot_i+tc,0,IF('Hidrograma afluente'!B390="","",'Hidrograma afluente'!B390)))</f>
        <v/>
      </c>
      <c r="C383" s="21" t="str">
        <f t="shared" si="80"/>
        <v/>
      </c>
      <c r="D383" s="21" t="str">
        <f t="shared" si="81"/>
        <v/>
      </c>
      <c r="E383" s="21" t="str">
        <f t="shared" si="82"/>
        <v/>
      </c>
      <c r="F383" s="21" t="str">
        <f t="shared" si="83"/>
        <v/>
      </c>
      <c r="G383" s="21" t="str">
        <f t="shared" si="84"/>
        <v/>
      </c>
      <c r="H383" s="23" t="str">
        <f t="shared" si="90"/>
        <v/>
      </c>
      <c r="I383" s="22" t="str">
        <f t="shared" si="85"/>
        <v/>
      </c>
      <c r="J383" s="1"/>
      <c r="K383" s="51"/>
      <c r="M383" s="81">
        <f t="shared" ca="1" si="76"/>
        <v>2176.5998244834873</v>
      </c>
      <c r="N383" s="19">
        <f t="shared" si="86"/>
        <v>57.565309091932683</v>
      </c>
      <c r="O383" s="17">
        <f t="shared" si="87"/>
        <v>95.5</v>
      </c>
      <c r="P383" s="19">
        <f ca="1">IF(ISERROR(IF(O383&lt;fi_h/20,0,(OFFSET('Base de dados'!$A$5,IF(O383&lt;20,1,IF(O383&gt;1000,10,MATCH(O383,Cargas,1))),Coluna_fih,1,1))*(1+0.13*0.25)*(PI()*(fi_h/1000)^2/4)*SQRT(2*9.81*(O383/100-fi_h/2/1000))*1000)),"",IF(O383&lt;fi_h/20,0,(OFFSET('Base de dados'!$A$5,IF(O383&lt;20,1,IF(O383&gt;1000,10,MATCH(O383,Cargas,1))),Coluna_fih,1,1))*(PI()*(fi_h/1000)^2/4)*SQRT(2*9.81*(O383/100-fi_h/2/1000))*1000))</f>
        <v>25.511991913899731</v>
      </c>
      <c r="Q383" s="19">
        <f ca="1">IF(O383="","",IF(Tipo_Vertedor="Retangular",IF(O383&lt;=cota_s*100,0,IF(Tipo_Vertedor="Retangular",Cd_sr*Lef_sr*((O383/100-cota_s)^(3/2))*1000)),IF(O383&lt;=cota_s*100+fi_s/20,0,(OFFSET('Base de dados'!$A$4,IF(O383&lt;20,1,IF(O383&gt;1000,10,MATCH(O383,Cargas,1))),Coluna_fis,1,1))*(PI()*(fi_s/1000)^2/4)*(2*9.81*(O383/100-cota_s-fi_s/2/1000))^0.5*1000)))</f>
        <v>232.24419617183116</v>
      </c>
      <c r="R383" s="19">
        <f t="shared" ca="1" si="77"/>
        <v>257.75618808573091</v>
      </c>
      <c r="S383" s="19">
        <f t="shared" ca="1" si="78"/>
        <v>1918.8436363977562</v>
      </c>
      <c r="AD383" s="19" t="str">
        <f t="shared" si="88"/>
        <v/>
      </c>
      <c r="AE383" s="19" t="str">
        <f t="shared" si="89"/>
        <v/>
      </c>
      <c r="AF383" s="19" t="str">
        <f>IF(ISERROR(IF('Hidrograma afluente'!I390="",0,'Hidrograma afluente'!I390)+Simulação!G383),"",IF('Hidrograma afluente'!I390="",0,'Hidrograma afluente'!I390)+Simulação!G383)</f>
        <v/>
      </c>
      <c r="AG383" s="17" t="s">
        <v>160</v>
      </c>
      <c r="AH383" s="17" t="s">
        <v>160</v>
      </c>
      <c r="AI383" s="27" t="s">
        <v>160</v>
      </c>
      <c r="AJ383" s="17" t="s">
        <v>160</v>
      </c>
      <c r="AK383" s="19" t="str">
        <f>IF(A383="","",IF('Hidrograma afluente'!I390="",0,'Hidrograma afluente'!I390)+Simulação!B383)</f>
        <v/>
      </c>
    </row>
    <row r="384" spans="1:37" s="17" customFormat="1">
      <c r="A384" s="4" t="str">
        <f t="shared" si="79"/>
        <v/>
      </c>
      <c r="B384" s="5" t="str">
        <f>IF(A384="","",IF(A384&gt;tc_lot_i+tc,0,IF('Hidrograma afluente'!B391="","",'Hidrograma afluente'!B391)))</f>
        <v/>
      </c>
      <c r="C384" s="21" t="str">
        <f t="shared" si="80"/>
        <v/>
      </c>
      <c r="D384" s="21" t="str">
        <f t="shared" si="81"/>
        <v/>
      </c>
      <c r="E384" s="21" t="str">
        <f t="shared" si="82"/>
        <v/>
      </c>
      <c r="F384" s="21" t="str">
        <f t="shared" si="83"/>
        <v/>
      </c>
      <c r="G384" s="21" t="str">
        <f t="shared" si="84"/>
        <v/>
      </c>
      <c r="H384" s="23" t="str">
        <f t="shared" si="90"/>
        <v/>
      </c>
      <c r="I384" s="22" t="str">
        <f t="shared" si="85"/>
        <v/>
      </c>
      <c r="J384" s="1"/>
      <c r="K384" s="51"/>
      <c r="M384" s="81">
        <f t="shared" ca="1" si="76"/>
        <v>2184.7427136690408</v>
      </c>
      <c r="N384" s="19">
        <f t="shared" si="86"/>
        <v>57.73480391513786</v>
      </c>
      <c r="O384" s="17">
        <f t="shared" si="87"/>
        <v>95.75</v>
      </c>
      <c r="P384" s="19">
        <f ca="1">IF(ISERROR(IF(O384&lt;fi_h/20,0,(OFFSET('Base de dados'!$A$5,IF(O384&lt;20,1,IF(O384&gt;1000,10,MATCH(O384,Cargas,1))),Coluna_fih,1,1))*(1+0.13*0.25)*(PI()*(fi_h/1000)^2/4)*SQRT(2*9.81*(O384/100-fi_h/2/1000))*1000)),"",IF(O384&lt;fi_h/20,0,(OFFSET('Base de dados'!$A$5,IF(O384&lt;20,1,IF(O384&gt;1000,10,MATCH(O384,Cargas,1))),Coluna_fih,1,1))*(PI()*(fi_h/1000)^2/4)*SQRT(2*9.81*(O384/100-fi_h/2/1000))*1000))</f>
        <v>25.54745579144679</v>
      </c>
      <c r="Q384" s="19">
        <f ca="1">IF(O384="","",IF(Tipo_Vertedor="Retangular",IF(O384&lt;=cota_s*100,0,IF(Tipo_Vertedor="Retangular",Cd_sr*Lef_sr*((O384/100-cota_s)^(3/2))*1000)),IF(O384&lt;=cota_s*100+fi_s/20,0,(OFFSET('Base de dados'!$A$4,IF(O384&lt;20,1,IF(O384&gt;1000,10,MATCH(O384,Cargas,1))),Coluna_fis,1,1))*(PI()*(fi_s/1000)^2/4)*(2*9.81*(O384/100-cota_s-fi_s/2/1000))^0.5*1000)))</f>
        <v>234.70179403966546</v>
      </c>
      <c r="R384" s="19">
        <f t="shared" ca="1" si="77"/>
        <v>260.24924983111225</v>
      </c>
      <c r="S384" s="19">
        <f t="shared" ca="1" si="78"/>
        <v>1924.4934638379286</v>
      </c>
      <c r="AD384" s="19" t="str">
        <f t="shared" si="88"/>
        <v/>
      </c>
      <c r="AE384" s="19" t="str">
        <f t="shared" si="89"/>
        <v/>
      </c>
      <c r="AF384" s="19" t="str">
        <f>IF(ISERROR(IF('Hidrograma afluente'!I391="",0,'Hidrograma afluente'!I391)+Simulação!G384),"",IF('Hidrograma afluente'!I391="",0,'Hidrograma afluente'!I391)+Simulação!G384)</f>
        <v/>
      </c>
      <c r="AG384" s="17" t="s">
        <v>160</v>
      </c>
      <c r="AH384" s="17" t="s">
        <v>160</v>
      </c>
      <c r="AI384" s="27" t="s">
        <v>160</v>
      </c>
      <c r="AJ384" s="17" t="s">
        <v>160</v>
      </c>
      <c r="AK384" s="19" t="str">
        <f>IF(A384="","",IF('Hidrograma afluente'!I391="",0,'Hidrograma afluente'!I391)+Simulação!B384)</f>
        <v/>
      </c>
    </row>
    <row r="385" spans="1:37" s="17" customFormat="1">
      <c r="A385" s="4" t="str">
        <f t="shared" si="79"/>
        <v/>
      </c>
      <c r="B385" s="5" t="str">
        <f>IF(A385="","",IF(A385&gt;tc_lot_i+tc,0,IF('Hidrograma afluente'!B392="","",'Hidrograma afluente'!B392)))</f>
        <v/>
      </c>
      <c r="C385" s="21" t="str">
        <f t="shared" si="80"/>
        <v/>
      </c>
      <c r="D385" s="21" t="str">
        <f t="shared" si="81"/>
        <v/>
      </c>
      <c r="E385" s="21" t="str">
        <f t="shared" si="82"/>
        <v/>
      </c>
      <c r="F385" s="21" t="str">
        <f t="shared" si="83"/>
        <v/>
      </c>
      <c r="G385" s="21" t="str">
        <f t="shared" si="84"/>
        <v/>
      </c>
      <c r="H385" s="23" t="str">
        <f t="shared" si="90"/>
        <v/>
      </c>
      <c r="I385" s="22" t="str">
        <f t="shared" si="85"/>
        <v/>
      </c>
      <c r="J385" s="1"/>
      <c r="K385" s="51"/>
      <c r="M385" s="81">
        <f t="shared" ca="1" si="76"/>
        <v>2192.8959997474294</v>
      </c>
      <c r="N385" s="19">
        <f t="shared" si="86"/>
        <v>57.90435387718999</v>
      </c>
      <c r="O385" s="17">
        <f t="shared" si="87"/>
        <v>96</v>
      </c>
      <c r="P385" s="19">
        <f ca="1">IF(ISERROR(IF(O385&lt;fi_h/20,0,(OFFSET('Base de dados'!$A$5,IF(O385&lt;20,1,IF(O385&gt;1000,10,MATCH(O385,Cargas,1))),Coluna_fih,1,1))*(1+0.13*0.25)*(PI()*(fi_h/1000)^2/4)*SQRT(2*9.81*(O385/100-fi_h/2/1000))*1000)),"",IF(O385&lt;fi_h/20,0,(OFFSET('Base de dados'!$A$5,IF(O385&lt;20,1,IF(O385&gt;1000,10,MATCH(O385,Cargas,1))),Coluna_fih,1,1))*(PI()*(fi_h/1000)^2/4)*SQRT(2*9.81*(O385/100-fi_h/2/1000))*1000))</f>
        <v>25.582870507763026</v>
      </c>
      <c r="Q385" s="19">
        <f ca="1">IF(O385="","",IF(Tipo_Vertedor="Retangular",IF(O385&lt;=cota_s*100,0,IF(Tipo_Vertedor="Retangular",Cd_sr*Lef_sr*((O385/100-cota_s)^(3/2))*1000)),IF(O385&lt;=cota_s*100+fi_s/20,0,(OFFSET('Base de dados'!$A$4,IF(O385&lt;20,1,IF(O385&gt;1000,10,MATCH(O385,Cargas,1))),Coluna_fis,1,1))*(PI()*(fi_s/1000)^2/4)*(2*9.81*(O385/100-cota_s-fi_s/2/1000))^0.5*1000)))</f>
        <v>237.16799999999998</v>
      </c>
      <c r="R385" s="19">
        <f t="shared" ca="1" si="77"/>
        <v>262.75087050776301</v>
      </c>
      <c r="S385" s="19">
        <f t="shared" ca="1" si="78"/>
        <v>1930.1451292396664</v>
      </c>
      <c r="AD385" s="19" t="str">
        <f t="shared" si="88"/>
        <v/>
      </c>
      <c r="AE385" s="19" t="str">
        <f t="shared" si="89"/>
        <v/>
      </c>
      <c r="AF385" s="19" t="str">
        <f>IF(ISERROR(IF('Hidrograma afluente'!I392="",0,'Hidrograma afluente'!I392)+Simulação!G385),"",IF('Hidrograma afluente'!I392="",0,'Hidrograma afluente'!I392)+Simulação!G385)</f>
        <v/>
      </c>
      <c r="AG385" s="17" t="s">
        <v>160</v>
      </c>
      <c r="AH385" s="17" t="s">
        <v>160</v>
      </c>
      <c r="AI385" s="27" t="s">
        <v>160</v>
      </c>
      <c r="AJ385" s="17" t="s">
        <v>160</v>
      </c>
      <c r="AK385" s="19" t="str">
        <f>IF(A385="","",IF('Hidrograma afluente'!I392="",0,'Hidrograma afluente'!I392)+Simulação!B385)</f>
        <v/>
      </c>
    </row>
    <row r="386" spans="1:37" s="17" customFormat="1">
      <c r="A386" s="4" t="str">
        <f t="shared" si="79"/>
        <v/>
      </c>
      <c r="B386" s="5" t="str">
        <f>IF(A386="","",IF(A386&gt;tc_lot_i+tc,0,IF('Hidrograma afluente'!B393="","",'Hidrograma afluente'!B393)))</f>
        <v/>
      </c>
      <c r="C386" s="21" t="str">
        <f t="shared" si="80"/>
        <v/>
      </c>
      <c r="D386" s="21" t="str">
        <f t="shared" si="81"/>
        <v/>
      </c>
      <c r="E386" s="21" t="str">
        <f t="shared" si="82"/>
        <v/>
      </c>
      <c r="F386" s="21" t="str">
        <f t="shared" si="83"/>
        <v/>
      </c>
      <c r="G386" s="21" t="str">
        <f t="shared" si="84"/>
        <v/>
      </c>
      <c r="H386" s="23" t="str">
        <f t="shared" si="90"/>
        <v/>
      </c>
      <c r="I386" s="22" t="str">
        <f t="shared" si="85"/>
        <v/>
      </c>
      <c r="J386" s="1"/>
      <c r="K386" s="51"/>
      <c r="M386" s="81">
        <f t="shared" ca="1" si="76"/>
        <v>2201.0596487901007</v>
      </c>
      <c r="N386" s="19">
        <f t="shared" si="86"/>
        <v>58.073958852365401</v>
      </c>
      <c r="O386" s="17">
        <f t="shared" si="87"/>
        <v>96.25</v>
      </c>
      <c r="P386" s="19">
        <f ca="1">IF(ISERROR(IF(O386&lt;fi_h/20,0,(OFFSET('Base de dados'!$A$5,IF(O386&lt;20,1,IF(O386&gt;1000,10,MATCH(O386,Cargas,1))),Coluna_fih,1,1))*(1+0.13*0.25)*(PI()*(fi_h/1000)^2/4)*SQRT(2*9.81*(O386/100-fi_h/2/1000))*1000)),"",IF(O386&lt;fi_h/20,0,(OFFSET('Base de dados'!$A$5,IF(O386&lt;20,1,IF(O386&gt;1000,10,MATCH(O386,Cargas,1))),Coluna_fih,1,1))*(PI()*(fi_h/1000)^2/4)*SQRT(2*9.81*(O386/100-fi_h/2/1000))*1000))</f>
        <v>25.618236266730271</v>
      </c>
      <c r="Q386" s="19">
        <f ca="1">IF(O386="","",IF(Tipo_Vertedor="Retangular",IF(O386&lt;=cota_s*100,0,IF(Tipo_Vertedor="Retangular",Cd_sr*Lef_sr*((O386/100-cota_s)^(3/2))*1000)),IF(O386&lt;=cota_s*100+fi_s/20,0,(OFFSET('Base de dados'!$A$4,IF(O386&lt;20,1,IF(O386&gt;1000,10,MATCH(O386,Cargas,1))),Coluna_fis,1,1))*(PI()*(fi_s/1000)^2/4)*(2*9.81*(O386/100-cota_s-fi_s/2/1000))^0.5*1000)))</f>
        <v>239.64278411119022</v>
      </c>
      <c r="R386" s="19">
        <f t="shared" ca="1" si="77"/>
        <v>265.26102037792049</v>
      </c>
      <c r="S386" s="19">
        <f t="shared" ca="1" si="78"/>
        <v>1935.7986284121801</v>
      </c>
      <c r="AD386" s="19" t="str">
        <f t="shared" si="88"/>
        <v/>
      </c>
      <c r="AE386" s="19" t="str">
        <f t="shared" si="89"/>
        <v/>
      </c>
      <c r="AF386" s="19" t="str">
        <f>IF(ISERROR(IF('Hidrograma afluente'!I393="",0,'Hidrograma afluente'!I393)+Simulação!G386),"",IF('Hidrograma afluente'!I393="",0,'Hidrograma afluente'!I393)+Simulação!G386)</f>
        <v/>
      </c>
      <c r="AG386" s="17" t="s">
        <v>160</v>
      </c>
      <c r="AH386" s="17" t="s">
        <v>160</v>
      </c>
      <c r="AI386" s="27" t="s">
        <v>160</v>
      </c>
      <c r="AJ386" s="17" t="s">
        <v>160</v>
      </c>
      <c r="AK386" s="19" t="str">
        <f>IF(A386="","",IF('Hidrograma afluente'!I393="",0,'Hidrograma afluente'!I393)+Simulação!B386)</f>
        <v/>
      </c>
    </row>
    <row r="387" spans="1:37" s="17" customFormat="1">
      <c r="A387" s="4" t="str">
        <f t="shared" si="79"/>
        <v/>
      </c>
      <c r="B387" s="5" t="str">
        <f>IF(A387="","",IF(A387&gt;tc_lot_i+tc,0,IF('Hidrograma afluente'!B394="","",'Hidrograma afluente'!B394)))</f>
        <v/>
      </c>
      <c r="C387" s="21" t="str">
        <f t="shared" si="80"/>
        <v/>
      </c>
      <c r="D387" s="21" t="str">
        <f t="shared" si="81"/>
        <v/>
      </c>
      <c r="E387" s="21" t="str">
        <f t="shared" si="82"/>
        <v/>
      </c>
      <c r="F387" s="21" t="str">
        <f t="shared" si="83"/>
        <v/>
      </c>
      <c r="G387" s="21" t="str">
        <f t="shared" si="84"/>
        <v/>
      </c>
      <c r="H387" s="23" t="str">
        <f t="shared" si="90"/>
        <v/>
      </c>
      <c r="I387" s="22" t="str">
        <f t="shared" si="85"/>
        <v/>
      </c>
      <c r="J387" s="1"/>
      <c r="K387" s="51"/>
      <c r="M387" s="81">
        <f t="shared" ca="1" si="76"/>
        <v>2209.2336271977974</v>
      </c>
      <c r="N387" s="19">
        <f t="shared" si="86"/>
        <v>58.243618715552927</v>
      </c>
      <c r="O387" s="17">
        <f t="shared" si="87"/>
        <v>96.5</v>
      </c>
      <c r="P387" s="19">
        <f ca="1">IF(ISERROR(IF(O387&lt;fi_h/20,0,(OFFSET('Base de dados'!$A$5,IF(O387&lt;20,1,IF(O387&gt;1000,10,MATCH(O387,Cargas,1))),Coluna_fih,1,1))*(1+0.13*0.25)*(PI()*(fi_h/1000)^2/4)*SQRT(2*9.81*(O387/100-fi_h/2/1000))*1000)),"",IF(O387&lt;fi_h/20,0,(OFFSET('Base de dados'!$A$5,IF(O387&lt;20,1,IF(O387&gt;1000,10,MATCH(O387,Cargas,1))),Coluna_fih,1,1))*(PI()*(fi_h/1000)^2/4)*SQRT(2*9.81*(O387/100-fi_h/2/1000))*1000))</f>
        <v>25.653553270825018</v>
      </c>
      <c r="Q387" s="19">
        <f ca="1">IF(O387="","",IF(Tipo_Vertedor="Retangular",IF(O387&lt;=cota_s*100,0,IF(Tipo_Vertedor="Retangular",Cd_sr*Lef_sr*((O387/100-cota_s)^(3/2))*1000)),IF(O387&lt;=cota_s*100+fi_s/20,0,(OFFSET('Base de dados'!$A$4,IF(O387&lt;20,1,IF(O387&gt;1000,10,MATCH(O387,Cargas,1))),Coluna_fis,1,1))*(PI()*(fi_s/1000)^2/4)*(2*9.81*(O387/100-cota_s-fi_s/2/1000))^0.5*1000)))</f>
        <v>242.12611674187482</v>
      </c>
      <c r="R387" s="19">
        <f t="shared" ca="1" si="77"/>
        <v>267.77967001269985</v>
      </c>
      <c r="S387" s="19">
        <f t="shared" ca="1" si="78"/>
        <v>1941.4539571850976</v>
      </c>
      <c r="AD387" s="19" t="str">
        <f t="shared" si="88"/>
        <v/>
      </c>
      <c r="AE387" s="19" t="str">
        <f t="shared" si="89"/>
        <v/>
      </c>
      <c r="AF387" s="19" t="str">
        <f>IF(ISERROR(IF('Hidrograma afluente'!I394="",0,'Hidrograma afluente'!I394)+Simulação!G387),"",IF('Hidrograma afluente'!I394="",0,'Hidrograma afluente'!I394)+Simulação!G387)</f>
        <v/>
      </c>
      <c r="AG387" s="17" t="s">
        <v>160</v>
      </c>
      <c r="AH387" s="17" t="s">
        <v>160</v>
      </c>
      <c r="AI387" s="27" t="s">
        <v>160</v>
      </c>
      <c r="AJ387" s="17" t="s">
        <v>160</v>
      </c>
      <c r="AK387" s="19" t="str">
        <f>IF(A387="","",IF('Hidrograma afluente'!I394="",0,'Hidrograma afluente'!I394)+Simulação!B387)</f>
        <v/>
      </c>
    </row>
    <row r="388" spans="1:37" s="17" customFormat="1">
      <c r="A388" s="4" t="str">
        <f t="shared" si="79"/>
        <v/>
      </c>
      <c r="B388" s="5" t="str">
        <f>IF(A388="","",IF(A388&gt;tc_lot_i+tc,0,IF('Hidrograma afluente'!B395="","",'Hidrograma afluente'!B395)))</f>
        <v/>
      </c>
      <c r="C388" s="21" t="str">
        <f t="shared" si="80"/>
        <v/>
      </c>
      <c r="D388" s="21" t="str">
        <f t="shared" si="81"/>
        <v/>
      </c>
      <c r="E388" s="21" t="str">
        <f t="shared" si="82"/>
        <v/>
      </c>
      <c r="F388" s="21" t="str">
        <f t="shared" si="83"/>
        <v/>
      </c>
      <c r="G388" s="21" t="str">
        <f t="shared" si="84"/>
        <v/>
      </c>
      <c r="H388" s="23" t="str">
        <f t="shared" si="90"/>
        <v/>
      </c>
      <c r="I388" s="22" t="str">
        <f t="shared" si="85"/>
        <v/>
      </c>
      <c r="J388" s="1"/>
      <c r="K388" s="51"/>
      <c r="M388" s="81">
        <f t="shared" ca="1" si="76"/>
        <v>2217.4179016950998</v>
      </c>
      <c r="N388" s="19">
        <f t="shared" si="86"/>
        <v>58.413333342249395</v>
      </c>
      <c r="O388" s="17">
        <f t="shared" si="87"/>
        <v>96.75</v>
      </c>
      <c r="P388" s="19">
        <f ca="1">IF(ISERROR(IF(O388&lt;fi_h/20,0,(OFFSET('Base de dados'!$A$5,IF(O388&lt;20,1,IF(O388&gt;1000,10,MATCH(O388,Cargas,1))),Coluna_fih,1,1))*(1+0.13*0.25)*(PI()*(fi_h/1000)^2/4)*SQRT(2*9.81*(O388/100-fi_h/2/1000))*1000)),"",IF(O388&lt;fi_h/20,0,(OFFSET('Base de dados'!$A$5,IF(O388&lt;20,1,IF(O388&gt;1000,10,MATCH(O388,Cargas,1))),Coluna_fih,1,1))*(PI()*(fi_h/1000)^2/4)*SQRT(2*9.81*(O388/100-fi_h/2/1000))*1000))</f>
        <v>25.688821721131941</v>
      </c>
      <c r="Q388" s="19">
        <f ca="1">IF(O388="","",IF(Tipo_Vertedor="Retangular",IF(O388&lt;=cota_s*100,0,IF(Tipo_Vertedor="Retangular",Cd_sr*Lef_sr*((O388/100-cota_s)^(3/2))*1000)),IF(O388&lt;=cota_s*100+fi_s/20,0,(OFFSET('Base de dados'!$A$4,IF(O388&lt;20,1,IF(O388&gt;1000,10,MATCH(O388,Cargas,1))),Coluna_fis,1,1))*(PI()*(fi_s/1000)^2/4)*(2*9.81*(O388/100-cota_s-fi_s/2/1000))^0.5*1000)))</f>
        <v>244.61796856565456</v>
      </c>
      <c r="R388" s="19">
        <f t="shared" ca="1" si="77"/>
        <v>270.30679028678651</v>
      </c>
      <c r="S388" s="19">
        <f t="shared" ca="1" si="78"/>
        <v>1947.1111114083133</v>
      </c>
      <c r="AD388" s="19" t="str">
        <f t="shared" si="88"/>
        <v/>
      </c>
      <c r="AE388" s="19" t="str">
        <f t="shared" si="89"/>
        <v/>
      </c>
      <c r="AF388" s="19" t="str">
        <f>IF(ISERROR(IF('Hidrograma afluente'!I395="",0,'Hidrograma afluente'!I395)+Simulação!G388),"",IF('Hidrograma afluente'!I395="",0,'Hidrograma afluente'!I395)+Simulação!G388)</f>
        <v/>
      </c>
      <c r="AG388" s="17" t="s">
        <v>160</v>
      </c>
      <c r="AH388" s="17" t="s">
        <v>160</v>
      </c>
      <c r="AI388" s="27" t="s">
        <v>160</v>
      </c>
      <c r="AJ388" s="17" t="s">
        <v>160</v>
      </c>
      <c r="AK388" s="19" t="str">
        <f>IF(A388="","",IF('Hidrograma afluente'!I395="",0,'Hidrograma afluente'!I395)+Simulação!B388)</f>
        <v/>
      </c>
    </row>
    <row r="389" spans="1:37" s="17" customFormat="1">
      <c r="A389" s="4" t="str">
        <f t="shared" si="79"/>
        <v/>
      </c>
      <c r="B389" s="5" t="str">
        <f>IF(A389="","",IF(A389&gt;tc_lot_i+tc,0,IF('Hidrograma afluente'!B396="","",'Hidrograma afluente'!B396)))</f>
        <v/>
      </c>
      <c r="C389" s="21" t="str">
        <f t="shared" si="80"/>
        <v/>
      </c>
      <c r="D389" s="21" t="str">
        <f t="shared" si="81"/>
        <v/>
      </c>
      <c r="E389" s="21" t="str">
        <f t="shared" si="82"/>
        <v/>
      </c>
      <c r="F389" s="21" t="str">
        <f t="shared" si="83"/>
        <v/>
      </c>
      <c r="G389" s="21" t="str">
        <f t="shared" si="84"/>
        <v/>
      </c>
      <c r="H389" s="23" t="str">
        <f t="shared" si="90"/>
        <v/>
      </c>
      <c r="I389" s="22" t="str">
        <f t="shared" si="85"/>
        <v/>
      </c>
      <c r="J389" s="1"/>
      <c r="K389" s="51"/>
      <c r="M389" s="81">
        <f t="shared" ref="M389:M452" ca="1" si="91">IF(O389="","",2*N389*1000/(Passo*60)+R389)</f>
        <v>2225.6124393250871</v>
      </c>
      <c r="N389" s="19">
        <f t="shared" si="86"/>
        <v>58.583102608555031</v>
      </c>
      <c r="O389" s="17">
        <f t="shared" si="87"/>
        <v>97</v>
      </c>
      <c r="P389" s="19">
        <f ca="1">IF(ISERROR(IF(O389&lt;fi_h/20,0,(OFFSET('Base de dados'!$A$5,IF(O389&lt;20,1,IF(O389&gt;1000,10,MATCH(O389,Cargas,1))),Coluna_fih,1,1))*(1+0.13*0.25)*(PI()*(fi_h/1000)^2/4)*SQRT(2*9.81*(O389/100-fi_h/2/1000))*1000)),"",IF(O389&lt;fi_h/20,0,(OFFSET('Base de dados'!$A$5,IF(O389&lt;20,1,IF(O389&gt;1000,10,MATCH(O389,Cargas,1))),Coluna_fih,1,1))*(PI()*(fi_h/1000)^2/4)*SQRT(2*9.81*(O389/100-fi_h/2/1000))*1000))</f>
        <v>25.724041817357222</v>
      </c>
      <c r="Q389" s="19">
        <f ca="1">IF(O389="","",IF(Tipo_Vertedor="Retangular",IF(O389&lt;=cota_s*100,0,IF(Tipo_Vertedor="Retangular",Cd_sr*Lef_sr*((O389/100-cota_s)^(3/2))*1000)),IF(O389&lt;=cota_s*100+fi_s/20,0,(OFFSET('Base de dados'!$A$4,IF(O389&lt;20,1,IF(O389&gt;1000,10,MATCH(O389,Cargas,1))),Coluna_fis,1,1))*(PI()*(fi_s/1000)^2/4)*(2*9.81*(O389/100-cota_s-fi_s/2/1000))^0.5*1000)))</f>
        <v>247.11831055589553</v>
      </c>
      <c r="R389" s="19">
        <f t="shared" ref="R389:R452" ca="1" si="92">IF(O389="","",Q389+P389)</f>
        <v>272.84235237325277</v>
      </c>
      <c r="S389" s="19">
        <f t="shared" ref="S389:S452" ca="1" si="93">IF(M389="","",2*N389*1000/(Passo*60))</f>
        <v>1952.7700869518344</v>
      </c>
      <c r="AD389" s="19" t="str">
        <f t="shared" si="88"/>
        <v/>
      </c>
      <c r="AE389" s="19" t="str">
        <f t="shared" si="89"/>
        <v/>
      </c>
      <c r="AF389" s="19" t="str">
        <f>IF(ISERROR(IF('Hidrograma afluente'!I396="",0,'Hidrograma afluente'!I396)+Simulação!G389),"",IF('Hidrograma afluente'!I396="",0,'Hidrograma afluente'!I396)+Simulação!G389)</f>
        <v/>
      </c>
      <c r="AG389" s="17" t="s">
        <v>160</v>
      </c>
      <c r="AH389" s="17" t="s">
        <v>160</v>
      </c>
      <c r="AI389" s="27" t="s">
        <v>160</v>
      </c>
      <c r="AJ389" s="17" t="s">
        <v>160</v>
      </c>
      <c r="AK389" s="19" t="str">
        <f>IF(A389="","",IF('Hidrograma afluente'!I396="",0,'Hidrograma afluente'!I396)+Simulação!B389)</f>
        <v/>
      </c>
    </row>
    <row r="390" spans="1:37" s="17" customFormat="1">
      <c r="A390" s="4" t="str">
        <f t="shared" ref="A390:A423" si="94">IF(ISERROR(IF(A389+Passo&lt;=tempo_simul,A389+Passo,"")),"",IF(A389+Passo&lt;=tempo_simul,A389+Passo,""))</f>
        <v/>
      </c>
      <c r="B390" s="5" t="str">
        <f>IF(A390="","",IF(A390&gt;tc_lot_i+tc,0,IF('Hidrograma afluente'!B397="","",'Hidrograma afluente'!B397)))</f>
        <v/>
      </c>
      <c r="C390" s="21" t="str">
        <f t="shared" ref="C390:C423" si="95">IF(B391=0,0,IF(B391="","",B391))</f>
        <v/>
      </c>
      <c r="D390" s="21" t="str">
        <f t="shared" ref="D390:D453" si="96">IF(A390="","",IF(ISERROR(VLOOKUP(H389,tabela_auxiliar,7,1)),0,VLOOKUP(H389,tabela_auxiliar,7,1)))</f>
        <v/>
      </c>
      <c r="E390" s="21" t="str">
        <f t="shared" ref="E390:E453" si="97">IF(A390="","",IF(ISERROR(VLOOKUP(H389,tabela_auxiliar,4,TRUE)),0,VLOOKUP(H389,tabela_auxiliar,4,TRUE)))</f>
        <v/>
      </c>
      <c r="F390" s="21" t="str">
        <f t="shared" ref="F390:F453" si="98">IF(A390="","",IF(ISERROR(VLOOKUP(H389,tabela_auxiliar,5,TRUE)),0,VLOOKUP(H389,tabela_auxiliar,5,TRUE)))</f>
        <v/>
      </c>
      <c r="G390" s="21" t="str">
        <f t="shared" ref="G390:G453" si="99">IF(A390="","",IF(ISERROR(VLOOKUP(H389,tabela_auxiliar,6,TRUE)),0,VLOOKUP(H389,tabela_auxiliar,6,TRUE)))</f>
        <v/>
      </c>
      <c r="H390" s="23" t="str">
        <f t="shared" si="90"/>
        <v/>
      </c>
      <c r="I390" s="22" t="str">
        <f t="shared" ref="I390:I453" si="100">IF(A390="","",IF(ISERROR(VLOOKUP(H389,tabela_auxiliar,3,TRUE)),0,VLOOKUP(H389,tabela_auxiliar,3,TRUE)))</f>
        <v/>
      </c>
      <c r="J390" s="1"/>
      <c r="K390" s="51"/>
      <c r="M390" s="81">
        <f t="shared" ca="1" si="91"/>
        <v>2233.8172074441363</v>
      </c>
      <c r="N390" s="19">
        <f t="shared" ref="N390:N453" si="101">IF(O390="","",b_0*(O390/100)^c_0)</f>
        <v>58.752926391169098</v>
      </c>
      <c r="O390" s="17">
        <f t="shared" ref="O390:O453" si="102">IF(ISERROR(IF(O389+passo_altura&gt;h_max_puls*100,"",O389+passo_altura)),"",IF(O389+passo_altura&gt;h_max_puls*100,"",O389+passo_altura))</f>
        <v>97.25</v>
      </c>
      <c r="P390" s="19">
        <f ca="1">IF(ISERROR(IF(O390&lt;fi_h/20,0,(OFFSET('Base de dados'!$A$5,IF(O390&lt;20,1,IF(O390&gt;1000,10,MATCH(O390,Cargas,1))),Coluna_fih,1,1))*(1+0.13*0.25)*(PI()*(fi_h/1000)^2/4)*SQRT(2*9.81*(O390/100-fi_h/2/1000))*1000)),"",IF(O390&lt;fi_h/20,0,(OFFSET('Base de dados'!$A$5,IF(O390&lt;20,1,IF(O390&gt;1000,10,MATCH(O390,Cargas,1))),Coluna_fih,1,1))*(PI()*(fi_h/1000)^2/4)*SQRT(2*9.81*(O390/100-fi_h/2/1000))*1000))</f>
        <v>25.759213757841799</v>
      </c>
      <c r="Q390" s="19">
        <f ca="1">IF(O390="","",IF(Tipo_Vertedor="Retangular",IF(O390&lt;=cota_s*100,0,IF(Tipo_Vertedor="Retangular",Cd_sr*Lef_sr*((O390/100-cota_s)^(3/2))*1000)),IF(O390&lt;=cota_s*100+fi_s/20,0,(OFFSET('Base de dados'!$A$4,IF(O390&lt;20,1,IF(O390&gt;1000,10,MATCH(O390,Cargas,1))),Coluna_fis,1,1))*(PI()*(fi_s/1000)^2/4)*(2*9.81*(O390/100-cota_s-fi_s/2/1000))^0.5*1000)))</f>
        <v>249.62711398065821</v>
      </c>
      <c r="R390" s="19">
        <f t="shared" ca="1" si="92"/>
        <v>275.38632773850003</v>
      </c>
      <c r="S390" s="19">
        <f t="shared" ca="1" si="93"/>
        <v>1958.4308797056365</v>
      </c>
      <c r="AD390" s="19" t="str">
        <f t="shared" ref="AD390:AD457" si="103">IF(A390="","",AVERAGE(B390+B389)*Passo*60/1000+AD389)</f>
        <v/>
      </c>
      <c r="AE390" s="19" t="str">
        <f t="shared" ref="AE390:AE457" si="104">IF(A390="","",AE389+AVERAGE(G390+G389)*Passo*60/1000)</f>
        <v/>
      </c>
      <c r="AF390" s="19" t="str">
        <f>IF(ISERROR(IF('Hidrograma afluente'!I397="",0,'Hidrograma afluente'!I397)+Simulação!G390),"",IF('Hidrograma afluente'!I397="",0,'Hidrograma afluente'!I397)+Simulação!G390)</f>
        <v/>
      </c>
      <c r="AG390" s="17" t="s">
        <v>160</v>
      </c>
      <c r="AH390" s="17" t="s">
        <v>160</v>
      </c>
      <c r="AI390" s="27" t="s">
        <v>160</v>
      </c>
      <c r="AJ390" s="17" t="s">
        <v>160</v>
      </c>
      <c r="AK390" s="19" t="str">
        <f>IF(A390="","",IF('Hidrograma afluente'!I397="",0,'Hidrograma afluente'!I397)+Simulação!B390)</f>
        <v/>
      </c>
    </row>
    <row r="391" spans="1:37" s="17" customFormat="1">
      <c r="A391" s="4" t="str">
        <f t="shared" si="94"/>
        <v/>
      </c>
      <c r="B391" s="5" t="str">
        <f>IF(A391="","",IF(A391&gt;tc_lot_i+tc,0,IF('Hidrograma afluente'!B398="","",'Hidrograma afluente'!B398)))</f>
        <v/>
      </c>
      <c r="C391" s="21" t="str">
        <f t="shared" si="95"/>
        <v/>
      </c>
      <c r="D391" s="21" t="str">
        <f t="shared" si="96"/>
        <v/>
      </c>
      <c r="E391" s="21" t="str">
        <f t="shared" si="97"/>
        <v/>
      </c>
      <c r="F391" s="21" t="str">
        <f t="shared" si="98"/>
        <v/>
      </c>
      <c r="G391" s="21" t="str">
        <f t="shared" si="99"/>
        <v/>
      </c>
      <c r="H391" s="23" t="str">
        <f t="shared" si="90"/>
        <v/>
      </c>
      <c r="I391" s="22" t="str">
        <f t="shared" si="100"/>
        <v/>
      </c>
      <c r="J391" s="1"/>
      <c r="K391" s="51"/>
      <c r="M391" s="81">
        <f t="shared" ca="1" si="91"/>
        <v>2242.0321737168301</v>
      </c>
      <c r="N391" s="19">
        <f t="shared" si="101"/>
        <v>58.92280456738537</v>
      </c>
      <c r="O391" s="17">
        <f t="shared" si="102"/>
        <v>97.5</v>
      </c>
      <c r="P391" s="19">
        <f ca="1">IF(ISERROR(IF(O391&lt;fi_h/20,0,(OFFSET('Base de dados'!$A$5,IF(O391&lt;20,1,IF(O391&gt;1000,10,MATCH(O391,Cargas,1))),Coluna_fih,1,1))*(1+0.13*0.25)*(PI()*(fi_h/1000)^2/4)*SQRT(2*9.81*(O391/100-fi_h/2/1000))*1000)),"",IF(O391&lt;fi_h/20,0,(OFFSET('Base de dados'!$A$5,IF(O391&lt;20,1,IF(O391&gt;1000,10,MATCH(O391,Cargas,1))),Coluna_fih,1,1))*(PI()*(fi_h/1000)^2/4)*SQRT(2*9.81*(O391/100-fi_h/2/1000))*1000))</f>
        <v>25.794337739574335</v>
      </c>
      <c r="Q391" s="19">
        <f ca="1">IF(O391="","",IF(Tipo_Vertedor="Retangular",IF(O391&lt;=cota_s*100,0,IF(Tipo_Vertedor="Retangular",Cd_sr*Lef_sr*((O391/100-cota_s)^(3/2))*1000)),IF(O391&lt;=cota_s*100+fi_s/20,0,(OFFSET('Base de dados'!$A$4,IF(O391&lt;20,1,IF(O391&gt;1000,10,MATCH(O391,Cargas,1))),Coluna_fis,1,1))*(PI()*(fi_s/1000)^2/4)*(2*9.81*(O391/100-cota_s-fi_s/2/1000))^0.5*1000)))</f>
        <v>252.14435039774341</v>
      </c>
      <c r="R391" s="19">
        <f t="shared" ca="1" si="92"/>
        <v>277.93868813731774</v>
      </c>
      <c r="S391" s="19">
        <f t="shared" ca="1" si="93"/>
        <v>1964.0934855795124</v>
      </c>
      <c r="AD391" s="19" t="str">
        <f t="shared" si="103"/>
        <v/>
      </c>
      <c r="AE391" s="19" t="str">
        <f t="shared" si="104"/>
        <v/>
      </c>
      <c r="AF391" s="19" t="str">
        <f>IF(ISERROR(IF('Hidrograma afluente'!I398="",0,'Hidrograma afluente'!I398)+Simulação!G391),"",IF('Hidrograma afluente'!I398="",0,'Hidrograma afluente'!I398)+Simulação!G391)</f>
        <v/>
      </c>
      <c r="AG391" s="17" t="s">
        <v>160</v>
      </c>
      <c r="AH391" s="17" t="s">
        <v>160</v>
      </c>
      <c r="AI391" s="27" t="s">
        <v>160</v>
      </c>
      <c r="AJ391" s="17" t="s">
        <v>160</v>
      </c>
      <c r="AK391" s="19" t="str">
        <f>IF(A391="","",IF('Hidrograma afluente'!I398="",0,'Hidrograma afluente'!I398)+Simulação!B391)</f>
        <v/>
      </c>
    </row>
    <row r="392" spans="1:37" s="17" customFormat="1">
      <c r="A392" s="4" t="str">
        <f t="shared" si="94"/>
        <v/>
      </c>
      <c r="B392" s="5" t="str">
        <f>IF(A392="","",IF(A392&gt;tc_lot_i+tc,0,IF('Hidrograma afluente'!B399="","",'Hidrograma afluente'!B399)))</f>
        <v/>
      </c>
      <c r="C392" s="21" t="str">
        <f t="shared" si="95"/>
        <v/>
      </c>
      <c r="D392" s="21" t="str">
        <f t="shared" si="96"/>
        <v/>
      </c>
      <c r="E392" s="21" t="str">
        <f t="shared" si="97"/>
        <v/>
      </c>
      <c r="F392" s="21" t="str">
        <f t="shared" si="98"/>
        <v/>
      </c>
      <c r="G392" s="21" t="str">
        <f t="shared" si="99"/>
        <v/>
      </c>
      <c r="H392" s="23" t="str">
        <f t="shared" si="90"/>
        <v/>
      </c>
      <c r="I392" s="22" t="str">
        <f t="shared" si="100"/>
        <v/>
      </c>
      <c r="J392" s="1"/>
      <c r="K392" s="51"/>
      <c r="M392" s="81">
        <f t="shared" ca="1" si="91"/>
        <v>2250.2573061109865</v>
      </c>
      <c r="N392" s="19">
        <f t="shared" si="101"/>
        <v>59.092737015087806</v>
      </c>
      <c r="O392" s="17">
        <f t="shared" si="102"/>
        <v>97.75</v>
      </c>
      <c r="P392" s="19">
        <f ca="1">IF(ISERROR(IF(O392&lt;fi_h/20,0,(OFFSET('Base de dados'!$A$5,IF(O392&lt;20,1,IF(O392&gt;1000,10,MATCH(O392,Cargas,1))),Coluna_fih,1,1))*(1+0.13*0.25)*(PI()*(fi_h/1000)^2/4)*SQRT(2*9.81*(O392/100-fi_h/2/1000))*1000)),"",IF(O392&lt;fi_h/20,0,(OFFSET('Base de dados'!$A$5,IF(O392&lt;20,1,IF(O392&gt;1000,10,MATCH(O392,Cargas,1))),Coluna_fih,1,1))*(PI()*(fi_h/1000)^2/4)*SQRT(2*9.81*(O392/100-fi_h/2/1000))*1000))</f>
        <v>25.82941395820416</v>
      </c>
      <c r="Q392" s="19">
        <f ca="1">IF(O392="","",IF(Tipo_Vertedor="Retangular",IF(O392&lt;=cota_s*100,0,IF(Tipo_Vertedor="Retangular",Cd_sr*Lef_sr*((O392/100-cota_s)^(3/2))*1000)),IF(O392&lt;=cota_s*100+fi_s/20,0,(OFFSET('Base de dados'!$A$4,IF(O392&lt;20,1,IF(O392&gt;1000,10,MATCH(O392,Cargas,1))),Coluna_fis,1,1))*(PI()*(fi_s/1000)^2/4)*(2*9.81*(O392/100-cota_s-fi_s/2/1000))^0.5*1000)))</f>
        <v>254.6699916498556</v>
      </c>
      <c r="R392" s="19">
        <f t="shared" ca="1" si="92"/>
        <v>280.49940560805976</v>
      </c>
      <c r="S392" s="19">
        <f t="shared" ca="1" si="93"/>
        <v>1969.7579005029268</v>
      </c>
      <c r="AD392" s="19" t="str">
        <f t="shared" si="103"/>
        <v/>
      </c>
      <c r="AE392" s="19" t="str">
        <f t="shared" si="104"/>
        <v/>
      </c>
      <c r="AF392" s="19" t="str">
        <f>IF(ISERROR(IF('Hidrograma afluente'!I399="",0,'Hidrograma afluente'!I399)+Simulação!G392),"",IF('Hidrograma afluente'!I399="",0,'Hidrograma afluente'!I399)+Simulação!G392)</f>
        <v/>
      </c>
      <c r="AG392" s="17" t="s">
        <v>160</v>
      </c>
      <c r="AH392" s="17" t="s">
        <v>160</v>
      </c>
      <c r="AI392" s="27" t="s">
        <v>160</v>
      </c>
      <c r="AJ392" s="17" t="s">
        <v>160</v>
      </c>
      <c r="AK392" s="19" t="str">
        <f>IF(A392="","",IF('Hidrograma afluente'!I399="",0,'Hidrograma afluente'!I399)+Simulação!B392)</f>
        <v/>
      </c>
    </row>
    <row r="393" spans="1:37" s="17" customFormat="1">
      <c r="A393" s="4" t="str">
        <f t="shared" si="94"/>
        <v/>
      </c>
      <c r="B393" s="5" t="str">
        <f>IF(A393="","",IF(A393&gt;tc_lot_i+tc,0,IF('Hidrograma afluente'!B400="","",'Hidrograma afluente'!B400)))</f>
        <v/>
      </c>
      <c r="C393" s="21" t="str">
        <f t="shared" si="95"/>
        <v/>
      </c>
      <c r="D393" s="21" t="str">
        <f t="shared" si="96"/>
        <v/>
      </c>
      <c r="E393" s="21" t="str">
        <f t="shared" si="97"/>
        <v/>
      </c>
      <c r="F393" s="21" t="str">
        <f t="shared" si="98"/>
        <v/>
      </c>
      <c r="G393" s="21" t="str">
        <f t="shared" si="99"/>
        <v/>
      </c>
      <c r="H393" s="23" t="str">
        <f t="shared" si="90"/>
        <v/>
      </c>
      <c r="I393" s="22" t="str">
        <f t="shared" si="100"/>
        <v/>
      </c>
      <c r="J393" s="1"/>
      <c r="K393" s="51"/>
      <c r="M393" s="81">
        <f t="shared" ca="1" si="91"/>
        <v>2258.4925728928033</v>
      </c>
      <c r="N393" s="19">
        <f t="shared" si="101"/>
        <v>59.262723612746157</v>
      </c>
      <c r="O393" s="17">
        <f t="shared" si="102"/>
        <v>98</v>
      </c>
      <c r="P393" s="19">
        <f ca="1">IF(ISERROR(IF(O393&lt;fi_h/20,0,(OFFSET('Base de dados'!$A$5,IF(O393&lt;20,1,IF(O393&gt;1000,10,MATCH(O393,Cargas,1))),Coluna_fih,1,1))*(1+0.13*0.25)*(PI()*(fi_h/1000)^2/4)*SQRT(2*9.81*(O393/100-fi_h/2/1000))*1000)),"",IF(O393&lt;fi_h/20,0,(OFFSET('Base de dados'!$A$5,IF(O393&lt;20,1,IF(O393&gt;1000,10,MATCH(O393,Cargas,1))),Coluna_fih,1,1))*(PI()*(fi_h/1000)^2/4)*SQRT(2*9.81*(O393/100-fi_h/2/1000))*1000))</f>
        <v>25.86444260805392</v>
      </c>
      <c r="Q393" s="19">
        <f ca="1">IF(O393="","",IF(Tipo_Vertedor="Retangular",IF(O393&lt;=cota_s*100,0,IF(Tipo_Vertedor="Retangular",Cd_sr*Lef_sr*((O393/100-cota_s)^(3/2))*1000)),IF(O393&lt;=cota_s*100+fi_s/20,0,(OFFSET('Base de dados'!$A$4,IF(O393&lt;20,1,IF(O393&gt;1000,10,MATCH(O393,Cargas,1))),Coluna_fis,1,1))*(PI()*(fi_s/1000)^2/4)*(2*9.81*(O393/100-cota_s-fi_s/2/1000))^0.5*1000)))</f>
        <v>257.2040098598776</v>
      </c>
      <c r="R393" s="19">
        <f t="shared" ca="1" si="92"/>
        <v>283.06845246793154</v>
      </c>
      <c r="S393" s="19">
        <f t="shared" ca="1" si="93"/>
        <v>1975.4241204248719</v>
      </c>
      <c r="AD393" s="19" t="str">
        <f t="shared" si="103"/>
        <v/>
      </c>
      <c r="AE393" s="19" t="str">
        <f t="shared" si="104"/>
        <v/>
      </c>
      <c r="AF393" s="19" t="str">
        <f>IF(ISERROR(IF('Hidrograma afluente'!I400="",0,'Hidrograma afluente'!I400)+Simulação!G393),"",IF('Hidrograma afluente'!I400="",0,'Hidrograma afluente'!I400)+Simulação!G393)</f>
        <v/>
      </c>
      <c r="AG393" s="17" t="s">
        <v>160</v>
      </c>
      <c r="AH393" s="17" t="s">
        <v>160</v>
      </c>
      <c r="AI393" s="27" t="s">
        <v>160</v>
      </c>
      <c r="AJ393" s="17" t="s">
        <v>160</v>
      </c>
      <c r="AK393" s="19" t="str">
        <f>IF(A393="","",IF('Hidrograma afluente'!I400="",0,'Hidrograma afluente'!I400)+Simulação!B393)</f>
        <v/>
      </c>
    </row>
    <row r="394" spans="1:37" s="17" customFormat="1">
      <c r="A394" s="4" t="str">
        <f t="shared" si="94"/>
        <v/>
      </c>
      <c r="B394" s="5" t="str">
        <f>IF(A394="","",IF(A394&gt;tc_lot_i+tc,0,IF('Hidrograma afluente'!B401="","",'Hidrograma afluente'!B401)))</f>
        <v/>
      </c>
      <c r="C394" s="21" t="str">
        <f t="shared" si="95"/>
        <v/>
      </c>
      <c r="D394" s="21" t="str">
        <f t="shared" si="96"/>
        <v/>
      </c>
      <c r="E394" s="21" t="str">
        <f t="shared" si="97"/>
        <v/>
      </c>
      <c r="F394" s="21" t="str">
        <f t="shared" si="98"/>
        <v/>
      </c>
      <c r="G394" s="21" t="str">
        <f t="shared" si="99"/>
        <v/>
      </c>
      <c r="H394" s="23" t="str">
        <f t="shared" si="90"/>
        <v/>
      </c>
      <c r="I394" s="22" t="str">
        <f t="shared" si="100"/>
        <v/>
      </c>
      <c r="J394" s="1"/>
      <c r="K394" s="51"/>
      <c r="M394" s="81">
        <f t="shared" ca="1" si="91"/>
        <v>2266.7379426221119</v>
      </c>
      <c r="N394" s="19">
        <f t="shared" si="101"/>
        <v>59.432764239411739</v>
      </c>
      <c r="O394" s="17">
        <f t="shared" si="102"/>
        <v>98.25</v>
      </c>
      <c r="P394" s="19">
        <f ca="1">IF(ISERROR(IF(O394&lt;fi_h/20,0,(OFFSET('Base de dados'!$A$5,IF(O394&lt;20,1,IF(O394&gt;1000,10,MATCH(O394,Cargas,1))),Coluna_fih,1,1))*(1+0.13*0.25)*(PI()*(fi_h/1000)^2/4)*SQRT(2*9.81*(O394/100-fi_h/2/1000))*1000)),"",IF(O394&lt;fi_h/20,0,(OFFSET('Base de dados'!$A$5,IF(O394&lt;20,1,IF(O394&gt;1000,10,MATCH(O394,Cargas,1))),Coluna_fih,1,1))*(PI()*(fi_h/1000)^2/4)*SQRT(2*9.81*(O394/100-fi_h/2/1000))*1000))</f>
        <v>25.899423882132165</v>
      </c>
      <c r="Q394" s="19">
        <f ca="1">IF(O394="","",IF(Tipo_Vertedor="Retangular",IF(O394&lt;=cota_s*100,0,IF(Tipo_Vertedor="Retangular",Cd_sr*Lef_sr*((O394/100-cota_s)^(3/2))*1000)),IF(O394&lt;=cota_s*100+fi_s/20,0,(OFFSET('Base de dados'!$A$4,IF(O394&lt;20,1,IF(O394&gt;1000,10,MATCH(O394,Cargas,1))),Coluna_fis,1,1))*(PI()*(fi_s/1000)^2/4)*(2*9.81*(O394/100-cota_s-fi_s/2/1000))^0.5*1000)))</f>
        <v>259.74637742625509</v>
      </c>
      <c r="R394" s="19">
        <f t="shared" ca="1" si="92"/>
        <v>285.64580130838726</v>
      </c>
      <c r="S394" s="19">
        <f t="shared" ca="1" si="93"/>
        <v>1981.0921413137246</v>
      </c>
      <c r="AD394" s="19" t="str">
        <f t="shared" si="103"/>
        <v/>
      </c>
      <c r="AE394" s="19" t="str">
        <f t="shared" si="104"/>
        <v/>
      </c>
      <c r="AF394" s="19" t="str">
        <f>IF(ISERROR(IF('Hidrograma afluente'!I401="",0,'Hidrograma afluente'!I401)+Simulação!G394),"",IF('Hidrograma afluente'!I401="",0,'Hidrograma afluente'!I401)+Simulação!G394)</f>
        <v/>
      </c>
      <c r="AG394" s="17" t="s">
        <v>160</v>
      </c>
      <c r="AH394" s="17" t="s">
        <v>160</v>
      </c>
      <c r="AI394" s="27" t="s">
        <v>160</v>
      </c>
      <c r="AJ394" s="17" t="s">
        <v>160</v>
      </c>
      <c r="AK394" s="19" t="str">
        <f>IF(A394="","",IF('Hidrograma afluente'!I401="",0,'Hidrograma afluente'!I401)+Simulação!B394)</f>
        <v/>
      </c>
    </row>
    <row r="395" spans="1:37" s="17" customFormat="1">
      <c r="A395" s="4" t="str">
        <f t="shared" si="94"/>
        <v/>
      </c>
      <c r="B395" s="5" t="str">
        <f>IF(A395="","",IF(A395&gt;tc_lot_i+tc,0,IF('Hidrograma afluente'!B402="","",'Hidrograma afluente'!B402)))</f>
        <v/>
      </c>
      <c r="C395" s="21" t="str">
        <f t="shared" si="95"/>
        <v/>
      </c>
      <c r="D395" s="21" t="str">
        <f t="shared" si="96"/>
        <v/>
      </c>
      <c r="E395" s="21" t="str">
        <f t="shared" si="97"/>
        <v/>
      </c>
      <c r="F395" s="21" t="str">
        <f t="shared" si="98"/>
        <v/>
      </c>
      <c r="G395" s="21" t="str">
        <f t="shared" si="99"/>
        <v/>
      </c>
      <c r="H395" s="23" t="str">
        <f t="shared" si="90"/>
        <v/>
      </c>
      <c r="I395" s="22" t="str">
        <f t="shared" si="100"/>
        <v/>
      </c>
      <c r="J395" s="1"/>
      <c r="K395" s="51"/>
      <c r="M395" s="81">
        <f t="shared" ca="1" si="91"/>
        <v>2274.993384147735</v>
      </c>
      <c r="N395" s="19">
        <f t="shared" si="101"/>
        <v>59.602858774713106</v>
      </c>
      <c r="O395" s="17">
        <f t="shared" si="102"/>
        <v>98.5</v>
      </c>
      <c r="P395" s="19">
        <f ca="1">IF(ISERROR(IF(O395&lt;fi_h/20,0,(OFFSET('Base de dados'!$A$5,IF(O395&lt;20,1,IF(O395&gt;1000,10,MATCH(O395,Cargas,1))),Coluna_fih,1,1))*(1+0.13*0.25)*(PI()*(fi_h/1000)^2/4)*SQRT(2*9.81*(O395/100-fi_h/2/1000))*1000)),"",IF(O395&lt;fi_h/20,0,(OFFSET('Base de dados'!$A$5,IF(O395&lt;20,1,IF(O395&gt;1000,10,MATCH(O395,Cargas,1))),Coluna_fih,1,1))*(PI()*(fi_h/1000)^2/4)*SQRT(2*9.81*(O395/100-fi_h/2/1000))*1000))</f>
        <v>25.934357972145776</v>
      </c>
      <c r="Q395" s="19">
        <f ca="1">IF(O395="","",IF(Tipo_Vertedor="Retangular",IF(O395&lt;=cota_s*100,0,IF(Tipo_Vertedor="Retangular",Cd_sr*Lef_sr*((O395/100-cota_s)^(3/2))*1000)),IF(O395&lt;=cota_s*100+fi_s/20,0,(OFFSET('Base de dados'!$A$4,IF(O395&lt;20,1,IF(O395&gt;1000,10,MATCH(O395,Cargas,1))),Coluna_fis,1,1))*(PI()*(fi_s/1000)^2/4)*(2*9.81*(O395/100-cota_s-fi_s/2/1000))^0.5*1000)))</f>
        <v>262.29706701848579</v>
      </c>
      <c r="R395" s="19">
        <f t="shared" ca="1" si="92"/>
        <v>288.23142499063158</v>
      </c>
      <c r="S395" s="19">
        <f t="shared" ca="1" si="93"/>
        <v>1986.7619591571033</v>
      </c>
      <c r="AD395" s="19" t="str">
        <f t="shared" si="103"/>
        <v/>
      </c>
      <c r="AE395" s="19" t="str">
        <f t="shared" si="104"/>
        <v/>
      </c>
      <c r="AF395" s="19" t="str">
        <f>IF(ISERROR(IF('Hidrograma afluente'!I402="",0,'Hidrograma afluente'!I402)+Simulação!G395),"",IF('Hidrograma afluente'!I402="",0,'Hidrograma afluente'!I402)+Simulação!G395)</f>
        <v/>
      </c>
      <c r="AG395" s="17" t="s">
        <v>160</v>
      </c>
      <c r="AH395" s="17" t="s">
        <v>160</v>
      </c>
      <c r="AI395" s="27" t="s">
        <v>160</v>
      </c>
      <c r="AJ395" s="17" t="s">
        <v>160</v>
      </c>
      <c r="AK395" s="19" t="str">
        <f>IF(A395="","",IF('Hidrograma afluente'!I402="",0,'Hidrograma afluente'!I402)+Simulação!B395)</f>
        <v/>
      </c>
    </row>
    <row r="396" spans="1:37" s="17" customFormat="1">
      <c r="A396" s="4" t="str">
        <f t="shared" si="94"/>
        <v/>
      </c>
      <c r="B396" s="5" t="str">
        <f>IF(A396="","",IF(A396&gt;tc_lot_i+tc,0,IF('Hidrograma afluente'!B403="","",'Hidrograma afluente'!B403)))</f>
        <v/>
      </c>
      <c r="C396" s="21" t="str">
        <f t="shared" si="95"/>
        <v/>
      </c>
      <c r="D396" s="21" t="str">
        <f t="shared" si="96"/>
        <v/>
      </c>
      <c r="E396" s="21" t="str">
        <f t="shared" si="97"/>
        <v/>
      </c>
      <c r="F396" s="21" t="str">
        <f t="shared" si="98"/>
        <v/>
      </c>
      <c r="G396" s="21" t="str">
        <f t="shared" si="99"/>
        <v/>
      </c>
      <c r="H396" s="23" t="str">
        <f t="shared" si="90"/>
        <v/>
      </c>
      <c r="I396" s="22" t="str">
        <f t="shared" si="100"/>
        <v/>
      </c>
      <c r="J396" s="1"/>
      <c r="K396" s="51"/>
      <c r="M396" s="81">
        <f t="shared" ca="1" si="91"/>
        <v>2283.2588666029542</v>
      </c>
      <c r="N396" s="19">
        <f t="shared" si="101"/>
        <v>59.773007098851878</v>
      </c>
      <c r="O396" s="17">
        <f t="shared" si="102"/>
        <v>98.75</v>
      </c>
      <c r="P396" s="19">
        <f ca="1">IF(ISERROR(IF(O396&lt;fi_h/20,0,(OFFSET('Base de dados'!$A$5,IF(O396&lt;20,1,IF(O396&gt;1000,10,MATCH(O396,Cargas,1))),Coluna_fih,1,1))*(1+0.13*0.25)*(PI()*(fi_h/1000)^2/4)*SQRT(2*9.81*(O396/100-fi_h/2/1000))*1000)),"",IF(O396&lt;fi_h/20,0,(OFFSET('Base de dados'!$A$5,IF(O396&lt;20,1,IF(O396&gt;1000,10,MATCH(O396,Cargas,1))),Coluna_fih,1,1))*(PI()*(fi_h/1000)^2/4)*SQRT(2*9.81*(O396/100-fi_h/2/1000))*1000))</f>
        <v>25.969245068512173</v>
      </c>
      <c r="Q396" s="19">
        <f ca="1">IF(O396="","",IF(Tipo_Vertedor="Retangular",IF(O396&lt;=cota_s*100,0,IF(Tipo_Vertedor="Retangular",Cd_sr*Lef_sr*((O396/100-cota_s)^(3/2))*1000)),IF(O396&lt;=cota_s*100+fi_s/20,0,(OFFSET('Base de dados'!$A$4,IF(O396&lt;20,1,IF(O396&gt;1000,10,MATCH(O396,Cargas,1))),Coluna_fis,1,1))*(PI()*(fi_s/1000)^2/4)*(2*9.81*(O396/100-cota_s-fi_s/2/1000))^0.5*1000)))</f>
        <v>264.85605157271289</v>
      </c>
      <c r="R396" s="19">
        <f t="shared" ca="1" si="92"/>
        <v>290.82529664122507</v>
      </c>
      <c r="S396" s="19">
        <f t="shared" ca="1" si="93"/>
        <v>1992.4335699617293</v>
      </c>
      <c r="AD396" s="19" t="str">
        <f t="shared" si="103"/>
        <v/>
      </c>
      <c r="AE396" s="19" t="str">
        <f t="shared" si="104"/>
        <v/>
      </c>
      <c r="AF396" s="19" t="str">
        <f>IF(ISERROR(IF('Hidrograma afluente'!I403="",0,'Hidrograma afluente'!I403)+Simulação!G396),"",IF('Hidrograma afluente'!I403="",0,'Hidrograma afluente'!I403)+Simulação!G396)</f>
        <v/>
      </c>
      <c r="AG396" s="17" t="s">
        <v>160</v>
      </c>
      <c r="AH396" s="17" t="s">
        <v>160</v>
      </c>
      <c r="AI396" s="27" t="s">
        <v>160</v>
      </c>
      <c r="AJ396" s="17" t="s">
        <v>160</v>
      </c>
      <c r="AK396" s="19" t="str">
        <f>IF(A396="","",IF('Hidrograma afluente'!I403="",0,'Hidrograma afluente'!I403)+Simulação!B396)</f>
        <v/>
      </c>
    </row>
    <row r="397" spans="1:37" s="17" customFormat="1">
      <c r="A397" s="4" t="str">
        <f t="shared" si="94"/>
        <v/>
      </c>
      <c r="B397" s="5" t="str">
        <f>IF(A397="","",IF(A397&gt;tc_lot_i+tc,0,IF('Hidrograma afluente'!B404="","",'Hidrograma afluente'!B404)))</f>
        <v/>
      </c>
      <c r="C397" s="21" t="str">
        <f t="shared" si="95"/>
        <v/>
      </c>
      <c r="D397" s="21" t="str">
        <f t="shared" si="96"/>
        <v/>
      </c>
      <c r="E397" s="21" t="str">
        <f t="shared" si="97"/>
        <v/>
      </c>
      <c r="F397" s="21" t="str">
        <f t="shared" si="98"/>
        <v/>
      </c>
      <c r="G397" s="21" t="str">
        <f t="shared" si="99"/>
        <v/>
      </c>
      <c r="H397" s="23" t="str">
        <f t="shared" si="90"/>
        <v/>
      </c>
      <c r="I397" s="22" t="str">
        <f t="shared" si="100"/>
        <v/>
      </c>
      <c r="J397" s="1"/>
      <c r="K397" s="51"/>
      <c r="M397" s="81">
        <f t="shared" ca="1" si="91"/>
        <v>2291.5343594010728</v>
      </c>
      <c r="N397" s="19">
        <f t="shared" si="101"/>
        <v>59.943209092598565</v>
      </c>
      <c r="O397" s="17">
        <f t="shared" si="102"/>
        <v>99</v>
      </c>
      <c r="P397" s="19">
        <f ca="1">IF(ISERROR(IF(O397&lt;fi_h/20,0,(OFFSET('Base de dados'!$A$5,IF(O397&lt;20,1,IF(O397&gt;1000,10,MATCH(O397,Cargas,1))),Coluna_fih,1,1))*(1+0.13*0.25)*(PI()*(fi_h/1000)^2/4)*SQRT(2*9.81*(O397/100-fi_h/2/1000))*1000)),"",IF(O397&lt;fi_h/20,0,(OFFSET('Base de dados'!$A$5,IF(O397&lt;20,1,IF(O397&gt;1000,10,MATCH(O397,Cargas,1))),Coluna_fih,1,1))*(PI()*(fi_h/1000)^2/4)*SQRT(2*9.81*(O397/100-fi_h/2/1000))*1000))</f>
        <v>26.004085360371491</v>
      </c>
      <c r="Q397" s="19">
        <f ca="1">IF(O397="","",IF(Tipo_Vertedor="Retangular",IF(O397&lt;=cota_s*100,0,IF(Tipo_Vertedor="Retangular",Cd_sr*Lef_sr*((O397/100-cota_s)^(3/2))*1000)),IF(O397&lt;=cota_s*100+fi_s/20,0,(OFFSET('Base de dados'!$A$4,IF(O397&lt;20,1,IF(O397&gt;1000,10,MATCH(O397,Cargas,1))),Coluna_fis,1,1))*(PI()*(fi_s/1000)^2/4)*(2*9.81*(O397/100-cota_s-fi_s/2/1000))^0.5*1000)))</f>
        <v>267.42330428741622</v>
      </c>
      <c r="R397" s="19">
        <f t="shared" ca="1" si="92"/>
        <v>293.42738964778772</v>
      </c>
      <c r="S397" s="19">
        <f t="shared" ca="1" si="93"/>
        <v>1998.1069697532853</v>
      </c>
      <c r="AD397" s="19" t="str">
        <f t="shared" si="103"/>
        <v/>
      </c>
      <c r="AE397" s="19" t="str">
        <f t="shared" si="104"/>
        <v/>
      </c>
      <c r="AF397" s="19" t="str">
        <f>IF(ISERROR(IF('Hidrograma afluente'!I404="",0,'Hidrograma afluente'!I404)+Simulação!G397),"",IF('Hidrograma afluente'!I404="",0,'Hidrograma afluente'!I404)+Simulação!G397)</f>
        <v/>
      </c>
      <c r="AG397" s="17" t="s">
        <v>160</v>
      </c>
      <c r="AH397" s="17" t="s">
        <v>160</v>
      </c>
      <c r="AI397" s="27" t="s">
        <v>160</v>
      </c>
      <c r="AJ397" s="17" t="s">
        <v>160</v>
      </c>
      <c r="AK397" s="19" t="str">
        <f>IF(A397="","",IF('Hidrograma afluente'!I404="",0,'Hidrograma afluente'!I404)+Simulação!B397)</f>
        <v/>
      </c>
    </row>
    <row r="398" spans="1:37" s="17" customFormat="1">
      <c r="A398" s="4" t="str">
        <f t="shared" si="94"/>
        <v/>
      </c>
      <c r="B398" s="5" t="str">
        <f>IF(A398="","",IF(A398&gt;tc_lot_i+tc,0,IF('Hidrograma afluente'!B405="","",'Hidrograma afluente'!B405)))</f>
        <v/>
      </c>
      <c r="C398" s="21" t="str">
        <f t="shared" si="95"/>
        <v/>
      </c>
      <c r="D398" s="21" t="str">
        <f t="shared" si="96"/>
        <v/>
      </c>
      <c r="E398" s="21" t="str">
        <f t="shared" si="97"/>
        <v/>
      </c>
      <c r="F398" s="21" t="str">
        <f t="shared" si="98"/>
        <v/>
      </c>
      <c r="G398" s="21" t="str">
        <f t="shared" si="99"/>
        <v/>
      </c>
      <c r="H398" s="23" t="str">
        <f t="shared" si="90"/>
        <v/>
      </c>
      <c r="I398" s="22" t="str">
        <f t="shared" si="100"/>
        <v/>
      </c>
      <c r="J398" s="1"/>
      <c r="K398" s="51"/>
      <c r="M398" s="81">
        <f t="shared" ca="1" si="91"/>
        <v>2299.8198322310818</v>
      </c>
      <c r="N398" s="19">
        <f t="shared" si="101"/>
        <v>60.113464637288438</v>
      </c>
      <c r="O398" s="17">
        <f t="shared" si="102"/>
        <v>99.25</v>
      </c>
      <c r="P398" s="19">
        <f ca="1">IF(ISERROR(IF(O398&lt;fi_h/20,0,(OFFSET('Base de dados'!$A$5,IF(O398&lt;20,1,IF(O398&gt;1000,10,MATCH(O398,Cargas,1))),Coluna_fih,1,1))*(1+0.13*0.25)*(PI()*(fi_h/1000)^2/4)*SQRT(2*9.81*(O398/100-fi_h/2/1000))*1000)),"",IF(O398&lt;fi_h/20,0,(OFFSET('Base de dados'!$A$5,IF(O398&lt;20,1,IF(O398&gt;1000,10,MATCH(O398,Cargas,1))),Coluna_fih,1,1))*(PI()*(fi_h/1000)^2/4)*SQRT(2*9.81*(O398/100-fi_h/2/1000))*1000))</f>
        <v>26.038879035598477</v>
      </c>
      <c r="Q398" s="19">
        <f ca="1">IF(O398="","",IF(Tipo_Vertedor="Retangular",IF(O398&lt;=cota_s*100,0,IF(Tipo_Vertedor="Retangular",Cd_sr*Lef_sr*((O398/100-cota_s)^(3/2))*1000)),IF(O398&lt;=cota_s*100+fi_s/20,0,(OFFSET('Base de dados'!$A$4,IF(O398&lt;20,1,IF(O398&gt;1000,10,MATCH(O398,Cargas,1))),Coluna_fis,1,1))*(PI()*(fi_s/1000)^2/4)*(2*9.81*(O398/100-cota_s-fi_s/2/1000))^0.5*1000)))</f>
        <v>269.99879861920226</v>
      </c>
      <c r="R398" s="19">
        <f t="shared" ca="1" si="92"/>
        <v>296.03767765480075</v>
      </c>
      <c r="S398" s="19">
        <f t="shared" ca="1" si="93"/>
        <v>2003.7821545762813</v>
      </c>
      <c r="AD398" s="19" t="str">
        <f t="shared" si="103"/>
        <v/>
      </c>
      <c r="AE398" s="19" t="str">
        <f t="shared" si="104"/>
        <v/>
      </c>
      <c r="AF398" s="19" t="str">
        <f>IF(ISERROR(IF('Hidrograma afluente'!I405="",0,'Hidrograma afluente'!I405)+Simulação!G398),"",IF('Hidrograma afluente'!I405="",0,'Hidrograma afluente'!I405)+Simulação!G398)</f>
        <v/>
      </c>
      <c r="AG398" s="17" t="s">
        <v>160</v>
      </c>
      <c r="AH398" s="17" t="s">
        <v>160</v>
      </c>
      <c r="AI398" s="27" t="s">
        <v>160</v>
      </c>
      <c r="AJ398" s="17" t="s">
        <v>160</v>
      </c>
      <c r="AK398" s="19" t="str">
        <f>IF(A398="","",IF('Hidrograma afluente'!I405="",0,'Hidrograma afluente'!I405)+Simulação!B398)</f>
        <v/>
      </c>
    </row>
    <row r="399" spans="1:37" s="17" customFormat="1">
      <c r="A399" s="4" t="str">
        <f t="shared" si="94"/>
        <v/>
      </c>
      <c r="B399" s="5" t="str">
        <f>IF(A399="","",IF(A399&gt;tc_lot_i+tc,0,IF('Hidrograma afluente'!B406="","",'Hidrograma afluente'!B406)))</f>
        <v/>
      </c>
      <c r="C399" s="21" t="str">
        <f t="shared" si="95"/>
        <v/>
      </c>
      <c r="D399" s="21" t="str">
        <f t="shared" si="96"/>
        <v/>
      </c>
      <c r="E399" s="21" t="str">
        <f t="shared" si="97"/>
        <v/>
      </c>
      <c r="F399" s="21" t="str">
        <f t="shared" si="98"/>
        <v/>
      </c>
      <c r="G399" s="21" t="str">
        <f t="shared" si="99"/>
        <v/>
      </c>
      <c r="H399" s="23" t="str">
        <f t="shared" si="90"/>
        <v/>
      </c>
      <c r="I399" s="22" t="str">
        <f t="shared" si="100"/>
        <v/>
      </c>
      <c r="J399" s="1"/>
      <c r="K399" s="51"/>
      <c r="M399" s="81">
        <f t="shared" ca="1" si="91"/>
        <v>2308.1152550534134</v>
      </c>
      <c r="N399" s="19">
        <f t="shared" si="101"/>
        <v>60.283773614817385</v>
      </c>
      <c r="O399" s="17">
        <f t="shared" si="102"/>
        <v>99.5</v>
      </c>
      <c r="P399" s="19">
        <f ca="1">IF(ISERROR(IF(O399&lt;fi_h/20,0,(OFFSET('Base de dados'!$A$5,IF(O399&lt;20,1,IF(O399&gt;1000,10,MATCH(O399,Cargas,1))),Coluna_fih,1,1))*(1+0.13*0.25)*(PI()*(fi_h/1000)^2/4)*SQRT(2*9.81*(O399/100-fi_h/2/1000))*1000)),"",IF(O399&lt;fi_h/20,0,(OFFSET('Base de dados'!$A$5,IF(O399&lt;20,1,IF(O399&gt;1000,10,MATCH(O399,Cargas,1))),Coluna_fih,1,1))*(PI()*(fi_h/1000)^2/4)*SQRT(2*9.81*(O399/100-fi_h/2/1000))*1000))</f>
        <v>26.073626280814349</v>
      </c>
      <c r="Q399" s="19">
        <f ca="1">IF(O399="","",IF(Tipo_Vertedor="Retangular",IF(O399&lt;=cota_s*100,0,IF(Tipo_Vertedor="Retangular",Cd_sr*Lef_sr*((O399/100-cota_s)^(3/2))*1000)),IF(O399&lt;=cota_s*100+fi_s/20,0,(OFFSET('Base de dados'!$A$4,IF(O399&lt;20,1,IF(O399&gt;1000,10,MATCH(O399,Cargas,1))),Coluna_fis,1,1))*(PI()*(fi_s/1000)^2/4)*(2*9.81*(O399/100-cota_s-fi_s/2/1000))^0.5*1000)))</f>
        <v>272.58250827868619</v>
      </c>
      <c r="R399" s="19">
        <f t="shared" ca="1" si="92"/>
        <v>298.65613455950052</v>
      </c>
      <c r="S399" s="19">
        <f t="shared" ca="1" si="93"/>
        <v>2009.4591204939129</v>
      </c>
      <c r="AD399" s="19" t="str">
        <f t="shared" si="103"/>
        <v/>
      </c>
      <c r="AE399" s="19" t="str">
        <f t="shared" si="104"/>
        <v/>
      </c>
      <c r="AF399" s="19" t="str">
        <f>IF(ISERROR(IF('Hidrograma afluente'!I406="",0,'Hidrograma afluente'!I406)+Simulação!G399),"",IF('Hidrograma afluente'!I406="",0,'Hidrograma afluente'!I406)+Simulação!G399)</f>
        <v/>
      </c>
      <c r="AG399" s="17" t="s">
        <v>160</v>
      </c>
      <c r="AH399" s="17" t="s">
        <v>160</v>
      </c>
      <c r="AI399" s="27" t="s">
        <v>160</v>
      </c>
      <c r="AJ399" s="17" t="s">
        <v>160</v>
      </c>
      <c r="AK399" s="19" t="str">
        <f>IF(A399="","",IF('Hidrograma afluente'!I406="",0,'Hidrograma afluente'!I406)+Simulação!B399)</f>
        <v/>
      </c>
    </row>
    <row r="400" spans="1:37" s="17" customFormat="1">
      <c r="A400" s="4" t="str">
        <f t="shared" si="94"/>
        <v/>
      </c>
      <c r="B400" s="5" t="str">
        <f>IF(A400="","",IF(A400&gt;tc_lot_i+tc,0,IF('Hidrograma afluente'!B407="","",'Hidrograma afluente'!B407)))</f>
        <v/>
      </c>
      <c r="C400" s="21" t="str">
        <f t="shared" si="95"/>
        <v/>
      </c>
      <c r="D400" s="21" t="str">
        <f t="shared" si="96"/>
        <v/>
      </c>
      <c r="E400" s="21" t="str">
        <f t="shared" si="97"/>
        <v/>
      </c>
      <c r="F400" s="21" t="str">
        <f t="shared" si="98"/>
        <v/>
      </c>
      <c r="G400" s="21" t="str">
        <f t="shared" si="99"/>
        <v/>
      </c>
      <c r="H400" s="23" t="str">
        <f t="shared" si="90"/>
        <v/>
      </c>
      <c r="I400" s="22" t="str">
        <f t="shared" si="100"/>
        <v/>
      </c>
      <c r="J400" s="1"/>
      <c r="K400" s="51"/>
      <c r="M400" s="81">
        <f t="shared" ca="1" si="91"/>
        <v>2316.4205980957977</v>
      </c>
      <c r="N400" s="19">
        <f t="shared" si="101"/>
        <v>60.454135907637969</v>
      </c>
      <c r="O400" s="17">
        <f t="shared" si="102"/>
        <v>99.75</v>
      </c>
      <c r="P400" s="19">
        <f ca="1">IF(ISERROR(IF(O400&lt;fi_h/20,0,(OFFSET('Base de dados'!$A$5,IF(O400&lt;20,1,IF(O400&gt;1000,10,MATCH(O400,Cargas,1))),Coluna_fih,1,1))*(1+0.13*0.25)*(PI()*(fi_h/1000)^2/4)*SQRT(2*9.81*(O400/100-fi_h/2/1000))*1000)),"",IF(O400&lt;fi_h/20,0,(OFFSET('Base de dados'!$A$5,IF(O400&lt;20,1,IF(O400&gt;1000,10,MATCH(O400,Cargas,1))),Coluna_fih,1,1))*(PI()*(fi_h/1000)^2/4)*SQRT(2*9.81*(O400/100-fi_h/2/1000))*1000))</f>
        <v>26.108327281398473</v>
      </c>
      <c r="Q400" s="19">
        <f ca="1">IF(O400="","",IF(Tipo_Vertedor="Retangular",IF(O400&lt;=cota_s*100,0,IF(Tipo_Vertedor="Retangular",Cd_sr*Lef_sr*((O400/100-cota_s)^(3/2))*1000)),IF(O400&lt;=cota_s*100+fi_s/20,0,(OFFSET('Base de dados'!$A$4,IF(O400&lt;20,1,IF(O400&gt;1000,10,MATCH(O400,Cargas,1))),Coluna_fis,1,1))*(PI()*(fi_s/1000)^2/4)*(2*9.81*(O400/100-cota_s-fi_s/2/1000))^0.5*1000)))</f>
        <v>275.17440722646705</v>
      </c>
      <c r="R400" s="19">
        <f t="shared" ca="1" si="92"/>
        <v>301.28273450786554</v>
      </c>
      <c r="S400" s="19">
        <f t="shared" ca="1" si="93"/>
        <v>2015.1378635879323</v>
      </c>
      <c r="AD400" s="19" t="str">
        <f t="shared" si="103"/>
        <v/>
      </c>
      <c r="AE400" s="19" t="str">
        <f t="shared" si="104"/>
        <v/>
      </c>
      <c r="AF400" s="19" t="str">
        <f>IF(ISERROR(IF('Hidrograma afluente'!I407="",0,'Hidrograma afluente'!I407)+Simulação!G400),"",IF('Hidrograma afluente'!I407="",0,'Hidrograma afluente'!I407)+Simulação!G400)</f>
        <v/>
      </c>
      <c r="AG400" s="17" t="s">
        <v>160</v>
      </c>
      <c r="AH400" s="17" t="s">
        <v>160</v>
      </c>
      <c r="AI400" s="27" t="s">
        <v>160</v>
      </c>
      <c r="AJ400" s="17" t="s">
        <v>160</v>
      </c>
      <c r="AK400" s="19" t="str">
        <f>IF(A400="","",IF('Hidrograma afluente'!I407="",0,'Hidrograma afluente'!I407)+Simulação!B400)</f>
        <v/>
      </c>
    </row>
    <row r="401" spans="1:37" s="17" customFormat="1">
      <c r="A401" s="4" t="str">
        <f t="shared" si="94"/>
        <v/>
      </c>
      <c r="B401" s="5" t="str">
        <f>IF(A401="","",IF(A401&gt;tc_lot_i+tc,0,IF('Hidrograma afluente'!B408="","",'Hidrograma afluente'!B408)))</f>
        <v/>
      </c>
      <c r="C401" s="21" t="str">
        <f t="shared" si="95"/>
        <v/>
      </c>
      <c r="D401" s="21" t="str">
        <f t="shared" si="96"/>
        <v/>
      </c>
      <c r="E401" s="21" t="str">
        <f t="shared" si="97"/>
        <v/>
      </c>
      <c r="F401" s="21" t="str">
        <f t="shared" si="98"/>
        <v/>
      </c>
      <c r="G401" s="21" t="str">
        <f t="shared" si="99"/>
        <v/>
      </c>
      <c r="H401" s="23" t="str">
        <f t="shared" si="90"/>
        <v/>
      </c>
      <c r="I401" s="22" t="str">
        <f t="shared" si="100"/>
        <v/>
      </c>
      <c r="J401" s="1"/>
      <c r="K401" s="51"/>
      <c r="M401" s="81">
        <f t="shared" ca="1" si="91"/>
        <v>2324.7358318492002</v>
      </c>
      <c r="N401" s="19">
        <f t="shared" si="101"/>
        <v>60.624551398755294</v>
      </c>
      <c r="O401" s="17">
        <f t="shared" si="102"/>
        <v>100</v>
      </c>
      <c r="P401" s="19">
        <f ca="1">IF(ISERROR(IF(O401&lt;fi_h/20,0,(OFFSET('Base de dados'!$A$5,IF(O401&lt;20,1,IF(O401&gt;1000,10,MATCH(O401,Cargas,1))),Coluna_fih,1,1))*(1+0.13*0.25)*(PI()*(fi_h/1000)^2/4)*SQRT(2*9.81*(O401/100-fi_h/2/1000))*1000)),"",IF(O401&lt;fi_h/20,0,(OFFSET('Base de dados'!$A$5,IF(O401&lt;20,1,IF(O401&gt;1000,10,MATCH(O401,Cargas,1))),Coluna_fih,1,1))*(PI()*(fi_h/1000)^2/4)*SQRT(2*9.81*(O401/100-fi_h/2/1000))*1000))</f>
        <v>26.142982221499878</v>
      </c>
      <c r="Q401" s="19">
        <f ca="1">IF(O401="","",IF(Tipo_Vertedor="Retangular",IF(O401&lt;=cota_s*100,0,IF(Tipo_Vertedor="Retangular",Cd_sr*Lef_sr*((O401/100-cota_s)^(3/2))*1000)),IF(O401&lt;=cota_s*100+fi_s/20,0,(OFFSET('Base de dados'!$A$4,IF(O401&lt;20,1,IF(O401&gt;1000,10,MATCH(O401,Cargas,1))),Coluna_fis,1,1))*(PI()*(fi_s/1000)^2/4)*(2*9.81*(O401/100-cota_s-fi_s/2/1000))^0.5*1000)))</f>
        <v>277.77446966919052</v>
      </c>
      <c r="R401" s="19">
        <f t="shared" ca="1" si="92"/>
        <v>303.91745189069042</v>
      </c>
      <c r="S401" s="19">
        <f t="shared" ca="1" si="93"/>
        <v>2020.8183799585097</v>
      </c>
      <c r="AD401" s="19" t="str">
        <f t="shared" si="103"/>
        <v/>
      </c>
      <c r="AE401" s="19" t="str">
        <f t="shared" si="104"/>
        <v/>
      </c>
      <c r="AF401" s="19" t="str">
        <f>IF(ISERROR(IF('Hidrograma afluente'!I408="",0,'Hidrograma afluente'!I408)+Simulação!G401),"",IF('Hidrograma afluente'!I408="",0,'Hidrograma afluente'!I408)+Simulação!G401)</f>
        <v/>
      </c>
      <c r="AG401" s="17" t="s">
        <v>160</v>
      </c>
      <c r="AH401" s="17" t="s">
        <v>160</v>
      </c>
      <c r="AI401" s="27" t="s">
        <v>160</v>
      </c>
      <c r="AJ401" s="17" t="s">
        <v>160</v>
      </c>
      <c r="AK401" s="19" t="str">
        <f>IF(A401="","",IF('Hidrograma afluente'!I408="",0,'Hidrograma afluente'!I408)+Simulação!B401)</f>
        <v/>
      </c>
    </row>
    <row r="402" spans="1:37" s="17" customFormat="1">
      <c r="A402" s="4" t="str">
        <f t="shared" si="94"/>
        <v/>
      </c>
      <c r="B402" s="5" t="str">
        <f>IF(A402="","",IF(A402&gt;tc_lot_i+tc,0,IF('Hidrograma afluente'!B409="","",'Hidrograma afluente'!B409)))</f>
        <v/>
      </c>
      <c r="C402" s="21" t="str">
        <f t="shared" si="95"/>
        <v/>
      </c>
      <c r="D402" s="21" t="str">
        <f t="shared" si="96"/>
        <v/>
      </c>
      <c r="E402" s="21" t="str">
        <f t="shared" si="97"/>
        <v/>
      </c>
      <c r="F402" s="21" t="str">
        <f t="shared" si="98"/>
        <v/>
      </c>
      <c r="G402" s="21" t="str">
        <f t="shared" si="99"/>
        <v/>
      </c>
      <c r="H402" s="23" t="str">
        <f t="shared" si="90"/>
        <v/>
      </c>
      <c r="I402" s="22" t="str">
        <f t="shared" si="100"/>
        <v/>
      </c>
      <c r="J402" s="1"/>
      <c r="K402" s="51"/>
      <c r="M402" s="81">
        <f t="shared" ca="1" si="91"/>
        <v>2333.0609270638506</v>
      </c>
      <c r="N402" s="19">
        <f t="shared" si="101"/>
        <v>60.795019971723121</v>
      </c>
      <c r="O402" s="17">
        <f t="shared" si="102"/>
        <v>100.25</v>
      </c>
      <c r="P402" s="19">
        <f ca="1">IF(ISERROR(IF(O402&lt;fi_h/20,0,(OFFSET('Base de dados'!$A$5,IF(O402&lt;20,1,IF(O402&gt;1000,10,MATCH(O402,Cargas,1))),Coluna_fih,1,1))*(1+0.13*0.25)*(PI()*(fi_h/1000)^2/4)*SQRT(2*9.81*(O402/100-fi_h/2/1000))*1000)),"",IF(O402&lt;fi_h/20,0,(OFFSET('Base de dados'!$A$5,IF(O402&lt;20,1,IF(O402&gt;1000,10,MATCH(O402,Cargas,1))),Coluna_fih,1,1))*(PI()*(fi_h/1000)^2/4)*SQRT(2*9.81*(O402/100-fi_h/2/1000))*1000))</f>
        <v>26.177591284048685</v>
      </c>
      <c r="Q402" s="19">
        <f ca="1">IF(O402="","",IF(Tipo_Vertedor="Retangular",IF(O402&lt;=cota_s*100,0,IF(Tipo_Vertedor="Retangular",Cd_sr*Lef_sr*((O402/100-cota_s)^(3/2))*1000)),IF(O402&lt;=cota_s*100+fi_s/20,0,(OFFSET('Base de dados'!$A$4,IF(O402&lt;20,1,IF(O402&gt;1000,10,MATCH(O402,Cargas,1))),Coluna_fis,1,1))*(PI()*(fi_s/1000)^2/4)*(2*9.81*(O402/100-cota_s-fi_s/2/1000))^0.5*1000)))</f>
        <v>280.38267005569816</v>
      </c>
      <c r="R402" s="19">
        <f t="shared" ca="1" si="92"/>
        <v>306.56026133974683</v>
      </c>
      <c r="S402" s="19">
        <f t="shared" ca="1" si="93"/>
        <v>2026.500665724104</v>
      </c>
      <c r="AD402" s="19" t="str">
        <f t="shared" si="103"/>
        <v/>
      </c>
      <c r="AE402" s="19" t="str">
        <f t="shared" si="104"/>
        <v/>
      </c>
      <c r="AF402" s="19" t="str">
        <f>IF(ISERROR(IF('Hidrograma afluente'!I409="",0,'Hidrograma afluente'!I409)+Simulação!G402),"",IF('Hidrograma afluente'!I409="",0,'Hidrograma afluente'!I409)+Simulação!G402)</f>
        <v/>
      </c>
      <c r="AG402" s="17" t="s">
        <v>160</v>
      </c>
      <c r="AH402" s="17" t="s">
        <v>160</v>
      </c>
      <c r="AI402" s="27" t="s">
        <v>160</v>
      </c>
      <c r="AJ402" s="17" t="s">
        <v>160</v>
      </c>
      <c r="AK402" s="19" t="str">
        <f>IF(A402="","",IF('Hidrograma afluente'!I409="",0,'Hidrograma afluente'!I409)+Simulação!B402)</f>
        <v/>
      </c>
    </row>
    <row r="403" spans="1:37" s="17" customFormat="1">
      <c r="A403" s="4" t="str">
        <f t="shared" si="94"/>
        <v/>
      </c>
      <c r="B403" s="5" t="str">
        <f>IF(A403="","",IF(A403&gt;tc_lot_i+tc,0,IF('Hidrograma afluente'!B410="","",'Hidrograma afluente'!B410)))</f>
        <v/>
      </c>
      <c r="C403" s="21" t="str">
        <f t="shared" si="95"/>
        <v/>
      </c>
      <c r="D403" s="21" t="str">
        <f t="shared" si="96"/>
        <v/>
      </c>
      <c r="E403" s="21" t="str">
        <f t="shared" si="97"/>
        <v/>
      </c>
      <c r="F403" s="21" t="str">
        <f t="shared" si="98"/>
        <v/>
      </c>
      <c r="G403" s="21" t="str">
        <f t="shared" si="99"/>
        <v/>
      </c>
      <c r="H403" s="23" t="str">
        <f t="shared" si="90"/>
        <v/>
      </c>
      <c r="I403" s="22" t="str">
        <f t="shared" si="100"/>
        <v/>
      </c>
      <c r="J403" s="1"/>
      <c r="K403" s="51"/>
      <c r="M403" s="81">
        <f t="shared" ca="1" si="91"/>
        <v>2341.3958547453581</v>
      </c>
      <c r="N403" s="19">
        <f t="shared" si="101"/>
        <v>60.965541510639888</v>
      </c>
      <c r="O403" s="17">
        <f t="shared" si="102"/>
        <v>100.5</v>
      </c>
      <c r="P403" s="19">
        <f ca="1">IF(ISERROR(IF(O403&lt;fi_h/20,0,(OFFSET('Base de dados'!$A$5,IF(O403&lt;20,1,IF(O403&gt;1000,10,MATCH(O403,Cargas,1))),Coluna_fih,1,1))*(1+0.13*0.25)*(PI()*(fi_h/1000)^2/4)*SQRT(2*9.81*(O403/100-fi_h/2/1000))*1000)),"",IF(O403&lt;fi_h/20,0,(OFFSET('Base de dados'!$A$5,IF(O403&lt;20,1,IF(O403&gt;1000,10,MATCH(O403,Cargas,1))),Coluna_fih,1,1))*(PI()*(fi_h/1000)^2/4)*SQRT(2*9.81*(O403/100-fi_h/2/1000))*1000))</f>
        <v>26.212154650767353</v>
      </c>
      <c r="Q403" s="19">
        <f ca="1">IF(O403="","",IF(Tipo_Vertedor="Retangular",IF(O403&lt;=cota_s*100,0,IF(Tipo_Vertedor="Retangular",Cd_sr*Lef_sr*((O403/100-cota_s)^(3/2))*1000)),IF(O403&lt;=cota_s*100+fi_s/20,0,(OFFSET('Base de dados'!$A$4,IF(O403&lt;20,1,IF(O403&gt;1000,10,MATCH(O403,Cargas,1))),Coluna_fis,1,1))*(PI()*(fi_s/1000)^2/4)*(2*9.81*(O403/100-cota_s-fi_s/2/1000))^0.5*1000)))</f>
        <v>282.99898307326123</v>
      </c>
      <c r="R403" s="19">
        <f t="shared" ca="1" si="92"/>
        <v>309.21113772402856</v>
      </c>
      <c r="S403" s="19">
        <f t="shared" ca="1" si="93"/>
        <v>2032.1847170213296</v>
      </c>
      <c r="AD403" s="19" t="str">
        <f t="shared" si="103"/>
        <v/>
      </c>
      <c r="AE403" s="19" t="str">
        <f t="shared" si="104"/>
        <v/>
      </c>
      <c r="AF403" s="19" t="str">
        <f>IF(ISERROR(IF('Hidrograma afluente'!I410="",0,'Hidrograma afluente'!I410)+Simulação!G403),"",IF('Hidrograma afluente'!I410="",0,'Hidrograma afluente'!I410)+Simulação!G403)</f>
        <v/>
      </c>
      <c r="AG403" s="17" t="s">
        <v>160</v>
      </c>
      <c r="AH403" s="17" t="s">
        <v>160</v>
      </c>
      <c r="AI403" s="27" t="s">
        <v>160</v>
      </c>
      <c r="AJ403" s="17" t="s">
        <v>160</v>
      </c>
      <c r="AK403" s="19" t="str">
        <f>IF(A403="","",IF('Hidrograma afluente'!I410="",0,'Hidrograma afluente'!I410)+Simulação!B403)</f>
        <v/>
      </c>
    </row>
    <row r="404" spans="1:37" s="17" customFormat="1">
      <c r="A404" s="4" t="str">
        <f t="shared" si="94"/>
        <v/>
      </c>
      <c r="B404" s="5" t="str">
        <f>IF(A404="","",IF(A404&gt;tc_lot_i+tc,0,IF('Hidrograma afluente'!B411="","",'Hidrograma afluente'!B411)))</f>
        <v/>
      </c>
      <c r="C404" s="21" t="str">
        <f t="shared" si="95"/>
        <v/>
      </c>
      <c r="D404" s="21" t="str">
        <f t="shared" si="96"/>
        <v/>
      </c>
      <c r="E404" s="21" t="str">
        <f t="shared" si="97"/>
        <v/>
      </c>
      <c r="F404" s="21" t="str">
        <f t="shared" si="98"/>
        <v/>
      </c>
      <c r="G404" s="21" t="str">
        <f t="shared" si="99"/>
        <v/>
      </c>
      <c r="H404" s="23" t="str">
        <f t="shared" si="90"/>
        <v/>
      </c>
      <c r="I404" s="22" t="str">
        <f t="shared" si="100"/>
        <v/>
      </c>
      <c r="J404" s="1"/>
      <c r="K404" s="51"/>
      <c r="M404" s="81">
        <f t="shared" ca="1" si="91"/>
        <v>2349.7405861509055</v>
      </c>
      <c r="N404" s="19">
        <f t="shared" si="101"/>
        <v>61.136115900144858</v>
      </c>
      <c r="O404" s="17">
        <f t="shared" si="102"/>
        <v>100.75</v>
      </c>
      <c r="P404" s="19">
        <f ca="1">IF(ISERROR(IF(O404&lt;fi_h/20,0,(OFFSET('Base de dados'!$A$5,IF(O404&lt;20,1,IF(O404&gt;1000,10,MATCH(O404,Cargas,1))),Coluna_fih,1,1))*(1+0.13*0.25)*(PI()*(fi_h/1000)^2/4)*SQRT(2*9.81*(O404/100-fi_h/2/1000))*1000)),"",IF(O404&lt;fi_h/20,0,(OFFSET('Base de dados'!$A$5,IF(O404&lt;20,1,IF(O404&gt;1000,10,MATCH(O404,Cargas,1))),Coluna_fih,1,1))*(PI()*(fi_h/1000)^2/4)*SQRT(2*9.81*(O404/100-fi_h/2/1000))*1000))</f>
        <v>26.246672502181831</v>
      </c>
      <c r="Q404" s="19">
        <f ca="1">IF(O404="","",IF(Tipo_Vertedor="Retangular",IF(O404&lt;=cota_s*100,0,IF(Tipo_Vertedor="Retangular",Cd_sr*Lef_sr*((O404/100-cota_s)^(3/2))*1000)),IF(O404&lt;=cota_s*100+fi_s/20,0,(OFFSET('Base de dados'!$A$4,IF(O404&lt;20,1,IF(O404&gt;1000,10,MATCH(O404,Cargas,1))),Coluna_fis,1,1))*(PI()*(fi_s/1000)^2/4)*(2*9.81*(O404/100-cota_s-fi_s/2/1000))^0.5*1000)))</f>
        <v>285.6233836438949</v>
      </c>
      <c r="R404" s="19">
        <f t="shared" ca="1" si="92"/>
        <v>311.87005614607671</v>
      </c>
      <c r="S404" s="19">
        <f t="shared" ca="1" si="93"/>
        <v>2037.8705300048287</v>
      </c>
      <c r="AD404" s="19" t="str">
        <f t="shared" si="103"/>
        <v/>
      </c>
      <c r="AE404" s="19" t="str">
        <f t="shared" si="104"/>
        <v/>
      </c>
      <c r="AF404" s="19" t="str">
        <f>IF(ISERROR(IF('Hidrograma afluente'!I411="",0,'Hidrograma afluente'!I411)+Simulação!G404),"",IF('Hidrograma afluente'!I411="",0,'Hidrograma afluente'!I411)+Simulação!G404)</f>
        <v/>
      </c>
      <c r="AG404" s="17" t="s">
        <v>160</v>
      </c>
      <c r="AH404" s="17" t="s">
        <v>160</v>
      </c>
      <c r="AI404" s="27" t="s">
        <v>160</v>
      </c>
      <c r="AJ404" s="17" t="s">
        <v>160</v>
      </c>
      <c r="AK404" s="19" t="str">
        <f>IF(A404="","",IF('Hidrograma afluente'!I411="",0,'Hidrograma afluente'!I411)+Simulação!B404)</f>
        <v/>
      </c>
    </row>
    <row r="405" spans="1:37" s="17" customFormat="1">
      <c r="A405" s="4" t="str">
        <f t="shared" si="94"/>
        <v/>
      </c>
      <c r="B405" s="5" t="str">
        <f>IF(A405="","",IF(A405&gt;tc_lot_i+tc,0,IF('Hidrograma afluente'!B412="","",'Hidrograma afluente'!B412)))</f>
        <v/>
      </c>
      <c r="C405" s="21" t="str">
        <f t="shared" si="95"/>
        <v/>
      </c>
      <c r="D405" s="21" t="str">
        <f t="shared" si="96"/>
        <v/>
      </c>
      <c r="E405" s="21" t="str">
        <f t="shared" si="97"/>
        <v/>
      </c>
      <c r="F405" s="21" t="str">
        <f t="shared" si="98"/>
        <v/>
      </c>
      <c r="G405" s="21" t="str">
        <f t="shared" si="99"/>
        <v/>
      </c>
      <c r="H405" s="23" t="str">
        <f t="shared" si="90"/>
        <v/>
      </c>
      <c r="I405" s="22" t="str">
        <f t="shared" si="100"/>
        <v/>
      </c>
      <c r="J405" s="1"/>
      <c r="K405" s="51"/>
      <c r="M405" s="81">
        <f t="shared" ca="1" si="91"/>
        <v>2358.0950927855233</v>
      </c>
      <c r="N405" s="19">
        <f t="shared" si="101"/>
        <v>61.306743025414164</v>
      </c>
      <c r="O405" s="17">
        <f t="shared" si="102"/>
        <v>101</v>
      </c>
      <c r="P405" s="19">
        <f ca="1">IF(ISERROR(IF(O405&lt;fi_h/20,0,(OFFSET('Base de dados'!$A$5,IF(O405&lt;20,1,IF(O405&gt;1000,10,MATCH(O405,Cargas,1))),Coluna_fih,1,1))*(1+0.13*0.25)*(PI()*(fi_h/1000)^2/4)*SQRT(2*9.81*(O405/100-fi_h/2/1000))*1000)),"",IF(O405&lt;fi_h/20,0,(OFFSET('Base de dados'!$A$5,IF(O405&lt;20,1,IF(O405&gt;1000,10,MATCH(O405,Cargas,1))),Coluna_fih,1,1))*(PI()*(fi_h/1000)^2/4)*SQRT(2*9.81*(O405/100-fi_h/2/1000))*1000))</f>
        <v>26.281145017632522</v>
      </c>
      <c r="Q405" s="19">
        <f ca="1">IF(O405="","",IF(Tipo_Vertedor="Retangular",IF(O405&lt;=cota_s*100,0,IF(Tipo_Vertedor="Retangular",Cd_sr*Lef_sr*((O405/100-cota_s)^(3/2))*1000)),IF(O405&lt;=cota_s*100+fi_s/20,0,(OFFSET('Base de dados'!$A$4,IF(O405&lt;20,1,IF(O405&gt;1000,10,MATCH(O405,Cargas,1))),Coluna_fis,1,1))*(PI()*(fi_s/1000)^2/4)*(2*9.81*(O405/100-cota_s-fi_s/2/1000))^0.5*1000)))</f>
        <v>288.25584692075199</v>
      </c>
      <c r="R405" s="19">
        <f t="shared" ca="1" si="92"/>
        <v>314.53699193838452</v>
      </c>
      <c r="S405" s="19">
        <f t="shared" ca="1" si="93"/>
        <v>2043.5581008471388</v>
      </c>
      <c r="AD405" s="19" t="str">
        <f t="shared" si="103"/>
        <v/>
      </c>
      <c r="AE405" s="19" t="str">
        <f t="shared" si="104"/>
        <v/>
      </c>
      <c r="AF405" s="19" t="str">
        <f>IF(ISERROR(IF('Hidrograma afluente'!I412="",0,'Hidrograma afluente'!I412)+Simulação!G405),"",IF('Hidrograma afluente'!I412="",0,'Hidrograma afluente'!I412)+Simulação!G405)</f>
        <v/>
      </c>
      <c r="AG405" s="17" t="s">
        <v>160</v>
      </c>
      <c r="AH405" s="17" t="s">
        <v>160</v>
      </c>
      <c r="AI405" s="27" t="s">
        <v>160</v>
      </c>
      <c r="AJ405" s="17" t="s">
        <v>160</v>
      </c>
      <c r="AK405" s="19" t="str">
        <f>IF(A405="","",IF('Hidrograma afluente'!I412="",0,'Hidrograma afluente'!I412)+Simulação!B405)</f>
        <v/>
      </c>
    </row>
    <row r="406" spans="1:37" s="17" customFormat="1">
      <c r="A406" s="4" t="str">
        <f t="shared" si="94"/>
        <v/>
      </c>
      <c r="B406" s="5" t="str">
        <f>IF(A406="","",IF(A406&gt;tc_lot_i+tc,0,IF('Hidrograma afluente'!B413="","",'Hidrograma afluente'!B413)))</f>
        <v/>
      </c>
      <c r="C406" s="21" t="str">
        <f t="shared" si="95"/>
        <v/>
      </c>
      <c r="D406" s="21" t="str">
        <f t="shared" si="96"/>
        <v/>
      </c>
      <c r="E406" s="21" t="str">
        <f t="shared" si="97"/>
        <v/>
      </c>
      <c r="F406" s="21" t="str">
        <f t="shared" si="98"/>
        <v/>
      </c>
      <c r="G406" s="21" t="str">
        <f t="shared" si="99"/>
        <v/>
      </c>
      <c r="H406" s="23" t="str">
        <f t="shared" si="90"/>
        <v/>
      </c>
      <c r="I406" s="22" t="str">
        <f t="shared" si="100"/>
        <v/>
      </c>
      <c r="J406" s="1"/>
      <c r="K406" s="51"/>
      <c r="M406" s="81">
        <f t="shared" ca="1" si="91"/>
        <v>2366.4593463984506</v>
      </c>
      <c r="N406" s="19">
        <f t="shared" si="101"/>
        <v>61.477422772157105</v>
      </c>
      <c r="O406" s="17">
        <f t="shared" si="102"/>
        <v>101.25</v>
      </c>
      <c r="P406" s="19">
        <f ca="1">IF(ISERROR(IF(O406&lt;fi_h/20,0,(OFFSET('Base de dados'!$A$5,IF(O406&lt;20,1,IF(O406&gt;1000,10,MATCH(O406,Cargas,1))),Coluna_fih,1,1))*(1+0.13*0.25)*(PI()*(fi_h/1000)^2/4)*SQRT(2*9.81*(O406/100-fi_h/2/1000))*1000)),"",IF(O406&lt;fi_h/20,0,(OFFSET('Base de dados'!$A$5,IF(O406&lt;20,1,IF(O406&gt;1000,10,MATCH(O406,Cargas,1))),Coluna_fih,1,1))*(PI()*(fi_h/1000)^2/4)*SQRT(2*9.81*(O406/100-fi_h/2/1000))*1000))</f>
        <v>26.3155723752852</v>
      </c>
      <c r="Q406" s="19">
        <f ca="1">IF(O406="","",IF(Tipo_Vertedor="Retangular",IF(O406&lt;=cota_s*100,0,IF(Tipo_Vertedor="Retangular",Cd_sr*Lef_sr*((O406/100-cota_s)^(3/2))*1000)),IF(O406&lt;=cota_s*100+fi_s/20,0,(OFFSET('Base de dados'!$A$4,IF(O406&lt;20,1,IF(O406&gt;1000,10,MATCH(O406,Cargas,1))),Coluna_fis,1,1))*(PI()*(fi_s/1000)^2/4)*(2*9.81*(O406/100-cota_s-fi_s/2/1000))^0.5*1000)))</f>
        <v>290.89634828459515</v>
      </c>
      <c r="R406" s="19">
        <f t="shared" ca="1" si="92"/>
        <v>317.21192065988032</v>
      </c>
      <c r="S406" s="19">
        <f t="shared" ca="1" si="93"/>
        <v>2049.2474257385702</v>
      </c>
      <c r="AD406" s="19" t="str">
        <f t="shared" si="103"/>
        <v/>
      </c>
      <c r="AE406" s="19" t="str">
        <f t="shared" si="104"/>
        <v/>
      </c>
      <c r="AF406" s="19" t="str">
        <f>IF(ISERROR(IF('Hidrograma afluente'!I413="",0,'Hidrograma afluente'!I413)+Simulação!G406),"",IF('Hidrograma afluente'!I413="",0,'Hidrograma afluente'!I413)+Simulação!G406)</f>
        <v/>
      </c>
      <c r="AG406" s="17" t="s">
        <v>160</v>
      </c>
      <c r="AH406" s="17" t="s">
        <v>160</v>
      </c>
      <c r="AI406" s="27" t="s">
        <v>160</v>
      </c>
      <c r="AJ406" s="17" t="s">
        <v>160</v>
      </c>
      <c r="AK406" s="19" t="str">
        <f>IF(A406="","",IF('Hidrograma afluente'!I413="",0,'Hidrograma afluente'!I413)+Simulação!B406)</f>
        <v/>
      </c>
    </row>
    <row r="407" spans="1:37" s="17" customFormat="1">
      <c r="A407" s="4" t="str">
        <f t="shared" si="94"/>
        <v/>
      </c>
      <c r="B407" s="5" t="str">
        <f>IF(A407="","",IF(A407&gt;tc_lot_i+tc,0,IF('Hidrograma afluente'!B414="","",'Hidrograma afluente'!B414)))</f>
        <v/>
      </c>
      <c r="C407" s="21" t="str">
        <f t="shared" si="95"/>
        <v/>
      </c>
      <c r="D407" s="21" t="str">
        <f t="shared" si="96"/>
        <v/>
      </c>
      <c r="E407" s="21" t="str">
        <f t="shared" si="97"/>
        <v/>
      </c>
      <c r="F407" s="21" t="str">
        <f t="shared" si="98"/>
        <v/>
      </c>
      <c r="G407" s="21" t="str">
        <f t="shared" si="99"/>
        <v/>
      </c>
      <c r="H407" s="23" t="str">
        <f t="shared" si="90"/>
        <v/>
      </c>
      <c r="I407" s="22" t="str">
        <f t="shared" si="100"/>
        <v/>
      </c>
      <c r="J407" s="1"/>
      <c r="K407" s="51"/>
      <c r="M407" s="81">
        <f t="shared" ca="1" si="91"/>
        <v>2374.8333189795603</v>
      </c>
      <c r="N407" s="19">
        <f t="shared" si="101"/>
        <v>61.648155026612301</v>
      </c>
      <c r="O407" s="17">
        <f t="shared" si="102"/>
        <v>101.5</v>
      </c>
      <c r="P407" s="19">
        <f ca="1">IF(ISERROR(IF(O407&lt;fi_h/20,0,(OFFSET('Base de dados'!$A$5,IF(O407&lt;20,1,IF(O407&gt;1000,10,MATCH(O407,Cargas,1))),Coluna_fih,1,1))*(1+0.13*0.25)*(PI()*(fi_h/1000)^2/4)*SQRT(2*9.81*(O407/100-fi_h/2/1000))*1000)),"",IF(O407&lt;fi_h/20,0,(OFFSET('Base de dados'!$A$5,IF(O407&lt;20,1,IF(O407&gt;1000,10,MATCH(O407,Cargas,1))),Coluna_fih,1,1))*(PI()*(fi_h/1000)^2/4)*SQRT(2*9.81*(O407/100-fi_h/2/1000))*1000))</f>
        <v>26.349954752141731</v>
      </c>
      <c r="Q407" s="19">
        <f ca="1">IF(O407="","",IF(Tipo_Vertedor="Retangular",IF(O407&lt;=cota_s*100,0,IF(Tipo_Vertedor="Retangular",Cd_sr*Lef_sr*((O407/100-cota_s)^(3/2))*1000)),IF(O407&lt;=cota_s*100+fi_s/20,0,(OFFSET('Base de dados'!$A$4,IF(O407&lt;20,1,IF(O407&gt;1000,10,MATCH(O407,Cargas,1))),Coluna_fis,1,1))*(PI()*(fi_s/1000)^2/4)*(2*9.81*(O407/100-cota_s-fi_s/2/1000))^0.5*1000)))</f>
        <v>293.54486334034186</v>
      </c>
      <c r="R407" s="19">
        <f t="shared" ca="1" si="92"/>
        <v>319.8948180924836</v>
      </c>
      <c r="S407" s="19">
        <f t="shared" ca="1" si="93"/>
        <v>2054.9385008870768</v>
      </c>
      <c r="AD407" s="19" t="str">
        <f t="shared" si="103"/>
        <v/>
      </c>
      <c r="AE407" s="19" t="str">
        <f t="shared" si="104"/>
        <v/>
      </c>
      <c r="AF407" s="19" t="str">
        <f>IF(ISERROR(IF('Hidrograma afluente'!I414="",0,'Hidrograma afluente'!I414)+Simulação!G407),"",IF('Hidrograma afluente'!I414="",0,'Hidrograma afluente'!I414)+Simulação!G407)</f>
        <v/>
      </c>
      <c r="AG407" s="17" t="s">
        <v>160</v>
      </c>
      <c r="AH407" s="17" t="s">
        <v>160</v>
      </c>
      <c r="AI407" s="27" t="s">
        <v>160</v>
      </c>
      <c r="AJ407" s="17" t="s">
        <v>160</v>
      </c>
      <c r="AK407" s="19" t="str">
        <f>IF(A407="","",IF('Hidrograma afluente'!I414="",0,'Hidrograma afluente'!I414)+Simulação!B407)</f>
        <v/>
      </c>
    </row>
    <row r="408" spans="1:37" s="17" customFormat="1">
      <c r="A408" s="4" t="str">
        <f t="shared" si="94"/>
        <v/>
      </c>
      <c r="B408" s="5" t="str">
        <f>IF(A408="","",IF(A408&gt;tc_lot_i+tc,0,IF('Hidrograma afluente'!B415="","",'Hidrograma afluente'!B415)))</f>
        <v/>
      </c>
      <c r="C408" s="21" t="str">
        <f t="shared" si="95"/>
        <v/>
      </c>
      <c r="D408" s="21" t="str">
        <f t="shared" si="96"/>
        <v/>
      </c>
      <c r="E408" s="21" t="str">
        <f t="shared" si="97"/>
        <v/>
      </c>
      <c r="F408" s="21" t="str">
        <f t="shared" si="98"/>
        <v/>
      </c>
      <c r="G408" s="21" t="str">
        <f t="shared" si="99"/>
        <v/>
      </c>
      <c r="H408" s="23" t="str">
        <f t="shared" si="90"/>
        <v/>
      </c>
      <c r="I408" s="22" t="str">
        <f t="shared" si="100"/>
        <v/>
      </c>
      <c r="J408" s="1"/>
      <c r="K408" s="51"/>
      <c r="M408" s="81">
        <f t="shared" ca="1" si="91"/>
        <v>2383.216982755866</v>
      </c>
      <c r="N408" s="19">
        <f t="shared" si="101"/>
        <v>61.818939675543938</v>
      </c>
      <c r="O408" s="17">
        <f t="shared" si="102"/>
        <v>101.75</v>
      </c>
      <c r="P408" s="19">
        <f ca="1">IF(ISERROR(IF(O408&lt;fi_h/20,0,(OFFSET('Base de dados'!$A$5,IF(O408&lt;20,1,IF(O408&gt;1000,10,MATCH(O408,Cargas,1))),Coluna_fih,1,1))*(1+0.13*0.25)*(PI()*(fi_h/1000)^2/4)*SQRT(2*9.81*(O408/100-fi_h/2/1000))*1000)),"",IF(O408&lt;fi_h/20,0,(OFFSET('Base de dados'!$A$5,IF(O408&lt;20,1,IF(O408&gt;1000,10,MATCH(O408,Cargas,1))),Coluna_fih,1,1))*(PI()*(fi_h/1000)^2/4)*SQRT(2*9.81*(O408/100-fi_h/2/1000))*1000))</f>
        <v>26.38429232405068</v>
      </c>
      <c r="Q408" s="19">
        <f ca="1">IF(O408="","",IF(Tipo_Vertedor="Retangular",IF(O408&lt;=cota_s*100,0,IF(Tipo_Vertedor="Retangular",Cd_sr*Lef_sr*((O408/100-cota_s)^(3/2))*1000)),IF(O408&lt;=cota_s*100+fi_s/20,0,(OFFSET('Base de dados'!$A$4,IF(O408&lt;20,1,IF(O408&gt;1000,10,MATCH(O408,Cargas,1))),Coluna_fis,1,1))*(PI()*(fi_s/1000)^2/4)*(2*9.81*(O408/100-cota_s-fi_s/2/1000))^0.5*1000)))</f>
        <v>296.20136791368401</v>
      </c>
      <c r="R408" s="19">
        <f t="shared" ca="1" si="92"/>
        <v>322.58566023773471</v>
      </c>
      <c r="S408" s="19">
        <f t="shared" ca="1" si="93"/>
        <v>2060.6313225181311</v>
      </c>
      <c r="AD408" s="19" t="str">
        <f t="shared" si="103"/>
        <v/>
      </c>
      <c r="AE408" s="19" t="str">
        <f t="shared" si="104"/>
        <v/>
      </c>
      <c r="AF408" s="19" t="str">
        <f>IF(ISERROR(IF('Hidrograma afluente'!I415="",0,'Hidrograma afluente'!I415)+Simulação!G408),"",IF('Hidrograma afluente'!I415="",0,'Hidrograma afluente'!I415)+Simulação!G408)</f>
        <v/>
      </c>
      <c r="AG408" s="17" t="s">
        <v>160</v>
      </c>
      <c r="AH408" s="17" t="s">
        <v>160</v>
      </c>
      <c r="AI408" s="27" t="s">
        <v>160</v>
      </c>
      <c r="AJ408" s="17" t="s">
        <v>160</v>
      </c>
      <c r="AK408" s="19" t="str">
        <f>IF(A408="","",IF('Hidrograma afluente'!I415="",0,'Hidrograma afluente'!I415)+Simulação!B408)</f>
        <v/>
      </c>
    </row>
    <row r="409" spans="1:37" s="17" customFormat="1">
      <c r="A409" s="4" t="str">
        <f t="shared" si="94"/>
        <v/>
      </c>
      <c r="B409" s="5" t="str">
        <f>IF(A409="","",IF(A409&gt;tc_lot_i+tc,0,IF('Hidrograma afluente'!B416="","",'Hidrograma afluente'!B416)))</f>
        <v/>
      </c>
      <c r="C409" s="21" t="str">
        <f t="shared" si="95"/>
        <v/>
      </c>
      <c r="D409" s="21" t="str">
        <f t="shared" si="96"/>
        <v/>
      </c>
      <c r="E409" s="21" t="str">
        <f t="shared" si="97"/>
        <v/>
      </c>
      <c r="F409" s="21" t="str">
        <f t="shared" si="98"/>
        <v/>
      </c>
      <c r="G409" s="21" t="str">
        <f t="shared" si="99"/>
        <v/>
      </c>
      <c r="H409" s="23" t="str">
        <f t="shared" si="90"/>
        <v/>
      </c>
      <c r="I409" s="22" t="str">
        <f t="shared" si="100"/>
        <v/>
      </c>
      <c r="J409" s="1"/>
      <c r="K409" s="51"/>
      <c r="M409" s="81">
        <f t="shared" ca="1" si="91"/>
        <v>2391.6103101880967</v>
      </c>
      <c r="N409" s="19">
        <f t="shared" si="101"/>
        <v>61.98977660623806</v>
      </c>
      <c r="O409" s="17">
        <f t="shared" si="102"/>
        <v>102</v>
      </c>
      <c r="P409" s="19">
        <f ca="1">IF(ISERROR(IF(O409&lt;fi_h/20,0,(OFFSET('Base de dados'!$A$5,IF(O409&lt;20,1,IF(O409&gt;1000,10,MATCH(O409,Cargas,1))),Coluna_fih,1,1))*(1+0.13*0.25)*(PI()*(fi_h/1000)^2/4)*SQRT(2*9.81*(O409/100-fi_h/2/1000))*1000)),"",IF(O409&lt;fi_h/20,0,(OFFSET('Base de dados'!$A$5,IF(O409&lt;20,1,IF(O409&gt;1000,10,MATCH(O409,Cargas,1))),Coluna_fih,1,1))*(PI()*(fi_h/1000)^2/4)*SQRT(2*9.81*(O409/100-fi_h/2/1000))*1000))</f>
        <v>26.418585265717816</v>
      </c>
      <c r="Q409" s="19">
        <f ca="1">IF(O409="","",IF(Tipo_Vertedor="Retangular",IF(O409&lt;=cota_s*100,0,IF(Tipo_Vertedor="Retangular",Cd_sr*Lef_sr*((O409/100-cota_s)^(3/2))*1000)),IF(O409&lt;=cota_s*100+fi_s/20,0,(OFFSET('Base de dados'!$A$4,IF(O409&lt;20,1,IF(O409&gt;1000,10,MATCH(O409,Cargas,1))),Coluna_fis,1,1))*(PI()*(fi_s/1000)^2/4)*(2*9.81*(O409/100-cota_s-fi_s/2/1000))^0.5*1000)))</f>
        <v>298.86583804777695</v>
      </c>
      <c r="R409" s="19">
        <f t="shared" ca="1" si="92"/>
        <v>325.28442331349476</v>
      </c>
      <c r="S409" s="19">
        <f t="shared" ca="1" si="93"/>
        <v>2066.325886874602</v>
      </c>
      <c r="AD409" s="19" t="str">
        <f t="shared" si="103"/>
        <v/>
      </c>
      <c r="AE409" s="19" t="str">
        <f t="shared" si="104"/>
        <v/>
      </c>
      <c r="AF409" s="19" t="str">
        <f>IF(ISERROR(IF('Hidrograma afluente'!I416="",0,'Hidrograma afluente'!I416)+Simulação!G409),"",IF('Hidrograma afluente'!I416="",0,'Hidrograma afluente'!I416)+Simulação!G409)</f>
        <v/>
      </c>
      <c r="AG409" s="17" t="s">
        <v>160</v>
      </c>
      <c r="AH409" s="17" t="s">
        <v>160</v>
      </c>
      <c r="AI409" s="27" t="s">
        <v>160</v>
      </c>
      <c r="AJ409" s="17" t="s">
        <v>160</v>
      </c>
      <c r="AK409" s="19" t="str">
        <f>IF(A409="","",IF('Hidrograma afluente'!I416="",0,'Hidrograma afluente'!I416)+Simulação!B409)</f>
        <v/>
      </c>
    </row>
    <row r="410" spans="1:37" s="17" customFormat="1">
      <c r="A410" s="4" t="str">
        <f t="shared" si="94"/>
        <v/>
      </c>
      <c r="B410" s="5" t="str">
        <f>IF(A410="","",IF(A410&gt;tc_lot_i+tc,0,IF('Hidrograma afluente'!B417="","",'Hidrograma afluente'!B417)))</f>
        <v/>
      </c>
      <c r="C410" s="21" t="str">
        <f t="shared" si="95"/>
        <v/>
      </c>
      <c r="D410" s="21" t="str">
        <f t="shared" si="96"/>
        <v/>
      </c>
      <c r="E410" s="21" t="str">
        <f t="shared" si="97"/>
        <v/>
      </c>
      <c r="F410" s="21" t="str">
        <f t="shared" si="98"/>
        <v/>
      </c>
      <c r="G410" s="21" t="str">
        <f t="shared" si="99"/>
        <v/>
      </c>
      <c r="H410" s="23" t="str">
        <f t="shared" si="90"/>
        <v/>
      </c>
      <c r="I410" s="22" t="str">
        <f t="shared" si="100"/>
        <v/>
      </c>
      <c r="J410" s="1"/>
      <c r="K410" s="51"/>
      <c r="M410" s="81">
        <f t="shared" ca="1" si="91"/>
        <v>2400.0132739673463</v>
      </c>
      <c r="N410" s="19">
        <f t="shared" si="101"/>
        <v>62.160665706498904</v>
      </c>
      <c r="O410" s="17">
        <f t="shared" si="102"/>
        <v>102.25</v>
      </c>
      <c r="P410" s="19">
        <f ca="1">IF(ISERROR(IF(O410&lt;fi_h/20,0,(OFFSET('Base de dados'!$A$5,IF(O410&lt;20,1,IF(O410&gt;1000,10,MATCH(O410,Cargas,1))),Coluna_fih,1,1))*(1+0.13*0.25)*(PI()*(fi_h/1000)^2/4)*SQRT(2*9.81*(O410/100-fi_h/2/1000))*1000)),"",IF(O410&lt;fi_h/20,0,(OFFSET('Base de dados'!$A$5,IF(O410&lt;20,1,IF(O410&gt;1000,10,MATCH(O410,Cargas,1))),Coluna_fih,1,1))*(PI()*(fi_h/1000)^2/4)*SQRT(2*9.81*(O410/100-fi_h/2/1000))*1000))</f>
        <v>26.45283375071649</v>
      </c>
      <c r="Q410" s="19">
        <f ca="1">IF(O410="","",IF(Tipo_Vertedor="Retangular",IF(O410&lt;=cota_s*100,0,IF(Tipo_Vertedor="Retangular",Cd_sr*Lef_sr*((O410/100-cota_s)^(3/2))*1000)),IF(O410&lt;=cota_s*100+fi_s/20,0,(OFFSET('Base de dados'!$A$4,IF(O410&lt;20,1,IF(O410&gt;1000,10,MATCH(O410,Cargas,1))),Coluna_fis,1,1))*(PI()*(fi_s/1000)^2/4)*(2*9.81*(O410/100-cota_s-fi_s/2/1000))^0.5*1000)))</f>
        <v>301.53825000000001</v>
      </c>
      <c r="R410" s="19">
        <f t="shared" ca="1" si="92"/>
        <v>327.99108375071648</v>
      </c>
      <c r="S410" s="19">
        <f t="shared" ca="1" si="93"/>
        <v>2072.02219021663</v>
      </c>
      <c r="AD410" s="19" t="str">
        <f t="shared" si="103"/>
        <v/>
      </c>
      <c r="AE410" s="19" t="str">
        <f t="shared" si="104"/>
        <v/>
      </c>
      <c r="AF410" s="19" t="str">
        <f>IF(ISERROR(IF('Hidrograma afluente'!I417="",0,'Hidrograma afluente'!I417)+Simulação!G410),"",IF('Hidrograma afluente'!I417="",0,'Hidrograma afluente'!I417)+Simulação!G410)</f>
        <v/>
      </c>
      <c r="AG410" s="17" t="s">
        <v>160</v>
      </c>
      <c r="AH410" s="17" t="s">
        <v>160</v>
      </c>
      <c r="AI410" s="27" t="s">
        <v>160</v>
      </c>
      <c r="AJ410" s="17" t="s">
        <v>160</v>
      </c>
      <c r="AK410" s="19" t="str">
        <f>IF(A410="","",IF('Hidrograma afluente'!I417="",0,'Hidrograma afluente'!I417)+Simulação!B410)</f>
        <v/>
      </c>
    </row>
    <row r="411" spans="1:37" s="17" customFormat="1">
      <c r="A411" s="4" t="str">
        <f t="shared" si="94"/>
        <v/>
      </c>
      <c r="B411" s="5" t="str">
        <f>IF(A411="","",IF(A411&gt;tc_lot_i+tc,0,IF('Hidrograma afluente'!B418="","",'Hidrograma afluente'!B418)))</f>
        <v/>
      </c>
      <c r="C411" s="21" t="str">
        <f t="shared" si="95"/>
        <v/>
      </c>
      <c r="D411" s="21" t="str">
        <f t="shared" si="96"/>
        <v/>
      </c>
      <c r="E411" s="21" t="str">
        <f t="shared" si="97"/>
        <v/>
      </c>
      <c r="F411" s="21" t="str">
        <f t="shared" si="98"/>
        <v/>
      </c>
      <c r="G411" s="21" t="str">
        <f t="shared" si="99"/>
        <v/>
      </c>
      <c r="H411" s="23" t="str">
        <f t="shared" ref="H411:H423" si="105">IF(A411="","",IF(ISERROR(B411+C411+D411-G411),0,B411+C411+D411-G411))</f>
        <v/>
      </c>
      <c r="I411" s="22" t="str">
        <f t="shared" si="100"/>
        <v/>
      </c>
      <c r="J411" s="1"/>
      <c r="K411" s="51"/>
      <c r="M411" s="81">
        <f t="shared" ca="1" si="91"/>
        <v>2408.4258470117879</v>
      </c>
      <c r="N411" s="19">
        <f t="shared" si="101"/>
        <v>62.331606864645252</v>
      </c>
      <c r="O411" s="17">
        <f t="shared" si="102"/>
        <v>102.5</v>
      </c>
      <c r="P411" s="19">
        <f ca="1">IF(ISERROR(IF(O411&lt;fi_h/20,0,(OFFSET('Base de dados'!$A$5,IF(O411&lt;20,1,IF(O411&gt;1000,10,MATCH(O411,Cargas,1))),Coluna_fih,1,1))*(1+0.13*0.25)*(PI()*(fi_h/1000)^2/4)*SQRT(2*9.81*(O411/100-fi_h/2/1000))*1000)),"",IF(O411&lt;fi_h/20,0,(OFFSET('Base de dados'!$A$5,IF(O411&lt;20,1,IF(O411&gt;1000,10,MATCH(O411,Cargas,1))),Coluna_fih,1,1))*(PI()*(fi_h/1000)^2/4)*SQRT(2*9.81*(O411/100-fi_h/2/1000))*1000))</f>
        <v>26.487037951497868</v>
      </c>
      <c r="Q411" s="19">
        <f ca="1">IF(O411="","",IF(Tipo_Vertedor="Retangular",IF(O411&lt;=cota_s*100,0,IF(Tipo_Vertedor="Retangular",Cd_sr*Lef_sr*((O411/100-cota_s)^(3/2))*1000)),IF(O411&lt;=cota_s*100+fi_s/20,0,(OFFSET('Base de dados'!$A$4,IF(O411&lt;20,1,IF(O411&gt;1000,10,MATCH(O411,Cargas,1))),Coluna_fis,1,1))*(PI()*(fi_s/1000)^2/4)*(2*9.81*(O411/100-cota_s-fi_s/2/1000))^0.5*1000)))</f>
        <v>304.21858023878156</v>
      </c>
      <c r="R411" s="19">
        <f t="shared" ca="1" si="92"/>
        <v>330.70561819027944</v>
      </c>
      <c r="S411" s="19">
        <f t="shared" ca="1" si="93"/>
        <v>2077.7202288215085</v>
      </c>
      <c r="AD411" s="19" t="str">
        <f t="shared" si="103"/>
        <v/>
      </c>
      <c r="AE411" s="19" t="str">
        <f t="shared" si="104"/>
        <v/>
      </c>
      <c r="AF411" s="19" t="str">
        <f>IF(ISERROR(IF('Hidrograma afluente'!I418="",0,'Hidrograma afluente'!I418)+Simulação!G411),"",IF('Hidrograma afluente'!I418="",0,'Hidrograma afluente'!I418)+Simulação!G411)</f>
        <v/>
      </c>
      <c r="AG411" s="17" t="s">
        <v>160</v>
      </c>
      <c r="AH411" s="17" t="s">
        <v>160</v>
      </c>
      <c r="AI411" s="27" t="s">
        <v>160</v>
      </c>
      <c r="AJ411" s="17" t="s">
        <v>160</v>
      </c>
      <c r="AK411" s="19" t="str">
        <f>IF(A411="","",IF('Hidrograma afluente'!I418="",0,'Hidrograma afluente'!I418)+Simulação!B411)</f>
        <v/>
      </c>
    </row>
    <row r="412" spans="1:37" s="17" customFormat="1">
      <c r="A412" s="4" t="str">
        <f t="shared" si="94"/>
        <v/>
      </c>
      <c r="B412" s="5" t="str">
        <f>IF(A412="","",IF(A412&gt;tc_lot_i+tc,0,IF('Hidrograma afluente'!B419="","",'Hidrograma afluente'!B419)))</f>
        <v/>
      </c>
      <c r="C412" s="21" t="str">
        <f t="shared" si="95"/>
        <v/>
      </c>
      <c r="D412" s="21" t="str">
        <f t="shared" si="96"/>
        <v/>
      </c>
      <c r="E412" s="21" t="str">
        <f t="shared" si="97"/>
        <v/>
      </c>
      <c r="F412" s="21" t="str">
        <f t="shared" si="98"/>
        <v/>
      </c>
      <c r="G412" s="21" t="str">
        <f t="shared" si="99"/>
        <v/>
      </c>
      <c r="H412" s="23" t="str">
        <f t="shared" si="105"/>
        <v/>
      </c>
      <c r="I412" s="22" t="str">
        <f t="shared" si="100"/>
        <v/>
      </c>
      <c r="J412" s="1"/>
      <c r="K412" s="51"/>
      <c r="M412" s="81">
        <f t="shared" ca="1" si="91"/>
        <v>2416.8480024634532</v>
      </c>
      <c r="N412" s="19">
        <f t="shared" si="101"/>
        <v>62.502599969506825</v>
      </c>
      <c r="O412" s="17">
        <f t="shared" si="102"/>
        <v>102.75</v>
      </c>
      <c r="P412" s="19">
        <f ca="1">IF(ISERROR(IF(O412&lt;fi_h/20,0,(OFFSET('Base de dados'!$A$5,IF(O412&lt;20,1,IF(O412&gt;1000,10,MATCH(O412,Cargas,1))),Coluna_fih,1,1))*(1+0.13*0.25)*(PI()*(fi_h/1000)^2/4)*SQRT(2*9.81*(O412/100-fi_h/2/1000))*1000)),"",IF(O412&lt;fi_h/20,0,(OFFSET('Base de dados'!$A$5,IF(O412&lt;20,1,IF(O412&gt;1000,10,MATCH(O412,Cargas,1))),Coluna_fih,1,1))*(PI()*(fi_h/1000)^2/4)*SQRT(2*9.81*(O412/100-fi_h/2/1000))*1000))</f>
        <v>26.521198039401078</v>
      </c>
      <c r="Q412" s="19">
        <f ca="1">IF(O412="","",IF(Tipo_Vertedor="Retangular",IF(O412&lt;=cota_s*100,0,IF(Tipo_Vertedor="Retangular",Cd_sr*Lef_sr*((O412/100-cota_s)^(3/2))*1000)),IF(O412&lt;=cota_s*100+fi_s/20,0,(OFFSET('Base de dados'!$A$4,IF(O412&lt;20,1,IF(O412&gt;1000,10,MATCH(O412,Cargas,1))),Coluna_fis,1,1))*(PI()*(fi_s/1000)^2/4)*(2*9.81*(O412/100-cota_s-fi_s/2/1000))^0.5*1000)))</f>
        <v>306.90680544049133</v>
      </c>
      <c r="R412" s="19">
        <f t="shared" ca="1" si="92"/>
        <v>333.42800347989242</v>
      </c>
      <c r="S412" s="19">
        <f t="shared" ca="1" si="93"/>
        <v>2083.4199989835606</v>
      </c>
      <c r="AD412" s="19" t="str">
        <f t="shared" si="103"/>
        <v/>
      </c>
      <c r="AE412" s="19" t="str">
        <f t="shared" si="104"/>
        <v/>
      </c>
      <c r="AF412" s="19" t="str">
        <f>IF(ISERROR(IF('Hidrograma afluente'!I419="",0,'Hidrograma afluente'!I419)+Simulação!G412),"",IF('Hidrograma afluente'!I419="",0,'Hidrograma afluente'!I419)+Simulação!G412)</f>
        <v/>
      </c>
      <c r="AG412" s="17" t="s">
        <v>160</v>
      </c>
      <c r="AH412" s="17" t="s">
        <v>160</v>
      </c>
      <c r="AI412" s="27" t="s">
        <v>160</v>
      </c>
      <c r="AJ412" s="17" t="s">
        <v>160</v>
      </c>
      <c r="AK412" s="19" t="str">
        <f>IF(A412="","",IF('Hidrograma afluente'!I419="",0,'Hidrograma afluente'!I419)+Simulação!B412)</f>
        <v/>
      </c>
    </row>
    <row r="413" spans="1:37" s="17" customFormat="1">
      <c r="A413" s="4" t="str">
        <f t="shared" si="94"/>
        <v/>
      </c>
      <c r="B413" s="5" t="str">
        <f>IF(A413="","",IF(A413&gt;tc_lot_i+tc,0,IF('Hidrograma afluente'!B420="","",'Hidrograma afluente'!B420)))</f>
        <v/>
      </c>
      <c r="C413" s="21" t="str">
        <f t="shared" si="95"/>
        <v/>
      </c>
      <c r="D413" s="21" t="str">
        <f t="shared" si="96"/>
        <v/>
      </c>
      <c r="E413" s="21" t="str">
        <f t="shared" si="97"/>
        <v/>
      </c>
      <c r="F413" s="21" t="str">
        <f t="shared" si="98"/>
        <v/>
      </c>
      <c r="G413" s="21" t="str">
        <f t="shared" si="99"/>
        <v/>
      </c>
      <c r="H413" s="23" t="str">
        <f t="shared" si="105"/>
        <v/>
      </c>
      <c r="I413" s="22" t="str">
        <f t="shared" si="100"/>
        <v/>
      </c>
      <c r="J413" s="1"/>
      <c r="K413" s="51"/>
      <c r="M413" s="81">
        <f t="shared" ca="1" si="91"/>
        <v>2425.27971368508</v>
      </c>
      <c r="N413" s="19">
        <f t="shared" si="101"/>
        <v>62.673644910420663</v>
      </c>
      <c r="O413" s="17">
        <f t="shared" si="102"/>
        <v>103</v>
      </c>
      <c r="P413" s="19">
        <f ca="1">IF(ISERROR(IF(O413&lt;fi_h/20,0,(OFFSET('Base de dados'!$A$5,IF(O413&lt;20,1,IF(O413&gt;1000,10,MATCH(O413,Cargas,1))),Coluna_fih,1,1))*(1+0.13*0.25)*(PI()*(fi_h/1000)^2/4)*SQRT(2*9.81*(O413/100-fi_h/2/1000))*1000)),"",IF(O413&lt;fi_h/20,0,(OFFSET('Base de dados'!$A$5,IF(O413&lt;20,1,IF(O413&gt;1000,10,MATCH(O413,Cargas,1))),Coluna_fih,1,1))*(PI()*(fi_h/1000)^2/4)*SQRT(2*9.81*(O413/100-fi_h/2/1000))*1000))</f>
        <v>26.555314184663199</v>
      </c>
      <c r="Q413" s="19">
        <f ca="1">IF(O413="","",IF(Tipo_Vertedor="Retangular",IF(O413&lt;=cota_s*100,0,IF(Tipo_Vertedor="Retangular",Cd_sr*Lef_sr*((O413/100-cota_s)^(3/2))*1000)),IF(O413&lt;=cota_s*100+fi_s/20,0,(OFFSET('Base de dados'!$A$4,IF(O413&lt;20,1,IF(O413&gt;1000,10,MATCH(O413,Cargas,1))),Coluna_fis,1,1))*(PI()*(fi_s/1000)^2/4)*(2*9.81*(O413/100-cota_s-fi_s/2/1000))^0.5*1000)))</f>
        <v>309.60290248639473</v>
      </c>
      <c r="R413" s="19">
        <f t="shared" ca="1" si="92"/>
        <v>336.15821667105791</v>
      </c>
      <c r="S413" s="19">
        <f t="shared" ca="1" si="93"/>
        <v>2089.1214970140222</v>
      </c>
      <c r="AD413" s="19" t="str">
        <f t="shared" si="103"/>
        <v/>
      </c>
      <c r="AE413" s="19" t="str">
        <f t="shared" si="104"/>
        <v/>
      </c>
      <c r="AF413" s="19" t="str">
        <f>IF(ISERROR(IF('Hidrograma afluente'!I420="",0,'Hidrograma afluente'!I420)+Simulação!G413),"",IF('Hidrograma afluente'!I420="",0,'Hidrograma afluente'!I420)+Simulação!G413)</f>
        <v/>
      </c>
      <c r="AG413" s="17" t="s">
        <v>160</v>
      </c>
      <c r="AH413" s="17" t="s">
        <v>160</v>
      </c>
      <c r="AI413" s="27" t="s">
        <v>160</v>
      </c>
      <c r="AJ413" s="17" t="s">
        <v>160</v>
      </c>
      <c r="AK413" s="19" t="str">
        <f>IF(A413="","",IF('Hidrograma afluente'!I420="",0,'Hidrograma afluente'!I420)+Simulação!B413)</f>
        <v/>
      </c>
    </row>
    <row r="414" spans="1:37" s="17" customFormat="1">
      <c r="A414" s="4" t="str">
        <f t="shared" si="94"/>
        <v/>
      </c>
      <c r="B414" s="5" t="str">
        <f>IF(A414="","",IF(A414&gt;tc_lot_i+tc,0,IF('Hidrograma afluente'!B421="","",'Hidrograma afluente'!B421)))</f>
        <v/>
      </c>
      <c r="C414" s="21" t="str">
        <f t="shared" si="95"/>
        <v/>
      </c>
      <c r="D414" s="21" t="str">
        <f t="shared" si="96"/>
        <v/>
      </c>
      <c r="E414" s="21" t="str">
        <f t="shared" si="97"/>
        <v/>
      </c>
      <c r="F414" s="21" t="str">
        <f t="shared" si="98"/>
        <v/>
      </c>
      <c r="G414" s="21" t="str">
        <f t="shared" si="99"/>
        <v/>
      </c>
      <c r="H414" s="23" t="str">
        <f t="shared" si="105"/>
        <v/>
      </c>
      <c r="I414" s="22" t="str">
        <f t="shared" si="100"/>
        <v/>
      </c>
      <c r="J414" s="1"/>
      <c r="K414" s="51"/>
      <c r="M414" s="81">
        <f t="shared" ca="1" si="91"/>
        <v>2433.7209542570235</v>
      </c>
      <c r="N414" s="19">
        <f t="shared" si="101"/>
        <v>62.844741577227673</v>
      </c>
      <c r="O414" s="17">
        <f t="shared" si="102"/>
        <v>103.25</v>
      </c>
      <c r="P414" s="19">
        <f ca="1">IF(ISERROR(IF(O414&lt;fi_h/20,0,(OFFSET('Base de dados'!$A$5,IF(O414&lt;20,1,IF(O414&gt;1000,10,MATCH(O414,Cargas,1))),Coluna_fih,1,1))*(1+0.13*0.25)*(PI()*(fi_h/1000)^2/4)*SQRT(2*9.81*(O414/100-fi_h/2/1000))*1000)),"",IF(O414&lt;fi_h/20,0,(OFFSET('Base de dados'!$A$5,IF(O414&lt;20,1,IF(O414&gt;1000,10,MATCH(O414,Cargas,1))),Coluna_fih,1,1))*(PI()*(fi_h/1000)^2/4)*SQRT(2*9.81*(O414/100-fi_h/2/1000))*1000))</f>
        <v>26.589386556429186</v>
      </c>
      <c r="Q414" s="19">
        <f ca="1">IF(O414="","",IF(Tipo_Vertedor="Retangular",IF(O414&lt;=cota_s*100,0,IF(Tipo_Vertedor="Retangular",Cd_sr*Lef_sr*((O414/100-cota_s)^(3/2))*1000)),IF(O414&lt;=cota_s*100+fi_s/20,0,(OFFSET('Base de dados'!$A$4,IF(O414&lt;20,1,IF(O414&gt;1000,10,MATCH(O414,Cargas,1))),Coluna_fis,1,1))*(PI()*(fi_s/1000)^2/4)*(2*9.81*(O414/100-cota_s-fi_s/2/1000))^0.5*1000)))</f>
        <v>312.30684845967198</v>
      </c>
      <c r="R414" s="19">
        <f t="shared" ca="1" si="92"/>
        <v>338.89623501610117</v>
      </c>
      <c r="S414" s="19">
        <f t="shared" ca="1" si="93"/>
        <v>2094.8247192409226</v>
      </c>
      <c r="AD414" s="19" t="str">
        <f t="shared" si="103"/>
        <v/>
      </c>
      <c r="AE414" s="19" t="str">
        <f t="shared" si="104"/>
        <v/>
      </c>
      <c r="AF414" s="19" t="str">
        <f>IF(ISERROR(IF('Hidrograma afluente'!I421="",0,'Hidrograma afluente'!I421)+Simulação!G414),"",IF('Hidrograma afluente'!I421="",0,'Hidrograma afluente'!I421)+Simulação!G414)</f>
        <v/>
      </c>
      <c r="AG414" s="17" t="s">
        <v>160</v>
      </c>
      <c r="AH414" s="17" t="s">
        <v>160</v>
      </c>
      <c r="AI414" s="27" t="s">
        <v>160</v>
      </c>
      <c r="AJ414" s="17" t="s">
        <v>160</v>
      </c>
      <c r="AK414" s="19" t="str">
        <f>IF(A414="","",IF('Hidrograma afluente'!I421="",0,'Hidrograma afluente'!I421)+Simulação!B414)</f>
        <v/>
      </c>
    </row>
    <row r="415" spans="1:37" s="17" customFormat="1">
      <c r="A415" s="4" t="str">
        <f t="shared" si="94"/>
        <v/>
      </c>
      <c r="B415" s="5" t="str">
        <f>IF(A415="","",IF(A415&gt;tc_lot_i+tc,0,IF('Hidrograma afluente'!B422="","",'Hidrograma afluente'!B422)))</f>
        <v/>
      </c>
      <c r="C415" s="21" t="str">
        <f t="shared" si="95"/>
        <v/>
      </c>
      <c r="D415" s="21" t="str">
        <f t="shared" si="96"/>
        <v/>
      </c>
      <c r="E415" s="21" t="str">
        <f t="shared" si="97"/>
        <v/>
      </c>
      <c r="F415" s="21" t="str">
        <f t="shared" si="98"/>
        <v/>
      </c>
      <c r="G415" s="21" t="str">
        <f t="shared" si="99"/>
        <v/>
      </c>
      <c r="H415" s="23" t="str">
        <f t="shared" si="105"/>
        <v/>
      </c>
      <c r="I415" s="22" t="str">
        <f t="shared" si="100"/>
        <v/>
      </c>
      <c r="J415" s="1"/>
      <c r="K415" s="51"/>
      <c r="M415" s="81">
        <f t="shared" ca="1" si="91"/>
        <v>2442.1716979742241</v>
      </c>
      <c r="N415" s="19">
        <f t="shared" si="101"/>
        <v>63.015889860269041</v>
      </c>
      <c r="O415" s="17">
        <f t="shared" si="102"/>
        <v>103.5</v>
      </c>
      <c r="P415" s="19">
        <f ca="1">IF(ISERROR(IF(O415&lt;fi_h/20,0,(OFFSET('Base de dados'!$A$5,IF(O415&lt;20,1,IF(O415&gt;1000,10,MATCH(O415,Cargas,1))),Coluna_fih,1,1))*(1+0.13*0.25)*(PI()*(fi_h/1000)^2/4)*SQRT(2*9.81*(O415/100-fi_h/2/1000))*1000)),"",IF(O415&lt;fi_h/20,0,(OFFSET('Base de dados'!$A$5,IF(O415&lt;20,1,IF(O415&gt;1000,10,MATCH(O415,Cargas,1))),Coluna_fih,1,1))*(PI()*(fi_h/1000)^2/4)*SQRT(2*9.81*(O415/100-fi_h/2/1000))*1000))</f>
        <v>26.623415322761662</v>
      </c>
      <c r="Q415" s="19">
        <f ca="1">IF(O415="","",IF(Tipo_Vertedor="Retangular",IF(O415&lt;=cota_s*100,0,IF(Tipo_Vertedor="Retangular",Cd_sr*Lef_sr*((O415/100-cota_s)^(3/2))*1000)),IF(O415&lt;=cota_s*100+fi_s/20,0,(OFFSET('Base de dados'!$A$4,IF(O415&lt;20,1,IF(O415&gt;1000,10,MATCH(O415,Cargas,1))),Coluna_fis,1,1))*(PI()*(fi_s/1000)^2/4)*(2*9.81*(O415/100-cota_s-fi_s/2/1000))^0.5*1000)))</f>
        <v>315.01862064249468</v>
      </c>
      <c r="R415" s="19">
        <f t="shared" ca="1" si="92"/>
        <v>341.64203596525635</v>
      </c>
      <c r="S415" s="19">
        <f t="shared" ca="1" si="93"/>
        <v>2100.529662008968</v>
      </c>
      <c r="AD415" s="19" t="str">
        <f t="shared" si="103"/>
        <v/>
      </c>
      <c r="AE415" s="19" t="str">
        <f t="shared" si="104"/>
        <v/>
      </c>
      <c r="AF415" s="19" t="str">
        <f>IF(ISERROR(IF('Hidrograma afluente'!I422="",0,'Hidrograma afluente'!I422)+Simulação!G415),"",IF('Hidrograma afluente'!I422="",0,'Hidrograma afluente'!I422)+Simulação!G415)</f>
        <v/>
      </c>
      <c r="AG415" s="17" t="s">
        <v>160</v>
      </c>
      <c r="AH415" s="17" t="s">
        <v>160</v>
      </c>
      <c r="AI415" s="27" t="s">
        <v>160</v>
      </c>
      <c r="AJ415" s="17" t="s">
        <v>160</v>
      </c>
      <c r="AK415" s="19" t="str">
        <f>IF(A415="","",IF('Hidrograma afluente'!I422="",0,'Hidrograma afluente'!I422)+Simulação!B415)</f>
        <v/>
      </c>
    </row>
    <row r="416" spans="1:37" s="17" customFormat="1">
      <c r="A416" s="4" t="str">
        <f t="shared" si="94"/>
        <v/>
      </c>
      <c r="B416" s="5" t="str">
        <f>IF(A416="","",IF(A416&gt;tc_lot_i+tc,0,IF('Hidrograma afluente'!B423="","",'Hidrograma afluente'!B423)))</f>
        <v/>
      </c>
      <c r="C416" s="21" t="str">
        <f t="shared" si="95"/>
        <v/>
      </c>
      <c r="D416" s="21" t="str">
        <f t="shared" si="96"/>
        <v/>
      </c>
      <c r="E416" s="21" t="str">
        <f t="shared" si="97"/>
        <v/>
      </c>
      <c r="F416" s="21" t="str">
        <f t="shared" si="98"/>
        <v/>
      </c>
      <c r="G416" s="21" t="str">
        <f t="shared" si="99"/>
        <v/>
      </c>
      <c r="H416" s="23" t="str">
        <f t="shared" si="105"/>
        <v/>
      </c>
      <c r="I416" s="22" t="str">
        <f t="shared" si="100"/>
        <v/>
      </c>
      <c r="J416" s="1"/>
      <c r="K416" s="51"/>
      <c r="M416" s="81">
        <f t="shared" ca="1" si="91"/>
        <v>2450.6319188432412</v>
      </c>
      <c r="N416" s="19">
        <f t="shared" si="101"/>
        <v>63.187089650382816</v>
      </c>
      <c r="O416" s="17">
        <f t="shared" si="102"/>
        <v>103.75</v>
      </c>
      <c r="P416" s="19">
        <f ca="1">IF(ISERROR(IF(O416&lt;fi_h/20,0,(OFFSET('Base de dados'!$A$5,IF(O416&lt;20,1,IF(O416&gt;1000,10,MATCH(O416,Cargas,1))),Coluna_fih,1,1))*(1+0.13*0.25)*(PI()*(fi_h/1000)^2/4)*SQRT(2*9.81*(O416/100-fi_h/2/1000))*1000)),"",IF(O416&lt;fi_h/20,0,(OFFSET('Base de dados'!$A$5,IF(O416&lt;20,1,IF(O416&gt;1000,10,MATCH(O416,Cargas,1))),Coluna_fih,1,1))*(PI()*(fi_h/1000)^2/4)*SQRT(2*9.81*(O416/100-fi_h/2/1000))*1000))</f>
        <v>26.657400650650533</v>
      </c>
      <c r="Q416" s="19">
        <f ca="1">IF(O416="","",IF(Tipo_Vertedor="Retangular",IF(O416&lt;=cota_s*100,0,IF(Tipo_Vertedor="Retangular",Cd_sr*Lef_sr*((O416/100-cota_s)^(3/2))*1000)),IF(O416&lt;=cota_s*100+fi_s/20,0,(OFFSET('Base de dados'!$A$4,IF(O416&lt;20,1,IF(O416&gt;1000,10,MATCH(O416,Cargas,1))),Coluna_fis,1,1))*(PI()*(fi_s/1000)^2/4)*(2*9.81*(O416/100-cota_s-fi_s/2/1000))^0.5*1000)))</f>
        <v>317.7381965131633</v>
      </c>
      <c r="R416" s="19">
        <f t="shared" ca="1" si="92"/>
        <v>344.39559716381382</v>
      </c>
      <c r="S416" s="19">
        <f t="shared" ca="1" si="93"/>
        <v>2106.2363216794274</v>
      </c>
      <c r="AD416" s="19" t="str">
        <f t="shared" si="103"/>
        <v/>
      </c>
      <c r="AE416" s="19" t="str">
        <f t="shared" si="104"/>
        <v/>
      </c>
      <c r="AF416" s="19" t="str">
        <f>IF(ISERROR(IF('Hidrograma afluente'!I423="",0,'Hidrograma afluente'!I423)+Simulação!G416),"",IF('Hidrograma afluente'!I423="",0,'Hidrograma afluente'!I423)+Simulação!G416)</f>
        <v/>
      </c>
      <c r="AG416" s="17" t="s">
        <v>160</v>
      </c>
      <c r="AH416" s="17" t="s">
        <v>160</v>
      </c>
      <c r="AI416" s="27" t="s">
        <v>160</v>
      </c>
      <c r="AJ416" s="17" t="s">
        <v>160</v>
      </c>
      <c r="AK416" s="19" t="str">
        <f>IF(A416="","",IF('Hidrograma afluente'!I423="",0,'Hidrograma afluente'!I423)+Simulação!B416)</f>
        <v/>
      </c>
    </row>
    <row r="417" spans="1:37" s="17" customFormat="1">
      <c r="A417" s="4" t="str">
        <f t="shared" si="94"/>
        <v/>
      </c>
      <c r="B417" s="5" t="str">
        <f>IF(A417="","",IF(A417&gt;tc_lot_i+tc,0,IF('Hidrograma afluente'!B424="","",'Hidrograma afluente'!B424)))</f>
        <v/>
      </c>
      <c r="C417" s="21" t="str">
        <f t="shared" si="95"/>
        <v/>
      </c>
      <c r="D417" s="21" t="str">
        <f t="shared" si="96"/>
        <v/>
      </c>
      <c r="E417" s="21" t="str">
        <f t="shared" si="97"/>
        <v/>
      </c>
      <c r="F417" s="21" t="str">
        <f t="shared" si="98"/>
        <v/>
      </c>
      <c r="G417" s="21" t="str">
        <f t="shared" si="99"/>
        <v/>
      </c>
      <c r="H417" s="23" t="str">
        <f t="shared" si="105"/>
        <v/>
      </c>
      <c r="I417" s="22" t="str">
        <f t="shared" si="100"/>
        <v/>
      </c>
      <c r="J417" s="1"/>
      <c r="K417" s="51"/>
      <c r="M417" s="81">
        <f t="shared" ca="1" si="91"/>
        <v>2459.1015910793349</v>
      </c>
      <c r="N417" s="19">
        <f t="shared" si="101"/>
        <v>63.358340838900354</v>
      </c>
      <c r="O417" s="17">
        <f t="shared" si="102"/>
        <v>104</v>
      </c>
      <c r="P417" s="19">
        <f ca="1">IF(ISERROR(IF(O417&lt;fi_h/20,0,(OFFSET('Base de dados'!$A$5,IF(O417&lt;20,1,IF(O417&gt;1000,10,MATCH(O417,Cargas,1))),Coluna_fih,1,1))*(1+0.13*0.25)*(PI()*(fi_h/1000)^2/4)*SQRT(2*9.81*(O417/100-fi_h/2/1000))*1000)),"",IF(O417&lt;fi_h/20,0,(OFFSET('Base de dados'!$A$5,IF(O417&lt;20,1,IF(O417&gt;1000,10,MATCH(O417,Cargas,1))),Coluna_fih,1,1))*(PI()*(fi_h/1000)^2/4)*SQRT(2*9.81*(O417/100-fi_h/2/1000))*1000))</f>
        <v>26.69134270602261</v>
      </c>
      <c r="Q417" s="19">
        <f ca="1">IF(O417="","",IF(Tipo_Vertedor="Retangular",IF(O417&lt;=cota_s*100,0,IF(Tipo_Vertedor="Retangular",Cd_sr*Lef_sr*((O417/100-cota_s)^(3/2))*1000)),IF(O417&lt;=cota_s*100+fi_s/20,0,(OFFSET('Base de dados'!$A$4,IF(O417&lt;20,1,IF(O417&gt;1000,10,MATCH(O417,Cargas,1))),Coluna_fis,1,1))*(PI()*(fi_s/1000)^2/4)*(2*9.81*(O417/100-cota_s-fi_s/2/1000))^0.5*1000)))</f>
        <v>320.46555374330029</v>
      </c>
      <c r="R417" s="19">
        <f t="shared" ca="1" si="92"/>
        <v>347.15689644932291</v>
      </c>
      <c r="S417" s="19">
        <f t="shared" ca="1" si="93"/>
        <v>2111.9446946300118</v>
      </c>
      <c r="AD417" s="19" t="str">
        <f t="shared" si="103"/>
        <v/>
      </c>
      <c r="AE417" s="19" t="str">
        <f t="shared" si="104"/>
        <v/>
      </c>
      <c r="AF417" s="19" t="str">
        <f>IF(ISERROR(IF('Hidrograma afluente'!I424="",0,'Hidrograma afluente'!I424)+Simulação!G417),"",IF('Hidrograma afluente'!I424="",0,'Hidrograma afluente'!I424)+Simulação!G417)</f>
        <v/>
      </c>
      <c r="AG417" s="17" t="s">
        <v>160</v>
      </c>
      <c r="AH417" s="17" t="s">
        <v>160</v>
      </c>
      <c r="AI417" s="27" t="s">
        <v>160</v>
      </c>
      <c r="AJ417" s="17" t="s">
        <v>160</v>
      </c>
      <c r="AK417" s="19" t="str">
        <f>IF(A417="","",IF('Hidrograma afluente'!I424="",0,'Hidrograma afluente'!I424)+Simulação!B417)</f>
        <v/>
      </c>
    </row>
    <row r="418" spans="1:37" s="17" customFormat="1">
      <c r="A418" s="4" t="str">
        <f t="shared" si="94"/>
        <v/>
      </c>
      <c r="B418" s="5" t="str">
        <f>IF(A418="","",IF(A418&gt;tc_lot_i+tc,0,IF('Hidrograma afluente'!B425="","",'Hidrograma afluente'!B425)))</f>
        <v/>
      </c>
      <c r="C418" s="21" t="str">
        <f t="shared" si="95"/>
        <v/>
      </c>
      <c r="D418" s="21" t="str">
        <f t="shared" si="96"/>
        <v/>
      </c>
      <c r="E418" s="21" t="str">
        <f t="shared" si="97"/>
        <v/>
      </c>
      <c r="F418" s="21" t="str">
        <f t="shared" si="98"/>
        <v/>
      </c>
      <c r="G418" s="21" t="str">
        <f t="shared" si="99"/>
        <v/>
      </c>
      <c r="H418" s="23" t="str">
        <f t="shared" si="105"/>
        <v/>
      </c>
      <c r="I418" s="22" t="str">
        <f t="shared" si="100"/>
        <v/>
      </c>
      <c r="J418" s="1"/>
      <c r="K418" s="51"/>
      <c r="M418" s="81">
        <f t="shared" ca="1" si="91"/>
        <v>2467.5806891036218</v>
      </c>
      <c r="N418" s="19">
        <f t="shared" si="101"/>
        <v>63.529643317643092</v>
      </c>
      <c r="O418" s="17">
        <f t="shared" si="102"/>
        <v>104.25</v>
      </c>
      <c r="P418" s="19">
        <f ca="1">IF(ISERROR(IF(O418&lt;fi_h/20,0,(OFFSET('Base de dados'!$A$5,IF(O418&lt;20,1,IF(O418&gt;1000,10,MATCH(O418,Cargas,1))),Coluna_fih,1,1))*(1+0.13*0.25)*(PI()*(fi_h/1000)^2/4)*SQRT(2*9.81*(O418/100-fi_h/2/1000))*1000)),"",IF(O418&lt;fi_h/20,0,(OFFSET('Base de dados'!$A$5,IF(O418&lt;20,1,IF(O418&gt;1000,10,MATCH(O418,Cargas,1))),Coluna_fih,1,1))*(PI()*(fi_h/1000)^2/4)*SQRT(2*9.81*(O418/100-fi_h/2/1000))*1000))</f>
        <v>26.725241653751034</v>
      </c>
      <c r="Q418" s="19">
        <f ca="1">IF(O418="","",IF(Tipo_Vertedor="Retangular",IF(O418&lt;=cota_s*100,0,IF(Tipo_Vertedor="Retangular",Cd_sr*Lef_sr*((O418/100-cota_s)^(3/2))*1000)),IF(O418&lt;=cota_s*100+fi_s/20,0,(OFFSET('Base de dados'!$A$4,IF(O418&lt;20,1,IF(O418&gt;1000,10,MATCH(O418,Cargas,1))),Coluna_fis,1,1))*(PI()*(fi_s/1000)^2/4)*(2*9.81*(O418/100-cota_s-fi_s/2/1000))^0.5*1000)))</f>
        <v>323.20067019510105</v>
      </c>
      <c r="R418" s="19">
        <f t="shared" ca="1" si="92"/>
        <v>349.92591184885208</v>
      </c>
      <c r="S418" s="19">
        <f t="shared" ca="1" si="93"/>
        <v>2117.6547772547697</v>
      </c>
      <c r="AD418" s="19" t="str">
        <f t="shared" si="103"/>
        <v/>
      </c>
      <c r="AE418" s="19" t="str">
        <f t="shared" si="104"/>
        <v/>
      </c>
      <c r="AF418" s="19" t="str">
        <f>IF(ISERROR(IF('Hidrograma afluente'!I425="",0,'Hidrograma afluente'!I425)+Simulação!G418),"",IF('Hidrograma afluente'!I425="",0,'Hidrograma afluente'!I425)+Simulação!G418)</f>
        <v/>
      </c>
      <c r="AG418" s="17" t="s">
        <v>160</v>
      </c>
      <c r="AH418" s="17" t="s">
        <v>160</v>
      </c>
      <c r="AI418" s="27" t="s">
        <v>160</v>
      </c>
      <c r="AJ418" s="17" t="s">
        <v>160</v>
      </c>
      <c r="AK418" s="19" t="str">
        <f>IF(A418="","",IF('Hidrograma afluente'!I425="",0,'Hidrograma afluente'!I425)+Simulação!B418)</f>
        <v/>
      </c>
    </row>
    <row r="419" spans="1:37" s="17" customFormat="1">
      <c r="A419" s="4" t="str">
        <f t="shared" si="94"/>
        <v/>
      </c>
      <c r="B419" s="5" t="str">
        <f>IF(A419="","",IF(A419&gt;tc_lot_i+tc,0,IF('Hidrograma afluente'!B426="","",'Hidrograma afluente'!B426)))</f>
        <v/>
      </c>
      <c r="C419" s="21" t="str">
        <f t="shared" si="95"/>
        <v/>
      </c>
      <c r="D419" s="21" t="str">
        <f t="shared" si="96"/>
        <v/>
      </c>
      <c r="E419" s="21" t="str">
        <f t="shared" si="97"/>
        <v/>
      </c>
      <c r="F419" s="21" t="str">
        <f t="shared" si="98"/>
        <v/>
      </c>
      <c r="G419" s="21" t="str">
        <f t="shared" si="99"/>
        <v/>
      </c>
      <c r="H419" s="23" t="str">
        <f t="shared" si="105"/>
        <v/>
      </c>
      <c r="I419" s="22" t="str">
        <f t="shared" si="100"/>
        <v/>
      </c>
      <c r="J419" s="1"/>
      <c r="K419" s="51"/>
      <c r="M419" s="81">
        <f t="shared" ca="1" si="91"/>
        <v>2476.0691875402699</v>
      </c>
      <c r="N419" s="19">
        <f t="shared" si="101"/>
        <v>63.700996978919008</v>
      </c>
      <c r="O419" s="17">
        <f t="shared" si="102"/>
        <v>104.5</v>
      </c>
      <c r="P419" s="19">
        <f ca="1">IF(ISERROR(IF(O419&lt;fi_h/20,0,(OFFSET('Base de dados'!$A$5,IF(O419&lt;20,1,IF(O419&gt;1000,10,MATCH(O419,Cargas,1))),Coluna_fih,1,1))*(1+0.13*0.25)*(PI()*(fi_h/1000)^2/4)*SQRT(2*9.81*(O419/100-fi_h/2/1000))*1000)),"",IF(O419&lt;fi_h/20,0,(OFFSET('Base de dados'!$A$5,IF(O419&lt;20,1,IF(O419&gt;1000,10,MATCH(O419,Cargas,1))),Coluna_fih,1,1))*(PI()*(fi_h/1000)^2/4)*SQRT(2*9.81*(O419/100-fi_h/2/1000))*1000))</f>
        <v>26.759097657664622</v>
      </c>
      <c r="Q419" s="19">
        <f ca="1">IF(O419="","",IF(Tipo_Vertedor="Retangular",IF(O419&lt;=cota_s*100,0,IF(Tipo_Vertedor="Retangular",Cd_sr*Lef_sr*((O419/100-cota_s)^(3/2))*1000)),IF(O419&lt;=cota_s*100+fi_s/20,0,(OFFSET('Base de dados'!$A$4,IF(O419&lt;20,1,IF(O419&gt;1000,10,MATCH(O419,Cargas,1))),Coluna_fis,1,1))*(PI()*(fi_s/1000)^2/4)*(2*9.81*(O419/100-cota_s-fi_s/2/1000))^0.5*1000)))</f>
        <v>325.94352391863839</v>
      </c>
      <c r="R419" s="19">
        <f t="shared" ca="1" si="92"/>
        <v>352.70262157630299</v>
      </c>
      <c r="S419" s="19">
        <f t="shared" ca="1" si="93"/>
        <v>2123.3665659639669</v>
      </c>
      <c r="AD419" s="19" t="str">
        <f t="shared" si="103"/>
        <v/>
      </c>
      <c r="AE419" s="19" t="str">
        <f t="shared" si="104"/>
        <v/>
      </c>
      <c r="AF419" s="19" t="str">
        <f>IF(ISERROR(IF('Hidrograma afluente'!I426="",0,'Hidrograma afluente'!I426)+Simulação!G419),"",IF('Hidrograma afluente'!I426="",0,'Hidrograma afluente'!I426)+Simulação!G419)</f>
        <v/>
      </c>
      <c r="AG419" s="17" t="s">
        <v>160</v>
      </c>
      <c r="AH419" s="17" t="s">
        <v>160</v>
      </c>
      <c r="AI419" s="27" t="s">
        <v>160</v>
      </c>
      <c r="AJ419" s="17" t="s">
        <v>160</v>
      </c>
      <c r="AK419" s="19" t="str">
        <f>IF(A419="","",IF('Hidrograma afluente'!I426="",0,'Hidrograma afluente'!I426)+Simulação!B419)</f>
        <v/>
      </c>
    </row>
    <row r="420" spans="1:37" s="17" customFormat="1">
      <c r="A420" s="4" t="str">
        <f t="shared" si="94"/>
        <v/>
      </c>
      <c r="B420" s="5" t="str">
        <f>IF(A420="","",IF(A420&gt;tc_lot_i+tc,0,IF('Hidrograma afluente'!B427="","",'Hidrograma afluente'!B427)))</f>
        <v/>
      </c>
      <c r="C420" s="21" t="str">
        <f t="shared" si="95"/>
        <v/>
      </c>
      <c r="D420" s="21" t="str">
        <f t="shared" si="96"/>
        <v/>
      </c>
      <c r="E420" s="21" t="str">
        <f t="shared" si="97"/>
        <v/>
      </c>
      <c r="F420" s="21" t="str">
        <f t="shared" si="98"/>
        <v/>
      </c>
      <c r="G420" s="21" t="str">
        <f t="shared" si="99"/>
        <v/>
      </c>
      <c r="H420" s="23" t="str">
        <f t="shared" si="105"/>
        <v/>
      </c>
      <c r="I420" s="22" t="str">
        <f t="shared" si="100"/>
        <v/>
      </c>
      <c r="J420" s="1"/>
      <c r="K420" s="51"/>
      <c r="M420" s="81">
        <f t="shared" ca="1" si="91"/>
        <v>2484.5670612137546</v>
      </c>
      <c r="N420" s="19">
        <f t="shared" si="101"/>
        <v>63.872401715519345</v>
      </c>
      <c r="O420" s="17">
        <f t="shared" si="102"/>
        <v>104.75</v>
      </c>
      <c r="P420" s="19">
        <f ca="1">IF(ISERROR(IF(O420&lt;fi_h/20,0,(OFFSET('Base de dados'!$A$5,IF(O420&lt;20,1,IF(O420&gt;1000,10,MATCH(O420,Cargas,1))),Coluna_fih,1,1))*(1+0.13*0.25)*(PI()*(fi_h/1000)^2/4)*SQRT(2*9.81*(O420/100-fi_h/2/1000))*1000)),"",IF(O420&lt;fi_h/20,0,(OFFSET('Base de dados'!$A$5,IF(O420&lt;20,1,IF(O420&gt;1000,10,MATCH(O420,Cargas,1))),Coluna_fih,1,1))*(PI()*(fi_h/1000)^2/4)*SQRT(2*9.81*(O420/100-fi_h/2/1000))*1000))</f>
        <v>26.792910880557105</v>
      </c>
      <c r="Q420" s="19">
        <f ca="1">IF(O420="","",IF(Tipo_Vertedor="Retangular",IF(O420&lt;=cota_s*100,0,IF(Tipo_Vertedor="Retangular",Cd_sr*Lef_sr*((O420/100-cota_s)^(3/2))*1000)),IF(O420&lt;=cota_s*100+fi_s/20,0,(OFFSET('Base de dados'!$A$4,IF(O420&lt;20,1,IF(O420&gt;1000,10,MATCH(O420,Cargas,1))),Coluna_fis,1,1))*(PI()*(fi_s/1000)^2/4)*(2*9.81*(O420/100-cota_s-fi_s/2/1000))^0.5*1000)))</f>
        <v>328.69409314921927</v>
      </c>
      <c r="R420" s="19">
        <f t="shared" ca="1" si="92"/>
        <v>355.48700402977636</v>
      </c>
      <c r="S420" s="19">
        <f t="shared" ca="1" si="93"/>
        <v>2129.0800571839782</v>
      </c>
      <c r="AD420" s="19" t="str">
        <f t="shared" si="103"/>
        <v/>
      </c>
      <c r="AE420" s="19" t="str">
        <f t="shared" si="104"/>
        <v/>
      </c>
      <c r="AF420" s="19" t="str">
        <f>IF(ISERROR(IF('Hidrograma afluente'!I427="",0,'Hidrograma afluente'!I427)+Simulação!G420),"",IF('Hidrograma afluente'!I427="",0,'Hidrograma afluente'!I427)+Simulação!G420)</f>
        <v/>
      </c>
      <c r="AG420" s="17" t="s">
        <v>160</v>
      </c>
      <c r="AH420" s="17" t="s">
        <v>160</v>
      </c>
      <c r="AI420" s="27" t="s">
        <v>160</v>
      </c>
      <c r="AJ420" s="17" t="s">
        <v>160</v>
      </c>
      <c r="AK420" s="19" t="str">
        <f>IF(A420="","",IF('Hidrograma afluente'!I427="",0,'Hidrograma afluente'!I427)+Simulação!B420)</f>
        <v/>
      </c>
    </row>
    <row r="421" spans="1:37" s="17" customFormat="1">
      <c r="A421" s="4" t="str">
        <f t="shared" si="94"/>
        <v/>
      </c>
      <c r="B421" s="5" t="str">
        <f>IF(A421="","",IF(A421&gt;tc_lot_i+tc,0,IF('Hidrograma afluente'!B428="","",'Hidrograma afluente'!B428)))</f>
        <v/>
      </c>
      <c r="C421" s="21" t="str">
        <f t="shared" si="95"/>
        <v/>
      </c>
      <c r="D421" s="21" t="str">
        <f t="shared" si="96"/>
        <v/>
      </c>
      <c r="E421" s="21" t="str">
        <f t="shared" si="97"/>
        <v/>
      </c>
      <c r="F421" s="21" t="str">
        <f t="shared" si="98"/>
        <v/>
      </c>
      <c r="G421" s="21" t="str">
        <f t="shared" si="99"/>
        <v/>
      </c>
      <c r="H421" s="23" t="str">
        <f t="shared" si="105"/>
        <v/>
      </c>
      <c r="I421" s="22" t="str">
        <f t="shared" si="100"/>
        <v/>
      </c>
      <c r="J421" s="1"/>
      <c r="K421" s="51"/>
      <c r="M421" s="81">
        <f t="shared" ca="1" si="91"/>
        <v>2493.0742851461655</v>
      </c>
      <c r="N421" s="19">
        <f t="shared" si="101"/>
        <v>64.043857420715256</v>
      </c>
      <c r="O421" s="17">
        <f t="shared" si="102"/>
        <v>105</v>
      </c>
      <c r="P421" s="19">
        <f ca="1">IF(ISERROR(IF(O421&lt;fi_h/20,0,(OFFSET('Base de dados'!$A$5,IF(O421&lt;20,1,IF(O421&gt;1000,10,MATCH(O421,Cargas,1))),Coluna_fih,1,1))*(1+0.13*0.25)*(PI()*(fi_h/1000)^2/4)*SQRT(2*9.81*(O421/100-fi_h/2/1000))*1000)),"",IF(O421&lt;fi_h/20,0,(OFFSET('Base de dados'!$A$5,IF(O421&lt;20,1,IF(O421&gt;1000,10,MATCH(O421,Cargas,1))),Coluna_fih,1,1))*(PI()*(fi_h/1000)^2/4)*SQRT(2*9.81*(O421/100-fi_h/2/1000))*1000))</f>
        <v>26.826681484196257</v>
      </c>
      <c r="Q421" s="19">
        <f ca="1">IF(O421="","",IF(Tipo_Vertedor="Retangular",IF(O421&lt;=cota_s*100,0,IF(Tipo_Vertedor="Retangular",Cd_sr*Lef_sr*((O421/100-cota_s)^(3/2))*1000)),IF(O421&lt;=cota_s*100+fi_s/20,0,(OFFSET('Base de dados'!$A$4,IF(O421&lt;20,1,IF(O421&gt;1000,10,MATCH(O421,Cargas,1))),Coluna_fis,1,1))*(PI()*(fi_s/1000)^2/4)*(2*9.81*(O421/100-cota_s-fi_s/2/1000))^0.5*1000)))</f>
        <v>331.45235630479385</v>
      </c>
      <c r="R421" s="19">
        <f t="shared" ca="1" si="92"/>
        <v>358.27903778899008</v>
      </c>
      <c r="S421" s="19">
        <f t="shared" ca="1" si="93"/>
        <v>2134.7952473571754</v>
      </c>
      <c r="AD421" s="19" t="str">
        <f t="shared" si="103"/>
        <v/>
      </c>
      <c r="AE421" s="19" t="str">
        <f t="shared" si="104"/>
        <v/>
      </c>
      <c r="AF421" s="19" t="str">
        <f>IF(ISERROR(IF('Hidrograma afluente'!I428="",0,'Hidrograma afluente'!I428)+Simulação!G421),"",IF('Hidrograma afluente'!I428="",0,'Hidrograma afluente'!I428)+Simulação!G421)</f>
        <v/>
      </c>
      <c r="AG421" s="17" t="s">
        <v>160</v>
      </c>
      <c r="AH421" s="17" t="s">
        <v>160</v>
      </c>
      <c r="AI421" s="27" t="s">
        <v>160</v>
      </c>
      <c r="AJ421" s="17" t="s">
        <v>160</v>
      </c>
      <c r="AK421" s="19" t="str">
        <f>IF(A421="","",IF('Hidrograma afluente'!I428="",0,'Hidrograma afluente'!I428)+Simulação!B421)</f>
        <v/>
      </c>
    </row>
    <row r="422" spans="1:37" s="17" customFormat="1">
      <c r="A422" s="4" t="str">
        <f t="shared" si="94"/>
        <v/>
      </c>
      <c r="B422" s="5" t="str">
        <f>IF(A422="","",IF(A422&gt;tc_lot_i+tc,0,IF('Hidrograma afluente'!B429="","",'Hidrograma afluente'!B429)))</f>
        <v/>
      </c>
      <c r="C422" s="21" t="str">
        <f t="shared" si="95"/>
        <v/>
      </c>
      <c r="D422" s="21" t="str">
        <f t="shared" si="96"/>
        <v/>
      </c>
      <c r="E422" s="21" t="str">
        <f t="shared" si="97"/>
        <v/>
      </c>
      <c r="F422" s="21" t="str">
        <f t="shared" si="98"/>
        <v/>
      </c>
      <c r="G422" s="21" t="str">
        <f t="shared" si="99"/>
        <v/>
      </c>
      <c r="H422" s="23" t="str">
        <f t="shared" si="105"/>
        <v/>
      </c>
      <c r="I422" s="22" t="str">
        <f t="shared" si="100"/>
        <v/>
      </c>
      <c r="J422" s="1"/>
      <c r="K422" s="51"/>
      <c r="M422" s="81">
        <f t="shared" ca="1" si="91"/>
        <v>2501.5908345545695</v>
      </c>
      <c r="N422" s="19">
        <f t="shared" si="101"/>
        <v>64.215363988254595</v>
      </c>
      <c r="O422" s="17">
        <f t="shared" si="102"/>
        <v>105.25</v>
      </c>
      <c r="P422" s="19">
        <f ca="1">IF(ISERROR(IF(O422&lt;fi_h/20,0,(OFFSET('Base de dados'!$A$5,IF(O422&lt;20,1,IF(O422&gt;1000,10,MATCH(O422,Cargas,1))),Coluna_fih,1,1))*(1+0.13*0.25)*(PI()*(fi_h/1000)^2/4)*SQRT(2*9.81*(O422/100-fi_h/2/1000))*1000)),"",IF(O422&lt;fi_h/20,0,(OFFSET('Base de dados'!$A$5,IF(O422&lt;20,1,IF(O422&gt;1000,10,MATCH(O422,Cargas,1))),Coluna_fih,1,1))*(PI()*(fi_h/1000)^2/4)*SQRT(2*9.81*(O422/100-fi_h/2/1000))*1000))</f>
        <v>26.860409629332931</v>
      </c>
      <c r="Q422" s="19">
        <f ca="1">IF(O422="","",IF(Tipo_Vertedor="Retangular",IF(O422&lt;=cota_s*100,0,IF(Tipo_Vertedor="Retangular",Cd_sr*Lef_sr*((O422/100-cota_s)^(3/2))*1000)),IF(O422&lt;=cota_s*100+fi_s/20,0,(OFFSET('Base de dados'!$A$4,IF(O422&lt;20,1,IF(O422&gt;1000,10,MATCH(O422,Cargas,1))),Coluna_fis,1,1))*(PI()*(fi_s/1000)^2/4)*(2*9.81*(O422/100-cota_s-fi_s/2/1000))^0.5*1000)))</f>
        <v>334.21829198341698</v>
      </c>
      <c r="R422" s="19">
        <f t="shared" ca="1" si="92"/>
        <v>361.07870161274991</v>
      </c>
      <c r="S422" s="19">
        <f t="shared" ca="1" si="93"/>
        <v>2140.5121329418198</v>
      </c>
      <c r="AD422" s="19" t="str">
        <f t="shared" si="103"/>
        <v/>
      </c>
      <c r="AE422" s="19" t="str">
        <f t="shared" si="104"/>
        <v/>
      </c>
      <c r="AF422" s="19" t="str">
        <f>IF(ISERROR(IF('Hidrograma afluente'!I429="",0,'Hidrograma afluente'!I429)+Simulação!G422),"",IF('Hidrograma afluente'!I429="",0,'Hidrograma afluente'!I429)+Simulação!G422)</f>
        <v/>
      </c>
      <c r="AG422" s="17" t="s">
        <v>160</v>
      </c>
      <c r="AH422" s="17" t="s">
        <v>160</v>
      </c>
      <c r="AI422" s="27" t="s">
        <v>160</v>
      </c>
      <c r="AJ422" s="17" t="s">
        <v>160</v>
      </c>
      <c r="AK422" s="19" t="str">
        <f>IF(A422="","",IF('Hidrograma afluente'!I429="",0,'Hidrograma afluente'!I429)+Simulação!B422)</f>
        <v/>
      </c>
    </row>
    <row r="423" spans="1:37" s="17" customFormat="1">
      <c r="A423" s="4" t="str">
        <f t="shared" si="94"/>
        <v/>
      </c>
      <c r="B423" s="5" t="str">
        <f>IF(A423="","",IF(A423&gt;tc_lot_i+tc,0,IF('Hidrograma afluente'!B430="","",'Hidrograma afluente'!B430)))</f>
        <v/>
      </c>
      <c r="C423" s="21" t="str">
        <f t="shared" si="95"/>
        <v/>
      </c>
      <c r="D423" s="21" t="str">
        <f t="shared" si="96"/>
        <v/>
      </c>
      <c r="E423" s="21" t="str">
        <f t="shared" si="97"/>
        <v/>
      </c>
      <c r="F423" s="21" t="str">
        <f t="shared" si="98"/>
        <v/>
      </c>
      <c r="G423" s="21" t="str">
        <f t="shared" si="99"/>
        <v/>
      </c>
      <c r="H423" s="23" t="str">
        <f t="shared" si="105"/>
        <v/>
      </c>
      <c r="I423" s="22" t="str">
        <f t="shared" si="100"/>
        <v/>
      </c>
      <c r="J423" s="1"/>
      <c r="K423" s="51"/>
      <c r="M423" s="81">
        <f t="shared" ca="1" si="91"/>
        <v>2510.1166848484172</v>
      </c>
      <c r="N423" s="19">
        <f t="shared" si="101"/>
        <v>64.386921312358567</v>
      </c>
      <c r="O423" s="17">
        <f t="shared" si="102"/>
        <v>105.5</v>
      </c>
      <c r="P423" s="19">
        <f ca="1">IF(ISERROR(IF(O423&lt;fi_h/20,0,(OFFSET('Base de dados'!$A$5,IF(O423&lt;20,1,IF(O423&gt;1000,10,MATCH(O423,Cargas,1))),Coluna_fih,1,1))*(1+0.13*0.25)*(PI()*(fi_h/1000)^2/4)*SQRT(2*9.81*(O423/100-fi_h/2/1000))*1000)),"",IF(O423&lt;fi_h/20,0,(OFFSET('Base de dados'!$A$5,IF(O423&lt;20,1,IF(O423&gt;1000,10,MATCH(O423,Cargas,1))),Coluna_fih,1,1))*(PI()*(fi_h/1000)^2/4)*SQRT(2*9.81*(O423/100-fi_h/2/1000))*1000))</f>
        <v>26.894095475709982</v>
      </c>
      <c r="Q423" s="19">
        <f ca="1">IF(O423="","",IF(Tipo_Vertedor="Retangular",IF(O423&lt;=cota_s*100,0,IF(Tipo_Vertedor="Retangular",Cd_sr*Lef_sr*((O423/100-cota_s)^(3/2))*1000)),IF(O423&lt;=cota_s*100+fi_s/20,0,(OFFSET('Base de dados'!$A$4,IF(O423&lt;20,1,IF(O423&gt;1000,10,MATCH(O423,Cargas,1))),Coluna_fis,1,1))*(PI()*(fi_s/1000)^2/4)*(2*9.81*(O423/100-cota_s-fi_s/2/1000))^0.5*1000)))</f>
        <v>336.99187896075478</v>
      </c>
      <c r="R423" s="19">
        <f t="shared" ca="1" si="92"/>
        <v>363.88597443646478</v>
      </c>
      <c r="S423" s="19">
        <f t="shared" ca="1" si="93"/>
        <v>2146.2307104119523</v>
      </c>
      <c r="AD423" s="19" t="str">
        <f t="shared" si="103"/>
        <v/>
      </c>
      <c r="AE423" s="19" t="str">
        <f t="shared" si="104"/>
        <v/>
      </c>
      <c r="AF423" s="19" t="str">
        <f>IF(ISERROR(IF('Hidrograma afluente'!I430="",0,'Hidrograma afluente'!I430)+Simulação!G423),"",IF('Hidrograma afluente'!I430="",0,'Hidrograma afluente'!I430)+Simulação!G423)</f>
        <v/>
      </c>
      <c r="AG423" s="17" t="s">
        <v>160</v>
      </c>
      <c r="AH423" s="17" t="s">
        <v>160</v>
      </c>
      <c r="AI423" s="27" t="s">
        <v>160</v>
      </c>
      <c r="AJ423" s="17" t="s">
        <v>160</v>
      </c>
      <c r="AK423" s="19" t="str">
        <f>IF(A423="","",IF('Hidrograma afluente'!I430="",0,'Hidrograma afluente'!I430)+Simulação!B423)</f>
        <v/>
      </c>
    </row>
    <row r="424" spans="1:37" s="17" customFormat="1">
      <c r="A424" s="4" t="str">
        <f t="shared" ref="A424:A475" si="106">IF(ISERROR(IF(A423+Passo&lt;=tempo_simul,A423+Passo,"")),"",IF(A423+Passo&lt;=tempo_simul,A423+Passo,""))</f>
        <v/>
      </c>
      <c r="B424" s="5" t="str">
        <f>IF(A424="","",IF(A424&gt;tc_lot_i+tc,0,IF('Hidrograma afluente'!B431="","",'Hidrograma afluente'!B431)))</f>
        <v/>
      </c>
      <c r="C424" s="21" t="str">
        <f t="shared" ref="C424:C475" si="107">IF(B425=0,0,IF(B425="","",B425))</f>
        <v/>
      </c>
      <c r="D424" s="21" t="str">
        <f t="shared" si="96"/>
        <v/>
      </c>
      <c r="E424" s="21" t="str">
        <f t="shared" si="97"/>
        <v/>
      </c>
      <c r="F424" s="21" t="str">
        <f t="shared" si="98"/>
        <v/>
      </c>
      <c r="G424" s="21" t="str">
        <f t="shared" si="99"/>
        <v/>
      </c>
      <c r="H424" s="23" t="str">
        <f t="shared" ref="H424:H475" si="108">IF(A424="","",IF(ISERROR(B424+C424+D424-G424),0,B424+C424+D424-G424))</f>
        <v/>
      </c>
      <c r="I424" s="22" t="str">
        <f t="shared" si="100"/>
        <v/>
      </c>
      <c r="J424" s="1"/>
      <c r="K424" s="51"/>
      <c r="M424" s="81">
        <f t="shared" ca="1" si="91"/>
        <v>2518.6518116269999</v>
      </c>
      <c r="N424" s="19">
        <f t="shared" si="101"/>
        <v>64.558529287718557</v>
      </c>
      <c r="O424" s="17">
        <f t="shared" si="102"/>
        <v>105.75</v>
      </c>
      <c r="P424" s="19">
        <f ca="1">IF(ISERROR(IF(O424&lt;fi_h/20,0,(OFFSET('Base de dados'!$A$5,IF(O424&lt;20,1,IF(O424&gt;1000,10,MATCH(O424,Cargas,1))),Coluna_fih,1,1))*(1+0.13*0.25)*(PI()*(fi_h/1000)^2/4)*SQRT(2*9.81*(O424/100-fi_h/2/1000))*1000)),"",IF(O424&lt;fi_h/20,0,(OFFSET('Base de dados'!$A$5,IF(O424&lt;20,1,IF(O424&gt;1000,10,MATCH(O424,Cargas,1))),Coluna_fih,1,1))*(PI()*(fi_h/1000)^2/4)*SQRT(2*9.81*(O424/100-fi_h/2/1000))*1000))</f>
        <v>26.9277391820711</v>
      </c>
      <c r="Q424" s="19">
        <f ca="1">IF(O424="","",IF(Tipo_Vertedor="Retangular",IF(O424&lt;=cota_s*100,0,IF(Tipo_Vertedor="Retangular",Cd_sr*Lef_sr*((O424/100-cota_s)^(3/2))*1000)),IF(O424&lt;=cota_s*100+fi_s/20,0,(OFFSET('Base de dados'!$A$4,IF(O424&lt;20,1,IF(O424&gt;1000,10,MATCH(O424,Cargas,1))),Coluna_fis,1,1))*(PI()*(fi_s/1000)^2/4)*(2*9.81*(O424/100-cota_s-fi_s/2/1000))^0.5*1000)))</f>
        <v>339.77309618764338</v>
      </c>
      <c r="R424" s="19">
        <f t="shared" ca="1" si="92"/>
        <v>366.70083536971447</v>
      </c>
      <c r="S424" s="19">
        <f t="shared" ca="1" si="93"/>
        <v>2151.9509762572852</v>
      </c>
      <c r="AD424" s="19" t="str">
        <f t="shared" si="103"/>
        <v/>
      </c>
      <c r="AE424" s="19" t="str">
        <f t="shared" si="104"/>
        <v/>
      </c>
      <c r="AF424" s="19" t="str">
        <f>IF(ISERROR(IF('Hidrograma afluente'!I431="",0,'Hidrograma afluente'!I431)+Simulação!G424),"",IF('Hidrograma afluente'!I431="",0,'Hidrograma afluente'!I431)+Simulação!G424)</f>
        <v/>
      </c>
      <c r="AG424" s="17" t="s">
        <v>160</v>
      </c>
      <c r="AH424" s="17" t="s">
        <v>160</v>
      </c>
      <c r="AI424" s="27" t="s">
        <v>160</v>
      </c>
      <c r="AJ424" s="17" t="s">
        <v>160</v>
      </c>
      <c r="AK424" s="19" t="str">
        <f>IF(A424="","",IF('Hidrograma afluente'!I431="",0,'Hidrograma afluente'!I431)+Simulação!B424)</f>
        <v/>
      </c>
    </row>
    <row r="425" spans="1:37" s="17" customFormat="1">
      <c r="A425" s="4" t="str">
        <f t="shared" si="106"/>
        <v/>
      </c>
      <c r="B425" s="5" t="str">
        <f>IF(A425="","",IF(A425&gt;tc_lot_i+tc,0,IF('Hidrograma afluente'!B432="","",'Hidrograma afluente'!B432)))</f>
        <v/>
      </c>
      <c r="C425" s="21" t="str">
        <f t="shared" si="107"/>
        <v/>
      </c>
      <c r="D425" s="21" t="str">
        <f t="shared" si="96"/>
        <v/>
      </c>
      <c r="E425" s="21" t="str">
        <f t="shared" si="97"/>
        <v/>
      </c>
      <c r="F425" s="21" t="str">
        <f t="shared" si="98"/>
        <v/>
      </c>
      <c r="G425" s="21" t="str">
        <f t="shared" si="99"/>
        <v/>
      </c>
      <c r="H425" s="23" t="str">
        <f t="shared" si="108"/>
        <v/>
      </c>
      <c r="I425" s="22" t="str">
        <f t="shared" si="100"/>
        <v/>
      </c>
      <c r="J425" s="1"/>
      <c r="K425" s="51"/>
      <c r="M425" s="81">
        <f t="shared" ca="1" si="91"/>
        <v>2527.1961906769575</v>
      </c>
      <c r="N425" s="19">
        <f t="shared" si="101"/>
        <v>64.730187809492904</v>
      </c>
      <c r="O425" s="17">
        <f t="shared" si="102"/>
        <v>106</v>
      </c>
      <c r="P425" s="19">
        <f ca="1">IF(ISERROR(IF(O425&lt;fi_h/20,0,(OFFSET('Base de dados'!$A$5,IF(O425&lt;20,1,IF(O425&gt;1000,10,MATCH(O425,Cargas,1))),Coluna_fih,1,1))*(1+0.13*0.25)*(PI()*(fi_h/1000)^2/4)*SQRT(2*9.81*(O425/100-fi_h/2/1000))*1000)),"",IF(O425&lt;fi_h/20,0,(OFFSET('Base de dados'!$A$5,IF(O425&lt;20,1,IF(O425&gt;1000,10,MATCH(O425,Cargas,1))),Coluna_fih,1,1))*(PI()*(fi_h/1000)^2/4)*SQRT(2*9.81*(O425/100-fi_h/2/1000))*1000))</f>
        <v>26.961340906169522</v>
      </c>
      <c r="Q425" s="19">
        <f ca="1">IF(O425="","",IF(Tipo_Vertedor="Retangular",IF(O425&lt;=cota_s*100,0,IF(Tipo_Vertedor="Retangular",Cd_sr*Lef_sr*((O425/100-cota_s)^(3/2))*1000)),IF(O425&lt;=cota_s*100+fi_s/20,0,(OFFSET('Base de dados'!$A$4,IF(O425&lt;20,1,IF(O425&gt;1000,10,MATCH(O425,Cargas,1))),Coluna_fis,1,1))*(PI()*(fi_s/1000)^2/4)*(2*9.81*(O425/100-cota_s-fi_s/2/1000))^0.5*1000)))</f>
        <v>342.56192278769123</v>
      </c>
      <c r="R425" s="19">
        <f t="shared" ca="1" si="92"/>
        <v>369.52326369386077</v>
      </c>
      <c r="S425" s="19">
        <f t="shared" ca="1" si="93"/>
        <v>2157.6729269830967</v>
      </c>
      <c r="AD425" s="19" t="str">
        <f t="shared" si="103"/>
        <v/>
      </c>
      <c r="AE425" s="19" t="str">
        <f t="shared" si="104"/>
        <v/>
      </c>
      <c r="AF425" s="19" t="str">
        <f>IF(ISERROR(IF('Hidrograma afluente'!I432="",0,'Hidrograma afluente'!I432)+Simulação!G425),"",IF('Hidrograma afluente'!I432="",0,'Hidrograma afluente'!I432)+Simulação!G425)</f>
        <v/>
      </c>
      <c r="AG425" s="17" t="s">
        <v>160</v>
      </c>
      <c r="AH425" s="17" t="s">
        <v>160</v>
      </c>
      <c r="AI425" s="27" t="s">
        <v>160</v>
      </c>
      <c r="AJ425" s="17" t="s">
        <v>160</v>
      </c>
      <c r="AK425" s="19" t="str">
        <f>IF(A425="","",IF('Hidrograma afluente'!I432="",0,'Hidrograma afluente'!I432)+Simulação!B425)</f>
        <v/>
      </c>
    </row>
    <row r="426" spans="1:37" s="17" customFormat="1">
      <c r="A426" s="4" t="str">
        <f t="shared" si="106"/>
        <v/>
      </c>
      <c r="B426" s="5" t="str">
        <f>IF(A426="","",IF(A426&gt;tc_lot_i+tc,0,IF('Hidrograma afluente'!B433="","",'Hidrograma afluente'!B433)))</f>
        <v/>
      </c>
      <c r="C426" s="21" t="str">
        <f t="shared" si="107"/>
        <v/>
      </c>
      <c r="D426" s="21" t="str">
        <f t="shared" si="96"/>
        <v/>
      </c>
      <c r="E426" s="21" t="str">
        <f t="shared" si="97"/>
        <v/>
      </c>
      <c r="F426" s="21" t="str">
        <f t="shared" si="98"/>
        <v/>
      </c>
      <c r="G426" s="21" t="str">
        <f t="shared" si="99"/>
        <v/>
      </c>
      <c r="H426" s="23" t="str">
        <f t="shared" si="108"/>
        <v/>
      </c>
      <c r="I426" s="22" t="str">
        <f t="shared" si="100"/>
        <v/>
      </c>
      <c r="J426" s="1"/>
      <c r="K426" s="51"/>
      <c r="M426" s="81">
        <f t="shared" ca="1" si="91"/>
        <v>2535.7497979698314</v>
      </c>
      <c r="N426" s="19">
        <f t="shared" si="101"/>
        <v>64.901896773303775</v>
      </c>
      <c r="O426" s="17">
        <f t="shared" si="102"/>
        <v>106.25</v>
      </c>
      <c r="P426" s="19">
        <f ca="1">IF(ISERROR(IF(O426&lt;fi_h/20,0,(OFFSET('Base de dados'!$A$5,IF(O426&lt;20,1,IF(O426&gt;1000,10,MATCH(O426,Cargas,1))),Coluna_fih,1,1))*(1+0.13*0.25)*(PI()*(fi_h/1000)^2/4)*SQRT(2*9.81*(O426/100-fi_h/2/1000))*1000)),"",IF(O426&lt;fi_h/20,0,(OFFSET('Base de dados'!$A$5,IF(O426&lt;20,1,IF(O426&gt;1000,10,MATCH(O426,Cargas,1))),Coluna_fih,1,1))*(PI()*(fi_h/1000)^2/4)*SQRT(2*9.81*(O426/100-fi_h/2/1000))*1000))</f>
        <v>26.994900804776687</v>
      </c>
      <c r="Q426" s="19">
        <f ca="1">IF(O426="","",IF(Tipo_Vertedor="Retangular",IF(O426&lt;=cota_s*100,0,IF(Tipo_Vertedor="Retangular",Cd_sr*Lef_sr*((O426/100-cota_s)^(3/2))*1000)),IF(O426&lt;=cota_s*100+fi_s/20,0,(OFFSET('Base de dados'!$A$4,IF(O426&lt;20,1,IF(O426&gt;1000,10,MATCH(O426,Cargas,1))),Coluna_fis,1,1))*(PI()*(fi_s/1000)^2/4)*(2*9.81*(O426/100-cota_s-fi_s/2/1000))^0.5*1000)))</f>
        <v>345.35833805492894</v>
      </c>
      <c r="R426" s="19">
        <f t="shared" ca="1" si="92"/>
        <v>372.35323885970564</v>
      </c>
      <c r="S426" s="19">
        <f t="shared" ca="1" si="93"/>
        <v>2163.396559110126</v>
      </c>
      <c r="AD426" s="19" t="str">
        <f t="shared" si="103"/>
        <v/>
      </c>
      <c r="AE426" s="19" t="str">
        <f t="shared" si="104"/>
        <v/>
      </c>
      <c r="AF426" s="19" t="str">
        <f>IF(ISERROR(IF('Hidrograma afluente'!I433="",0,'Hidrograma afluente'!I433)+Simulação!G426),"",IF('Hidrograma afluente'!I433="",0,'Hidrograma afluente'!I433)+Simulação!G426)</f>
        <v/>
      </c>
      <c r="AG426" s="17" t="s">
        <v>160</v>
      </c>
      <c r="AH426" s="17" t="s">
        <v>160</v>
      </c>
      <c r="AI426" s="27" t="s">
        <v>160</v>
      </c>
      <c r="AJ426" s="17" t="s">
        <v>160</v>
      </c>
      <c r="AK426" s="19" t="str">
        <f>IF(A426="","",IF('Hidrograma afluente'!I433="",0,'Hidrograma afluente'!I433)+Simulação!B426)</f>
        <v/>
      </c>
    </row>
    <row r="427" spans="1:37" s="17" customFormat="1">
      <c r="A427" s="4" t="str">
        <f t="shared" si="106"/>
        <v/>
      </c>
      <c r="B427" s="5" t="str">
        <f>IF(A427="","",IF(A427&gt;tc_lot_i+tc,0,IF('Hidrograma afluente'!B434="","",'Hidrograma afluente'!B434)))</f>
        <v/>
      </c>
      <c r="C427" s="21" t="str">
        <f t="shared" si="107"/>
        <v/>
      </c>
      <c r="D427" s="21" t="str">
        <f t="shared" si="96"/>
        <v/>
      </c>
      <c r="E427" s="21" t="str">
        <f t="shared" si="97"/>
        <v/>
      </c>
      <c r="F427" s="21" t="str">
        <f t="shared" si="98"/>
        <v/>
      </c>
      <c r="G427" s="21" t="str">
        <f t="shared" si="99"/>
        <v/>
      </c>
      <c r="H427" s="23" t="str">
        <f t="shared" si="108"/>
        <v/>
      </c>
      <c r="I427" s="22" t="str">
        <f t="shared" si="100"/>
        <v/>
      </c>
      <c r="J427" s="1"/>
      <c r="K427" s="51"/>
      <c r="M427" s="81">
        <f t="shared" ca="1" si="91"/>
        <v>2544.3126096596607</v>
      </c>
      <c r="N427" s="19">
        <f t="shared" si="101"/>
        <v>65.073656075233998</v>
      </c>
      <c r="O427" s="17">
        <f t="shared" si="102"/>
        <v>106.5</v>
      </c>
      <c r="P427" s="19">
        <f ca="1">IF(ISERROR(IF(O427&lt;fi_h/20,0,(OFFSET('Base de dados'!$A$5,IF(O427&lt;20,1,IF(O427&gt;1000,10,MATCH(O427,Cargas,1))),Coluna_fih,1,1))*(1+0.13*0.25)*(PI()*(fi_h/1000)^2/4)*SQRT(2*9.81*(O427/100-fi_h/2/1000))*1000)),"",IF(O427&lt;fi_h/20,0,(OFFSET('Base de dados'!$A$5,IF(O427&lt;20,1,IF(O427&gt;1000,10,MATCH(O427,Cargas,1))),Coluna_fih,1,1))*(PI()*(fi_h/1000)^2/4)*SQRT(2*9.81*(O427/100-fi_h/2/1000))*1000))</f>
        <v>27.028419033690742</v>
      </c>
      <c r="Q427" s="19">
        <f ca="1">IF(O427="","",IF(Tipo_Vertedor="Retangular",IF(O427&lt;=cota_s*100,0,IF(Tipo_Vertedor="Retangular",Cd_sr*Lef_sr*((O427/100-cota_s)^(3/2))*1000)),IF(O427&lt;=cota_s*100+fi_s/20,0,(OFFSET('Base de dados'!$A$4,IF(O427&lt;20,1,IF(O427&gt;1000,10,MATCH(O427,Cargas,1))),Coluna_fis,1,1))*(PI()*(fi_s/1000)^2/4)*(2*9.81*(O427/100-cota_s-fi_s/2/1000))^0.5*1000)))</f>
        <v>348.16232145150337</v>
      </c>
      <c r="R427" s="19">
        <f t="shared" ca="1" si="92"/>
        <v>375.19074048519411</v>
      </c>
      <c r="S427" s="19">
        <f t="shared" ca="1" si="93"/>
        <v>2169.1218691744666</v>
      </c>
      <c r="AD427" s="19" t="str">
        <f t="shared" si="103"/>
        <v/>
      </c>
      <c r="AE427" s="19" t="str">
        <f t="shared" si="104"/>
        <v/>
      </c>
      <c r="AF427" s="19" t="str">
        <f>IF(ISERROR(IF('Hidrograma afluente'!I434="",0,'Hidrograma afluente'!I434)+Simulação!G427),"",IF('Hidrograma afluente'!I434="",0,'Hidrograma afluente'!I434)+Simulação!G427)</f>
        <v/>
      </c>
      <c r="AG427" s="17" t="s">
        <v>160</v>
      </c>
      <c r="AH427" s="17" t="s">
        <v>160</v>
      </c>
      <c r="AI427" s="27" t="s">
        <v>160</v>
      </c>
      <c r="AJ427" s="17" t="s">
        <v>160</v>
      </c>
      <c r="AK427" s="19" t="str">
        <f>IF(A427="","",IF('Hidrograma afluente'!I434="",0,'Hidrograma afluente'!I434)+Simulação!B427)</f>
        <v/>
      </c>
    </row>
    <row r="428" spans="1:37" s="17" customFormat="1">
      <c r="A428" s="4" t="str">
        <f t="shared" si="106"/>
        <v/>
      </c>
      <c r="B428" s="5" t="str">
        <f>IF(A428="","",IF(A428&gt;tc_lot_i+tc,0,IF('Hidrograma afluente'!B435="","",'Hidrograma afluente'!B435)))</f>
        <v/>
      </c>
      <c r="C428" s="21" t="str">
        <f t="shared" si="107"/>
        <v/>
      </c>
      <c r="D428" s="21" t="str">
        <f t="shared" si="96"/>
        <v/>
      </c>
      <c r="E428" s="21" t="str">
        <f t="shared" si="97"/>
        <v/>
      </c>
      <c r="F428" s="21" t="str">
        <f t="shared" si="98"/>
        <v/>
      </c>
      <c r="G428" s="21" t="str">
        <f t="shared" si="99"/>
        <v/>
      </c>
      <c r="H428" s="23" t="str">
        <f t="shared" si="108"/>
        <v/>
      </c>
      <c r="I428" s="22" t="str">
        <f t="shared" si="100"/>
        <v/>
      </c>
      <c r="J428" s="1"/>
      <c r="K428" s="51"/>
      <c r="M428" s="81">
        <f t="shared" ca="1" si="91"/>
        <v>2552.8846020806236</v>
      </c>
      <c r="N428" s="19">
        <f t="shared" si="101"/>
        <v>65.245465611823917</v>
      </c>
      <c r="O428" s="17">
        <f t="shared" si="102"/>
        <v>106.75</v>
      </c>
      <c r="P428" s="19">
        <f ca="1">IF(ISERROR(IF(O428&lt;fi_h/20,0,(OFFSET('Base de dados'!$A$5,IF(O428&lt;20,1,IF(O428&gt;1000,10,MATCH(O428,Cargas,1))),Coluna_fih,1,1))*(1+0.13*0.25)*(PI()*(fi_h/1000)^2/4)*SQRT(2*9.81*(O428/100-fi_h/2/1000))*1000)),"",IF(O428&lt;fi_h/20,0,(OFFSET('Base de dados'!$A$5,IF(O428&lt;20,1,IF(O428&gt;1000,10,MATCH(O428,Cargas,1))),Coluna_fih,1,1))*(PI()*(fi_h/1000)^2/4)*SQRT(2*9.81*(O428/100-fi_h/2/1000))*1000))</f>
        <v>27.061895747744998</v>
      </c>
      <c r="Q428" s="19">
        <f ca="1">IF(O428="","",IF(Tipo_Vertedor="Retangular",IF(O428&lt;=cota_s*100,0,IF(Tipo_Vertedor="Retangular",Cd_sr*Lef_sr*((O428/100-cota_s)^(3/2))*1000)),IF(O428&lt;=cota_s*100+fi_s/20,0,(OFFSET('Base de dados'!$A$4,IF(O428&lt;20,1,IF(O428&gt;1000,10,MATCH(O428,Cargas,1))),Coluna_fis,1,1))*(PI()*(fi_s/1000)^2/4)*(2*9.81*(O428/100-cota_s-fi_s/2/1000))^0.5*1000)))</f>
        <v>350.97385260541489</v>
      </c>
      <c r="R428" s="19">
        <f t="shared" ca="1" si="92"/>
        <v>378.03574835315987</v>
      </c>
      <c r="S428" s="19">
        <f t="shared" ca="1" si="93"/>
        <v>2174.8488537274638</v>
      </c>
      <c r="AD428" s="19" t="str">
        <f t="shared" si="103"/>
        <v/>
      </c>
      <c r="AE428" s="19" t="str">
        <f t="shared" si="104"/>
        <v/>
      </c>
      <c r="AF428" s="19" t="str">
        <f>IF(ISERROR(IF('Hidrograma afluente'!I435="",0,'Hidrograma afluente'!I435)+Simulação!G428),"",IF('Hidrograma afluente'!I435="",0,'Hidrograma afluente'!I435)+Simulação!G428)</f>
        <v/>
      </c>
      <c r="AG428" s="17" t="s">
        <v>160</v>
      </c>
      <c r="AH428" s="17" t="s">
        <v>160</v>
      </c>
      <c r="AI428" s="27" t="s">
        <v>160</v>
      </c>
      <c r="AJ428" s="17" t="s">
        <v>160</v>
      </c>
      <c r="AK428" s="19" t="str">
        <f>IF(A428="","",IF('Hidrograma afluente'!I435="",0,'Hidrograma afluente'!I435)+Simulação!B428)</f>
        <v/>
      </c>
    </row>
    <row r="429" spans="1:37" s="17" customFormat="1">
      <c r="A429" s="4" t="str">
        <f t="shared" si="106"/>
        <v/>
      </c>
      <c r="B429" s="5" t="str">
        <f>IF(A429="","",IF(A429&gt;tc_lot_i+tc,0,IF('Hidrograma afluente'!B436="","",'Hidrograma afluente'!B436)))</f>
        <v/>
      </c>
      <c r="C429" s="21" t="str">
        <f t="shared" si="107"/>
        <v/>
      </c>
      <c r="D429" s="21" t="str">
        <f t="shared" si="96"/>
        <v/>
      </c>
      <c r="E429" s="21" t="str">
        <f t="shared" si="97"/>
        <v/>
      </c>
      <c r="F429" s="21" t="str">
        <f t="shared" si="98"/>
        <v/>
      </c>
      <c r="G429" s="21" t="str">
        <f t="shared" si="99"/>
        <v/>
      </c>
      <c r="H429" s="23" t="str">
        <f t="shared" si="108"/>
        <v/>
      </c>
      <c r="I429" s="22" t="str">
        <f t="shared" si="100"/>
        <v/>
      </c>
      <c r="J429" s="1"/>
      <c r="K429" s="51"/>
      <c r="M429" s="81">
        <f t="shared" ca="1" si="91"/>
        <v>2561.4657517447267</v>
      </c>
      <c r="N429" s="19">
        <f t="shared" si="101"/>
        <v>65.417325280068425</v>
      </c>
      <c r="O429" s="17">
        <f t="shared" si="102"/>
        <v>107</v>
      </c>
      <c r="P429" s="19">
        <f ca="1">IF(ISERROR(IF(O429&lt;fi_h/20,0,(OFFSET('Base de dados'!$A$5,IF(O429&lt;20,1,IF(O429&gt;1000,10,MATCH(O429,Cargas,1))),Coluna_fih,1,1))*(1+0.13*0.25)*(PI()*(fi_h/1000)^2/4)*SQRT(2*9.81*(O429/100-fi_h/2/1000))*1000)),"",IF(O429&lt;fi_h/20,0,(OFFSET('Base de dados'!$A$5,IF(O429&lt;20,1,IF(O429&gt;1000,10,MATCH(O429,Cargas,1))),Coluna_fih,1,1))*(PI()*(fi_h/1000)^2/4)*SQRT(2*9.81*(O429/100-fi_h/2/1000))*1000))</f>
        <v>27.095331100816281</v>
      </c>
      <c r="Q429" s="19">
        <f ca="1">IF(O429="","",IF(Tipo_Vertedor="Retangular",IF(O429&lt;=cota_s*100,0,IF(Tipo_Vertedor="Retangular",Cd_sr*Lef_sr*((O429/100-cota_s)^(3/2))*1000)),IF(O429&lt;=cota_s*100+fi_s/20,0,(OFFSET('Base de dados'!$A$4,IF(O429&lt;20,1,IF(O429&gt;1000,10,MATCH(O429,Cargas,1))),Coluna_fis,1,1))*(PI()*(fi_s/1000)^2/4)*(2*9.81*(O429/100-cota_s-fi_s/2/1000))^0.5*1000)))</f>
        <v>353.79291130829637</v>
      </c>
      <c r="R429" s="19">
        <f t="shared" ca="1" si="92"/>
        <v>380.88824240911265</v>
      </c>
      <c r="S429" s="19">
        <f t="shared" ca="1" si="93"/>
        <v>2180.5775093356142</v>
      </c>
      <c r="AD429" s="19" t="str">
        <f t="shared" si="103"/>
        <v/>
      </c>
      <c r="AE429" s="19" t="str">
        <f t="shared" si="104"/>
        <v/>
      </c>
      <c r="AF429" s="19" t="str">
        <f>IF(ISERROR(IF('Hidrograma afluente'!I436="",0,'Hidrograma afluente'!I436)+Simulação!G429),"",IF('Hidrograma afluente'!I436="",0,'Hidrograma afluente'!I436)+Simulação!G429)</f>
        <v/>
      </c>
      <c r="AG429" s="17" t="s">
        <v>160</v>
      </c>
      <c r="AH429" s="17" t="s">
        <v>160</v>
      </c>
      <c r="AI429" s="27" t="s">
        <v>160</v>
      </c>
      <c r="AJ429" s="17" t="s">
        <v>160</v>
      </c>
      <c r="AK429" s="19" t="str">
        <f>IF(A429="","",IF('Hidrograma afluente'!I436="",0,'Hidrograma afluente'!I436)+Simulação!B429)</f>
        <v/>
      </c>
    </row>
    <row r="430" spans="1:37" s="17" customFormat="1">
      <c r="A430" s="4" t="str">
        <f t="shared" si="106"/>
        <v/>
      </c>
      <c r="B430" s="5" t="str">
        <f>IF(A430="","",IF(A430&gt;tc_lot_i+tc,0,IF('Hidrograma afluente'!B437="","",'Hidrograma afluente'!B437)))</f>
        <v/>
      </c>
      <c r="C430" s="21" t="str">
        <f t="shared" si="107"/>
        <v/>
      </c>
      <c r="D430" s="21" t="str">
        <f t="shared" si="96"/>
        <v/>
      </c>
      <c r="E430" s="21" t="str">
        <f t="shared" si="97"/>
        <v/>
      </c>
      <c r="F430" s="21" t="str">
        <f t="shared" si="98"/>
        <v/>
      </c>
      <c r="G430" s="21" t="str">
        <f t="shared" si="99"/>
        <v/>
      </c>
      <c r="H430" s="23" t="str">
        <f t="shared" si="108"/>
        <v/>
      </c>
      <c r="I430" s="22" t="str">
        <f t="shared" si="100"/>
        <v/>
      </c>
      <c r="J430" s="1"/>
      <c r="K430" s="51"/>
      <c r="M430" s="81">
        <f t="shared" ca="1" si="91"/>
        <v>2570.0560353395249</v>
      </c>
      <c r="N430" s="19">
        <f t="shared" si="101"/>
        <v>65.58923497741371</v>
      </c>
      <c r="O430" s="17">
        <f t="shared" si="102"/>
        <v>107.25</v>
      </c>
      <c r="P430" s="19">
        <f ca="1">IF(ISERROR(IF(O430&lt;fi_h/20,0,(OFFSET('Base de dados'!$A$5,IF(O430&lt;20,1,IF(O430&gt;1000,10,MATCH(O430,Cargas,1))),Coluna_fih,1,1))*(1+0.13*0.25)*(PI()*(fi_h/1000)^2/4)*SQRT(2*9.81*(O430/100-fi_h/2/1000))*1000)),"",IF(O430&lt;fi_h/20,0,(OFFSET('Base de dados'!$A$5,IF(O430&lt;20,1,IF(O430&gt;1000,10,MATCH(O430,Cargas,1))),Coluna_fih,1,1))*(PI()*(fi_h/1000)^2/4)*SQRT(2*9.81*(O430/100-fi_h/2/1000))*1000))</f>
        <v>27.128725245833152</v>
      </c>
      <c r="Q430" s="19">
        <f ca="1">IF(O430="","",IF(Tipo_Vertedor="Retangular",IF(O430&lt;=cota_s*100,0,IF(Tipo_Vertedor="Retangular",Cd_sr*Lef_sr*((O430/100-cota_s)^(3/2))*1000)),IF(O430&lt;=cota_s*100+fi_s/20,0,(OFFSET('Base de dados'!$A$4,IF(O430&lt;20,1,IF(O430&gt;1000,10,MATCH(O430,Cargas,1))),Coluna_fis,1,1))*(PI()*(fi_s/1000)^2/4)*(2*9.81*(O430/100-cota_s-fi_s/2/1000))^0.5*1000)))</f>
        <v>356.61947751323476</v>
      </c>
      <c r="R430" s="19">
        <f t="shared" ca="1" si="92"/>
        <v>383.74820275906791</v>
      </c>
      <c r="S430" s="19">
        <f t="shared" ca="1" si="93"/>
        <v>2186.3078325804572</v>
      </c>
      <c r="AD430" s="19" t="str">
        <f t="shared" si="103"/>
        <v/>
      </c>
      <c r="AE430" s="19" t="str">
        <f t="shared" si="104"/>
        <v/>
      </c>
      <c r="AF430" s="19" t="str">
        <f>IF(ISERROR(IF('Hidrograma afluente'!I437="",0,'Hidrograma afluente'!I437)+Simulação!G430),"",IF('Hidrograma afluente'!I437="",0,'Hidrograma afluente'!I437)+Simulação!G430)</f>
        <v/>
      </c>
      <c r="AG430" s="17" t="s">
        <v>160</v>
      </c>
      <c r="AH430" s="17" t="s">
        <v>160</v>
      </c>
      <c r="AI430" s="27" t="s">
        <v>160</v>
      </c>
      <c r="AJ430" s="17" t="s">
        <v>160</v>
      </c>
      <c r="AK430" s="19" t="str">
        <f>IF(A430="","",IF('Hidrograma afluente'!I437="",0,'Hidrograma afluente'!I437)+Simulação!B430)</f>
        <v/>
      </c>
    </row>
    <row r="431" spans="1:37" s="17" customFormat="1">
      <c r="A431" s="4" t="str">
        <f t="shared" si="106"/>
        <v/>
      </c>
      <c r="B431" s="5" t="str">
        <f>IF(A431="","",IF(A431&gt;tc_lot_i+tc,0,IF('Hidrograma afluente'!B438="","",'Hidrograma afluente'!B438)))</f>
        <v/>
      </c>
      <c r="C431" s="21" t="str">
        <f t="shared" si="107"/>
        <v/>
      </c>
      <c r="D431" s="21" t="str">
        <f t="shared" si="96"/>
        <v/>
      </c>
      <c r="E431" s="21" t="str">
        <f t="shared" si="97"/>
        <v/>
      </c>
      <c r="F431" s="21" t="str">
        <f t="shared" si="98"/>
        <v/>
      </c>
      <c r="G431" s="21" t="str">
        <f t="shared" si="99"/>
        <v/>
      </c>
      <c r="H431" s="23" t="str">
        <f t="shared" si="108"/>
        <v/>
      </c>
      <c r="I431" s="22" t="str">
        <f t="shared" si="100"/>
        <v/>
      </c>
      <c r="J431" s="1"/>
      <c r="K431" s="51"/>
      <c r="M431" s="81">
        <f t="shared" ca="1" si="91"/>
        <v>2578.6554297258995</v>
      </c>
      <c r="N431" s="19">
        <f t="shared" si="101"/>
        <v>65.761194601754482</v>
      </c>
      <c r="O431" s="17">
        <f t="shared" si="102"/>
        <v>107.5</v>
      </c>
      <c r="P431" s="19">
        <f ca="1">IF(ISERROR(IF(O431&lt;fi_h/20,0,(OFFSET('Base de dados'!$A$5,IF(O431&lt;20,1,IF(O431&gt;1000,10,MATCH(O431,Cargas,1))),Coluna_fih,1,1))*(1+0.13*0.25)*(PI()*(fi_h/1000)^2/4)*SQRT(2*9.81*(O431/100-fi_h/2/1000))*1000)),"",IF(O431&lt;fi_h/20,0,(OFFSET('Base de dados'!$A$5,IF(O431&lt;20,1,IF(O431&gt;1000,10,MATCH(O431,Cargas,1))),Coluna_fih,1,1))*(PI()*(fi_h/1000)^2/4)*SQRT(2*9.81*(O431/100-fi_h/2/1000))*1000))</f>
        <v>27.162078334784102</v>
      </c>
      <c r="Q431" s="19">
        <f ca="1">IF(O431="","",IF(Tipo_Vertedor="Retangular",IF(O431&lt;=cota_s*100,0,IF(Tipo_Vertedor="Retangular",Cd_sr*Lef_sr*((O431/100-cota_s)^(3/2))*1000)),IF(O431&lt;=cota_s*100+fi_s/20,0,(OFFSET('Base de dados'!$A$4,IF(O431&lt;20,1,IF(O431&gt;1000,10,MATCH(O431,Cargas,1))),Coluna_fis,1,1))*(PI()*(fi_s/1000)^2/4)*(2*9.81*(O431/100-cota_s-fi_s/2/1000))^0.5*1000)))</f>
        <v>359.45353133263279</v>
      </c>
      <c r="R431" s="19">
        <f t="shared" ca="1" si="92"/>
        <v>386.61560966741689</v>
      </c>
      <c r="S431" s="19">
        <f t="shared" ca="1" si="93"/>
        <v>2192.0398200584827</v>
      </c>
      <c r="AD431" s="19" t="str">
        <f t="shared" si="103"/>
        <v/>
      </c>
      <c r="AE431" s="19" t="str">
        <f t="shared" si="104"/>
        <v/>
      </c>
      <c r="AF431" s="19" t="str">
        <f>IF(ISERROR(IF('Hidrograma afluente'!I438="",0,'Hidrograma afluente'!I438)+Simulação!G431),"",IF('Hidrograma afluente'!I438="",0,'Hidrograma afluente'!I438)+Simulação!G431)</f>
        <v/>
      </c>
      <c r="AG431" s="17" t="s">
        <v>160</v>
      </c>
      <c r="AH431" s="17" t="s">
        <v>160</v>
      </c>
      <c r="AI431" s="27" t="s">
        <v>160</v>
      </c>
      <c r="AJ431" s="17" t="s">
        <v>160</v>
      </c>
      <c r="AK431" s="19" t="str">
        <f>IF(A431="","",IF('Hidrograma afluente'!I438="",0,'Hidrograma afluente'!I438)+Simulação!B431)</f>
        <v/>
      </c>
    </row>
    <row r="432" spans="1:37" s="17" customFormat="1">
      <c r="A432" s="4" t="str">
        <f t="shared" si="106"/>
        <v/>
      </c>
      <c r="B432" s="5" t="str">
        <f>IF(A432="","",IF(A432&gt;tc_lot_i+tc,0,IF('Hidrograma afluente'!B439="","",'Hidrograma afluente'!B439)))</f>
        <v/>
      </c>
      <c r="C432" s="21" t="str">
        <f t="shared" si="107"/>
        <v/>
      </c>
      <c r="D432" s="21" t="str">
        <f t="shared" si="96"/>
        <v/>
      </c>
      <c r="E432" s="21" t="str">
        <f t="shared" si="97"/>
        <v/>
      </c>
      <c r="F432" s="21" t="str">
        <f t="shared" si="98"/>
        <v/>
      </c>
      <c r="G432" s="21" t="str">
        <f t="shared" si="99"/>
        <v/>
      </c>
      <c r="H432" s="23" t="str">
        <f t="shared" si="108"/>
        <v/>
      </c>
      <c r="I432" s="22" t="str">
        <f t="shared" si="100"/>
        <v/>
      </c>
      <c r="J432" s="1"/>
      <c r="K432" s="51"/>
      <c r="M432" s="81">
        <f t="shared" ca="1" si="91"/>
        <v>2587.263911935861</v>
      </c>
      <c r="N432" s="19">
        <f t="shared" si="101"/>
        <v>65.933204051430778</v>
      </c>
      <c r="O432" s="17">
        <f t="shared" si="102"/>
        <v>107.75</v>
      </c>
      <c r="P432" s="19">
        <f ca="1">IF(ISERROR(IF(O432&lt;fi_h/20,0,(OFFSET('Base de dados'!$A$5,IF(O432&lt;20,1,IF(O432&gt;1000,10,MATCH(O432,Cargas,1))),Coluna_fih,1,1))*(1+0.13*0.25)*(PI()*(fi_h/1000)^2/4)*SQRT(2*9.81*(O432/100-fi_h/2/1000))*1000)),"",IF(O432&lt;fi_h/20,0,(OFFSET('Base de dados'!$A$5,IF(O432&lt;20,1,IF(O432&gt;1000,10,MATCH(O432,Cargas,1))),Coluna_fih,1,1))*(PI()*(fi_h/1000)^2/4)*SQRT(2*9.81*(O432/100-fi_h/2/1000))*1000))</f>
        <v>27.19539051872561</v>
      </c>
      <c r="Q432" s="19">
        <f ca="1">IF(O432="","",IF(Tipo_Vertedor="Retangular",IF(O432&lt;=cota_s*100,0,IF(Tipo_Vertedor="Retangular",Cd_sr*Lef_sr*((O432/100-cota_s)^(3/2))*1000)),IF(O432&lt;=cota_s*100+fi_s/20,0,(OFFSET('Base de dados'!$A$4,IF(O432&lt;20,1,IF(O432&gt;1000,10,MATCH(O432,Cargas,1))),Coluna_fis,1,1))*(PI()*(fi_s/1000)^2/4)*(2*9.81*(O432/100-cota_s-fi_s/2/1000))^0.5*1000)))</f>
        <v>362.29505303610961</v>
      </c>
      <c r="R432" s="19">
        <f t="shared" ca="1" si="92"/>
        <v>389.49044355483522</v>
      </c>
      <c r="S432" s="19">
        <f t="shared" ca="1" si="93"/>
        <v>2197.7734683810259</v>
      </c>
      <c r="AD432" s="19" t="str">
        <f t="shared" si="103"/>
        <v/>
      </c>
      <c r="AE432" s="19" t="str">
        <f t="shared" si="104"/>
        <v/>
      </c>
      <c r="AF432" s="19" t="str">
        <f>IF(ISERROR(IF('Hidrograma afluente'!I439="",0,'Hidrograma afluente'!I439)+Simulação!G432),"",IF('Hidrograma afluente'!I439="",0,'Hidrograma afluente'!I439)+Simulação!G432)</f>
        <v/>
      </c>
      <c r="AG432" s="17" t="s">
        <v>160</v>
      </c>
      <c r="AH432" s="17" t="s">
        <v>160</v>
      </c>
      <c r="AI432" s="27" t="s">
        <v>160</v>
      </c>
      <c r="AJ432" s="17" t="s">
        <v>160</v>
      </c>
      <c r="AK432" s="19" t="str">
        <f>IF(A432="","",IF('Hidrograma afluente'!I439="",0,'Hidrograma afluente'!I439)+Simulação!B432)</f>
        <v/>
      </c>
    </row>
    <row r="433" spans="1:37" s="17" customFormat="1">
      <c r="A433" s="4" t="str">
        <f t="shared" si="106"/>
        <v/>
      </c>
      <c r="B433" s="5" t="str">
        <f>IF(A433="","",IF(A433&gt;tc_lot_i+tc,0,IF('Hidrograma afluente'!B440="","",'Hidrograma afluente'!B440)))</f>
        <v/>
      </c>
      <c r="C433" s="21" t="str">
        <f t="shared" si="107"/>
        <v/>
      </c>
      <c r="D433" s="21" t="str">
        <f t="shared" si="96"/>
        <v/>
      </c>
      <c r="E433" s="21" t="str">
        <f t="shared" si="97"/>
        <v/>
      </c>
      <c r="F433" s="21" t="str">
        <f t="shared" si="98"/>
        <v/>
      </c>
      <c r="G433" s="21" t="str">
        <f t="shared" si="99"/>
        <v/>
      </c>
      <c r="H433" s="23" t="str">
        <f t="shared" si="108"/>
        <v/>
      </c>
      <c r="I433" s="22" t="str">
        <f t="shared" si="100"/>
        <v/>
      </c>
      <c r="J433" s="1"/>
      <c r="K433" s="51"/>
      <c r="M433" s="81">
        <f t="shared" ca="1" si="91"/>
        <v>2595.8814591704004</v>
      </c>
      <c r="N433" s="19">
        <f t="shared" si="101"/>
        <v>66.105263225225087</v>
      </c>
      <c r="O433" s="17">
        <f t="shared" si="102"/>
        <v>108</v>
      </c>
      <c r="P433" s="19">
        <f ca="1">IF(ISERROR(IF(O433&lt;fi_h/20,0,(OFFSET('Base de dados'!$A$5,IF(O433&lt;20,1,IF(O433&gt;1000,10,MATCH(O433,Cargas,1))),Coluna_fih,1,1))*(1+0.13*0.25)*(PI()*(fi_h/1000)^2/4)*SQRT(2*9.81*(O433/100-fi_h/2/1000))*1000)),"",IF(O433&lt;fi_h/20,0,(OFFSET('Base de dados'!$A$5,IF(O433&lt;20,1,IF(O433&gt;1000,10,MATCH(O433,Cargas,1))),Coluna_fih,1,1))*(PI()*(fi_h/1000)^2/4)*SQRT(2*9.81*(O433/100-fi_h/2/1000))*1000))</f>
        <v>27.228661947790126</v>
      </c>
      <c r="Q433" s="19">
        <f ca="1">IF(O433="","",IF(Tipo_Vertedor="Retangular",IF(O433&lt;=cota_s*100,0,IF(Tipo_Vertedor="Retangular",Cd_sr*Lef_sr*((O433/100-cota_s)^(3/2))*1000)),IF(O433&lt;=cota_s*100+fi_s/20,0,(OFFSET('Base de dados'!$A$4,IF(O433&lt;20,1,IF(O433&gt;1000,10,MATCH(O433,Cargas,1))),Coluna_fis,1,1))*(PI()*(fi_s/1000)^2/4)*(2*9.81*(O433/100-cota_s-fi_s/2/1000))^0.5*1000)))</f>
        <v>365.14402304844054</v>
      </c>
      <c r="R433" s="19">
        <f t="shared" ca="1" si="92"/>
        <v>392.37268499623065</v>
      </c>
      <c r="S433" s="19">
        <f t="shared" ca="1" si="93"/>
        <v>2203.5087741741695</v>
      </c>
      <c r="AD433" s="19" t="str">
        <f t="shared" si="103"/>
        <v/>
      </c>
      <c r="AE433" s="19" t="str">
        <f t="shared" si="104"/>
        <v/>
      </c>
      <c r="AF433" s="19" t="str">
        <f>IF(ISERROR(IF('Hidrograma afluente'!I440="",0,'Hidrograma afluente'!I440)+Simulação!G433),"",IF('Hidrograma afluente'!I440="",0,'Hidrograma afluente'!I440)+Simulação!G433)</f>
        <v/>
      </c>
      <c r="AG433" s="17" t="s">
        <v>160</v>
      </c>
      <c r="AH433" s="17" t="s">
        <v>160</v>
      </c>
      <c r="AI433" s="27" t="s">
        <v>160</v>
      </c>
      <c r="AJ433" s="17" t="s">
        <v>160</v>
      </c>
      <c r="AK433" s="19" t="str">
        <f>IF(A433="","",IF('Hidrograma afluente'!I440="",0,'Hidrograma afluente'!I440)+Simulação!B433)</f>
        <v/>
      </c>
    </row>
    <row r="434" spans="1:37" s="17" customFormat="1">
      <c r="A434" s="4" t="str">
        <f t="shared" si="106"/>
        <v/>
      </c>
      <c r="B434" s="5" t="str">
        <f>IF(A434="","",IF(A434&gt;tc_lot_i+tc,0,IF('Hidrograma afluente'!B441="","",'Hidrograma afluente'!B441)))</f>
        <v/>
      </c>
      <c r="C434" s="21" t="str">
        <f t="shared" si="107"/>
        <v/>
      </c>
      <c r="D434" s="21" t="str">
        <f t="shared" si="96"/>
        <v/>
      </c>
      <c r="E434" s="21" t="str">
        <f t="shared" si="97"/>
        <v/>
      </c>
      <c r="F434" s="21" t="str">
        <f t="shared" si="98"/>
        <v/>
      </c>
      <c r="G434" s="21" t="str">
        <f t="shared" si="99"/>
        <v/>
      </c>
      <c r="H434" s="23" t="str">
        <f t="shared" si="108"/>
        <v/>
      </c>
      <c r="I434" s="22" t="str">
        <f t="shared" si="100"/>
        <v/>
      </c>
      <c r="J434" s="1"/>
      <c r="K434" s="51"/>
      <c r="M434" s="81">
        <f t="shared" ca="1" si="91"/>
        <v>2604.5080487973705</v>
      </c>
      <c r="N434" s="19">
        <f t="shared" si="101"/>
        <v>66.277372022359302</v>
      </c>
      <c r="O434" s="17">
        <f t="shared" si="102"/>
        <v>108.25</v>
      </c>
      <c r="P434" s="19">
        <f ca="1">IF(ISERROR(IF(O434&lt;fi_h/20,0,(OFFSET('Base de dados'!$A$5,IF(O434&lt;20,1,IF(O434&gt;1000,10,MATCH(O434,Cargas,1))),Coluna_fih,1,1))*(1+0.13*0.25)*(PI()*(fi_h/1000)^2/4)*SQRT(2*9.81*(O434/100-fi_h/2/1000))*1000)),"",IF(O434&lt;fi_h/20,0,(OFFSET('Base de dados'!$A$5,IF(O434&lt;20,1,IF(O434&gt;1000,10,MATCH(O434,Cargas,1))),Coluna_fih,1,1))*(PI()*(fi_h/1000)^2/4)*SQRT(2*9.81*(O434/100-fi_h/2/1000))*1000))</f>
        <v>27.261892771193949</v>
      </c>
      <c r="Q434" s="19">
        <f ca="1">IF(O434="","",IF(Tipo_Vertedor="Retangular",IF(O434&lt;=cota_s*100,0,IF(Tipo_Vertedor="Retangular",Cd_sr*Lef_sr*((O434/100-cota_s)^(3/2))*1000)),IF(O434&lt;=cota_s*100+fi_s/20,0,(OFFSET('Base de dados'!$A$4,IF(O434&lt;20,1,IF(O434&gt;1000,10,MATCH(O434,Cargas,1))),Coluna_fis,1,1))*(PI()*(fi_s/1000)^2/4)*(2*9.81*(O434/100-cota_s-fi_s/2/1000))^0.5*1000)))</f>
        <v>368.00042194753325</v>
      </c>
      <c r="R434" s="19">
        <f t="shared" ca="1" si="92"/>
        <v>395.26231471872723</v>
      </c>
      <c r="S434" s="19">
        <f t="shared" ca="1" si="93"/>
        <v>2209.2457340786432</v>
      </c>
      <c r="AD434" s="19" t="str">
        <f t="shared" si="103"/>
        <v/>
      </c>
      <c r="AE434" s="19" t="str">
        <f t="shared" si="104"/>
        <v/>
      </c>
      <c r="AF434" s="19" t="str">
        <f>IF(ISERROR(IF('Hidrograma afluente'!I441="",0,'Hidrograma afluente'!I441)+Simulação!G434),"",IF('Hidrograma afluente'!I441="",0,'Hidrograma afluente'!I441)+Simulação!G434)</f>
        <v/>
      </c>
      <c r="AG434" s="17" t="s">
        <v>160</v>
      </c>
      <c r="AH434" s="17" t="s">
        <v>160</v>
      </c>
      <c r="AI434" s="27" t="s">
        <v>160</v>
      </c>
      <c r="AJ434" s="17" t="s">
        <v>160</v>
      </c>
      <c r="AK434" s="19" t="str">
        <f>IF(A434="","",IF('Hidrograma afluente'!I441="",0,'Hidrograma afluente'!I441)+Simulação!B434)</f>
        <v/>
      </c>
    </row>
    <row r="435" spans="1:37" s="17" customFormat="1">
      <c r="A435" s="4" t="str">
        <f t="shared" si="106"/>
        <v/>
      </c>
      <c r="B435" s="5" t="str">
        <f>IF(A435="","",IF(A435&gt;tc_lot_i+tc,0,IF('Hidrograma afluente'!B442="","",'Hidrograma afluente'!B442)))</f>
        <v/>
      </c>
      <c r="C435" s="21" t="str">
        <f t="shared" si="107"/>
        <v/>
      </c>
      <c r="D435" s="21" t="str">
        <f t="shared" si="96"/>
        <v/>
      </c>
      <c r="E435" s="21" t="str">
        <f t="shared" si="97"/>
        <v/>
      </c>
      <c r="F435" s="21" t="str">
        <f t="shared" si="98"/>
        <v/>
      </c>
      <c r="G435" s="21" t="str">
        <f t="shared" si="99"/>
        <v/>
      </c>
      <c r="H435" s="23" t="str">
        <f t="shared" si="108"/>
        <v/>
      </c>
      <c r="I435" s="22" t="str">
        <f t="shared" si="100"/>
        <v/>
      </c>
      <c r="J435" s="1"/>
      <c r="K435" s="51"/>
      <c r="M435" s="81">
        <f t="shared" ca="1" si="91"/>
        <v>2613.143658349421</v>
      </c>
      <c r="N435" s="19">
        <f t="shared" si="101"/>
        <v>66.449530342491983</v>
      </c>
      <c r="O435" s="17">
        <f t="shared" si="102"/>
        <v>108.5</v>
      </c>
      <c r="P435" s="19">
        <f ca="1">IF(ISERROR(IF(O435&lt;fi_h/20,0,(OFFSET('Base de dados'!$A$5,IF(O435&lt;20,1,IF(O435&gt;1000,10,MATCH(O435,Cargas,1))),Coluna_fih,1,1))*(1+0.13*0.25)*(PI()*(fi_h/1000)^2/4)*SQRT(2*9.81*(O435/100-fi_h/2/1000))*1000)),"",IF(O435&lt;fi_h/20,0,(OFFSET('Base de dados'!$A$5,IF(O435&lt;20,1,IF(O435&gt;1000,10,MATCH(O435,Cargas,1))),Coluna_fih,1,1))*(PI()*(fi_h/1000)^2/4)*SQRT(2*9.81*(O435/100-fi_h/2/1000))*1000))</f>
        <v>27.295083137245062</v>
      </c>
      <c r="Q435" s="19">
        <f ca="1">IF(O435="","",IF(Tipo_Vertedor="Retangular",IF(O435&lt;=cota_s*100,0,IF(Tipo_Vertedor="Retangular",Cd_sr*Lef_sr*((O435/100-cota_s)^(3/2))*1000)),IF(O435&lt;=cota_s*100+fi_s/20,0,(OFFSET('Base de dados'!$A$4,IF(O435&lt;20,1,IF(O435&gt;1000,10,MATCH(O435,Cargas,1))),Coluna_fis,1,1))*(PI()*(fi_s/1000)^2/4)*(2*9.81*(O435/100-cota_s-fi_s/2/1000))^0.5*1000)))</f>
        <v>370.86423046244295</v>
      </c>
      <c r="R435" s="19">
        <f t="shared" ca="1" si="92"/>
        <v>398.15931359968801</v>
      </c>
      <c r="S435" s="19">
        <f t="shared" ca="1" si="93"/>
        <v>2214.9843447497328</v>
      </c>
      <c r="AD435" s="19" t="str">
        <f t="shared" si="103"/>
        <v/>
      </c>
      <c r="AE435" s="19" t="str">
        <f t="shared" si="104"/>
        <v/>
      </c>
      <c r="AF435" s="19" t="str">
        <f>IF(ISERROR(IF('Hidrograma afluente'!I442="",0,'Hidrograma afluente'!I442)+Simulação!G435),"",IF('Hidrograma afluente'!I442="",0,'Hidrograma afluente'!I442)+Simulação!G435)</f>
        <v/>
      </c>
      <c r="AG435" s="17" t="s">
        <v>160</v>
      </c>
      <c r="AH435" s="17" t="s">
        <v>160</v>
      </c>
      <c r="AI435" s="27" t="s">
        <v>160</v>
      </c>
      <c r="AJ435" s="17" t="s">
        <v>160</v>
      </c>
      <c r="AK435" s="19" t="str">
        <f>IF(A435="","",IF('Hidrograma afluente'!I442="",0,'Hidrograma afluente'!I442)+Simulação!B435)</f>
        <v/>
      </c>
    </row>
    <row r="436" spans="1:37" s="17" customFormat="1">
      <c r="A436" s="4" t="str">
        <f t="shared" si="106"/>
        <v/>
      </c>
      <c r="B436" s="5" t="str">
        <f>IF(A436="","",IF(A436&gt;tc_lot_i+tc,0,IF('Hidrograma afluente'!B443="","",'Hidrograma afluente'!B443)))</f>
        <v/>
      </c>
      <c r="C436" s="21" t="str">
        <f t="shared" si="107"/>
        <v/>
      </c>
      <c r="D436" s="21" t="str">
        <f t="shared" si="96"/>
        <v/>
      </c>
      <c r="E436" s="21" t="str">
        <f t="shared" si="97"/>
        <v/>
      </c>
      <c r="F436" s="21" t="str">
        <f t="shared" si="98"/>
        <v/>
      </c>
      <c r="G436" s="21" t="str">
        <f t="shared" si="99"/>
        <v/>
      </c>
      <c r="H436" s="23" t="str">
        <f t="shared" si="108"/>
        <v/>
      </c>
      <c r="I436" s="22" t="str">
        <f t="shared" si="100"/>
        <v/>
      </c>
      <c r="J436" s="1"/>
      <c r="K436" s="51"/>
      <c r="M436" s="81">
        <f t="shared" ca="1" si="91"/>
        <v>2621.7882655219473</v>
      </c>
      <c r="N436" s="19">
        <f t="shared" si="101"/>
        <v>66.621738085715265</v>
      </c>
      <c r="O436" s="17">
        <f t="shared" si="102"/>
        <v>108.75</v>
      </c>
      <c r="P436" s="19">
        <f ca="1">IF(ISERROR(IF(O436&lt;fi_h/20,0,(OFFSET('Base de dados'!$A$5,IF(O436&lt;20,1,IF(O436&gt;1000,10,MATCH(O436,Cargas,1))),Coluna_fih,1,1))*(1+0.13*0.25)*(PI()*(fi_h/1000)^2/4)*SQRT(2*9.81*(O436/100-fi_h/2/1000))*1000)),"",IF(O436&lt;fi_h/20,0,(OFFSET('Base de dados'!$A$5,IF(O436&lt;20,1,IF(O436&gt;1000,10,MATCH(O436,Cargas,1))),Coluna_fih,1,1))*(PI()*(fi_h/1000)^2/4)*SQRT(2*9.81*(O436/100-fi_h/2/1000))*1000))</f>
        <v>27.32823319335084</v>
      </c>
      <c r="Q436" s="19">
        <f ca="1">IF(O436="","",IF(Tipo_Vertedor="Retangular",IF(O436&lt;=cota_s*100,0,IF(Tipo_Vertedor="Retangular",Cd_sr*Lef_sr*((O436/100-cota_s)^(3/2))*1000)),IF(O436&lt;=cota_s*100+fi_s/20,0,(OFFSET('Base de dados'!$A$4,IF(O436&lt;20,1,IF(O436&gt;1000,10,MATCH(O436,Cargas,1))),Coluna_fis,1,1))*(PI()*(fi_s/1000)^2/4)*(2*9.81*(O436/100-cota_s-fi_s/2/1000))^0.5*1000)))</f>
        <v>373.73542947142096</v>
      </c>
      <c r="R436" s="19">
        <f t="shared" ca="1" si="92"/>
        <v>401.06366266477181</v>
      </c>
      <c r="S436" s="19">
        <f t="shared" ca="1" si="93"/>
        <v>2220.7246028571753</v>
      </c>
      <c r="AD436" s="19" t="str">
        <f t="shared" si="103"/>
        <v/>
      </c>
      <c r="AE436" s="19" t="str">
        <f t="shared" si="104"/>
        <v/>
      </c>
      <c r="AF436" s="19" t="str">
        <f>IF(ISERROR(IF('Hidrograma afluente'!I443="",0,'Hidrograma afluente'!I443)+Simulação!G436),"",IF('Hidrograma afluente'!I443="",0,'Hidrograma afluente'!I443)+Simulação!G436)</f>
        <v/>
      </c>
      <c r="AG436" s="17" t="s">
        <v>160</v>
      </c>
      <c r="AH436" s="17" t="s">
        <v>160</v>
      </c>
      <c r="AI436" s="27" t="s">
        <v>160</v>
      </c>
      <c r="AJ436" s="17" t="s">
        <v>160</v>
      </c>
      <c r="AK436" s="19" t="str">
        <f>IF(A436="","",IF('Hidrograma afluente'!I443="",0,'Hidrograma afluente'!I443)+Simulação!B436)</f>
        <v/>
      </c>
    </row>
    <row r="437" spans="1:37" s="17" customFormat="1">
      <c r="A437" s="4" t="str">
        <f t="shared" si="106"/>
        <v/>
      </c>
      <c r="B437" s="5" t="str">
        <f>IF(A437="","",IF(A437&gt;tc_lot_i+tc,0,IF('Hidrograma afluente'!B444="","",'Hidrograma afluente'!B444)))</f>
        <v/>
      </c>
      <c r="C437" s="21" t="str">
        <f t="shared" si="107"/>
        <v/>
      </c>
      <c r="D437" s="21" t="str">
        <f t="shared" si="96"/>
        <v/>
      </c>
      <c r="E437" s="21" t="str">
        <f t="shared" si="97"/>
        <v/>
      </c>
      <c r="F437" s="21" t="str">
        <f t="shared" si="98"/>
        <v/>
      </c>
      <c r="G437" s="21" t="str">
        <f t="shared" si="99"/>
        <v/>
      </c>
      <c r="H437" s="23" t="str">
        <f t="shared" si="108"/>
        <v/>
      </c>
      <c r="I437" s="22" t="str">
        <f t="shared" si="100"/>
        <v/>
      </c>
      <c r="J437" s="1"/>
      <c r="K437" s="51"/>
      <c r="M437" s="81">
        <f t="shared" ca="1" si="91"/>
        <v>2630.4418481710982</v>
      </c>
      <c r="N437" s="19">
        <f t="shared" si="101"/>
        <v>66.793995152552156</v>
      </c>
      <c r="O437" s="17">
        <f t="shared" si="102"/>
        <v>109</v>
      </c>
      <c r="P437" s="19">
        <f ca="1">IF(ISERROR(IF(O437&lt;fi_h/20,0,(OFFSET('Base de dados'!$A$5,IF(O437&lt;20,1,IF(O437&gt;1000,10,MATCH(O437,Cargas,1))),Coluna_fih,1,1))*(1+0.13*0.25)*(PI()*(fi_h/1000)^2/4)*SQRT(2*9.81*(O437/100-fi_h/2/1000))*1000)),"",IF(O437&lt;fi_h/20,0,(OFFSET('Base de dados'!$A$5,IF(O437&lt;20,1,IF(O437&gt;1000,10,MATCH(O437,Cargas,1))),Coluna_fih,1,1))*(PI()*(fi_h/1000)^2/4)*SQRT(2*9.81*(O437/100-fi_h/2/1000))*1000))</f>
        <v>27.361343086025695</v>
      </c>
      <c r="Q437" s="19">
        <f ca="1">IF(O437="","",IF(Tipo_Vertedor="Retangular",IF(O437&lt;=cota_s*100,0,IF(Tipo_Vertedor="Retangular",Cd_sr*Lef_sr*((O437/100-cota_s)^(3/2))*1000)),IF(O437&lt;=cota_s*100+fi_s/20,0,(OFFSET('Base de dados'!$A$4,IF(O437&lt;20,1,IF(O437&gt;1000,10,MATCH(O437,Cargas,1))),Coluna_fis,1,1))*(PI()*(fi_s/1000)^2/4)*(2*9.81*(O437/100-cota_s-fi_s/2/1000))^0.5*1000)))</f>
        <v>376.61400000000009</v>
      </c>
      <c r="R437" s="19">
        <f t="shared" ca="1" si="92"/>
        <v>403.97534308602576</v>
      </c>
      <c r="S437" s="19">
        <f t="shared" ca="1" si="93"/>
        <v>2226.4665050850722</v>
      </c>
      <c r="AD437" s="19" t="str">
        <f t="shared" si="103"/>
        <v/>
      </c>
      <c r="AE437" s="19" t="str">
        <f t="shared" si="104"/>
        <v/>
      </c>
      <c r="AF437" s="19" t="str">
        <f>IF(ISERROR(IF('Hidrograma afluente'!I444="",0,'Hidrograma afluente'!I444)+Simulação!G437),"",IF('Hidrograma afluente'!I444="",0,'Hidrograma afluente'!I444)+Simulação!G437)</f>
        <v/>
      </c>
      <c r="AG437" s="17" t="s">
        <v>160</v>
      </c>
      <c r="AH437" s="17" t="s">
        <v>160</v>
      </c>
      <c r="AI437" s="27" t="s">
        <v>160</v>
      </c>
      <c r="AJ437" s="17" t="s">
        <v>160</v>
      </c>
      <c r="AK437" s="19" t="str">
        <f>IF(A437="","",IF('Hidrograma afluente'!I444="",0,'Hidrograma afluente'!I444)+Simulação!B437)</f>
        <v/>
      </c>
    </row>
    <row r="438" spans="1:37" s="17" customFormat="1">
      <c r="A438" s="4" t="str">
        <f t="shared" si="106"/>
        <v/>
      </c>
      <c r="B438" s="5" t="str">
        <f>IF(A438="","",IF(A438&gt;tc_lot_i+tc,0,IF('Hidrograma afluente'!B445="","",'Hidrograma afluente'!B445)))</f>
        <v/>
      </c>
      <c r="C438" s="21" t="str">
        <f t="shared" si="107"/>
        <v/>
      </c>
      <c r="D438" s="21" t="str">
        <f t="shared" si="96"/>
        <v/>
      </c>
      <c r="E438" s="21" t="str">
        <f t="shared" si="97"/>
        <v/>
      </c>
      <c r="F438" s="21" t="str">
        <f t="shared" si="98"/>
        <v/>
      </c>
      <c r="G438" s="21" t="str">
        <f t="shared" si="99"/>
        <v/>
      </c>
      <c r="H438" s="23" t="str">
        <f t="shared" si="108"/>
        <v/>
      </c>
      <c r="I438" s="22" t="str">
        <f t="shared" si="100"/>
        <v/>
      </c>
      <c r="J438" s="1"/>
      <c r="K438" s="51"/>
      <c r="M438" s="81">
        <f t="shared" ca="1" si="91"/>
        <v>2639.1043843117959</v>
      </c>
      <c r="N438" s="19">
        <f t="shared" si="101"/>
        <v>66.966301443953526</v>
      </c>
      <c r="O438" s="17">
        <f t="shared" si="102"/>
        <v>109.25</v>
      </c>
      <c r="P438" s="19">
        <f ca="1">IF(ISERROR(IF(O438&lt;fi_h/20,0,(OFFSET('Base de dados'!$A$5,IF(O438&lt;20,1,IF(O438&gt;1000,10,MATCH(O438,Cargas,1))),Coluna_fih,1,1))*(1+0.13*0.25)*(PI()*(fi_h/1000)^2/4)*SQRT(2*9.81*(O438/100-fi_h/2/1000))*1000)),"",IF(O438&lt;fi_h/20,0,(OFFSET('Base de dados'!$A$5,IF(O438&lt;20,1,IF(O438&gt;1000,10,MATCH(O438,Cargas,1))),Coluna_fih,1,1))*(PI()*(fi_h/1000)^2/4)*SQRT(2*9.81*(O438/100-fi_h/2/1000))*1000))</f>
        <v>27.394412960898588</v>
      </c>
      <c r="Q438" s="19">
        <f ca="1">IF(O438="","",IF(Tipo_Vertedor="Retangular",IF(O438&lt;=cota_s*100,0,IF(Tipo_Vertedor="Retangular",Cd_sr*Lef_sr*((O438/100-cota_s)^(3/2))*1000)),IF(O438&lt;=cota_s*100+fi_s/20,0,(OFFSET('Base de dados'!$A$4,IF(O438&lt;20,1,IF(O438&gt;1000,10,MATCH(O438,Cargas,1))),Coluna_fis,1,1))*(PI()*(fi_s/1000)^2/4)*(2*9.81*(O438/100-cota_s-fi_s/2/1000))^0.5*1000)))</f>
        <v>379.49992321911293</v>
      </c>
      <c r="R438" s="19">
        <f t="shared" ca="1" si="92"/>
        <v>406.89433618001152</v>
      </c>
      <c r="S438" s="19">
        <f t="shared" ca="1" si="93"/>
        <v>2232.2100481317843</v>
      </c>
      <c r="AD438" s="19" t="str">
        <f t="shared" si="103"/>
        <v/>
      </c>
      <c r="AE438" s="19" t="str">
        <f t="shared" si="104"/>
        <v/>
      </c>
      <c r="AF438" s="19" t="str">
        <f>IF(ISERROR(IF('Hidrograma afluente'!I445="",0,'Hidrograma afluente'!I445)+Simulação!G438),"",IF('Hidrograma afluente'!I445="",0,'Hidrograma afluente'!I445)+Simulação!G438)</f>
        <v/>
      </c>
      <c r="AG438" s="17" t="s">
        <v>160</v>
      </c>
      <c r="AH438" s="17" t="s">
        <v>160</v>
      </c>
      <c r="AI438" s="27" t="s">
        <v>160</v>
      </c>
      <c r="AJ438" s="17" t="s">
        <v>160</v>
      </c>
      <c r="AK438" s="19" t="str">
        <f>IF(A438="","",IF('Hidrograma afluente'!I445="",0,'Hidrograma afluente'!I445)+Simulação!B438)</f>
        <v/>
      </c>
    </row>
    <row r="439" spans="1:37" s="17" customFormat="1">
      <c r="A439" s="4" t="str">
        <f t="shared" si="106"/>
        <v/>
      </c>
      <c r="B439" s="5" t="str">
        <f>IF(A439="","",IF(A439&gt;tc_lot_i+tc,0,IF('Hidrograma afluente'!B446="","",'Hidrograma afluente'!B446)))</f>
        <v/>
      </c>
      <c r="C439" s="21" t="str">
        <f t="shared" si="107"/>
        <v/>
      </c>
      <c r="D439" s="21" t="str">
        <f t="shared" si="96"/>
        <v/>
      </c>
      <c r="E439" s="21" t="str">
        <f t="shared" si="97"/>
        <v/>
      </c>
      <c r="F439" s="21" t="str">
        <f t="shared" si="98"/>
        <v/>
      </c>
      <c r="G439" s="21" t="str">
        <f t="shared" si="99"/>
        <v/>
      </c>
      <c r="H439" s="23" t="str">
        <f t="shared" si="108"/>
        <v/>
      </c>
      <c r="I439" s="22" t="str">
        <f t="shared" si="100"/>
        <v/>
      </c>
      <c r="J439" s="1"/>
      <c r="K439" s="51"/>
      <c r="M439" s="81">
        <f t="shared" ca="1" si="91"/>
        <v>2647.7758521158144</v>
      </c>
      <c r="N439" s="19">
        <f t="shared" si="101"/>
        <v>67.138656861295473</v>
      </c>
      <c r="O439" s="17">
        <f t="shared" si="102"/>
        <v>109.5</v>
      </c>
      <c r="P439" s="19">
        <f ca="1">IF(ISERROR(IF(O439&lt;fi_h/20,0,(OFFSET('Base de dados'!$A$5,IF(O439&lt;20,1,IF(O439&gt;1000,10,MATCH(O439,Cargas,1))),Coluna_fih,1,1))*(1+0.13*0.25)*(PI()*(fi_h/1000)^2/4)*SQRT(2*9.81*(O439/100-fi_h/2/1000))*1000)),"",IF(O439&lt;fi_h/20,0,(OFFSET('Base de dados'!$A$5,IF(O439&lt;20,1,IF(O439&gt;1000,10,MATCH(O439,Cargas,1))),Coluna_fih,1,1))*(PI()*(fi_h/1000)^2/4)*SQRT(2*9.81*(O439/100-fi_h/2/1000))*1000))</f>
        <v>27.427442962720598</v>
      </c>
      <c r="Q439" s="19">
        <f ca="1">IF(O439="","",IF(Tipo_Vertedor="Retangular",IF(O439&lt;=cota_s*100,0,IF(Tipo_Vertedor="Retangular",Cd_sr*Lef_sr*((O439/100-cota_s)^(3/2))*1000)),IF(O439&lt;=cota_s*100+fi_s/20,0,(OFFSET('Base de dados'!$A$4,IF(O439&lt;20,1,IF(O439&gt;1000,10,MATCH(O439,Cargas,1))),Coluna_fis,1,1))*(PI()*(fi_s/1000)^2/4)*(2*9.81*(O439/100-cota_s-fi_s/2/1000))^0.5*1000)))</f>
        <v>382.39318044324483</v>
      </c>
      <c r="R439" s="19">
        <f t="shared" ca="1" si="92"/>
        <v>409.82062340596542</v>
      </c>
      <c r="S439" s="19">
        <f t="shared" ca="1" si="93"/>
        <v>2237.9552287098491</v>
      </c>
      <c r="AD439" s="19" t="str">
        <f t="shared" si="103"/>
        <v/>
      </c>
      <c r="AE439" s="19" t="str">
        <f t="shared" si="104"/>
        <v/>
      </c>
      <c r="AF439" s="19" t="str">
        <f>IF(ISERROR(IF('Hidrograma afluente'!I446="",0,'Hidrograma afluente'!I446)+Simulação!G439),"",IF('Hidrograma afluente'!I446="",0,'Hidrograma afluente'!I446)+Simulação!G439)</f>
        <v/>
      </c>
      <c r="AG439" s="17" t="s">
        <v>160</v>
      </c>
      <c r="AH439" s="17" t="s">
        <v>160</v>
      </c>
      <c r="AI439" s="27" t="s">
        <v>160</v>
      </c>
      <c r="AJ439" s="17" t="s">
        <v>160</v>
      </c>
      <c r="AK439" s="19" t="str">
        <f>IF(A439="","",IF('Hidrograma afluente'!I446="",0,'Hidrograma afluente'!I446)+Simulação!B439)</f>
        <v/>
      </c>
    </row>
    <row r="440" spans="1:37" s="17" customFormat="1">
      <c r="A440" s="4" t="str">
        <f t="shared" si="106"/>
        <v/>
      </c>
      <c r="B440" s="5" t="str">
        <f>IF(A440="","",IF(A440&gt;tc_lot_i+tc,0,IF('Hidrograma afluente'!B447="","",'Hidrograma afluente'!B447)))</f>
        <v/>
      </c>
      <c r="C440" s="21" t="str">
        <f t="shared" si="107"/>
        <v/>
      </c>
      <c r="D440" s="21" t="str">
        <f t="shared" si="96"/>
        <v/>
      </c>
      <c r="E440" s="21" t="str">
        <f t="shared" si="97"/>
        <v/>
      </c>
      <c r="F440" s="21" t="str">
        <f t="shared" si="98"/>
        <v/>
      </c>
      <c r="G440" s="21" t="str">
        <f t="shared" si="99"/>
        <v/>
      </c>
      <c r="H440" s="23" t="str">
        <f t="shared" si="108"/>
        <v/>
      </c>
      <c r="I440" s="22" t="str">
        <f t="shared" si="100"/>
        <v/>
      </c>
      <c r="J440" s="1"/>
      <c r="K440" s="51"/>
      <c r="M440" s="81">
        <f t="shared" ca="1" si="91"/>
        <v>2656.4562299098711</v>
      </c>
      <c r="N440" s="19">
        <f t="shared" si="101"/>
        <v>67.311061306376388</v>
      </c>
      <c r="O440" s="17">
        <f t="shared" si="102"/>
        <v>109.75</v>
      </c>
      <c r="P440" s="19">
        <f ca="1">IF(ISERROR(IF(O440&lt;fi_h/20,0,(OFFSET('Base de dados'!$A$5,IF(O440&lt;20,1,IF(O440&gt;1000,10,MATCH(O440,Cargas,1))),Coluna_fih,1,1))*(1+0.13*0.25)*(PI()*(fi_h/1000)^2/4)*SQRT(2*9.81*(O440/100-fi_h/2/1000))*1000)),"",IF(O440&lt;fi_h/20,0,(OFFSET('Base de dados'!$A$5,IF(O440&lt;20,1,IF(O440&gt;1000,10,MATCH(O440,Cargas,1))),Coluna_fih,1,1))*(PI()*(fi_h/1000)^2/4)*SQRT(2*9.81*(O440/100-fi_h/2/1000))*1000))</f>
        <v>27.460433235372211</v>
      </c>
      <c r="Q440" s="19">
        <f ca="1">IF(O440="","",IF(Tipo_Vertedor="Retangular",IF(O440&lt;=cota_s*100,0,IF(Tipo_Vertedor="Retangular",Cd_sr*Lef_sr*((O440/100-cota_s)^(3/2))*1000)),IF(O440&lt;=cota_s*100+fi_s/20,0,(OFFSET('Base de dados'!$A$4,IF(O440&lt;20,1,IF(O440&gt;1000,10,MATCH(O440,Cargas,1))),Coluna_fis,1,1))*(PI()*(fi_s/1000)^2/4)*(2*9.81*(O440/100-cota_s-fi_s/2/1000))^0.5*1000)))</f>
        <v>385.29375312861936</v>
      </c>
      <c r="R440" s="19">
        <f t="shared" ca="1" si="92"/>
        <v>412.75418636399155</v>
      </c>
      <c r="S440" s="19">
        <f t="shared" ca="1" si="93"/>
        <v>2243.7020435458794</v>
      </c>
      <c r="AD440" s="19" t="str">
        <f t="shared" si="103"/>
        <v/>
      </c>
      <c r="AE440" s="19" t="str">
        <f t="shared" si="104"/>
        <v/>
      </c>
      <c r="AF440" s="19" t="str">
        <f>IF(ISERROR(IF('Hidrograma afluente'!I447="",0,'Hidrograma afluente'!I447)+Simulação!G440),"",IF('Hidrograma afluente'!I447="",0,'Hidrograma afluente'!I447)+Simulação!G440)</f>
        <v/>
      </c>
      <c r="AG440" s="17" t="s">
        <v>160</v>
      </c>
      <c r="AH440" s="17" t="s">
        <v>160</v>
      </c>
      <c r="AI440" s="27" t="s">
        <v>160</v>
      </c>
      <c r="AJ440" s="17" t="s">
        <v>160</v>
      </c>
      <c r="AK440" s="19" t="str">
        <f>IF(A440="","",IF('Hidrograma afluente'!I447="",0,'Hidrograma afluente'!I447)+Simulação!B440)</f>
        <v/>
      </c>
    </row>
    <row r="441" spans="1:37" s="17" customFormat="1">
      <c r="A441" s="4" t="str">
        <f t="shared" si="106"/>
        <v/>
      </c>
      <c r="B441" s="5" t="str">
        <f>IF(A441="","",IF(A441&gt;tc_lot_i+tc,0,IF('Hidrograma afluente'!B448="","",'Hidrograma afluente'!B448)))</f>
        <v/>
      </c>
      <c r="C441" s="21" t="str">
        <f t="shared" si="107"/>
        <v/>
      </c>
      <c r="D441" s="21" t="str">
        <f t="shared" si="96"/>
        <v/>
      </c>
      <c r="E441" s="21" t="str">
        <f t="shared" si="97"/>
        <v/>
      </c>
      <c r="F441" s="21" t="str">
        <f t="shared" si="98"/>
        <v/>
      </c>
      <c r="G441" s="21" t="str">
        <f t="shared" si="99"/>
        <v/>
      </c>
      <c r="H441" s="23" t="str">
        <f t="shared" si="108"/>
        <v/>
      </c>
      <c r="I441" s="22" t="str">
        <f t="shared" si="100"/>
        <v/>
      </c>
      <c r="J441" s="1"/>
      <c r="K441" s="51"/>
      <c r="M441" s="81">
        <f t="shared" ca="1" si="91"/>
        <v>2665.1454961737622</v>
      </c>
      <c r="N441" s="19">
        <f t="shared" si="101"/>
        <v>67.483514681414306</v>
      </c>
      <c r="O441" s="17">
        <f t="shared" si="102"/>
        <v>110</v>
      </c>
      <c r="P441" s="19">
        <f ca="1">IF(ISERROR(IF(O441&lt;fi_h/20,0,(OFFSET('Base de dados'!$A$5,IF(O441&lt;20,1,IF(O441&gt;1000,10,MATCH(O441,Cargas,1))),Coluna_fih,1,1))*(1+0.13*0.25)*(PI()*(fi_h/1000)^2/4)*SQRT(2*9.81*(O441/100-fi_h/2/1000))*1000)),"",IF(O441&lt;fi_h/20,0,(OFFSET('Base de dados'!$A$5,IF(O441&lt;20,1,IF(O441&gt;1000,10,MATCH(O441,Cargas,1))),Coluna_fih,1,1))*(PI()*(fi_h/1000)^2/4)*SQRT(2*9.81*(O441/100-fi_h/2/1000))*1000))</f>
        <v>27.493383921870688</v>
      </c>
      <c r="Q441" s="19">
        <f ca="1">IF(O441="","",IF(Tipo_Vertedor="Retangular",IF(O441&lt;=cota_s*100,0,IF(Tipo_Vertedor="Retangular",Cd_sr*Lef_sr*((O441/100-cota_s)^(3/2))*1000)),IF(O441&lt;=cota_s*100+fi_s/20,0,(OFFSET('Base de dados'!$A$4,IF(O441&lt;20,1,IF(O441&gt;1000,10,MATCH(O441,Cargas,1))),Coluna_fis,1,1))*(PI()*(fi_s/1000)^2/4)*(2*9.81*(O441/100-cota_s-fi_s/2/1000))^0.5*1000)))</f>
        <v>388.20162287141477</v>
      </c>
      <c r="R441" s="19">
        <f t="shared" ca="1" si="92"/>
        <v>415.69500679328547</v>
      </c>
      <c r="S441" s="19">
        <f t="shared" ca="1" si="93"/>
        <v>2249.4504893804769</v>
      </c>
      <c r="AD441" s="19" t="str">
        <f t="shared" si="103"/>
        <v/>
      </c>
      <c r="AE441" s="19" t="str">
        <f t="shared" si="104"/>
        <v/>
      </c>
      <c r="AF441" s="19" t="str">
        <f>IF(ISERROR(IF('Hidrograma afluente'!I448="",0,'Hidrograma afluente'!I448)+Simulação!G441),"",IF('Hidrograma afluente'!I448="",0,'Hidrograma afluente'!I448)+Simulação!G441)</f>
        <v/>
      </c>
      <c r="AG441" s="17" t="s">
        <v>160</v>
      </c>
      <c r="AH441" s="17" t="s">
        <v>160</v>
      </c>
      <c r="AI441" s="27" t="s">
        <v>160</v>
      </c>
      <c r="AJ441" s="17" t="s">
        <v>160</v>
      </c>
      <c r="AK441" s="19" t="str">
        <f>IF(A441="","",IF('Hidrograma afluente'!I448="",0,'Hidrograma afluente'!I448)+Simulação!B441)</f>
        <v/>
      </c>
    </row>
    <row r="442" spans="1:37" s="17" customFormat="1">
      <c r="A442" s="4" t="str">
        <f t="shared" si="106"/>
        <v/>
      </c>
      <c r="B442" s="5" t="str">
        <f>IF(A442="","",IF(A442&gt;tc_lot_i+tc,0,IF('Hidrograma afluente'!B449="","",'Hidrograma afluente'!B449)))</f>
        <v/>
      </c>
      <c r="C442" s="21" t="str">
        <f t="shared" si="107"/>
        <v/>
      </c>
      <c r="D442" s="21" t="str">
        <f t="shared" si="96"/>
        <v/>
      </c>
      <c r="E442" s="21" t="str">
        <f t="shared" si="97"/>
        <v/>
      </c>
      <c r="F442" s="21" t="str">
        <f t="shared" si="98"/>
        <v/>
      </c>
      <c r="G442" s="21" t="str">
        <f t="shared" si="99"/>
        <v/>
      </c>
      <c r="H442" s="23" t="str">
        <f t="shared" si="108"/>
        <v/>
      </c>
      <c r="I442" s="22" t="str">
        <f t="shared" si="100"/>
        <v/>
      </c>
      <c r="J442" s="1"/>
      <c r="K442" s="51"/>
      <c r="M442" s="81">
        <f t="shared" ca="1" si="91"/>
        <v>2673.8436295385231</v>
      </c>
      <c r="N442" s="19">
        <f t="shared" si="101"/>
        <v>67.656016889044011</v>
      </c>
      <c r="O442" s="17">
        <f t="shared" si="102"/>
        <v>110.25</v>
      </c>
      <c r="P442" s="19">
        <f ca="1">IF(ISERROR(IF(O442&lt;fi_h/20,0,(OFFSET('Base de dados'!$A$5,IF(O442&lt;20,1,IF(O442&gt;1000,10,MATCH(O442,Cargas,1))),Coluna_fih,1,1))*(1+0.13*0.25)*(PI()*(fi_h/1000)^2/4)*SQRT(2*9.81*(O442/100-fi_h/2/1000))*1000)),"",IF(O442&lt;fi_h/20,0,(OFFSET('Base de dados'!$A$5,IF(O442&lt;20,1,IF(O442&gt;1000,10,MATCH(O442,Cargas,1))),Coluna_fih,1,1))*(PI()*(fi_h/1000)^2/4)*SQRT(2*9.81*(O442/100-fi_h/2/1000))*1000))</f>
        <v>27.526295164377288</v>
      </c>
      <c r="Q442" s="19">
        <f ca="1">IF(O442="","",IF(Tipo_Vertedor="Retangular",IF(O442&lt;=cota_s*100,0,IF(Tipo_Vertedor="Retangular",Cd_sr*Lef_sr*((O442/100-cota_s)^(3/2))*1000)),IF(O442&lt;=cota_s*100+fi_s/20,0,(OFFSET('Base de dados'!$A$4,IF(O442&lt;20,1,IF(O442&gt;1000,10,MATCH(O442,Cargas,1))),Coluna_fis,1,1))*(PI()*(fi_s/1000)^2/4)*(2*9.81*(O442/100-cota_s-fi_s/2/1000))^0.5*1000)))</f>
        <v>391.11677140601194</v>
      </c>
      <c r="R442" s="19">
        <f t="shared" ca="1" si="92"/>
        <v>418.64306657038924</v>
      </c>
      <c r="S442" s="19">
        <f t="shared" ca="1" si="93"/>
        <v>2255.2005629681339</v>
      </c>
      <c r="AD442" s="19" t="str">
        <f t="shared" si="103"/>
        <v/>
      </c>
      <c r="AE442" s="19" t="str">
        <f t="shared" si="104"/>
        <v/>
      </c>
      <c r="AF442" s="19" t="str">
        <f>IF(ISERROR(IF('Hidrograma afluente'!I449="",0,'Hidrograma afluente'!I449)+Simulação!G442),"",IF('Hidrograma afluente'!I449="",0,'Hidrograma afluente'!I449)+Simulação!G442)</f>
        <v/>
      </c>
      <c r="AG442" s="17" t="s">
        <v>160</v>
      </c>
      <c r="AH442" s="17" t="s">
        <v>160</v>
      </c>
      <c r="AI442" s="27" t="s">
        <v>160</v>
      </c>
      <c r="AJ442" s="17" t="s">
        <v>160</v>
      </c>
      <c r="AK442" s="19" t="str">
        <f>IF(A442="","",IF('Hidrograma afluente'!I449="",0,'Hidrograma afluente'!I449)+Simulação!B442)</f>
        <v/>
      </c>
    </row>
    <row r="443" spans="1:37" s="17" customFormat="1">
      <c r="A443" s="4" t="str">
        <f t="shared" si="106"/>
        <v/>
      </c>
      <c r="B443" s="5" t="str">
        <f>IF(A443="","",IF(A443&gt;tc_lot_i+tc,0,IF('Hidrograma afluente'!B450="","",'Hidrograma afluente'!B450)))</f>
        <v/>
      </c>
      <c r="C443" s="21" t="str">
        <f t="shared" si="107"/>
        <v/>
      </c>
      <c r="D443" s="21" t="str">
        <f t="shared" si="96"/>
        <v/>
      </c>
      <c r="E443" s="21" t="str">
        <f t="shared" si="97"/>
        <v/>
      </c>
      <c r="F443" s="21" t="str">
        <f t="shared" si="98"/>
        <v/>
      </c>
      <c r="G443" s="21" t="str">
        <f t="shared" si="99"/>
        <v/>
      </c>
      <c r="H443" s="23" t="str">
        <f t="shared" si="108"/>
        <v/>
      </c>
      <c r="I443" s="22" t="str">
        <f t="shared" si="100"/>
        <v/>
      </c>
      <c r="J443" s="1"/>
      <c r="K443" s="51"/>
      <c r="M443" s="81">
        <f t="shared" ca="1" si="91"/>
        <v>2682.5506087846279</v>
      </c>
      <c r="N443" s="19">
        <f t="shared" si="101"/>
        <v>67.828567832314462</v>
      </c>
      <c r="O443" s="17">
        <f t="shared" si="102"/>
        <v>110.5</v>
      </c>
      <c r="P443" s="19">
        <f ca="1">IF(ISERROR(IF(O443&lt;fi_h/20,0,(OFFSET('Base de dados'!$A$5,IF(O443&lt;20,1,IF(O443&gt;1000,10,MATCH(O443,Cargas,1))),Coluna_fih,1,1))*(1+0.13*0.25)*(PI()*(fi_h/1000)^2/4)*SQRT(2*9.81*(O443/100-fi_h/2/1000))*1000)),"",IF(O443&lt;fi_h/20,0,(OFFSET('Base de dados'!$A$5,IF(O443&lt;20,1,IF(O443&gt;1000,10,MATCH(O443,Cargas,1))),Coluna_fih,1,1))*(PI()*(fi_h/1000)^2/4)*SQRT(2*9.81*(O443/100-fi_h/2/1000))*1000))</f>
        <v>27.55916710420443</v>
      </c>
      <c r="Q443" s="19">
        <f ca="1">IF(O443="","",IF(Tipo_Vertedor="Retangular",IF(O443&lt;=cota_s*100,0,IF(Tipo_Vertedor="Retangular",Cd_sr*Lef_sr*((O443/100-cota_s)^(3/2))*1000)),IF(O443&lt;=cota_s*100+fi_s/20,0,(OFFSET('Base de dados'!$A$4,IF(O443&lt;20,1,IF(O443&gt;1000,10,MATCH(O443,Cargas,1))),Coluna_fis,1,1))*(PI()*(fi_s/1000)^2/4)*(2*9.81*(O443/100-cota_s-fi_s/2/1000))^0.5*1000)))</f>
        <v>394.03918060327453</v>
      </c>
      <c r="R443" s="19">
        <f t="shared" ca="1" si="92"/>
        <v>421.59834770747898</v>
      </c>
      <c r="S443" s="19">
        <f t="shared" ca="1" si="93"/>
        <v>2260.9522610771487</v>
      </c>
      <c r="AD443" s="19" t="str">
        <f t="shared" si="103"/>
        <v/>
      </c>
      <c r="AE443" s="19" t="str">
        <f t="shared" si="104"/>
        <v/>
      </c>
      <c r="AF443" s="19" t="str">
        <f>IF(ISERROR(IF('Hidrograma afluente'!I450="",0,'Hidrograma afluente'!I450)+Simulação!G443),"",IF('Hidrograma afluente'!I450="",0,'Hidrograma afluente'!I450)+Simulação!G443)</f>
        <v/>
      </c>
      <c r="AG443" s="17" t="s">
        <v>160</v>
      </c>
      <c r="AH443" s="17" t="s">
        <v>160</v>
      </c>
      <c r="AI443" s="27" t="s">
        <v>160</v>
      </c>
      <c r="AJ443" s="17" t="s">
        <v>160</v>
      </c>
      <c r="AK443" s="19" t="str">
        <f>IF(A443="","",IF('Hidrograma afluente'!I450="",0,'Hidrograma afluente'!I450)+Simulação!B443)</f>
        <v/>
      </c>
    </row>
    <row r="444" spans="1:37" s="17" customFormat="1">
      <c r="A444" s="4" t="str">
        <f t="shared" si="106"/>
        <v/>
      </c>
      <c r="B444" s="5" t="str">
        <f>IF(A444="","",IF(A444&gt;tc_lot_i+tc,0,IF('Hidrograma afluente'!B451="","",'Hidrograma afluente'!B451)))</f>
        <v/>
      </c>
      <c r="C444" s="21" t="str">
        <f t="shared" si="107"/>
        <v/>
      </c>
      <c r="D444" s="21" t="str">
        <f t="shared" si="96"/>
        <v/>
      </c>
      <c r="E444" s="21" t="str">
        <f t="shared" si="97"/>
        <v/>
      </c>
      <c r="F444" s="21" t="str">
        <f t="shared" si="98"/>
        <v/>
      </c>
      <c r="G444" s="21" t="str">
        <f t="shared" si="99"/>
        <v/>
      </c>
      <c r="H444" s="23" t="str">
        <f t="shared" si="108"/>
        <v/>
      </c>
      <c r="I444" s="22" t="str">
        <f t="shared" si="100"/>
        <v/>
      </c>
      <c r="J444" s="1"/>
      <c r="K444" s="51"/>
      <c r="M444" s="81">
        <f t="shared" ca="1" si="91"/>
        <v>2691.2664128402157</v>
      </c>
      <c r="N444" s="19">
        <f t="shared" si="101"/>
        <v>68.00116741468608</v>
      </c>
      <c r="O444" s="17">
        <f t="shared" si="102"/>
        <v>110.75</v>
      </c>
      <c r="P444" s="19">
        <f ca="1">IF(ISERROR(IF(O444&lt;fi_h/20,0,(OFFSET('Base de dados'!$A$5,IF(O444&lt;20,1,IF(O444&gt;1000,10,MATCH(O444,Cargas,1))),Coluna_fih,1,1))*(1+0.13*0.25)*(PI()*(fi_h/1000)^2/4)*SQRT(2*9.81*(O444/100-fi_h/2/1000))*1000)),"",IF(O444&lt;fi_h/20,0,(OFFSET('Base de dados'!$A$5,IF(O444&lt;20,1,IF(O444&gt;1000,10,MATCH(O444,Cargas,1))),Coluna_fih,1,1))*(PI()*(fi_h/1000)^2/4)*SQRT(2*9.81*(O444/100-fi_h/2/1000))*1000))</f>
        <v>27.591999881822748</v>
      </c>
      <c r="Q444" s="19">
        <f ca="1">IF(O444="","",IF(Tipo_Vertedor="Retangular",IF(O444&lt;=cota_s*100,0,IF(Tipo_Vertedor="Retangular",Cd_sr*Lef_sr*((O444/100-cota_s)^(3/2))*1000)),IF(O444&lt;=cota_s*100+fi_s/20,0,(OFFSET('Base de dados'!$A$4,IF(O444&lt;20,1,IF(O444&gt;1000,10,MATCH(O444,Cargas,1))),Coluna_fis,1,1))*(PI()*(fi_s/1000)^2/4)*(2*9.81*(O444/100-cota_s-fi_s/2/1000))^0.5*1000)))</f>
        <v>396.96883246885693</v>
      </c>
      <c r="R444" s="19">
        <f t="shared" ca="1" si="92"/>
        <v>424.56083235067968</v>
      </c>
      <c r="S444" s="19">
        <f t="shared" ca="1" si="93"/>
        <v>2266.7055804895358</v>
      </c>
      <c r="AD444" s="19" t="str">
        <f t="shared" si="103"/>
        <v/>
      </c>
      <c r="AE444" s="19" t="str">
        <f t="shared" si="104"/>
        <v/>
      </c>
      <c r="AF444" s="19" t="str">
        <f>IF(ISERROR(IF('Hidrograma afluente'!I451="",0,'Hidrograma afluente'!I451)+Simulação!G444),"",IF('Hidrograma afluente'!I451="",0,'Hidrograma afluente'!I451)+Simulação!G444)</f>
        <v/>
      </c>
      <c r="AG444" s="17" t="s">
        <v>160</v>
      </c>
      <c r="AH444" s="17" t="s">
        <v>160</v>
      </c>
      <c r="AI444" s="27" t="s">
        <v>160</v>
      </c>
      <c r="AJ444" s="17" t="s">
        <v>160</v>
      </c>
      <c r="AK444" s="19" t="str">
        <f>IF(A444="","",IF('Hidrograma afluente'!I451="",0,'Hidrograma afluente'!I451)+Simulação!B444)</f>
        <v/>
      </c>
    </row>
    <row r="445" spans="1:37" s="17" customFormat="1">
      <c r="A445" s="4" t="str">
        <f t="shared" si="106"/>
        <v/>
      </c>
      <c r="B445" s="5" t="str">
        <f>IF(A445="","",IF(A445&gt;tc_lot_i+tc,0,IF('Hidrograma afluente'!B452="","",'Hidrograma afluente'!B452)))</f>
        <v/>
      </c>
      <c r="C445" s="21" t="str">
        <f t="shared" si="107"/>
        <v/>
      </c>
      <c r="D445" s="21" t="str">
        <f t="shared" si="96"/>
        <v/>
      </c>
      <c r="E445" s="21" t="str">
        <f t="shared" si="97"/>
        <v/>
      </c>
      <c r="F445" s="21" t="str">
        <f t="shared" si="98"/>
        <v/>
      </c>
      <c r="G445" s="21" t="str">
        <f t="shared" si="99"/>
        <v/>
      </c>
      <c r="H445" s="23" t="str">
        <f t="shared" si="108"/>
        <v/>
      </c>
      <c r="I445" s="22" t="str">
        <f t="shared" si="100"/>
        <v/>
      </c>
      <c r="J445" s="1"/>
      <c r="K445" s="51"/>
      <c r="M445" s="81">
        <f t="shared" ca="1" si="91"/>
        <v>2699.9910207793432</v>
      </c>
      <c r="N445" s="19">
        <f t="shared" si="101"/>
        <v>68.173815540027974</v>
      </c>
      <c r="O445" s="17">
        <f t="shared" si="102"/>
        <v>111</v>
      </c>
      <c r="P445" s="19">
        <f ca="1">IF(ISERROR(IF(O445&lt;fi_h/20,0,(OFFSET('Base de dados'!$A$5,IF(O445&lt;20,1,IF(O445&gt;1000,10,MATCH(O445,Cargas,1))),Coluna_fih,1,1))*(1+0.13*0.25)*(PI()*(fi_h/1000)^2/4)*SQRT(2*9.81*(O445/100-fi_h/2/1000))*1000)),"",IF(O445&lt;fi_h/20,0,(OFFSET('Base de dados'!$A$5,IF(O445&lt;20,1,IF(O445&gt;1000,10,MATCH(O445,Cargas,1))),Coluna_fih,1,1))*(PI()*(fi_h/1000)^2/4)*SQRT(2*9.81*(O445/100-fi_h/2/1000))*1000))</f>
        <v>27.624793636868123</v>
      </c>
      <c r="Q445" s="19">
        <f ca="1">IF(O445="","",IF(Tipo_Vertedor="Retangular",IF(O445&lt;=cota_s*100,0,IF(Tipo_Vertedor="Retangular",Cd_sr*Lef_sr*((O445/100-cota_s)^(3/2))*1000)),IF(O445&lt;=cota_s*100+fi_s/20,0,(OFFSET('Base de dados'!$A$4,IF(O445&lt;20,1,IF(O445&gt;1000,10,MATCH(O445,Cargas,1))),Coluna_fis,1,1))*(PI()*(fi_s/1000)^2/4)*(2*9.81*(O445/100-cota_s-fi_s/2/1000))^0.5*1000)))</f>
        <v>399.90570914154267</v>
      </c>
      <c r="R445" s="19">
        <f t="shared" ca="1" si="92"/>
        <v>427.53050277841078</v>
      </c>
      <c r="S445" s="19">
        <f t="shared" ca="1" si="93"/>
        <v>2272.4605180009326</v>
      </c>
      <c r="AD445" s="19" t="str">
        <f t="shared" si="103"/>
        <v/>
      </c>
      <c r="AE445" s="19" t="str">
        <f t="shared" si="104"/>
        <v/>
      </c>
      <c r="AF445" s="19" t="str">
        <f>IF(ISERROR(IF('Hidrograma afluente'!I452="",0,'Hidrograma afluente'!I452)+Simulação!G445),"",IF('Hidrograma afluente'!I452="",0,'Hidrograma afluente'!I452)+Simulação!G445)</f>
        <v/>
      </c>
      <c r="AG445" s="17" t="s">
        <v>160</v>
      </c>
      <c r="AH445" s="17" t="s">
        <v>160</v>
      </c>
      <c r="AI445" s="27" t="s">
        <v>160</v>
      </c>
      <c r="AJ445" s="17" t="s">
        <v>160</v>
      </c>
      <c r="AK445" s="19" t="str">
        <f>IF(A445="","",IF('Hidrograma afluente'!I452="",0,'Hidrograma afluente'!I452)+Simulação!B445)</f>
        <v/>
      </c>
    </row>
    <row r="446" spans="1:37" s="17" customFormat="1">
      <c r="A446" s="4" t="str">
        <f t="shared" si="106"/>
        <v/>
      </c>
      <c r="B446" s="5" t="str">
        <f>IF(A446="","",IF(A446&gt;tc_lot_i+tc,0,IF('Hidrograma afluente'!B453="","",'Hidrograma afluente'!B453)))</f>
        <v/>
      </c>
      <c r="C446" s="21" t="str">
        <f t="shared" si="107"/>
        <v/>
      </c>
      <c r="D446" s="21" t="str">
        <f t="shared" si="96"/>
        <v/>
      </c>
      <c r="E446" s="21" t="str">
        <f t="shared" si="97"/>
        <v/>
      </c>
      <c r="F446" s="21" t="str">
        <f t="shared" si="98"/>
        <v/>
      </c>
      <c r="G446" s="21" t="str">
        <f t="shared" si="99"/>
        <v/>
      </c>
      <c r="H446" s="23" t="str">
        <f t="shared" si="108"/>
        <v/>
      </c>
      <c r="I446" s="22" t="str">
        <f t="shared" si="100"/>
        <v/>
      </c>
      <c r="J446" s="1"/>
      <c r="K446" s="51"/>
      <c r="M446" s="81">
        <f t="shared" ca="1" si="91"/>
        <v>2708.7244118202707</v>
      </c>
      <c r="N446" s="19">
        <f t="shared" si="101"/>
        <v>68.346512112615386</v>
      </c>
      <c r="O446" s="17">
        <f t="shared" si="102"/>
        <v>111.25</v>
      </c>
      <c r="P446" s="19">
        <f ca="1">IF(ISERROR(IF(O446&lt;fi_h/20,0,(OFFSET('Base de dados'!$A$5,IF(O446&lt;20,1,IF(O446&gt;1000,10,MATCH(O446,Cargas,1))),Coluna_fih,1,1))*(1+0.13*0.25)*(PI()*(fi_h/1000)^2/4)*SQRT(2*9.81*(O446/100-fi_h/2/1000))*1000)),"",IF(O446&lt;fi_h/20,0,(OFFSET('Base de dados'!$A$5,IF(O446&lt;20,1,IF(O446&gt;1000,10,MATCH(O446,Cargas,1))),Coluna_fih,1,1))*(PI()*(fi_h/1000)^2/4)*SQRT(2*9.81*(O446/100-fi_h/2/1000))*1000))</f>
        <v>27.657548508148594</v>
      </c>
      <c r="Q446" s="19">
        <f ca="1">IF(O446="","",IF(Tipo_Vertedor="Retangular",IF(O446&lt;=cota_s*100,0,IF(Tipo_Vertedor="Retangular",Cd_sr*Lef_sr*((O446/100-cota_s)^(3/2))*1000)),IF(O446&lt;=cota_s*100+fi_s/20,0,(OFFSET('Base de dados'!$A$4,IF(O446&lt;20,1,IF(O446&gt;1000,10,MATCH(O446,Cargas,1))),Coluna_fis,1,1))*(PI()*(fi_s/1000)^2/4)*(2*9.81*(O446/100-cota_s-fi_s/2/1000))^0.5*1000)))</f>
        <v>402.84979289160935</v>
      </c>
      <c r="R446" s="19">
        <f t="shared" ca="1" si="92"/>
        <v>430.50734139975793</v>
      </c>
      <c r="S446" s="19">
        <f t="shared" ca="1" si="93"/>
        <v>2278.2170704205128</v>
      </c>
      <c r="AD446" s="19" t="str">
        <f t="shared" si="103"/>
        <v/>
      </c>
      <c r="AE446" s="19" t="str">
        <f t="shared" si="104"/>
        <v/>
      </c>
      <c r="AF446" s="19" t="str">
        <f>IF(ISERROR(IF('Hidrograma afluente'!I453="",0,'Hidrograma afluente'!I453)+Simulação!G446),"",IF('Hidrograma afluente'!I453="",0,'Hidrograma afluente'!I453)+Simulação!G446)</f>
        <v/>
      </c>
      <c r="AG446" s="17" t="s">
        <v>160</v>
      </c>
      <c r="AH446" s="17" t="s">
        <v>160</v>
      </c>
      <c r="AI446" s="27" t="s">
        <v>160</v>
      </c>
      <c r="AJ446" s="17" t="s">
        <v>160</v>
      </c>
      <c r="AK446" s="19" t="str">
        <f>IF(A446="","",IF('Hidrograma afluente'!I453="",0,'Hidrograma afluente'!I453)+Simulação!B446)</f>
        <v/>
      </c>
    </row>
    <row r="447" spans="1:37" s="17" customFormat="1">
      <c r="A447" s="4" t="str">
        <f t="shared" si="106"/>
        <v/>
      </c>
      <c r="B447" s="5" t="str">
        <f>IF(A447="","",IF(A447&gt;tc_lot_i+tc,0,IF('Hidrograma afluente'!B454="","",'Hidrograma afluente'!B454)))</f>
        <v/>
      </c>
      <c r="C447" s="21" t="str">
        <f t="shared" si="107"/>
        <v/>
      </c>
      <c r="D447" s="21" t="str">
        <f t="shared" si="96"/>
        <v/>
      </c>
      <c r="E447" s="21" t="str">
        <f t="shared" si="97"/>
        <v/>
      </c>
      <c r="F447" s="21" t="str">
        <f t="shared" si="98"/>
        <v/>
      </c>
      <c r="G447" s="21" t="str">
        <f t="shared" si="99"/>
        <v/>
      </c>
      <c r="H447" s="23" t="str">
        <f t="shared" si="108"/>
        <v/>
      </c>
      <c r="I447" s="22" t="str">
        <f t="shared" si="100"/>
        <v/>
      </c>
      <c r="J447" s="1"/>
      <c r="K447" s="51"/>
      <c r="M447" s="81">
        <f t="shared" ca="1" si="91"/>
        <v>2717.466565323778</v>
      </c>
      <c r="N447" s="19">
        <f t="shared" si="101"/>
        <v>68.519257037127048</v>
      </c>
      <c r="O447" s="17">
        <f t="shared" si="102"/>
        <v>111.5</v>
      </c>
      <c r="P447" s="19">
        <f ca="1">IF(ISERROR(IF(O447&lt;fi_h/20,0,(OFFSET('Base de dados'!$A$5,IF(O447&lt;20,1,IF(O447&gt;1000,10,MATCH(O447,Cargas,1))),Coluna_fih,1,1))*(1+0.13*0.25)*(PI()*(fi_h/1000)^2/4)*SQRT(2*9.81*(O447/100-fi_h/2/1000))*1000)),"",IF(O447&lt;fi_h/20,0,(OFFSET('Base de dados'!$A$5,IF(O447&lt;20,1,IF(O447&gt;1000,10,MATCH(O447,Cargas,1))),Coluna_fih,1,1))*(PI()*(fi_h/1000)^2/4)*SQRT(2*9.81*(O447/100-fi_h/2/1000))*1000))</f>
        <v>27.690264633651218</v>
      </c>
      <c r="Q447" s="19">
        <f ca="1">IF(O447="","",IF(Tipo_Vertedor="Retangular",IF(O447&lt;=cota_s*100,0,IF(Tipo_Vertedor="Retangular",Cd_sr*Lef_sr*((O447/100-cota_s)^(3/2))*1000)),IF(O447&lt;=cota_s*100+fi_s/20,0,(OFFSET('Base de dados'!$A$4,IF(O447&lt;20,1,IF(O447&gt;1000,10,MATCH(O447,Cargas,1))),Coluna_fis,1,1))*(PI()*(fi_s/1000)^2/4)*(2*9.81*(O447/100-cota_s-fi_s/2/1000))^0.5*1000)))</f>
        <v>405.80106611922548</v>
      </c>
      <c r="R447" s="19">
        <f t="shared" ca="1" si="92"/>
        <v>433.49133075287671</v>
      </c>
      <c r="S447" s="19">
        <f t="shared" ca="1" si="93"/>
        <v>2283.9752345709012</v>
      </c>
      <c r="AD447" s="19" t="str">
        <f t="shared" si="103"/>
        <v/>
      </c>
      <c r="AE447" s="19" t="str">
        <f t="shared" si="104"/>
        <v/>
      </c>
      <c r="AF447" s="19" t="str">
        <f>IF(ISERROR(IF('Hidrograma afluente'!I454="",0,'Hidrograma afluente'!I454)+Simulação!G447),"",IF('Hidrograma afluente'!I454="",0,'Hidrograma afluente'!I454)+Simulação!G447)</f>
        <v/>
      </c>
      <c r="AG447" s="17" t="s">
        <v>160</v>
      </c>
      <c r="AH447" s="17" t="s">
        <v>160</v>
      </c>
      <c r="AI447" s="27" t="s">
        <v>160</v>
      </c>
      <c r="AJ447" s="17" t="s">
        <v>160</v>
      </c>
      <c r="AK447" s="19" t="str">
        <f>IF(A447="","",IF('Hidrograma afluente'!I454="",0,'Hidrograma afluente'!I454)+Simulação!B447)</f>
        <v/>
      </c>
    </row>
    <row r="448" spans="1:37" s="17" customFormat="1">
      <c r="A448" s="4" t="str">
        <f t="shared" si="106"/>
        <v/>
      </c>
      <c r="B448" s="5" t="str">
        <f>IF(A448="","",IF(A448&gt;tc_lot_i+tc,0,IF('Hidrograma afluente'!B455="","",'Hidrograma afluente'!B455)))</f>
        <v/>
      </c>
      <c r="C448" s="21" t="str">
        <f t="shared" si="107"/>
        <v/>
      </c>
      <c r="D448" s="21" t="str">
        <f t="shared" si="96"/>
        <v/>
      </c>
      <c r="E448" s="21" t="str">
        <f t="shared" si="97"/>
        <v/>
      </c>
      <c r="F448" s="21" t="str">
        <f t="shared" si="98"/>
        <v/>
      </c>
      <c r="G448" s="21" t="str">
        <f t="shared" si="99"/>
        <v/>
      </c>
      <c r="H448" s="23" t="str">
        <f t="shared" si="108"/>
        <v/>
      </c>
      <c r="I448" s="22" t="str">
        <f t="shared" si="100"/>
        <v/>
      </c>
      <c r="J448" s="1"/>
      <c r="K448" s="51"/>
      <c r="M448" s="81">
        <f t="shared" ca="1" si="91"/>
        <v>2726.2174607915049</v>
      </c>
      <c r="N448" s="19">
        <f t="shared" si="101"/>
        <v>68.692050218642564</v>
      </c>
      <c r="O448" s="17">
        <f t="shared" si="102"/>
        <v>111.75</v>
      </c>
      <c r="P448" s="19">
        <f ca="1">IF(ISERROR(IF(O448&lt;fi_h/20,0,(OFFSET('Base de dados'!$A$5,IF(O448&lt;20,1,IF(O448&gt;1000,10,MATCH(O448,Cargas,1))),Coluna_fih,1,1))*(1+0.13*0.25)*(PI()*(fi_h/1000)^2/4)*SQRT(2*9.81*(O448/100-fi_h/2/1000))*1000)),"",IF(O448&lt;fi_h/20,0,(OFFSET('Base de dados'!$A$5,IF(O448&lt;20,1,IF(O448&gt;1000,10,MATCH(O448,Cargas,1))),Coluna_fih,1,1))*(PI()*(fi_h/1000)^2/4)*SQRT(2*9.81*(O448/100-fi_h/2/1000))*1000))</f>
        <v>27.722942150548857</v>
      </c>
      <c r="Q448" s="19">
        <f ca="1">IF(O448="","",IF(Tipo_Vertedor="Retangular",IF(O448&lt;=cota_s*100,0,IF(Tipo_Vertedor="Retangular",Cd_sr*Lef_sr*((O448/100-cota_s)^(3/2))*1000)),IF(O448&lt;=cota_s*100+fi_s/20,0,(OFFSET('Base de dados'!$A$4,IF(O448&lt;20,1,IF(O448&gt;1000,10,MATCH(O448,Cargas,1))),Coluna_fis,1,1))*(PI()*(fi_s/1000)^2/4)*(2*9.81*(O448/100-cota_s-fi_s/2/1000))^0.5*1000)))</f>
        <v>408.75951135287045</v>
      </c>
      <c r="R448" s="19">
        <f t="shared" ca="1" si="92"/>
        <v>436.48245350341932</v>
      </c>
      <c r="S448" s="19">
        <f t="shared" ca="1" si="93"/>
        <v>2289.7350072880854</v>
      </c>
      <c r="AD448" s="19" t="str">
        <f t="shared" si="103"/>
        <v/>
      </c>
      <c r="AE448" s="19" t="str">
        <f t="shared" si="104"/>
        <v/>
      </c>
      <c r="AF448" s="19" t="str">
        <f>IF(ISERROR(IF('Hidrograma afluente'!I455="",0,'Hidrograma afluente'!I455)+Simulação!G448),"",IF('Hidrograma afluente'!I455="",0,'Hidrograma afluente'!I455)+Simulação!G448)</f>
        <v/>
      </c>
      <c r="AG448" s="17" t="s">
        <v>160</v>
      </c>
      <c r="AH448" s="17" t="s">
        <v>160</v>
      </c>
      <c r="AI448" s="27" t="s">
        <v>160</v>
      </c>
      <c r="AJ448" s="17" t="s">
        <v>160</v>
      </c>
      <c r="AK448" s="19" t="str">
        <f>IF(A448="","",IF('Hidrograma afluente'!I455="",0,'Hidrograma afluente'!I455)+Simulação!B448)</f>
        <v/>
      </c>
    </row>
    <row r="449" spans="1:37" s="17" customFormat="1">
      <c r="A449" s="4" t="str">
        <f t="shared" si="106"/>
        <v/>
      </c>
      <c r="B449" s="5" t="str">
        <f>IF(A449="","",IF(A449&gt;tc_lot_i+tc,0,IF('Hidrograma afluente'!B456="","",'Hidrograma afluente'!B456)))</f>
        <v/>
      </c>
      <c r="C449" s="21" t="str">
        <f t="shared" si="107"/>
        <v/>
      </c>
      <c r="D449" s="21" t="str">
        <f t="shared" si="96"/>
        <v/>
      </c>
      <c r="E449" s="21" t="str">
        <f t="shared" si="97"/>
        <v/>
      </c>
      <c r="F449" s="21" t="str">
        <f t="shared" si="98"/>
        <v/>
      </c>
      <c r="G449" s="21" t="str">
        <f t="shared" si="99"/>
        <v/>
      </c>
      <c r="H449" s="23" t="str">
        <f t="shared" si="108"/>
        <v/>
      </c>
      <c r="I449" s="22" t="str">
        <f t="shared" si="100"/>
        <v/>
      </c>
      <c r="J449" s="1"/>
      <c r="K449" s="51"/>
      <c r="M449" s="81">
        <f t="shared" ca="1" si="91"/>
        <v>2734.9770778643197</v>
      </c>
      <c r="N449" s="19">
        <f t="shared" si="101"/>
        <v>68.864891562639869</v>
      </c>
      <c r="O449" s="17">
        <f t="shared" si="102"/>
        <v>112</v>
      </c>
      <c r="P449" s="19">
        <f ca="1">IF(ISERROR(IF(O449&lt;fi_h/20,0,(OFFSET('Base de dados'!$A$5,IF(O449&lt;20,1,IF(O449&gt;1000,10,MATCH(O449,Cargas,1))),Coluna_fih,1,1))*(1+0.13*0.25)*(PI()*(fi_h/1000)^2/4)*SQRT(2*9.81*(O449/100-fi_h/2/1000))*1000)),"",IF(O449&lt;fi_h/20,0,(OFFSET('Base de dados'!$A$5,IF(O449&lt;20,1,IF(O449&gt;1000,10,MATCH(O449,Cargas,1))),Coluna_fih,1,1))*(PI()*(fi_h/1000)^2/4)*SQRT(2*9.81*(O449/100-fi_h/2/1000))*1000))</f>
        <v>27.755581195206872</v>
      </c>
      <c r="Q449" s="19">
        <f ca="1">IF(O449="","",IF(Tipo_Vertedor="Retangular",IF(O449&lt;=cota_s*100,0,IF(Tipo_Vertedor="Retangular",Cd_sr*Lef_sr*((O449/100-cota_s)^(3/2))*1000)),IF(O449&lt;=cota_s*100+fi_s/20,0,(OFFSET('Base de dados'!$A$4,IF(O449&lt;20,1,IF(O449&gt;1000,10,MATCH(O449,Cargas,1))),Coluna_fis,1,1))*(PI()*(fi_s/1000)^2/4)*(2*9.81*(O449/100-cota_s-fi_s/2/1000))^0.5*1000)))</f>
        <v>411.72511124778413</v>
      </c>
      <c r="R449" s="19">
        <f t="shared" ca="1" si="92"/>
        <v>439.48069244299097</v>
      </c>
      <c r="S449" s="19">
        <f t="shared" ca="1" si="93"/>
        <v>2295.4963854213288</v>
      </c>
      <c r="AD449" s="19" t="str">
        <f t="shared" si="103"/>
        <v/>
      </c>
      <c r="AE449" s="19" t="str">
        <f t="shared" si="104"/>
        <v/>
      </c>
      <c r="AF449" s="19" t="str">
        <f>IF(ISERROR(IF('Hidrograma afluente'!I456="",0,'Hidrograma afluente'!I456)+Simulação!G449),"",IF('Hidrograma afluente'!I456="",0,'Hidrograma afluente'!I456)+Simulação!G449)</f>
        <v/>
      </c>
      <c r="AG449" s="17" t="s">
        <v>160</v>
      </c>
      <c r="AH449" s="17" t="s">
        <v>160</v>
      </c>
      <c r="AI449" s="27" t="s">
        <v>160</v>
      </c>
      <c r="AJ449" s="17" t="s">
        <v>160</v>
      </c>
      <c r="AK449" s="19" t="str">
        <f>IF(A449="","",IF('Hidrograma afluente'!I456="",0,'Hidrograma afluente'!I456)+Simulação!B449)</f>
        <v/>
      </c>
    </row>
    <row r="450" spans="1:37" s="17" customFormat="1">
      <c r="A450" s="4" t="str">
        <f t="shared" si="106"/>
        <v/>
      </c>
      <c r="B450" s="5" t="str">
        <f>IF(A450="","",IF(A450&gt;tc_lot_i+tc,0,IF('Hidrograma afluente'!B457="","",'Hidrograma afluente'!B457)))</f>
        <v/>
      </c>
      <c r="C450" s="21" t="str">
        <f t="shared" si="107"/>
        <v/>
      </c>
      <c r="D450" s="21" t="str">
        <f t="shared" si="96"/>
        <v/>
      </c>
      <c r="E450" s="21" t="str">
        <f t="shared" si="97"/>
        <v/>
      </c>
      <c r="F450" s="21" t="str">
        <f t="shared" si="98"/>
        <v/>
      </c>
      <c r="G450" s="21" t="str">
        <f t="shared" si="99"/>
        <v/>
      </c>
      <c r="H450" s="23" t="str">
        <f t="shared" si="108"/>
        <v/>
      </c>
      <c r="I450" s="22" t="str">
        <f t="shared" si="100"/>
        <v/>
      </c>
      <c r="J450" s="1"/>
      <c r="K450" s="51"/>
      <c r="M450" s="81">
        <f t="shared" ca="1" si="91"/>
        <v>2743.7453963207158</v>
      </c>
      <c r="N450" s="19">
        <f t="shared" si="101"/>
        <v>69.0377809749926</v>
      </c>
      <c r="O450" s="17">
        <f t="shared" si="102"/>
        <v>112.25</v>
      </c>
      <c r="P450" s="19">
        <f ca="1">IF(ISERROR(IF(O450&lt;fi_h/20,0,(OFFSET('Base de dados'!$A$5,IF(O450&lt;20,1,IF(O450&gt;1000,10,MATCH(O450,Cargas,1))),Coluna_fih,1,1))*(1+0.13*0.25)*(PI()*(fi_h/1000)^2/4)*SQRT(2*9.81*(O450/100-fi_h/2/1000))*1000)),"",IF(O450&lt;fi_h/20,0,(OFFSET('Base de dados'!$A$5,IF(O450&lt;20,1,IF(O450&gt;1000,10,MATCH(O450,Cargas,1))),Coluna_fih,1,1))*(PI()*(fi_h/1000)^2/4)*SQRT(2*9.81*(O450/100-fi_h/2/1000))*1000))</f>
        <v>27.788181903189788</v>
      </c>
      <c r="Q450" s="19">
        <f ca="1">IF(O450="","",IF(Tipo_Vertedor="Retangular",IF(O450&lt;=cota_s*100,0,IF(Tipo_Vertedor="Retangular",Cd_sr*Lef_sr*((O450/100-cota_s)^(3/2))*1000)),IF(O450&lt;=cota_s*100+fi_s/20,0,(OFFSET('Base de dados'!$A$4,IF(O450&lt;20,1,IF(O450&gt;1000,10,MATCH(O450,Cargas,1))),Coluna_fis,1,1))*(PI()*(fi_s/1000)^2/4)*(2*9.81*(O450/100-cota_s-fi_s/2/1000))^0.5*1000)))</f>
        <v>414.69784858443933</v>
      </c>
      <c r="R450" s="19">
        <f t="shared" ca="1" si="92"/>
        <v>442.48603048762914</v>
      </c>
      <c r="S450" s="19">
        <f t="shared" ca="1" si="93"/>
        <v>2301.2593658330866</v>
      </c>
      <c r="AD450" s="19" t="str">
        <f t="shared" si="103"/>
        <v/>
      </c>
      <c r="AE450" s="19" t="str">
        <f t="shared" si="104"/>
        <v/>
      </c>
      <c r="AF450" s="19" t="str">
        <f>IF(ISERROR(IF('Hidrograma afluente'!I457="",0,'Hidrograma afluente'!I457)+Simulação!G450),"",IF('Hidrograma afluente'!I457="",0,'Hidrograma afluente'!I457)+Simulação!G450)</f>
        <v/>
      </c>
      <c r="AG450" s="17" t="s">
        <v>160</v>
      </c>
      <c r="AH450" s="17" t="s">
        <v>160</v>
      </c>
      <c r="AI450" s="27" t="s">
        <v>160</v>
      </c>
      <c r="AJ450" s="17" t="s">
        <v>160</v>
      </c>
      <c r="AK450" s="19" t="str">
        <f>IF(A450="","",IF('Hidrograma afluente'!I457="",0,'Hidrograma afluente'!I457)+Simulação!B450)</f>
        <v/>
      </c>
    </row>
    <row r="451" spans="1:37" s="17" customFormat="1">
      <c r="A451" s="4" t="str">
        <f t="shared" si="106"/>
        <v/>
      </c>
      <c r="B451" s="5" t="str">
        <f>IF(A451="","",IF(A451&gt;tc_lot_i+tc,0,IF('Hidrograma afluente'!B458="","",'Hidrograma afluente'!B458)))</f>
        <v/>
      </c>
      <c r="C451" s="21" t="str">
        <f t="shared" si="107"/>
        <v/>
      </c>
      <c r="D451" s="21" t="str">
        <f t="shared" si="96"/>
        <v/>
      </c>
      <c r="E451" s="21" t="str">
        <f t="shared" si="97"/>
        <v/>
      </c>
      <c r="F451" s="21" t="str">
        <f t="shared" si="98"/>
        <v/>
      </c>
      <c r="G451" s="21" t="str">
        <f t="shared" si="99"/>
        <v/>
      </c>
      <c r="H451" s="23" t="str">
        <f t="shared" si="108"/>
        <v/>
      </c>
      <c r="I451" s="22" t="str">
        <f t="shared" si="100"/>
        <v/>
      </c>
      <c r="J451" s="1"/>
      <c r="K451" s="51"/>
      <c r="M451" s="81">
        <f t="shared" ca="1" si="91"/>
        <v>2752.5223960752346</v>
      </c>
      <c r="N451" s="19">
        <f t="shared" si="101"/>
        <v>69.21071836196765</v>
      </c>
      <c r="O451" s="17">
        <f t="shared" si="102"/>
        <v>112.5</v>
      </c>
      <c r="P451" s="19">
        <f ca="1">IF(ISERROR(IF(O451&lt;fi_h/20,0,(OFFSET('Base de dados'!$A$5,IF(O451&lt;20,1,IF(O451&gt;1000,10,MATCH(O451,Cargas,1))),Coluna_fih,1,1))*(1+0.13*0.25)*(PI()*(fi_h/1000)^2/4)*SQRT(2*9.81*(O451/100-fi_h/2/1000))*1000)),"",IF(O451&lt;fi_h/20,0,(OFFSET('Base de dados'!$A$5,IF(O451&lt;20,1,IF(O451&gt;1000,10,MATCH(O451,Cargas,1))),Coluna_fih,1,1))*(PI()*(fi_h/1000)^2/4)*SQRT(2*9.81*(O451/100-fi_h/2/1000))*1000))</f>
        <v>27.820744409267828</v>
      </c>
      <c r="Q451" s="19">
        <f ca="1">IF(O451="","",IF(Tipo_Vertedor="Retangular",IF(O451&lt;=cota_s*100,0,IF(Tipo_Vertedor="Retangular",Cd_sr*Lef_sr*((O451/100-cota_s)^(3/2))*1000)),IF(O451&lt;=cota_s*100+fi_s/20,0,(OFFSET('Base de dados'!$A$4,IF(O451&lt;20,1,IF(O451&gt;1000,10,MATCH(O451,Cargas,1))),Coluna_fis,1,1))*(PI()*(fi_s/1000)^2/4)*(2*9.81*(O451/100-cota_s-fi_s/2/1000))^0.5*1000)))</f>
        <v>417.67770626704515</v>
      </c>
      <c r="R451" s="19">
        <f t="shared" ca="1" si="92"/>
        <v>445.49845067631298</v>
      </c>
      <c r="S451" s="19">
        <f t="shared" ca="1" si="93"/>
        <v>2307.0239453989216</v>
      </c>
      <c r="AD451" s="19" t="str">
        <f t="shared" si="103"/>
        <v/>
      </c>
      <c r="AE451" s="19" t="str">
        <f t="shared" si="104"/>
        <v/>
      </c>
      <c r="AF451" s="19" t="str">
        <f>IF(ISERROR(IF('Hidrograma afluente'!I458="",0,'Hidrograma afluente'!I458)+Simulação!G451),"",IF('Hidrograma afluente'!I458="",0,'Hidrograma afluente'!I458)+Simulação!G451)</f>
        <v/>
      </c>
      <c r="AG451" s="17" t="s">
        <v>160</v>
      </c>
      <c r="AH451" s="17" t="s">
        <v>160</v>
      </c>
      <c r="AI451" s="27" t="s">
        <v>160</v>
      </c>
      <c r="AJ451" s="17" t="s">
        <v>160</v>
      </c>
      <c r="AK451" s="19" t="str">
        <f>IF(A451="","",IF('Hidrograma afluente'!I458="",0,'Hidrograma afluente'!I458)+Simulação!B451)</f>
        <v/>
      </c>
    </row>
    <row r="452" spans="1:37" s="17" customFormat="1">
      <c r="A452" s="4" t="str">
        <f t="shared" si="106"/>
        <v/>
      </c>
      <c r="B452" s="5" t="str">
        <f>IF(A452="","",IF(A452&gt;tc_lot_i+tc,0,IF('Hidrograma afluente'!B459="","",'Hidrograma afluente'!B459)))</f>
        <v/>
      </c>
      <c r="C452" s="21" t="str">
        <f t="shared" si="107"/>
        <v/>
      </c>
      <c r="D452" s="21" t="str">
        <f t="shared" si="96"/>
        <v/>
      </c>
      <c r="E452" s="21" t="str">
        <f t="shared" si="97"/>
        <v/>
      </c>
      <c r="F452" s="21" t="str">
        <f t="shared" si="98"/>
        <v/>
      </c>
      <c r="G452" s="21" t="str">
        <f t="shared" si="99"/>
        <v/>
      </c>
      <c r="H452" s="23" t="str">
        <f t="shared" si="108"/>
        <v/>
      </c>
      <c r="I452" s="22" t="str">
        <f t="shared" si="100"/>
        <v/>
      </c>
      <c r="J452" s="1"/>
      <c r="K452" s="51"/>
      <c r="M452" s="81">
        <f t="shared" ca="1" si="91"/>
        <v>2761.3080571769119</v>
      </c>
      <c r="N452" s="19">
        <f t="shared" si="101"/>
        <v>69.383703630222556</v>
      </c>
      <c r="O452" s="17">
        <f t="shared" si="102"/>
        <v>112.75</v>
      </c>
      <c r="P452" s="19">
        <f ca="1">IF(ISERROR(IF(O452&lt;fi_h/20,0,(OFFSET('Base de dados'!$A$5,IF(O452&lt;20,1,IF(O452&gt;1000,10,MATCH(O452,Cargas,1))),Coluna_fih,1,1))*(1+0.13*0.25)*(PI()*(fi_h/1000)^2/4)*SQRT(2*9.81*(O452/100-fi_h/2/1000))*1000)),"",IF(O452&lt;fi_h/20,0,(OFFSET('Base de dados'!$A$5,IF(O452&lt;20,1,IF(O452&gt;1000,10,MATCH(O452,Cargas,1))),Coluna_fih,1,1))*(PI()*(fi_h/1000)^2/4)*SQRT(2*9.81*(O452/100-fi_h/2/1000))*1000))</f>
        <v>27.853268847423461</v>
      </c>
      <c r="Q452" s="19">
        <f ca="1">IF(O452="","",IF(Tipo_Vertedor="Retangular",IF(O452&lt;=cota_s*100,0,IF(Tipo_Vertedor="Retangular",Cd_sr*Lef_sr*((O452/100-cota_s)^(3/2))*1000)),IF(O452&lt;=cota_s*100+fi_s/20,0,(OFFSET('Base de dados'!$A$4,IF(O452&lt;20,1,IF(O452&gt;1000,10,MATCH(O452,Cargas,1))),Coluna_fis,1,1))*(PI()*(fi_s/1000)^2/4)*(2*9.81*(O452/100-cota_s-fi_s/2/1000))^0.5*1000)))</f>
        <v>420.66466732206965</v>
      </c>
      <c r="R452" s="19">
        <f t="shared" ca="1" si="92"/>
        <v>448.51793616949311</v>
      </c>
      <c r="S452" s="19">
        <f t="shared" ca="1" si="93"/>
        <v>2312.7901210074187</v>
      </c>
      <c r="AD452" s="19" t="str">
        <f t="shared" si="103"/>
        <v/>
      </c>
      <c r="AE452" s="19" t="str">
        <f t="shared" si="104"/>
        <v/>
      </c>
      <c r="AF452" s="19" t="str">
        <f>IF(ISERROR(IF('Hidrograma afluente'!I459="",0,'Hidrograma afluente'!I459)+Simulação!G452),"",IF('Hidrograma afluente'!I459="",0,'Hidrograma afluente'!I459)+Simulação!G452)</f>
        <v/>
      </c>
      <c r="AG452" s="17" t="s">
        <v>160</v>
      </c>
      <c r="AH452" s="17" t="s">
        <v>160</v>
      </c>
      <c r="AI452" s="27" t="s">
        <v>160</v>
      </c>
      <c r="AJ452" s="17" t="s">
        <v>160</v>
      </c>
      <c r="AK452" s="19" t="str">
        <f>IF(A452="","",IF('Hidrograma afluente'!I459="",0,'Hidrograma afluente'!I459)+Simulação!B452)</f>
        <v/>
      </c>
    </row>
    <row r="453" spans="1:37" s="17" customFormat="1">
      <c r="A453" s="4" t="str">
        <f t="shared" si="106"/>
        <v/>
      </c>
      <c r="B453" s="5" t="str">
        <f>IF(A453="","",IF(A453&gt;tc_lot_i+tc,0,IF('Hidrograma afluente'!B460="","",'Hidrograma afluente'!B460)))</f>
        <v/>
      </c>
      <c r="C453" s="21" t="str">
        <f t="shared" si="107"/>
        <v/>
      </c>
      <c r="D453" s="21" t="str">
        <f t="shared" si="96"/>
        <v/>
      </c>
      <c r="E453" s="21" t="str">
        <f t="shared" si="97"/>
        <v/>
      </c>
      <c r="F453" s="21" t="str">
        <f t="shared" si="98"/>
        <v/>
      </c>
      <c r="G453" s="21" t="str">
        <f t="shared" si="99"/>
        <v/>
      </c>
      <c r="H453" s="23" t="str">
        <f t="shared" si="108"/>
        <v/>
      </c>
      <c r="I453" s="22" t="str">
        <f t="shared" si="100"/>
        <v/>
      </c>
      <c r="J453" s="1"/>
      <c r="K453" s="51"/>
      <c r="M453" s="81">
        <f t="shared" ref="M453:M516" ca="1" si="109">IF(O453="","",2*N453*1000/(Passo*60)+R453)</f>
        <v>2770.1023598077527</v>
      </c>
      <c r="N453" s="19">
        <f t="shared" si="101"/>
        <v>69.55673668680312</v>
      </c>
      <c r="O453" s="17">
        <f t="shared" si="102"/>
        <v>113</v>
      </c>
      <c r="P453" s="19">
        <f ca="1">IF(ISERROR(IF(O453&lt;fi_h/20,0,(OFFSET('Base de dados'!$A$5,IF(O453&lt;20,1,IF(O453&gt;1000,10,MATCH(O453,Cargas,1))),Coluna_fih,1,1))*(1+0.13*0.25)*(PI()*(fi_h/1000)^2/4)*SQRT(2*9.81*(O453/100-fi_h/2/1000))*1000)),"",IF(O453&lt;fi_h/20,0,(OFFSET('Base de dados'!$A$5,IF(O453&lt;20,1,IF(O453&gt;1000,10,MATCH(O453,Cargas,1))),Coluna_fih,1,1))*(PI()*(fi_h/1000)^2/4)*SQRT(2*9.81*(O453/100-fi_h/2/1000))*1000))</f>
        <v>27.885755350857778</v>
      </c>
      <c r="Q453" s="19">
        <f ca="1">IF(O453="","",IF(Tipo_Vertedor="Retangular",IF(O453&lt;=cota_s*100,0,IF(Tipo_Vertedor="Retangular",Cd_sr*Lef_sr*((O453/100-cota_s)^(3/2))*1000)),IF(O453&lt;=cota_s*100+fi_s/20,0,(OFFSET('Base de dados'!$A$4,IF(O453&lt;20,1,IF(O453&gt;1000,10,MATCH(O453,Cargas,1))),Coluna_fis,1,1))*(PI()*(fi_s/1000)^2/4)*(2*9.81*(O453/100-cota_s-fi_s/2/1000))^0.5*1000)))</f>
        <v>423.6587148967904</v>
      </c>
      <c r="R453" s="19">
        <f t="shared" ref="R453:R501" ca="1" si="110">IF(O453="","",Q453+P453)</f>
        <v>451.54447024764818</v>
      </c>
      <c r="S453" s="19">
        <f t="shared" ref="S453:S516" ca="1" si="111">IF(M453="","",2*N453*1000/(Passo*60))</f>
        <v>2318.5578895601043</v>
      </c>
      <c r="AD453" s="19" t="str">
        <f t="shared" si="103"/>
        <v/>
      </c>
      <c r="AE453" s="19" t="str">
        <f t="shared" si="104"/>
        <v/>
      </c>
      <c r="AF453" s="19" t="str">
        <f>IF(ISERROR(IF('Hidrograma afluente'!I460="",0,'Hidrograma afluente'!I460)+Simulação!G453),"",IF('Hidrograma afluente'!I460="",0,'Hidrograma afluente'!I460)+Simulação!G453)</f>
        <v/>
      </c>
      <c r="AG453" s="17" t="s">
        <v>160</v>
      </c>
      <c r="AH453" s="17" t="s">
        <v>160</v>
      </c>
      <c r="AI453" s="27" t="s">
        <v>160</v>
      </c>
      <c r="AJ453" s="17" t="s">
        <v>160</v>
      </c>
      <c r="AK453" s="19" t="str">
        <f>IF(A453="","",IF('Hidrograma afluente'!I460="",0,'Hidrograma afluente'!I460)+Simulação!B453)</f>
        <v/>
      </c>
    </row>
    <row r="454" spans="1:37" s="17" customFormat="1">
      <c r="A454" s="4" t="str">
        <f t="shared" si="106"/>
        <v/>
      </c>
      <c r="B454" s="5" t="str">
        <f>IF(A454="","",IF(A454&gt;tc_lot_i+tc,0,IF('Hidrograma afluente'!B461="","",'Hidrograma afluente'!B461)))</f>
        <v/>
      </c>
      <c r="C454" s="21" t="str">
        <f t="shared" si="107"/>
        <v/>
      </c>
      <c r="D454" s="21" t="str">
        <f t="shared" ref="D454:D485" si="112">IF(A454="","",IF(ISERROR(VLOOKUP(H453,tabela_auxiliar,7,1)),0,VLOOKUP(H453,tabela_auxiliar,7,1)))</f>
        <v/>
      </c>
      <c r="E454" s="21" t="str">
        <f t="shared" ref="E454:E485" si="113">IF(A454="","",IF(ISERROR(VLOOKUP(H453,tabela_auxiliar,4,TRUE)),0,VLOOKUP(H453,tabela_auxiliar,4,TRUE)))</f>
        <v/>
      </c>
      <c r="F454" s="21" t="str">
        <f t="shared" ref="F454:F485" si="114">IF(A454="","",IF(ISERROR(VLOOKUP(H453,tabela_auxiliar,5,TRUE)),0,VLOOKUP(H453,tabela_auxiliar,5,TRUE)))</f>
        <v/>
      </c>
      <c r="G454" s="21" t="str">
        <f t="shared" ref="G454:G485" si="115">IF(A454="","",IF(ISERROR(VLOOKUP(H453,tabela_auxiliar,6,TRUE)),0,VLOOKUP(H453,tabela_auxiliar,6,TRUE)))</f>
        <v/>
      </c>
      <c r="H454" s="23" t="str">
        <f t="shared" si="108"/>
        <v/>
      </c>
      <c r="I454" s="22" t="str">
        <f t="shared" ref="I454:I485" si="116">IF(A454="","",IF(ISERROR(VLOOKUP(H453,tabela_auxiliar,3,TRUE)),0,VLOOKUP(H453,tabela_auxiliar,3,TRUE)))</f>
        <v/>
      </c>
      <c r="J454" s="1"/>
      <c r="K454" s="51"/>
      <c r="M454" s="81">
        <f t="shared" ca="1" si="109"/>
        <v>2778.9052842812275</v>
      </c>
      <c r="N454" s="19">
        <f t="shared" ref="N454:N517" si="117">IF(O454="","",b_0*(O454/100)^c_0)</f>
        <v>69.729817439140859</v>
      </c>
      <c r="O454" s="17">
        <f t="shared" ref="O454:O517" si="118">IF(ISERROR(IF(O453+passo_altura&gt;h_max_puls*100,"",O453+passo_altura)),"",IF(O453+passo_altura&gt;h_max_puls*100,"",O453+passo_altura))</f>
        <v>113.25</v>
      </c>
      <c r="P454" s="19">
        <f ca="1">IF(ISERROR(IF(O454&lt;fi_h/20,0,(OFFSET('Base de dados'!$A$5,IF(O454&lt;20,1,IF(O454&gt;1000,10,MATCH(O454,Cargas,1))),Coluna_fih,1,1))*(1+0.13*0.25)*(PI()*(fi_h/1000)^2/4)*SQRT(2*9.81*(O454/100-fi_h/2/1000))*1000)),"",IF(O454&lt;fi_h/20,0,(OFFSET('Base de dados'!$A$5,IF(O454&lt;20,1,IF(O454&gt;1000,10,MATCH(O454,Cargas,1))),Coluna_fih,1,1))*(PI()*(fi_h/1000)^2/4)*SQRT(2*9.81*(O454/100-fi_h/2/1000))*1000))</f>
        <v>27.918204051996902</v>
      </c>
      <c r="Q454" s="19">
        <f ca="1">IF(O454="","",IF(Tipo_Vertedor="Retangular",IF(O454&lt;=cota_s*100,0,IF(Tipo_Vertedor="Retangular",Cd_sr*Lef_sr*((O454/100-cota_s)^(3/2))*1000)),IF(O454&lt;=cota_s*100+fi_s/20,0,(OFFSET('Base de dados'!$A$4,IF(O454&lt;20,1,IF(O454&gt;1000,10,MATCH(O454,Cargas,1))),Coluna_fis,1,1))*(PI()*(fi_s/1000)^2/4)*(2*9.81*(O454/100-cota_s-fi_s/2/1000))^0.5*1000)))</f>
        <v>426.65983225786869</v>
      </c>
      <c r="R454" s="19">
        <f t="shared" ca="1" si="110"/>
        <v>454.57803630986558</v>
      </c>
      <c r="S454" s="19">
        <f t="shared" ca="1" si="111"/>
        <v>2324.3272479713619</v>
      </c>
      <c r="AD454" s="19" t="str">
        <f t="shared" si="103"/>
        <v/>
      </c>
      <c r="AE454" s="19" t="str">
        <f t="shared" si="104"/>
        <v/>
      </c>
      <c r="AF454" s="19" t="str">
        <f>IF(ISERROR(IF('Hidrograma afluente'!I461="",0,'Hidrograma afluente'!I461)+Simulação!G454),"",IF('Hidrograma afluente'!I461="",0,'Hidrograma afluente'!I461)+Simulação!G454)</f>
        <v/>
      </c>
      <c r="AG454" s="17" t="s">
        <v>160</v>
      </c>
      <c r="AH454" s="17" t="s">
        <v>160</v>
      </c>
      <c r="AI454" s="27" t="s">
        <v>160</v>
      </c>
      <c r="AJ454" s="17" t="s">
        <v>160</v>
      </c>
      <c r="AK454" s="19" t="str">
        <f>IF(A454="","",IF('Hidrograma afluente'!I461="",0,'Hidrograma afluente'!I461)+Simulação!B454)</f>
        <v/>
      </c>
    </row>
    <row r="455" spans="1:37" s="17" customFormat="1">
      <c r="A455" s="4" t="str">
        <f t="shared" si="106"/>
        <v/>
      </c>
      <c r="B455" s="5" t="str">
        <f>IF(A455="","",IF(A455&gt;tc_lot_i+tc,0,IF('Hidrograma afluente'!B462="","",'Hidrograma afluente'!B462)))</f>
        <v/>
      </c>
      <c r="C455" s="21" t="str">
        <f t="shared" si="107"/>
        <v/>
      </c>
      <c r="D455" s="21" t="str">
        <f t="shared" si="112"/>
        <v/>
      </c>
      <c r="E455" s="21" t="str">
        <f t="shared" si="113"/>
        <v/>
      </c>
      <c r="F455" s="21" t="str">
        <f t="shared" si="114"/>
        <v/>
      </c>
      <c r="G455" s="21" t="str">
        <f t="shared" si="115"/>
        <v/>
      </c>
      <c r="H455" s="23" t="str">
        <f t="shared" si="108"/>
        <v/>
      </c>
      <c r="I455" s="22" t="str">
        <f t="shared" si="116"/>
        <v/>
      </c>
      <c r="J455" s="1"/>
      <c r="K455" s="51"/>
      <c r="M455" s="81">
        <f t="shared" ca="1" si="109"/>
        <v>2787.7168110407956</v>
      </c>
      <c r="N455" s="19">
        <f t="shared" si="117"/>
        <v>69.90294579505057</v>
      </c>
      <c r="O455" s="17">
        <f t="shared" si="118"/>
        <v>113.5</v>
      </c>
      <c r="P455" s="19">
        <f ca="1">IF(ISERROR(IF(O455&lt;fi_h/20,0,(OFFSET('Base de dados'!$A$5,IF(O455&lt;20,1,IF(O455&gt;1000,10,MATCH(O455,Cargas,1))),Coluna_fih,1,1))*(1+0.13*0.25)*(PI()*(fi_h/1000)^2/4)*SQRT(2*9.81*(O455/100-fi_h/2/1000))*1000)),"",IF(O455&lt;fi_h/20,0,(OFFSET('Base de dados'!$A$5,IF(O455&lt;20,1,IF(O455&gt;1000,10,MATCH(O455,Cargas,1))),Coluna_fih,1,1))*(PI()*(fi_h/1000)^2/4)*SQRT(2*9.81*(O455/100-fi_h/2/1000))*1000))</f>
        <v>27.95061508249826</v>
      </c>
      <c r="Q455" s="19">
        <f ca="1">IF(O455="","",IF(Tipo_Vertedor="Retangular",IF(O455&lt;=cota_s*100,0,IF(Tipo_Vertedor="Retangular",Cd_sr*Lef_sr*((O455/100-cota_s)^(3/2))*1000)),IF(O455&lt;=cota_s*100+fi_s/20,0,(OFFSET('Base de dados'!$A$4,IF(O455&lt;20,1,IF(O455&gt;1000,10,MATCH(O455,Cargas,1))),Coluna_fis,1,1))*(PI()*(fi_s/1000)^2/4)*(2*9.81*(O455/100-cota_s-fi_s/2/1000))^0.5*1000)))</f>
        <v>429.66800278994486</v>
      </c>
      <c r="R455" s="19">
        <f t="shared" ca="1" si="110"/>
        <v>457.61861787244311</v>
      </c>
      <c r="S455" s="19">
        <f t="shared" ca="1" si="111"/>
        <v>2330.0981931683523</v>
      </c>
      <c r="AD455" s="19" t="str">
        <f t="shared" si="103"/>
        <v/>
      </c>
      <c r="AE455" s="19" t="str">
        <f t="shared" si="104"/>
        <v/>
      </c>
      <c r="AF455" s="19" t="str">
        <f>IF(ISERROR(IF('Hidrograma afluente'!I462="",0,'Hidrograma afluente'!I462)+Simulação!G455),"",IF('Hidrograma afluente'!I462="",0,'Hidrograma afluente'!I462)+Simulação!G455)</f>
        <v/>
      </c>
      <c r="AG455" s="17" t="s">
        <v>160</v>
      </c>
      <c r="AH455" s="17" t="s">
        <v>160</v>
      </c>
      <c r="AI455" s="27" t="s">
        <v>160</v>
      </c>
      <c r="AJ455" s="17" t="s">
        <v>160</v>
      </c>
      <c r="AK455" s="19" t="str">
        <f>IF(A455="","",IF('Hidrograma afluente'!I462="",0,'Hidrograma afluente'!I462)+Simulação!B455)</f>
        <v/>
      </c>
    </row>
    <row r="456" spans="1:37" s="17" customFormat="1">
      <c r="A456" s="4" t="str">
        <f t="shared" si="106"/>
        <v/>
      </c>
      <c r="B456" s="5" t="str">
        <f>IF(A456="","",IF(A456&gt;tc_lot_i+tc,0,IF('Hidrograma afluente'!B463="","",'Hidrograma afluente'!B463)))</f>
        <v/>
      </c>
      <c r="C456" s="21" t="str">
        <f t="shared" si="107"/>
        <v/>
      </c>
      <c r="D456" s="21" t="str">
        <f t="shared" si="112"/>
        <v/>
      </c>
      <c r="E456" s="21" t="str">
        <f t="shared" si="113"/>
        <v/>
      </c>
      <c r="F456" s="21" t="str">
        <f t="shared" si="114"/>
        <v/>
      </c>
      <c r="G456" s="21" t="str">
        <f t="shared" si="115"/>
        <v/>
      </c>
      <c r="H456" s="23" t="str">
        <f t="shared" si="108"/>
        <v/>
      </c>
      <c r="I456" s="22" t="str">
        <f t="shared" si="116"/>
        <v/>
      </c>
      <c r="J456" s="1"/>
      <c r="K456" s="51"/>
      <c r="M456" s="81">
        <f t="shared" ca="1" si="109"/>
        <v>2796.5369206584469</v>
      </c>
      <c r="N456" s="19">
        <f t="shared" si="117"/>
        <v>70.076121662727886</v>
      </c>
      <c r="O456" s="17">
        <f t="shared" si="118"/>
        <v>113.75</v>
      </c>
      <c r="P456" s="19">
        <f ca="1">IF(ISERROR(IF(O456&lt;fi_h/20,0,(OFFSET('Base de dados'!$A$5,IF(O456&lt;20,1,IF(O456&gt;1000,10,MATCH(O456,Cargas,1))),Coluna_fih,1,1))*(1+0.13*0.25)*(PI()*(fi_h/1000)^2/4)*SQRT(2*9.81*(O456/100-fi_h/2/1000))*1000)),"",IF(O456&lt;fi_h/20,0,(OFFSET('Base de dados'!$A$5,IF(O456&lt;20,1,IF(O456&gt;1000,10,MATCH(O456,Cargas,1))),Coluna_fih,1,1))*(PI()*(fi_h/1000)^2/4)*SQRT(2*9.81*(O456/100-fi_h/2/1000))*1000))</f>
        <v>27.982988573256833</v>
      </c>
      <c r="Q456" s="19">
        <f ca="1">IF(O456="","",IF(Tipo_Vertedor="Retangular",IF(O456&lt;=cota_s*100,0,IF(Tipo_Vertedor="Retangular",Cd_sr*Lef_sr*((O456/100-cota_s)^(3/2))*1000)),IF(O456&lt;=cota_s*100+fi_s/20,0,(OFFSET('Base de dados'!$A$4,IF(O456&lt;20,1,IF(O456&gt;1000,10,MATCH(O456,Cargas,1))),Coluna_fis,1,1))*(PI()*(fi_s/1000)^2/4)*(2*9.81*(O456/100-cota_s-fi_s/2/1000))^0.5*1000)))</f>
        <v>432.68320999426066</v>
      </c>
      <c r="R456" s="19">
        <f t="shared" ca="1" si="110"/>
        <v>460.66619856751748</v>
      </c>
      <c r="S456" s="19">
        <f t="shared" ca="1" si="111"/>
        <v>2335.8707220909296</v>
      </c>
      <c r="AD456" s="19" t="str">
        <f t="shared" si="103"/>
        <v/>
      </c>
      <c r="AE456" s="19" t="str">
        <f t="shared" si="104"/>
        <v/>
      </c>
      <c r="AF456" s="19" t="str">
        <f>IF(ISERROR(IF('Hidrograma afluente'!I463="",0,'Hidrograma afluente'!I463)+Simulação!G456),"",IF('Hidrograma afluente'!I463="",0,'Hidrograma afluente'!I463)+Simulação!G456)</f>
        <v/>
      </c>
      <c r="AG456" s="17" t="s">
        <v>160</v>
      </c>
      <c r="AH456" s="17" t="s">
        <v>160</v>
      </c>
      <c r="AI456" s="27" t="s">
        <v>160</v>
      </c>
      <c r="AJ456" s="17" t="s">
        <v>160</v>
      </c>
      <c r="AK456" s="19" t="str">
        <f>IF(A456="","",IF('Hidrograma afluente'!I463="",0,'Hidrograma afluente'!I463)+Simulação!B456)</f>
        <v/>
      </c>
    </row>
    <row r="457" spans="1:37" s="17" customFormat="1">
      <c r="A457" s="4" t="str">
        <f t="shared" si="106"/>
        <v/>
      </c>
      <c r="B457" s="5" t="str">
        <f>IF(A457="","",IF(A457&gt;tc_lot_i+tc,0,IF('Hidrograma afluente'!B464="","",'Hidrograma afluente'!B464)))</f>
        <v/>
      </c>
      <c r="C457" s="21" t="str">
        <f t="shared" si="107"/>
        <v/>
      </c>
      <c r="D457" s="21" t="str">
        <f t="shared" si="112"/>
        <v/>
      </c>
      <c r="E457" s="21" t="str">
        <f t="shared" si="113"/>
        <v/>
      </c>
      <c r="F457" s="21" t="str">
        <f t="shared" si="114"/>
        <v/>
      </c>
      <c r="G457" s="21" t="str">
        <f t="shared" si="115"/>
        <v/>
      </c>
      <c r="H457" s="23" t="str">
        <f t="shared" si="108"/>
        <v/>
      </c>
      <c r="I457" s="22" t="str">
        <f t="shared" si="116"/>
        <v/>
      </c>
      <c r="J457" s="1"/>
      <c r="K457" s="51"/>
      <c r="M457" s="81">
        <f t="shared" ca="1" si="109"/>
        <v>2805.3655938332768</v>
      </c>
      <c r="N457" s="19">
        <f t="shared" si="117"/>
        <v>70.249344950746945</v>
      </c>
      <c r="O457" s="17">
        <f t="shared" si="118"/>
        <v>114</v>
      </c>
      <c r="P457" s="19">
        <f ca="1">IF(ISERROR(IF(O457&lt;fi_h/20,0,(OFFSET('Base de dados'!$A$5,IF(O457&lt;20,1,IF(O457&gt;1000,10,MATCH(O457,Cargas,1))),Coluna_fih,1,1))*(1+0.13*0.25)*(PI()*(fi_h/1000)^2/4)*SQRT(2*9.81*(O457/100-fi_h/2/1000))*1000)),"",IF(O457&lt;fi_h/20,0,(OFFSET('Base de dados'!$A$5,IF(O457&lt;20,1,IF(O457&gt;1000,10,MATCH(O457,Cargas,1))),Coluna_fih,1,1))*(PI()*(fi_h/1000)^2/4)*SQRT(2*9.81*(O457/100-fi_h/2/1000))*1000))</f>
        <v>28.015324654411291</v>
      </c>
      <c r="Q457" s="19">
        <f ca="1">IF(O457="","",IF(Tipo_Vertedor="Retangular",IF(O457&lt;=cota_s*100,0,IF(Tipo_Vertedor="Retangular",Cd_sr*Lef_sr*((O457/100-cota_s)^(3/2))*1000)),IF(O457&lt;=cota_s*100+fi_s/20,0,(OFFSET('Base de dados'!$A$4,IF(O457&lt;20,1,IF(O457&gt;1000,10,MATCH(O457,Cargas,1))),Coluna_fis,1,1))*(PI()*(fi_s/1000)^2/4)*(2*9.81*(O457/100-cota_s-fi_s/2/1000))^0.5*1000)))</f>
        <v>435.70543748730051</v>
      </c>
      <c r="R457" s="19">
        <f t="shared" ca="1" si="110"/>
        <v>463.72076214171182</v>
      </c>
      <c r="S457" s="19">
        <f t="shared" ca="1" si="111"/>
        <v>2341.6448316915648</v>
      </c>
      <c r="AD457" s="19" t="str">
        <f t="shared" si="103"/>
        <v/>
      </c>
      <c r="AE457" s="19" t="str">
        <f t="shared" si="104"/>
        <v/>
      </c>
      <c r="AF457" s="19" t="str">
        <f>IF(ISERROR(IF('Hidrograma afluente'!I464="",0,'Hidrograma afluente'!I464)+Simulação!G457),"",IF('Hidrograma afluente'!I464="",0,'Hidrograma afluente'!I464)+Simulação!G457)</f>
        <v/>
      </c>
      <c r="AG457" s="17" t="s">
        <v>160</v>
      </c>
      <c r="AH457" s="17" t="s">
        <v>160</v>
      </c>
      <c r="AI457" s="27" t="s">
        <v>160</v>
      </c>
      <c r="AJ457" s="17" t="s">
        <v>160</v>
      </c>
      <c r="AK457" s="19" t="str">
        <f>IF(A457="","",IF('Hidrograma afluente'!I464="",0,'Hidrograma afluente'!I464)+Simulação!B457)</f>
        <v/>
      </c>
    </row>
    <row r="458" spans="1:37" s="17" customFormat="1">
      <c r="A458" s="4" t="str">
        <f t="shared" si="106"/>
        <v/>
      </c>
      <c r="B458" s="5" t="str">
        <f>IF(A458="","",IF(A458&gt;tc_lot_i+tc,0,IF('Hidrograma afluente'!B465="","",'Hidrograma afluente'!B465)))</f>
        <v/>
      </c>
      <c r="C458" s="21" t="str">
        <f t="shared" si="107"/>
        <v/>
      </c>
      <c r="D458" s="21" t="str">
        <f t="shared" si="112"/>
        <v/>
      </c>
      <c r="E458" s="21" t="str">
        <f t="shared" si="113"/>
        <v/>
      </c>
      <c r="F458" s="21" t="str">
        <f t="shared" si="114"/>
        <v/>
      </c>
      <c r="G458" s="21" t="str">
        <f t="shared" si="115"/>
        <v/>
      </c>
      <c r="H458" s="23" t="str">
        <f t="shared" si="108"/>
        <v/>
      </c>
      <c r="I458" s="22" t="str">
        <f t="shared" si="116"/>
        <v/>
      </c>
      <c r="J458" s="1"/>
      <c r="K458" s="51"/>
      <c r="M458" s="81">
        <f t="shared" ca="1" si="109"/>
        <v>2814.2028113900719</v>
      </c>
      <c r="N458" s="19">
        <f t="shared" si="117"/>
        <v>70.42261556805795</v>
      </c>
      <c r="O458" s="17">
        <f t="shared" si="118"/>
        <v>114.25</v>
      </c>
      <c r="P458" s="19">
        <f ca="1">IF(ISERROR(IF(O458&lt;fi_h/20,0,(OFFSET('Base de dados'!$A$5,IF(O458&lt;20,1,IF(O458&gt;1000,10,MATCH(O458,Cargas,1))),Coluna_fih,1,1))*(1+0.13*0.25)*(PI()*(fi_h/1000)^2/4)*SQRT(2*9.81*(O458/100-fi_h/2/1000))*1000)),"",IF(O458&lt;fi_h/20,0,(OFFSET('Base de dados'!$A$5,IF(O458&lt;20,1,IF(O458&gt;1000,10,MATCH(O458,Cargas,1))),Coluna_fih,1,1))*(PI()*(fi_h/1000)^2/4)*SQRT(2*9.81*(O458/100-fi_h/2/1000))*1000))</f>
        <v>28.047623455350159</v>
      </c>
      <c r="Q458" s="19">
        <f ca="1">IF(O458="","",IF(Tipo_Vertedor="Retangular",IF(O458&lt;=cota_s*100,0,IF(Tipo_Vertedor="Retangular",Cd_sr*Lef_sr*((O458/100-cota_s)^(3/2))*1000)),IF(O458&lt;=cota_s*100+fi_s/20,0,(OFFSET('Base de dados'!$A$4,IF(O458&lt;20,1,IF(O458&gt;1000,10,MATCH(O458,Cargas,1))),Coluna_fis,1,1))*(PI()*(fi_s/1000)^2/4)*(2*9.81*(O458/100-cota_s-fi_s/2/1000))^0.5*1000)))</f>
        <v>438.73466899945646</v>
      </c>
      <c r="R458" s="19">
        <f t="shared" ca="1" si="110"/>
        <v>466.78229245480662</v>
      </c>
      <c r="S458" s="19">
        <f t="shared" ca="1" si="111"/>
        <v>2347.4205189352651</v>
      </c>
      <c r="AD458" s="19"/>
      <c r="AE458" s="19"/>
      <c r="AG458" s="17" t="s">
        <v>160</v>
      </c>
      <c r="AH458" s="17" t="s">
        <v>160</v>
      </c>
      <c r="AI458" s="27" t="s">
        <v>160</v>
      </c>
      <c r="AJ458" s="17" t="s">
        <v>160</v>
      </c>
      <c r="AK458" s="19" t="str">
        <f>IF(A458="","",IF('Hidrograma afluente'!I465="",0,'Hidrograma afluente'!I465)+Simulação!B458)</f>
        <v/>
      </c>
    </row>
    <row r="459" spans="1:37" s="17" customFormat="1">
      <c r="A459" s="4" t="str">
        <f t="shared" si="106"/>
        <v/>
      </c>
      <c r="B459" s="5" t="str">
        <f>IF(A459="","",IF(A459&gt;tc_lot_i+tc,0,IF('Hidrograma afluente'!B466="","",'Hidrograma afluente'!B466)))</f>
        <v/>
      </c>
      <c r="C459" s="21" t="str">
        <f t="shared" si="107"/>
        <v/>
      </c>
      <c r="D459" s="21" t="str">
        <f t="shared" si="112"/>
        <v/>
      </c>
      <c r="E459" s="21" t="str">
        <f t="shared" si="113"/>
        <v/>
      </c>
      <c r="F459" s="21" t="str">
        <f t="shared" si="114"/>
        <v/>
      </c>
      <c r="G459" s="21" t="str">
        <f t="shared" si="115"/>
        <v/>
      </c>
      <c r="H459" s="23" t="str">
        <f t="shared" si="108"/>
        <v/>
      </c>
      <c r="I459" s="22" t="str">
        <f t="shared" si="116"/>
        <v/>
      </c>
      <c r="J459" s="1"/>
      <c r="K459" s="51"/>
      <c r="M459" s="81">
        <f t="shared" ca="1" si="109"/>
        <v>2823.0485542779229</v>
      </c>
      <c r="N459" s="19">
        <f t="shared" si="117"/>
        <v>70.595933423984746</v>
      </c>
      <c r="O459" s="17">
        <f t="shared" si="118"/>
        <v>114.5</v>
      </c>
      <c r="P459" s="19">
        <f ca="1">IF(ISERROR(IF(O459&lt;fi_h/20,0,(OFFSET('Base de dados'!$A$5,IF(O459&lt;20,1,IF(O459&gt;1000,10,MATCH(O459,Cargas,1))),Coluna_fih,1,1))*(1+0.13*0.25)*(PI()*(fi_h/1000)^2/4)*SQRT(2*9.81*(O459/100-fi_h/2/1000))*1000)),"",IF(O459&lt;fi_h/20,0,(OFFSET('Base de dados'!$A$5,IF(O459&lt;20,1,IF(O459&gt;1000,10,MATCH(O459,Cargas,1))),Coluna_fih,1,1))*(PI()*(fi_h/1000)^2/4)*SQRT(2*9.81*(O459/100-fi_h/2/1000))*1000))</f>
        <v>28.079885104717775</v>
      </c>
      <c r="Q459" s="19">
        <f ca="1">IF(O459="","",IF(Tipo_Vertedor="Retangular",IF(O459&lt;=cota_s*100,0,IF(Tipo_Vertedor="Retangular",Cd_sr*Lef_sr*((O459/100-cota_s)^(3/2))*1000)),IF(O459&lt;=cota_s*100+fi_s/20,0,(OFFSET('Base de dados'!$A$4,IF(O459&lt;20,1,IF(O459&gt;1000,10,MATCH(O459,Cargas,1))),Coluna_fis,1,1))*(PI()*(fi_s/1000)^2/4)*(2*9.81*(O459/100-cota_s-fi_s/2/1000))^0.5*1000)))</f>
        <v>441.77088837371355</v>
      </c>
      <c r="R459" s="19">
        <f t="shared" ca="1" si="110"/>
        <v>469.85077347843134</v>
      </c>
      <c r="S459" s="19">
        <f t="shared" ca="1" si="111"/>
        <v>2353.1977807994917</v>
      </c>
      <c r="AD459" s="19"/>
      <c r="AE459" s="19"/>
      <c r="AG459" s="17" t="s">
        <v>160</v>
      </c>
      <c r="AH459" s="17" t="s">
        <v>160</v>
      </c>
      <c r="AI459" s="27" t="s">
        <v>160</v>
      </c>
      <c r="AJ459" s="17" t="s">
        <v>160</v>
      </c>
      <c r="AK459" s="19" t="str">
        <f>IF(A459="","",IF('Hidrograma afluente'!I466="",0,'Hidrograma afluente'!I466)+Simulação!B459)</f>
        <v/>
      </c>
    </row>
    <row r="460" spans="1:37" s="17" customFormat="1">
      <c r="A460" s="4" t="str">
        <f t="shared" si="106"/>
        <v/>
      </c>
      <c r="B460" s="5" t="str">
        <f>IF(A460="","",IF(A460&gt;tc_lot_i+tc,0,IF('Hidrograma afluente'!B467="","",'Hidrograma afluente'!B467)))</f>
        <v/>
      </c>
      <c r="C460" s="21" t="str">
        <f t="shared" si="107"/>
        <v/>
      </c>
      <c r="D460" s="21" t="str">
        <f t="shared" si="112"/>
        <v/>
      </c>
      <c r="E460" s="21" t="str">
        <f t="shared" si="113"/>
        <v/>
      </c>
      <c r="F460" s="21" t="str">
        <f t="shared" si="114"/>
        <v/>
      </c>
      <c r="G460" s="21" t="str">
        <f t="shared" si="115"/>
        <v/>
      </c>
      <c r="H460" s="23" t="str">
        <f t="shared" si="108"/>
        <v/>
      </c>
      <c r="I460" s="22" t="str">
        <f t="shared" si="116"/>
        <v/>
      </c>
      <c r="J460" s="1"/>
      <c r="K460" s="51"/>
      <c r="M460" s="81">
        <f t="shared" ca="1" si="109"/>
        <v>2831.9028035688652</v>
      </c>
      <c r="N460" s="19">
        <f t="shared" si="117"/>
        <v>70.769298428222598</v>
      </c>
      <c r="O460" s="17">
        <f t="shared" si="118"/>
        <v>114.75</v>
      </c>
      <c r="P460" s="19">
        <f ca="1">IF(ISERROR(IF(O460&lt;fi_h/20,0,(OFFSET('Base de dados'!$A$5,IF(O460&lt;20,1,IF(O460&gt;1000,10,MATCH(O460,Cargas,1))),Coluna_fih,1,1))*(1+0.13*0.25)*(PI()*(fi_h/1000)^2/4)*SQRT(2*9.81*(O460/100-fi_h/2/1000))*1000)),"",IF(O460&lt;fi_h/20,0,(OFFSET('Base de dados'!$A$5,IF(O460&lt;20,1,IF(O460&gt;1000,10,MATCH(O460,Cargas,1))),Coluna_fih,1,1))*(PI()*(fi_h/1000)^2/4)*SQRT(2*9.81*(O460/100-fi_h/2/1000))*1000))</f>
        <v>28.112109730420347</v>
      </c>
      <c r="Q460" s="19">
        <f ca="1">IF(O460="","",IF(Tipo_Vertedor="Retangular",IF(O460&lt;=cota_s*100,0,IF(Tipo_Vertedor="Retangular",Cd_sr*Lef_sr*((O460/100-cota_s)^(3/2))*1000)),IF(O460&lt;=cota_s*100+fi_s/20,0,(OFFSET('Base de dados'!$A$4,IF(O460&lt;20,1,IF(O460&gt;1000,10,MATCH(O460,Cargas,1))),Coluna_fis,1,1))*(PI()*(fi_s/1000)^2/4)*(2*9.81*(O460/100-cota_s-fi_s/2/1000))^0.5*1000)))</f>
        <v>444.81407956435856</v>
      </c>
      <c r="R460" s="19">
        <f t="shared" ca="1" si="110"/>
        <v>472.92618929477891</v>
      </c>
      <c r="S460" s="19">
        <f t="shared" ca="1" si="111"/>
        <v>2358.9766142740864</v>
      </c>
      <c r="AD460" s="19"/>
      <c r="AE460" s="19"/>
      <c r="AG460" s="17" t="s">
        <v>160</v>
      </c>
      <c r="AH460" s="17" t="s">
        <v>160</v>
      </c>
      <c r="AI460" s="27" t="s">
        <v>160</v>
      </c>
      <c r="AJ460" s="17" t="s">
        <v>160</v>
      </c>
      <c r="AK460" s="19" t="str">
        <f>IF(A460="","",IF('Hidrograma afluente'!I467="",0,'Hidrograma afluente'!I467)+Simulação!B460)</f>
        <v/>
      </c>
    </row>
    <row r="461" spans="1:37" s="17" customFormat="1">
      <c r="A461" s="4" t="str">
        <f t="shared" si="106"/>
        <v/>
      </c>
      <c r="B461" s="5" t="str">
        <f>IF(A461="","",IF(A461&gt;tc_lot_i+tc,0,IF('Hidrograma afluente'!B468="","",'Hidrograma afluente'!B468)))</f>
        <v/>
      </c>
      <c r="C461" s="21" t="str">
        <f t="shared" si="107"/>
        <v/>
      </c>
      <c r="D461" s="21" t="str">
        <f t="shared" si="112"/>
        <v/>
      </c>
      <c r="E461" s="21" t="str">
        <f t="shared" si="113"/>
        <v/>
      </c>
      <c r="F461" s="21" t="str">
        <f t="shared" si="114"/>
        <v/>
      </c>
      <c r="G461" s="21" t="str">
        <f t="shared" si="115"/>
        <v/>
      </c>
      <c r="H461" s="23" t="str">
        <f t="shared" si="108"/>
        <v/>
      </c>
      <c r="I461" s="22" t="str">
        <f t="shared" si="116"/>
        <v/>
      </c>
      <c r="J461" s="1"/>
      <c r="K461" s="51"/>
      <c r="M461" s="81">
        <f t="shared" ca="1" si="109"/>
        <v>2840.7655404565303</v>
      </c>
      <c r="N461" s="19">
        <f t="shared" si="117"/>
        <v>70.942710490835736</v>
      </c>
      <c r="O461" s="17">
        <f t="shared" si="118"/>
        <v>115</v>
      </c>
      <c r="P461" s="19">
        <f ca="1">IF(ISERROR(IF(O461&lt;fi_h/20,0,(OFFSET('Base de dados'!$A$5,IF(O461&lt;20,1,IF(O461&gt;1000,10,MATCH(O461,Cargas,1))),Coluna_fih,1,1))*(1+0.13*0.25)*(PI()*(fi_h/1000)^2/4)*SQRT(2*9.81*(O461/100-fi_h/2/1000))*1000)),"",IF(O461&lt;fi_h/20,0,(OFFSET('Base de dados'!$A$5,IF(O461&lt;20,1,IF(O461&gt;1000,10,MATCH(O461,Cargas,1))),Coluna_fih,1,1))*(PI()*(fi_h/1000)^2/4)*SQRT(2*9.81*(O461/100-fi_h/2/1000))*1000))</f>
        <v>28.144297459631801</v>
      </c>
      <c r="Q461" s="19">
        <f ca="1">IF(O461="","",IF(Tipo_Vertedor="Retangular",IF(O461&lt;=cota_s*100,0,IF(Tipo_Vertedor="Retangular",Cd_sr*Lef_sr*((O461/100-cota_s)^(3/2))*1000)),IF(O461&lt;=cota_s*100+fi_s/20,0,(OFFSET('Base de dados'!$A$4,IF(O461&lt;20,1,IF(O461&gt;1000,10,MATCH(O461,Cargas,1))),Coluna_fis,1,1))*(PI()*(fi_s/1000)^2/4)*(2*9.81*(O461/100-cota_s-fi_s/2/1000))^0.5*1000)))</f>
        <v>447.86422663570715</v>
      </c>
      <c r="R461" s="19">
        <f t="shared" ca="1" si="110"/>
        <v>476.00852409533894</v>
      </c>
      <c r="S461" s="19">
        <f t="shared" ca="1" si="111"/>
        <v>2364.7570163611913</v>
      </c>
      <c r="AD461" s="19"/>
      <c r="AE461" s="19"/>
      <c r="AG461" s="17" t="s">
        <v>160</v>
      </c>
      <c r="AH461" s="17" t="s">
        <v>160</v>
      </c>
      <c r="AI461" s="27" t="s">
        <v>160</v>
      </c>
      <c r="AJ461" s="17" t="s">
        <v>160</v>
      </c>
      <c r="AK461" s="19" t="str">
        <f>IF(A461="","",IF('Hidrograma afluente'!I468="",0,'Hidrograma afluente'!I468)+Simulação!B461)</f>
        <v/>
      </c>
    </row>
    <row r="462" spans="1:37" s="17" customFormat="1">
      <c r="A462" s="4" t="str">
        <f t="shared" si="106"/>
        <v/>
      </c>
      <c r="B462" s="5" t="str">
        <f>IF(A462="","",IF(A462&gt;tc_lot_i+tc,0,IF('Hidrograma afluente'!B469="","",'Hidrograma afluente'!B469)))</f>
        <v/>
      </c>
      <c r="C462" s="21" t="str">
        <f t="shared" si="107"/>
        <v/>
      </c>
      <c r="D462" s="21" t="str">
        <f t="shared" si="112"/>
        <v/>
      </c>
      <c r="E462" s="21" t="str">
        <f t="shared" si="113"/>
        <v/>
      </c>
      <c r="F462" s="21" t="str">
        <f t="shared" si="114"/>
        <v/>
      </c>
      <c r="G462" s="21" t="str">
        <f t="shared" si="115"/>
        <v/>
      </c>
      <c r="H462" s="23" t="str">
        <f t="shared" si="108"/>
        <v/>
      </c>
      <c r="I462" s="22" t="str">
        <f t="shared" si="116"/>
        <v/>
      </c>
      <c r="J462" s="1"/>
      <c r="K462" s="51"/>
      <c r="M462" s="81">
        <f t="shared" ca="1" si="109"/>
        <v>2849.6367462548242</v>
      </c>
      <c r="N462" s="19">
        <f t="shared" si="117"/>
        <v>71.116169522255177</v>
      </c>
      <c r="O462" s="17">
        <f t="shared" si="118"/>
        <v>115.25</v>
      </c>
      <c r="P462" s="19">
        <f ca="1">IF(ISERROR(IF(O462&lt;fi_h/20,0,(OFFSET('Base de dados'!$A$5,IF(O462&lt;20,1,IF(O462&gt;1000,10,MATCH(O462,Cargas,1))),Coluna_fih,1,1))*(1+0.13*0.25)*(PI()*(fi_h/1000)^2/4)*SQRT(2*9.81*(O462/100-fi_h/2/1000))*1000)),"",IF(O462&lt;fi_h/20,0,(OFFSET('Base de dados'!$A$5,IF(O462&lt;20,1,IF(O462&gt;1000,10,MATCH(O462,Cargas,1))),Coluna_fih,1,1))*(PI()*(fi_h/1000)^2/4)*SQRT(2*9.81*(O462/100-fi_h/2/1000))*1000))</f>
        <v>28.176448418799701</v>
      </c>
      <c r="Q462" s="19">
        <f ca="1">IF(O462="","",IF(Tipo_Vertedor="Retangular",IF(O462&lt;=cota_s*100,0,IF(Tipo_Vertedor="Retangular",Cd_sr*Lef_sr*((O462/100-cota_s)^(3/2))*1000)),IF(O462&lt;=cota_s*100+fi_s/20,0,(OFFSET('Base de dados'!$A$4,IF(O462&lt;20,1,IF(O462&gt;1000,10,MATCH(O462,Cargas,1))),Coluna_fis,1,1))*(PI()*(fi_s/1000)^2/4)*(2*9.81*(O462/100-cota_s-fi_s/2/1000))^0.5*1000)))</f>
        <v>450.92131376085189</v>
      </c>
      <c r="R462" s="19">
        <f t="shared" ca="1" si="110"/>
        <v>479.09776217965157</v>
      </c>
      <c r="S462" s="19">
        <f t="shared" ca="1" si="111"/>
        <v>2370.5389840751727</v>
      </c>
      <c r="AD462" s="19"/>
      <c r="AE462" s="19"/>
      <c r="AG462" s="17" t="s">
        <v>160</v>
      </c>
      <c r="AH462" s="17" t="s">
        <v>160</v>
      </c>
      <c r="AI462" s="27" t="s">
        <v>160</v>
      </c>
      <c r="AJ462" s="17" t="s">
        <v>160</v>
      </c>
      <c r="AK462" s="19" t="str">
        <f>IF(A462="","",IF('Hidrograma afluente'!I469="",0,'Hidrograma afluente'!I469)+Simulação!B462)</f>
        <v/>
      </c>
    </row>
    <row r="463" spans="1:37" s="17" customFormat="1">
      <c r="A463" s="4" t="str">
        <f t="shared" si="106"/>
        <v/>
      </c>
      <c r="B463" s="5" t="str">
        <f>IF(A463="","",IF(A463&gt;tc_lot_i+tc,0,IF('Hidrograma afluente'!B470="","",'Hidrograma afluente'!B470)))</f>
        <v/>
      </c>
      <c r="C463" s="21" t="str">
        <f t="shared" si="107"/>
        <v/>
      </c>
      <c r="D463" s="21" t="str">
        <f t="shared" si="112"/>
        <v/>
      </c>
      <c r="E463" s="21" t="str">
        <f t="shared" si="113"/>
        <v/>
      </c>
      <c r="F463" s="21" t="str">
        <f t="shared" si="114"/>
        <v/>
      </c>
      <c r="G463" s="21" t="str">
        <f t="shared" si="115"/>
        <v/>
      </c>
      <c r="H463" s="23" t="str">
        <f t="shared" si="108"/>
        <v/>
      </c>
      <c r="I463" s="22" t="str">
        <f t="shared" si="116"/>
        <v/>
      </c>
      <c r="J463" s="1"/>
      <c r="K463" s="51"/>
      <c r="M463" s="81">
        <f t="shared" ca="1" si="109"/>
        <v>2858.5164023966254</v>
      </c>
      <c r="N463" s="19">
        <f t="shared" si="117"/>
        <v>71.289675433276315</v>
      </c>
      <c r="O463" s="17">
        <f t="shared" si="118"/>
        <v>115.5</v>
      </c>
      <c r="P463" s="19">
        <f ca="1">IF(ISERROR(IF(O463&lt;fi_h/20,0,(OFFSET('Base de dados'!$A$5,IF(O463&lt;20,1,IF(O463&gt;1000,10,MATCH(O463,Cargas,1))),Coluna_fih,1,1))*(1+0.13*0.25)*(PI()*(fi_h/1000)^2/4)*SQRT(2*9.81*(O463/100-fi_h/2/1000))*1000)),"",IF(O463&lt;fi_h/20,0,(OFFSET('Base de dados'!$A$5,IF(O463&lt;20,1,IF(O463&gt;1000,10,MATCH(O463,Cargas,1))),Coluna_fih,1,1))*(PI()*(fi_h/1000)^2/4)*SQRT(2*9.81*(O463/100-fi_h/2/1000))*1000))</f>
        <v>28.208562733650979</v>
      </c>
      <c r="Q463" s="19">
        <f ca="1">IF(O463="","",IF(Tipo_Vertedor="Retangular",IF(O463&lt;=cota_s*100,0,IF(Tipo_Vertedor="Retangular",Cd_sr*Lef_sr*((O463/100-cota_s)^(3/2))*1000)),IF(O463&lt;=cota_s*100+fi_s/20,0,(OFFSET('Base de dados'!$A$4,IF(O463&lt;20,1,IF(O463&gt;1000,10,MATCH(O463,Cargas,1))),Coluna_fis,1,1))*(PI()*(fi_s/1000)^2/4)*(2*9.81*(O463/100-cota_s-fi_s/2/1000))^0.5*1000)))</f>
        <v>453.98532522043058</v>
      </c>
      <c r="R463" s="19">
        <f t="shared" ca="1" si="110"/>
        <v>482.19388795408156</v>
      </c>
      <c r="S463" s="19">
        <f t="shared" ca="1" si="111"/>
        <v>2376.3225144425437</v>
      </c>
      <c r="AD463" s="19"/>
      <c r="AE463" s="19"/>
      <c r="AG463" s="17" t="s">
        <v>160</v>
      </c>
      <c r="AH463" s="17" t="s">
        <v>160</v>
      </c>
      <c r="AI463" s="27" t="s">
        <v>160</v>
      </c>
      <c r="AJ463" s="17" t="s">
        <v>160</v>
      </c>
      <c r="AK463" s="19" t="str">
        <f>IF(A463="","",IF('Hidrograma afluente'!I470="",0,'Hidrograma afluente'!I470)+Simulação!B463)</f>
        <v/>
      </c>
    </row>
    <row r="464" spans="1:37" s="17" customFormat="1">
      <c r="A464" s="4" t="str">
        <f t="shared" si="106"/>
        <v/>
      </c>
      <c r="B464" s="5" t="str">
        <f>IF(A464="","",IF(A464&gt;tc_lot_i+tc,0,IF('Hidrograma afluente'!B471="","",'Hidrograma afluente'!B471)))</f>
        <v/>
      </c>
      <c r="C464" s="21" t="str">
        <f t="shared" si="107"/>
        <v/>
      </c>
      <c r="D464" s="21" t="str">
        <f t="shared" si="112"/>
        <v/>
      </c>
      <c r="E464" s="21" t="str">
        <f t="shared" si="113"/>
        <v/>
      </c>
      <c r="F464" s="21" t="str">
        <f t="shared" si="114"/>
        <v/>
      </c>
      <c r="G464" s="21" t="str">
        <f t="shared" si="115"/>
        <v/>
      </c>
      <c r="H464" s="23" t="str">
        <f t="shared" si="108"/>
        <v/>
      </c>
      <c r="I464" s="22" t="str">
        <f t="shared" si="116"/>
        <v/>
      </c>
      <c r="J464" s="1"/>
      <c r="K464" s="51"/>
      <c r="M464" s="81">
        <f t="shared" ca="1" si="109"/>
        <v>2867.4044904325019</v>
      </c>
      <c r="N464" s="19">
        <f t="shared" si="117"/>
        <v>71.46322813505671</v>
      </c>
      <c r="O464" s="17">
        <f t="shared" si="118"/>
        <v>115.75</v>
      </c>
      <c r="P464" s="19">
        <f ca="1">IF(ISERROR(IF(O464&lt;fi_h/20,0,(OFFSET('Base de dados'!$A$5,IF(O464&lt;20,1,IF(O464&gt;1000,10,MATCH(O464,Cargas,1))),Coluna_fih,1,1))*(1+0.13*0.25)*(PI()*(fi_h/1000)^2/4)*SQRT(2*9.81*(O464/100-fi_h/2/1000))*1000)),"",IF(O464&lt;fi_h/20,0,(OFFSET('Base de dados'!$A$5,IF(O464&lt;20,1,IF(O464&gt;1000,10,MATCH(O464,Cargas,1))),Coluna_fih,1,1))*(PI()*(fi_h/1000)^2/4)*SQRT(2*9.81*(O464/100-fi_h/2/1000))*1000))</f>
        <v>28.240640529197737</v>
      </c>
      <c r="Q464" s="19">
        <f ca="1">IF(O464="","",IF(Tipo_Vertedor="Retangular",IF(O464&lt;=cota_s*100,0,IF(Tipo_Vertedor="Retangular",Cd_sr*Lef_sr*((O464/100-cota_s)^(3/2))*1000)),IF(O464&lt;=cota_s*100+fi_s/20,0,(OFFSET('Base de dados'!$A$4,IF(O464&lt;20,1,IF(O464&gt;1000,10,MATCH(O464,Cargas,1))),Coluna_fis,1,1))*(PI()*(fi_s/1000)^2/4)*(2*9.81*(O464/100-cota_s-fi_s/2/1000))^0.5*1000)))</f>
        <v>457.056245401414</v>
      </c>
      <c r="R464" s="19">
        <f t="shared" ca="1" si="110"/>
        <v>485.29688593061172</v>
      </c>
      <c r="S464" s="19">
        <f t="shared" ca="1" si="111"/>
        <v>2382.1076045018904</v>
      </c>
      <c r="AD464" s="19"/>
      <c r="AE464" s="19"/>
      <c r="AG464" s="17" t="s">
        <v>160</v>
      </c>
      <c r="AH464" s="17" t="s">
        <v>160</v>
      </c>
      <c r="AI464" s="27" t="s">
        <v>160</v>
      </c>
      <c r="AJ464" s="17" t="s">
        <v>160</v>
      </c>
      <c r="AK464" s="19" t="str">
        <f>IF(A464="","",IF('Hidrograma afluente'!I471="",0,'Hidrograma afluente'!I471)+Simulação!B464)</f>
        <v/>
      </c>
    </row>
    <row r="465" spans="1:37" s="17" customFormat="1">
      <c r="A465" s="4" t="str">
        <f t="shared" si="106"/>
        <v/>
      </c>
      <c r="B465" s="5" t="str">
        <f>IF(A465="","",IF(A465&gt;tc_lot_i+tc,0,IF('Hidrograma afluente'!B472="","",'Hidrograma afluente'!B472)))</f>
        <v/>
      </c>
      <c r="C465" s="21" t="str">
        <f t="shared" si="107"/>
        <v/>
      </c>
      <c r="D465" s="21" t="str">
        <f t="shared" si="112"/>
        <v/>
      </c>
      <c r="E465" s="21" t="str">
        <f t="shared" si="113"/>
        <v/>
      </c>
      <c r="F465" s="21" t="str">
        <f t="shared" si="114"/>
        <v/>
      </c>
      <c r="G465" s="21" t="str">
        <f t="shared" si="115"/>
        <v/>
      </c>
      <c r="H465" s="23" t="str">
        <f t="shared" si="108"/>
        <v/>
      </c>
      <c r="I465" s="22" t="str">
        <f t="shared" si="116"/>
        <v/>
      </c>
      <c r="J465" s="1"/>
      <c r="K465" s="51"/>
      <c r="M465" s="81">
        <f t="shared" ca="1" si="109"/>
        <v>2876.3009920294512</v>
      </c>
      <c r="N465" s="19">
        <f t="shared" si="117"/>
        <v>71.636827539113881</v>
      </c>
      <c r="O465" s="17">
        <f t="shared" si="118"/>
        <v>116</v>
      </c>
      <c r="P465" s="19">
        <f ca="1">IF(ISERROR(IF(O465&lt;fi_h/20,0,(OFFSET('Base de dados'!$A$5,IF(O465&lt;20,1,IF(O465&gt;1000,10,MATCH(O465,Cargas,1))),Coluna_fih,1,1))*(1+0.13*0.25)*(PI()*(fi_h/1000)^2/4)*SQRT(2*9.81*(O465/100-fi_h/2/1000))*1000)),"",IF(O465&lt;fi_h/20,0,(OFFSET('Base de dados'!$A$5,IF(O465&lt;20,1,IF(O465&gt;1000,10,MATCH(O465,Cargas,1))),Coluna_fih,1,1))*(PI()*(fi_h/1000)^2/4)*SQRT(2*9.81*(O465/100-fi_h/2/1000))*1000))</f>
        <v>28.272681929742866</v>
      </c>
      <c r="Q465" s="19">
        <f ca="1">IF(O465="","",IF(Tipo_Vertedor="Retangular",IF(O465&lt;=cota_s*100,0,IF(Tipo_Vertedor="Retangular",Cd_sr*Lef_sr*((O465/100-cota_s)^(3/2))*1000)),IF(O465&lt;=cota_s*100+fi_s/20,0,(OFFSET('Base de dados'!$A$4,IF(O465&lt;20,1,IF(O465&gt;1000,10,MATCH(O465,Cargas,1))),Coluna_fis,1,1))*(PI()*(fi_s/1000)^2/4)*(2*9.81*(O465/100-cota_s-fi_s/2/1000))^0.5*1000)))</f>
        <v>460.13405879591221</v>
      </c>
      <c r="R465" s="19">
        <f t="shared" ca="1" si="110"/>
        <v>488.40674072565508</v>
      </c>
      <c r="S465" s="19">
        <f t="shared" ca="1" si="111"/>
        <v>2387.894251303796</v>
      </c>
      <c r="AD465" s="19"/>
      <c r="AE465" s="19"/>
      <c r="AG465" s="17" t="s">
        <v>160</v>
      </c>
      <c r="AH465" s="17" t="s">
        <v>160</v>
      </c>
      <c r="AI465" s="27" t="s">
        <v>160</v>
      </c>
      <c r="AJ465" s="17" t="s">
        <v>160</v>
      </c>
      <c r="AK465" s="19" t="str">
        <f>IF(A465="","",IF('Hidrograma afluente'!I472="",0,'Hidrograma afluente'!I472)+Simulação!B465)</f>
        <v/>
      </c>
    </row>
    <row r="466" spans="1:37" s="17" customFormat="1">
      <c r="A466" s="4" t="str">
        <f t="shared" si="106"/>
        <v/>
      </c>
      <c r="B466" s="5" t="str">
        <f>IF(A466="","",IF(A466&gt;tc_lot_i+tc,0,IF('Hidrograma afluente'!B473="","",'Hidrograma afluente'!B473)))</f>
        <v/>
      </c>
      <c r="C466" s="21" t="str">
        <f t="shared" si="107"/>
        <v/>
      </c>
      <c r="D466" s="21" t="str">
        <f t="shared" si="112"/>
        <v/>
      </c>
      <c r="E466" s="21" t="str">
        <f t="shared" si="113"/>
        <v/>
      </c>
      <c r="F466" s="21" t="str">
        <f t="shared" si="114"/>
        <v/>
      </c>
      <c r="G466" s="21" t="str">
        <f t="shared" si="115"/>
        <v/>
      </c>
      <c r="H466" s="23" t="str">
        <f t="shared" si="108"/>
        <v/>
      </c>
      <c r="I466" s="22" t="str">
        <f t="shared" si="116"/>
        <v/>
      </c>
      <c r="J466" s="1"/>
      <c r="K466" s="51"/>
      <c r="M466" s="81">
        <f t="shared" ca="1" si="109"/>
        <v>2885.2058889696527</v>
      </c>
      <c r="N466" s="19">
        <f t="shared" si="117"/>
        <v>71.810473557322993</v>
      </c>
      <c r="O466" s="17">
        <f t="shared" si="118"/>
        <v>116.25</v>
      </c>
      <c r="P466" s="19">
        <f ca="1">IF(ISERROR(IF(O466&lt;fi_h/20,0,(OFFSET('Base de dados'!$A$5,IF(O466&lt;20,1,IF(O466&gt;1000,10,MATCH(O466,Cargas,1))),Coluna_fih,1,1))*(1+0.13*0.25)*(PI()*(fi_h/1000)^2/4)*SQRT(2*9.81*(O466/100-fi_h/2/1000))*1000)),"",IF(O466&lt;fi_h/20,0,(OFFSET('Base de dados'!$A$5,IF(O466&lt;20,1,IF(O466&gt;1000,10,MATCH(O466,Cargas,1))),Coluna_fih,1,1))*(PI()*(fi_h/1000)^2/4)*SQRT(2*9.81*(O466/100-fi_h/2/1000))*1000))</f>
        <v>28.304687058885705</v>
      </c>
      <c r="Q466" s="19">
        <f ca="1">IF(O466="","",IF(Tipo_Vertedor="Retangular",IF(O466&lt;=cota_s*100,0,IF(Tipo_Vertedor="Retangular",Cd_sr*Lef_sr*((O466/100-cota_s)^(3/2))*1000)),IF(O466&lt;=cota_s*100+fi_s/20,0,(OFFSET('Base de dados'!$A$4,IF(O466&lt;20,1,IF(O466&gt;1000,10,MATCH(O466,Cargas,1))),Coluna_fis,1,1))*(PI()*(fi_s/1000)^2/4)*(2*9.81*(O466/100-cota_s-fi_s/2/1000))^0.5*1000)))</f>
        <v>463.21875000000011</v>
      </c>
      <c r="R466" s="19">
        <f t="shared" ca="1" si="110"/>
        <v>491.5234370588858</v>
      </c>
      <c r="S466" s="19">
        <f t="shared" ca="1" si="111"/>
        <v>2393.6824519107668</v>
      </c>
      <c r="AD466" s="19"/>
      <c r="AE466" s="19"/>
      <c r="AG466" s="17" t="s">
        <v>160</v>
      </c>
      <c r="AH466" s="17" t="s">
        <v>160</v>
      </c>
      <c r="AI466" s="27" t="s">
        <v>160</v>
      </c>
      <c r="AJ466" s="17" t="s">
        <v>160</v>
      </c>
      <c r="AK466" s="19" t="str">
        <f>IF(A466="","",IF('Hidrograma afluente'!I473="",0,'Hidrograma afluente'!I473)+Simulação!B466)</f>
        <v/>
      </c>
    </row>
    <row r="467" spans="1:37" s="17" customFormat="1">
      <c r="A467" s="4" t="str">
        <f t="shared" si="106"/>
        <v/>
      </c>
      <c r="B467" s="5" t="str">
        <f>IF(A467="","",IF(A467&gt;tc_lot_i+tc,0,IF('Hidrograma afluente'!B474="","",'Hidrograma afluente'!B474)))</f>
        <v/>
      </c>
      <c r="C467" s="21" t="str">
        <f t="shared" si="107"/>
        <v/>
      </c>
      <c r="D467" s="21" t="str">
        <f t="shared" si="112"/>
        <v/>
      </c>
      <c r="E467" s="21" t="str">
        <f t="shared" si="113"/>
        <v/>
      </c>
      <c r="F467" s="21" t="str">
        <f t="shared" si="114"/>
        <v/>
      </c>
      <c r="G467" s="21" t="str">
        <f t="shared" si="115"/>
        <v/>
      </c>
      <c r="H467" s="23" t="str">
        <f t="shared" si="108"/>
        <v/>
      </c>
      <c r="I467" s="22" t="str">
        <f t="shared" si="116"/>
        <v/>
      </c>
      <c r="J467" s="1"/>
      <c r="K467" s="51"/>
      <c r="M467" s="81">
        <f t="shared" ca="1" si="109"/>
        <v>2894.1191631492438</v>
      </c>
      <c r="N467" s="19">
        <f t="shared" si="117"/>
        <v>71.984166101914681</v>
      </c>
      <c r="O467" s="17">
        <f t="shared" si="118"/>
        <v>116.5</v>
      </c>
      <c r="P467" s="19">
        <f ca="1">IF(ISERROR(IF(O467&lt;fi_h/20,0,(OFFSET('Base de dados'!$A$5,IF(O467&lt;20,1,IF(O467&gt;1000,10,MATCH(O467,Cargas,1))),Coluna_fih,1,1))*(1+0.13*0.25)*(PI()*(fi_h/1000)^2/4)*SQRT(2*9.81*(O467/100-fi_h/2/1000))*1000)),"",IF(O467&lt;fi_h/20,0,(OFFSET('Base de dados'!$A$5,IF(O467&lt;20,1,IF(O467&gt;1000,10,MATCH(O467,Cargas,1))),Coluna_fih,1,1))*(PI()*(fi_h/1000)^2/4)*SQRT(2*9.81*(O467/100-fi_h/2/1000))*1000))</f>
        <v>28.336656039527583</v>
      </c>
      <c r="Q467" s="19">
        <f ca="1">IF(O467="","",IF(Tipo_Vertedor="Retangular",IF(O467&lt;=cota_s*100,0,IF(Tipo_Vertedor="Retangular",Cd_sr*Lef_sr*((O467/100-cota_s)^(3/2))*1000)),IF(O467&lt;=cota_s*100+fi_s/20,0,(OFFSET('Base de dados'!$A$4,IF(O467&lt;20,1,IF(O467&gt;1000,10,MATCH(O467,Cargas,1))),Coluna_fis,1,1))*(PI()*(fi_s/1000)^2/4)*(2*9.81*(O467/100-cota_s-fi_s/2/1000))^0.5*1000)))</f>
        <v>466.31030371256008</v>
      </c>
      <c r="R467" s="19">
        <f t="shared" ca="1" si="110"/>
        <v>494.6469597520877</v>
      </c>
      <c r="S467" s="19">
        <f t="shared" ca="1" si="111"/>
        <v>2399.4722033971561</v>
      </c>
      <c r="AD467" s="19"/>
      <c r="AE467" s="19"/>
      <c r="AG467" s="17" t="s">
        <v>160</v>
      </c>
      <c r="AH467" s="17" t="s">
        <v>160</v>
      </c>
      <c r="AI467" s="27" t="s">
        <v>160</v>
      </c>
      <c r="AJ467" s="17" t="s">
        <v>160</v>
      </c>
      <c r="AK467" s="19" t="str">
        <f>IF(A467="","",IF('Hidrograma afluente'!I474="",0,'Hidrograma afluente'!I474)+Simulação!B467)</f>
        <v/>
      </c>
    </row>
    <row r="468" spans="1:37" s="17" customFormat="1">
      <c r="A468" s="4" t="str">
        <f t="shared" si="106"/>
        <v/>
      </c>
      <c r="B468" s="5" t="str">
        <f>IF(A468="","",IF(A468&gt;tc_lot_i+tc,0,IF('Hidrograma afluente'!B475="","",'Hidrograma afluente'!B475)))</f>
        <v/>
      </c>
      <c r="C468" s="21" t="str">
        <f t="shared" si="107"/>
        <v/>
      </c>
      <c r="D468" s="21" t="str">
        <f t="shared" si="112"/>
        <v/>
      </c>
      <c r="E468" s="21" t="str">
        <f t="shared" si="113"/>
        <v/>
      </c>
      <c r="F468" s="21" t="str">
        <f t="shared" si="114"/>
        <v/>
      </c>
      <c r="G468" s="21" t="str">
        <f t="shared" si="115"/>
        <v/>
      </c>
      <c r="H468" s="23" t="str">
        <f t="shared" si="108"/>
        <v/>
      </c>
      <c r="I468" s="22" t="str">
        <f t="shared" si="116"/>
        <v/>
      </c>
      <c r="J468" s="1"/>
      <c r="K468" s="51"/>
      <c r="M468" s="81">
        <f t="shared" ca="1" si="109"/>
        <v>2903.0407965771183</v>
      </c>
      <c r="N468" s="19">
        <f t="shared" si="117"/>
        <v>72.157905085472891</v>
      </c>
      <c r="O468" s="17">
        <f t="shared" si="118"/>
        <v>116.75</v>
      </c>
      <c r="P468" s="19">
        <f ca="1">IF(ISERROR(IF(O468&lt;fi_h/20,0,(OFFSET('Base de dados'!$A$5,IF(O468&lt;20,1,IF(O468&gt;1000,10,MATCH(O468,Cargas,1))),Coluna_fih,1,1))*(1+0.13*0.25)*(PI()*(fi_h/1000)^2/4)*SQRT(2*9.81*(O468/100-fi_h/2/1000))*1000)),"",IF(O468&lt;fi_h/20,0,(OFFSET('Base de dados'!$A$5,IF(O468&lt;20,1,IF(O468&gt;1000,10,MATCH(O468,Cargas,1))),Coluna_fih,1,1))*(PI()*(fi_h/1000)^2/4)*SQRT(2*9.81*(O468/100-fi_h/2/1000))*1000))</f>
        <v>28.368588993877324</v>
      </c>
      <c r="Q468" s="19">
        <f ca="1">IF(O468="","",IF(Tipo_Vertedor="Retangular",IF(O468&lt;=cota_s*100,0,IF(Tipo_Vertedor="Retangular",Cd_sr*Lef_sr*((O468/100-cota_s)^(3/2))*1000)),IF(O468&lt;=cota_s*100+fi_s/20,0,(OFFSET('Base de dados'!$A$4,IF(O468&lt;20,1,IF(O468&gt;1000,10,MATCH(O468,Cargas,1))),Coluna_fis,1,1))*(PI()*(fi_s/1000)^2/4)*(2*9.81*(O468/100-cota_s-fi_s/2/1000))^0.5*1000)))</f>
        <v>469.40870473414475</v>
      </c>
      <c r="R468" s="19">
        <f t="shared" ca="1" si="110"/>
        <v>497.77729372802207</v>
      </c>
      <c r="S468" s="19">
        <f t="shared" ca="1" si="111"/>
        <v>2405.2635028490963</v>
      </c>
      <c r="AD468" s="19"/>
      <c r="AE468" s="19"/>
      <c r="AG468" s="17" t="s">
        <v>160</v>
      </c>
      <c r="AH468" s="17" t="s">
        <v>160</v>
      </c>
      <c r="AI468" s="27" t="s">
        <v>160</v>
      </c>
      <c r="AJ468" s="17" t="s">
        <v>160</v>
      </c>
      <c r="AK468" s="19" t="str">
        <f>IF(A468="","",IF('Hidrograma afluente'!I475="",0,'Hidrograma afluente'!I475)+Simulação!B468)</f>
        <v/>
      </c>
    </row>
    <row r="469" spans="1:37" s="17" customFormat="1">
      <c r="A469" s="4" t="str">
        <f t="shared" si="106"/>
        <v/>
      </c>
      <c r="B469" s="5" t="str">
        <f>IF(A469="","",IF(A469&gt;tc_lot_i+tc,0,IF('Hidrograma afluente'!B476="","",'Hidrograma afluente'!B476)))</f>
        <v/>
      </c>
      <c r="C469" s="21" t="str">
        <f t="shared" si="107"/>
        <v/>
      </c>
      <c r="D469" s="21" t="str">
        <f t="shared" si="112"/>
        <v/>
      </c>
      <c r="E469" s="21" t="str">
        <f t="shared" si="113"/>
        <v/>
      </c>
      <c r="F469" s="21" t="str">
        <f t="shared" si="114"/>
        <v/>
      </c>
      <c r="G469" s="21" t="str">
        <f t="shared" si="115"/>
        <v/>
      </c>
      <c r="H469" s="23" t="str">
        <f t="shared" si="108"/>
        <v/>
      </c>
      <c r="I469" s="22" t="str">
        <f t="shared" si="116"/>
        <v/>
      </c>
      <c r="J469" s="1"/>
      <c r="K469" s="51"/>
      <c r="M469" s="81">
        <f t="shared" ca="1" si="109"/>
        <v>2911.9707713737325</v>
      </c>
      <c r="N469" s="19">
        <f t="shared" si="117"/>
        <v>72.331690420932617</v>
      </c>
      <c r="O469" s="17">
        <f t="shared" si="118"/>
        <v>117</v>
      </c>
      <c r="P469" s="19">
        <f ca="1">IF(ISERROR(IF(O469&lt;fi_h/20,0,(OFFSET('Base de dados'!$A$5,IF(O469&lt;20,1,IF(O469&gt;1000,10,MATCH(O469,Cargas,1))),Coluna_fih,1,1))*(1+0.13*0.25)*(PI()*(fi_h/1000)^2/4)*SQRT(2*9.81*(O469/100-fi_h/2/1000))*1000)),"",IF(O469&lt;fi_h/20,0,(OFFSET('Base de dados'!$A$5,IF(O469&lt;20,1,IF(O469&gt;1000,10,MATCH(O469,Cargas,1))),Coluna_fih,1,1))*(PI()*(fi_h/1000)^2/4)*SQRT(2*9.81*(O469/100-fi_h/2/1000))*1000))</f>
        <v>28.400486043456734</v>
      </c>
      <c r="Q469" s="19">
        <f ca="1">IF(O469="","",IF(Tipo_Vertedor="Retangular",IF(O469&lt;=cota_s*100,0,IF(Tipo_Vertedor="Retangular",Cd_sr*Lef_sr*((O469/100-cota_s)^(3/2))*1000)),IF(O469&lt;=cota_s*100+fi_s/20,0,(OFFSET('Base de dados'!$A$4,IF(O469&lt;20,1,IF(O469&gt;1000,10,MATCH(O469,Cargas,1))),Coluna_fis,1,1))*(PI()*(fi_s/1000)^2/4)*(2*9.81*(O469/100-cota_s-fi_s/2/1000))^0.5*1000)))</f>
        <v>472.51393796585506</v>
      </c>
      <c r="R469" s="19">
        <f t="shared" ca="1" si="110"/>
        <v>500.9144240093118</v>
      </c>
      <c r="S469" s="19">
        <f t="shared" ca="1" si="111"/>
        <v>2411.0563473644206</v>
      </c>
      <c r="AD469" s="19"/>
      <c r="AE469" s="19"/>
      <c r="AG469" s="17" t="s">
        <v>160</v>
      </c>
      <c r="AH469" s="17" t="s">
        <v>160</v>
      </c>
      <c r="AI469" s="27" t="s">
        <v>160</v>
      </c>
      <c r="AJ469" s="17" t="s">
        <v>160</v>
      </c>
      <c r="AK469" s="19" t="str">
        <f>IF(A469="","",IF('Hidrograma afluente'!I476="",0,'Hidrograma afluente'!I476)+Simulação!B469)</f>
        <v/>
      </c>
    </row>
    <row r="470" spans="1:37" s="17" customFormat="1">
      <c r="A470" s="4" t="str">
        <f t="shared" si="106"/>
        <v/>
      </c>
      <c r="B470" s="5" t="str">
        <f>IF(A470="","",IF(A470&gt;tc_lot_i+tc,0,IF('Hidrograma afluente'!B477="","",'Hidrograma afluente'!B477)))</f>
        <v/>
      </c>
      <c r="C470" s="21" t="str">
        <f t="shared" si="107"/>
        <v/>
      </c>
      <c r="D470" s="21" t="str">
        <f t="shared" si="112"/>
        <v/>
      </c>
      <c r="E470" s="21" t="str">
        <f t="shared" si="113"/>
        <v/>
      </c>
      <c r="F470" s="21" t="str">
        <f t="shared" si="114"/>
        <v/>
      </c>
      <c r="G470" s="21" t="str">
        <f t="shared" si="115"/>
        <v/>
      </c>
      <c r="H470" s="23" t="str">
        <f t="shared" si="108"/>
        <v/>
      </c>
      <c r="I470" s="22" t="str">
        <f t="shared" si="116"/>
        <v/>
      </c>
      <c r="J470" s="1"/>
      <c r="K470" s="51"/>
      <c r="M470" s="81">
        <f t="shared" ca="1" si="109"/>
        <v>2920.9090697699385</v>
      </c>
      <c r="N470" s="19">
        <f t="shared" si="117"/>
        <v>72.50552202157786</v>
      </c>
      <c r="O470" s="17">
        <f t="shared" si="118"/>
        <v>117.25</v>
      </c>
      <c r="P470" s="19">
        <f ca="1">IF(ISERROR(IF(O470&lt;fi_h/20,0,(OFFSET('Base de dados'!$A$5,IF(O470&lt;20,1,IF(O470&gt;1000,10,MATCH(O470,Cargas,1))),Coluna_fih,1,1))*(1+0.13*0.25)*(PI()*(fi_h/1000)^2/4)*SQRT(2*9.81*(O470/100-fi_h/2/1000))*1000)),"",IF(O470&lt;fi_h/20,0,(OFFSET('Base de dados'!$A$5,IF(O470&lt;20,1,IF(O470&gt;1000,10,MATCH(O470,Cargas,1))),Coluna_fih,1,1))*(PI()*(fi_h/1000)^2/4)*SQRT(2*9.81*(O470/100-fi_h/2/1000))*1000))</f>
        <v>28.432347309105943</v>
      </c>
      <c r="Q470" s="19">
        <f ca="1">IF(O470="","",IF(Tipo_Vertedor="Retangular",IF(O470&lt;=cota_s*100,0,IF(Tipo_Vertedor="Retangular",Cd_sr*Lef_sr*((O470/100-cota_s)^(3/2))*1000)),IF(O470&lt;=cota_s*100+fi_s/20,0,(OFFSET('Base de dados'!$A$4,IF(O470&lt;20,1,IF(O470&gt;1000,10,MATCH(O470,Cargas,1))),Coluna_fis,1,1))*(PI()*(fi_s/1000)^2/4)*(2*9.81*(O470/100-cota_s-fi_s/2/1000))^0.5*1000)))</f>
        <v>475.62598840823739</v>
      </c>
      <c r="R470" s="19">
        <f t="shared" ca="1" si="110"/>
        <v>504.05833571734331</v>
      </c>
      <c r="S470" s="19">
        <f t="shared" ca="1" si="111"/>
        <v>2416.8507340525953</v>
      </c>
      <c r="AD470" s="19"/>
      <c r="AE470" s="19"/>
      <c r="AG470" s="17" t="s">
        <v>160</v>
      </c>
      <c r="AH470" s="17" t="s">
        <v>160</v>
      </c>
      <c r="AI470" s="27" t="s">
        <v>160</v>
      </c>
      <c r="AJ470" s="17" t="s">
        <v>160</v>
      </c>
      <c r="AK470" s="19" t="str">
        <f>IF(A470="","",IF('Hidrograma afluente'!I477="",0,'Hidrograma afluente'!I477)+Simulação!B470)</f>
        <v/>
      </c>
    </row>
    <row r="471" spans="1:37" s="17" customFormat="1">
      <c r="A471" s="4" t="str">
        <f t="shared" si="106"/>
        <v/>
      </c>
      <c r="B471" s="5" t="str">
        <f>IF(A471="","",IF(A471&gt;tc_lot_i+tc,0,IF('Hidrograma afluente'!B478="","",'Hidrograma afluente'!B478)))</f>
        <v/>
      </c>
      <c r="C471" s="21" t="str">
        <f t="shared" si="107"/>
        <v/>
      </c>
      <c r="D471" s="21" t="str">
        <f t="shared" si="112"/>
        <v/>
      </c>
      <c r="E471" s="21" t="str">
        <f t="shared" si="113"/>
        <v/>
      </c>
      <c r="F471" s="21" t="str">
        <f t="shared" si="114"/>
        <v/>
      </c>
      <c r="G471" s="21" t="str">
        <f t="shared" si="115"/>
        <v/>
      </c>
      <c r="H471" s="23" t="str">
        <f t="shared" si="108"/>
        <v/>
      </c>
      <c r="I471" s="22" t="str">
        <f t="shared" si="116"/>
        <v/>
      </c>
      <c r="J471" s="1"/>
      <c r="K471" s="51"/>
      <c r="M471" s="81">
        <f t="shared" ca="1" si="109"/>
        <v>2929.8556741058292</v>
      </c>
      <c r="N471" s="19">
        <f t="shared" si="117"/>
        <v>72.679399801039366</v>
      </c>
      <c r="O471" s="17">
        <f t="shared" si="118"/>
        <v>117.5</v>
      </c>
      <c r="P471" s="19">
        <f ca="1">IF(ISERROR(IF(O471&lt;fi_h/20,0,(OFFSET('Base de dados'!$A$5,IF(O471&lt;20,1,IF(O471&gt;1000,10,MATCH(O471,Cargas,1))),Coluna_fih,1,1))*(1+0.13*0.25)*(PI()*(fi_h/1000)^2/4)*SQRT(2*9.81*(O471/100-fi_h/2/1000))*1000)),"",IF(O471&lt;fi_h/20,0,(OFFSET('Base de dados'!$A$5,IF(O471&lt;20,1,IF(O471&gt;1000,10,MATCH(O471,Cargas,1))),Coluna_fih,1,1))*(PI()*(fi_h/1000)^2/4)*SQRT(2*9.81*(O471/100-fi_h/2/1000))*1000))</f>
        <v>28.464172910988765</v>
      </c>
      <c r="Q471" s="19">
        <f ca="1">IF(O471="","",IF(Tipo_Vertedor="Retangular",IF(O471&lt;=cota_s*100,0,IF(Tipo_Vertedor="Retangular",Cd_sr*Lef_sr*((O471/100-cota_s)^(3/2))*1000)),IF(O471&lt;=cota_s*100+fi_s/20,0,(OFFSET('Base de dados'!$A$4,IF(O471&lt;20,1,IF(O471&gt;1000,10,MATCH(O471,Cargas,1))),Coluna_fis,1,1))*(PI()*(fi_s/1000)^2/4)*(2*9.81*(O471/100-cota_s-fi_s/2/1000))^0.5*1000)))</f>
        <v>478.74484116019482</v>
      </c>
      <c r="R471" s="19">
        <f t="shared" ca="1" si="110"/>
        <v>507.20901407118356</v>
      </c>
      <c r="S471" s="19">
        <f t="shared" ca="1" si="111"/>
        <v>2422.6466600346457</v>
      </c>
      <c r="AD471" s="19"/>
      <c r="AE471" s="19"/>
      <c r="AG471" s="17" t="s">
        <v>160</v>
      </c>
      <c r="AH471" s="17" t="s">
        <v>160</v>
      </c>
      <c r="AI471" s="27" t="s">
        <v>160</v>
      </c>
      <c r="AJ471" s="17" t="s">
        <v>160</v>
      </c>
      <c r="AK471" s="19" t="str">
        <f>IF(A471="","",IF('Hidrograma afluente'!I478="",0,'Hidrograma afluente'!I478)+Simulação!B471)</f>
        <v/>
      </c>
    </row>
    <row r="472" spans="1:37" s="17" customFormat="1">
      <c r="A472" s="4" t="str">
        <f t="shared" si="106"/>
        <v/>
      </c>
      <c r="B472" s="5" t="str">
        <f>IF(A472="","",IF(A472&gt;tc_lot_i+tc,0,IF('Hidrograma afluente'!B479="","",'Hidrograma afluente'!B479)))</f>
        <v/>
      </c>
      <c r="C472" s="21" t="str">
        <f t="shared" si="107"/>
        <v/>
      </c>
      <c r="D472" s="21" t="str">
        <f t="shared" si="112"/>
        <v/>
      </c>
      <c r="E472" s="21" t="str">
        <f t="shared" si="113"/>
        <v/>
      </c>
      <c r="F472" s="21" t="str">
        <f t="shared" si="114"/>
        <v/>
      </c>
      <c r="G472" s="21" t="str">
        <f t="shared" si="115"/>
        <v/>
      </c>
      <c r="H472" s="23" t="str">
        <f t="shared" si="108"/>
        <v/>
      </c>
      <c r="I472" s="22" t="str">
        <f t="shared" si="116"/>
        <v/>
      </c>
      <c r="J472" s="1"/>
      <c r="K472" s="51"/>
      <c r="M472" s="81">
        <f t="shared" ca="1" si="109"/>
        <v>2938.8105668296043</v>
      </c>
      <c r="N472" s="19">
        <f t="shared" si="117"/>
        <v>72.853323673292607</v>
      </c>
      <c r="O472" s="17">
        <f t="shared" si="118"/>
        <v>117.75</v>
      </c>
      <c r="P472" s="19">
        <f ca="1">IF(ISERROR(IF(O472&lt;fi_h/20,0,(OFFSET('Base de dados'!$A$5,IF(O472&lt;20,1,IF(O472&gt;1000,10,MATCH(O472,Cargas,1))),Coluna_fih,1,1))*(1+0.13*0.25)*(PI()*(fi_h/1000)^2/4)*SQRT(2*9.81*(O472/100-fi_h/2/1000))*1000)),"",IF(O472&lt;fi_h/20,0,(OFFSET('Base de dados'!$A$5,IF(O472&lt;20,1,IF(O472&gt;1000,10,MATCH(O472,Cargas,1))),Coluna_fih,1,1))*(PI()*(fi_h/1000)^2/4)*SQRT(2*9.81*(O472/100-fi_h/2/1000))*1000))</f>
        <v>28.495962968598022</v>
      </c>
      <c r="Q472" s="19">
        <f ca="1">IF(O472="","",IF(Tipo_Vertedor="Retangular",IF(O472&lt;=cota_s*100,0,IF(Tipo_Vertedor="Retangular",Cd_sr*Lef_sr*((O472/100-cota_s)^(3/2))*1000)),IF(O472&lt;=cota_s*100+fi_s/20,0,(OFFSET('Base de dados'!$A$4,IF(O472&lt;20,1,IF(O472&gt;1000,10,MATCH(O472,Cargas,1))),Coluna_fis,1,1))*(PI()*(fi_s/1000)^2/4)*(2*9.81*(O472/100-cota_s-fi_s/2/1000))^0.5*1000)))</f>
        <v>481.87048141791956</v>
      </c>
      <c r="R472" s="19">
        <f t="shared" ca="1" si="110"/>
        <v>510.36644438651757</v>
      </c>
      <c r="S472" s="19">
        <f t="shared" ca="1" si="111"/>
        <v>2428.4441224430866</v>
      </c>
      <c r="AD472" s="19"/>
      <c r="AE472" s="19"/>
      <c r="AG472" s="17" t="s">
        <v>160</v>
      </c>
      <c r="AH472" s="17" t="s">
        <v>160</v>
      </c>
      <c r="AI472" s="27" t="s">
        <v>160</v>
      </c>
      <c r="AJ472" s="17" t="s">
        <v>160</v>
      </c>
      <c r="AK472" s="19" t="str">
        <f>IF(A472="","",IF('Hidrograma afluente'!I479="",0,'Hidrograma afluente'!I479)+Simulação!B472)</f>
        <v/>
      </c>
    </row>
    <row r="473" spans="1:37" s="17" customFormat="1">
      <c r="A473" s="4" t="str">
        <f t="shared" si="106"/>
        <v/>
      </c>
      <c r="B473" s="5" t="str">
        <f>IF(A473="","",IF(A473&gt;tc_lot_i+tc,0,IF('Hidrograma afluente'!B480="","",'Hidrograma afluente'!B480)))</f>
        <v/>
      </c>
      <c r="C473" s="21" t="str">
        <f t="shared" si="107"/>
        <v/>
      </c>
      <c r="D473" s="21" t="str">
        <f t="shared" si="112"/>
        <v/>
      </c>
      <c r="E473" s="21" t="str">
        <f t="shared" si="113"/>
        <v/>
      </c>
      <c r="F473" s="21" t="str">
        <f t="shared" si="114"/>
        <v/>
      </c>
      <c r="G473" s="21" t="str">
        <f t="shared" si="115"/>
        <v/>
      </c>
      <c r="H473" s="23" t="str">
        <f t="shared" si="108"/>
        <v/>
      </c>
      <c r="I473" s="22" t="str">
        <f t="shared" si="116"/>
        <v/>
      </c>
      <c r="J473" s="1"/>
      <c r="K473" s="51"/>
      <c r="M473" s="81">
        <f t="shared" ca="1" si="109"/>
        <v>2947.7737304964521</v>
      </c>
      <c r="N473" s="19">
        <f t="shared" si="117"/>
        <v>73.027293552655621</v>
      </c>
      <c r="O473" s="17">
        <f t="shared" si="118"/>
        <v>118</v>
      </c>
      <c r="P473" s="19">
        <f ca="1">IF(ISERROR(IF(O473&lt;fi_h/20,0,(OFFSET('Base de dados'!$A$5,IF(O473&lt;20,1,IF(O473&gt;1000,10,MATCH(O473,Cargas,1))),Coluna_fih,1,1))*(1+0.13*0.25)*(PI()*(fi_h/1000)^2/4)*SQRT(2*9.81*(O473/100-fi_h/2/1000))*1000)),"",IF(O473&lt;fi_h/20,0,(OFFSET('Base de dados'!$A$5,IF(O473&lt;20,1,IF(O473&gt;1000,10,MATCH(O473,Cargas,1))),Coluna_fih,1,1))*(PI()*(fi_h/1000)^2/4)*SQRT(2*9.81*(O473/100-fi_h/2/1000))*1000))</f>
        <v>28.527717600760717</v>
      </c>
      <c r="Q473" s="19">
        <f ca="1">IF(O473="","",IF(Tipo_Vertedor="Retangular",IF(O473&lt;=cota_s*100,0,IF(Tipo_Vertedor="Retangular",Cd_sr*Lef_sr*((O473/100-cota_s)^(3/2))*1000)),IF(O473&lt;=cota_s*100+fi_s/20,0,(OFFSET('Base de dados'!$A$4,IF(O473&lt;20,1,IF(O473&gt;1000,10,MATCH(O473,Cargas,1))),Coluna_fis,1,1))*(PI()*(fi_s/1000)^2/4)*(2*9.81*(O473/100-cota_s-fi_s/2/1000))^0.5*1000)))</f>
        <v>485.00289447383716</v>
      </c>
      <c r="R473" s="19">
        <f t="shared" ca="1" si="110"/>
        <v>513.53061207459791</v>
      </c>
      <c r="S473" s="19">
        <f t="shared" ca="1" si="111"/>
        <v>2434.243118421854</v>
      </c>
      <c r="AD473" s="19"/>
      <c r="AE473" s="19"/>
      <c r="AG473" s="17" t="s">
        <v>160</v>
      </c>
      <c r="AH473" s="17" t="s">
        <v>160</v>
      </c>
      <c r="AI473" s="27" t="s">
        <v>160</v>
      </c>
      <c r="AJ473" s="17" t="s">
        <v>160</v>
      </c>
      <c r="AK473" s="19" t="str">
        <f>IF(A473="","",IF('Hidrograma afluente'!I480="",0,'Hidrograma afluente'!I480)+Simulação!B473)</f>
        <v/>
      </c>
    </row>
    <row r="474" spans="1:37" s="17" customFormat="1">
      <c r="A474" s="4" t="str">
        <f t="shared" si="106"/>
        <v/>
      </c>
      <c r="B474" s="5" t="str">
        <f>IF(A474="","",IF(A474&gt;tc_lot_i+tc,0,IF('Hidrograma afluente'!B481="","",'Hidrograma afluente'!B481)))</f>
        <v/>
      </c>
      <c r="C474" s="21" t="str">
        <f t="shared" si="107"/>
        <v/>
      </c>
      <c r="D474" s="21" t="str">
        <f t="shared" si="112"/>
        <v/>
      </c>
      <c r="E474" s="21" t="str">
        <f t="shared" si="113"/>
        <v/>
      </c>
      <c r="F474" s="21" t="str">
        <f t="shared" si="114"/>
        <v/>
      </c>
      <c r="G474" s="21" t="str">
        <f t="shared" si="115"/>
        <v/>
      </c>
      <c r="H474" s="23" t="str">
        <f t="shared" si="108"/>
        <v/>
      </c>
      <c r="I474" s="22" t="str">
        <f t="shared" si="116"/>
        <v/>
      </c>
      <c r="J474" s="1"/>
      <c r="K474" s="51"/>
      <c r="M474" s="81">
        <f t="shared" ca="1" si="109"/>
        <v>2956.7451477674426</v>
      </c>
      <c r="N474" s="19">
        <f t="shared" si="117"/>
        <v>73.201309353786925</v>
      </c>
      <c r="O474" s="17">
        <f t="shared" si="118"/>
        <v>118.25</v>
      </c>
      <c r="P474" s="19">
        <f ca="1">IF(ISERROR(IF(O474&lt;fi_h/20,0,(OFFSET('Base de dados'!$A$5,IF(O474&lt;20,1,IF(O474&gt;1000,10,MATCH(O474,Cargas,1))),Coluna_fih,1,1))*(1+0.13*0.25)*(PI()*(fi_h/1000)^2/4)*SQRT(2*9.81*(O474/100-fi_h/2/1000))*1000)),"",IF(O474&lt;fi_h/20,0,(OFFSET('Base de dados'!$A$5,IF(O474&lt;20,1,IF(O474&gt;1000,10,MATCH(O474,Cargas,1))),Coluna_fih,1,1))*(PI()*(fi_h/1000)^2/4)*SQRT(2*9.81*(O474/100-fi_h/2/1000))*1000))</f>
        <v>28.559436925643261</v>
      </c>
      <c r="Q474" s="19">
        <f ca="1">IF(O474="","",IF(Tipo_Vertedor="Retangular",IF(O474&lt;=cota_s*100,0,IF(Tipo_Vertedor="Retangular",Cd_sr*Lef_sr*((O474/100-cota_s)^(3/2))*1000)),IF(O474&lt;=cota_s*100+fi_s/20,0,(OFFSET('Base de dados'!$A$4,IF(O474&lt;20,1,IF(O474&gt;1000,10,MATCH(O474,Cargas,1))),Coluna_fis,1,1))*(PI()*(fi_s/1000)^2/4)*(2*9.81*(O474/100-cota_s-fi_s/2/1000))^0.5*1000)))</f>
        <v>488.14206571556872</v>
      </c>
      <c r="R474" s="19">
        <f t="shared" ca="1" si="110"/>
        <v>516.70150264121196</v>
      </c>
      <c r="S474" s="19">
        <f t="shared" ca="1" si="111"/>
        <v>2440.0436451262308</v>
      </c>
      <c r="AD474" s="19"/>
      <c r="AE474" s="19"/>
      <c r="AG474" s="17" t="s">
        <v>160</v>
      </c>
      <c r="AH474" s="17" t="s">
        <v>160</v>
      </c>
      <c r="AI474" s="27" t="s">
        <v>160</v>
      </c>
      <c r="AJ474" s="17" t="s">
        <v>160</v>
      </c>
      <c r="AK474" s="19" t="str">
        <f>IF(A474="","",IF('Hidrograma afluente'!I481="",0,'Hidrograma afluente'!I481)+Simulação!B474)</f>
        <v/>
      </c>
    </row>
    <row r="475" spans="1:37" s="17" customFormat="1">
      <c r="A475" s="4" t="str">
        <f t="shared" si="106"/>
        <v/>
      </c>
      <c r="B475" s="5" t="str">
        <f>IF(A475="","",IF(A475&gt;tc_lot_i+tc,0,IF('Hidrograma afluente'!B482="","",'Hidrograma afluente'!B482)))</f>
        <v/>
      </c>
      <c r="C475" s="21" t="str">
        <f t="shared" si="107"/>
        <v/>
      </c>
      <c r="D475" s="21" t="str">
        <f t="shared" si="112"/>
        <v/>
      </c>
      <c r="E475" s="21" t="str">
        <f t="shared" si="113"/>
        <v/>
      </c>
      <c r="F475" s="21" t="str">
        <f t="shared" si="114"/>
        <v/>
      </c>
      <c r="G475" s="21" t="str">
        <f t="shared" si="115"/>
        <v/>
      </c>
      <c r="H475" s="23" t="str">
        <f t="shared" si="108"/>
        <v/>
      </c>
      <c r="I475" s="22" t="str">
        <f t="shared" si="116"/>
        <v/>
      </c>
      <c r="J475" s="1"/>
      <c r="K475" s="51"/>
      <c r="M475" s="81">
        <f t="shared" ca="1" si="109"/>
        <v>2965.7248014084466</v>
      </c>
      <c r="N475" s="19">
        <f t="shared" si="117"/>
        <v>73.375370991683454</v>
      </c>
      <c r="O475" s="17">
        <f t="shared" si="118"/>
        <v>118.5</v>
      </c>
      <c r="P475" s="19">
        <f ca="1">IF(ISERROR(IF(O475&lt;fi_h/20,0,(OFFSET('Base de dados'!$A$5,IF(O475&lt;20,1,IF(O475&gt;1000,10,MATCH(O475,Cargas,1))),Coluna_fih,1,1))*(1+0.13*0.25)*(PI()*(fi_h/1000)^2/4)*SQRT(2*9.81*(O475/100-fi_h/2/1000))*1000)),"",IF(O475&lt;fi_h/20,0,(OFFSET('Base de dados'!$A$5,IF(O475&lt;20,1,IF(O475&gt;1000,10,MATCH(O475,Cargas,1))),Coluna_fih,1,1))*(PI()*(fi_h/1000)^2/4)*SQRT(2*9.81*(O475/100-fi_h/2/1000))*1000))</f>
        <v>28.591121060756585</v>
      </c>
      <c r="Q475" s="19">
        <f ca="1">IF(O475="","",IF(Tipo_Vertedor="Retangular",IF(O475&lt;=cota_s*100,0,IF(Tipo_Vertedor="Retangular",Cd_sr*Lef_sr*((O475/100-cota_s)^(3/2))*1000)),IF(O475&lt;=cota_s*100+fi_s/20,0,(OFFSET('Base de dados'!$A$4,IF(O475&lt;20,1,IF(O475&gt;1000,10,MATCH(O475,Cargas,1))),Coluna_fis,1,1))*(PI()*(fi_s/1000)^2/4)*(2*9.81*(O475/100-cota_s-fi_s/2/1000))^0.5*1000)))</f>
        <v>491.28798062490813</v>
      </c>
      <c r="R475" s="19">
        <f t="shared" ca="1" si="110"/>
        <v>519.87910168566475</v>
      </c>
      <c r="S475" s="19">
        <f t="shared" ca="1" si="111"/>
        <v>2445.8456997227818</v>
      </c>
      <c r="AD475" s="19"/>
      <c r="AE475" s="19"/>
      <c r="AG475" s="17" t="s">
        <v>160</v>
      </c>
      <c r="AH475" s="17" t="s">
        <v>160</v>
      </c>
      <c r="AI475" s="27" t="s">
        <v>160</v>
      </c>
      <c r="AJ475" s="17" t="s">
        <v>160</v>
      </c>
      <c r="AK475" s="19" t="str">
        <f>IF(A475="","",IF('Hidrograma afluente'!I482="",0,'Hidrograma afluente'!I482)+Simulação!B475)</f>
        <v/>
      </c>
    </row>
    <row r="476" spans="1:37" s="17" customFormat="1">
      <c r="A476" s="4" t="str">
        <f t="shared" ref="A476:A485" si="119">IF(ISERROR(IF(A475+Passo&lt;=tempo_simul,A475+Passo,"")),"",IF(A475+Passo&lt;=tempo_simul,A475+Passo,""))</f>
        <v/>
      </c>
      <c r="B476" s="5" t="str">
        <f>IF(A476="","",IF(A476&gt;tc_lot_i+tc,0,IF('Hidrograma afluente'!B483="","",'Hidrograma afluente'!B483)))</f>
        <v/>
      </c>
      <c r="C476" s="21" t="str">
        <f t="shared" ref="C476:C485" si="120">IF(B477=0,0,IF(B477="","",B477))</f>
        <v/>
      </c>
      <c r="D476" s="21" t="str">
        <f t="shared" si="112"/>
        <v/>
      </c>
      <c r="E476" s="21" t="str">
        <f t="shared" si="113"/>
        <v/>
      </c>
      <c r="F476" s="21" t="str">
        <f t="shared" si="114"/>
        <v/>
      </c>
      <c r="G476" s="21" t="str">
        <f t="shared" si="115"/>
        <v/>
      </c>
      <c r="H476" s="23" t="str">
        <f t="shared" ref="H476:H485" si="121">IF(A476="","",IF(ISERROR(B476+C476+D476-G476),0,B476+C476+D476-G476))</f>
        <v/>
      </c>
      <c r="I476" s="22" t="str">
        <f t="shared" si="116"/>
        <v/>
      </c>
      <c r="J476" s="1"/>
      <c r="K476" s="51"/>
      <c r="M476" s="81">
        <f t="shared" ca="1" si="109"/>
        <v>2974.7126742890609</v>
      </c>
      <c r="N476" s="19">
        <f t="shared" si="117"/>
        <v>73.54947838167854</v>
      </c>
      <c r="O476" s="17">
        <f t="shared" si="118"/>
        <v>118.75</v>
      </c>
      <c r="P476" s="19">
        <f ca="1">IF(ISERROR(IF(O476&lt;fi_h/20,0,(OFFSET('Base de dados'!$A$5,IF(O476&lt;20,1,IF(O476&gt;1000,10,MATCH(O476,Cargas,1))),Coluna_fih,1,1))*(1+0.13*0.25)*(PI()*(fi_h/1000)^2/4)*SQRT(2*9.81*(O476/100-fi_h/2/1000))*1000)),"",IF(O476&lt;fi_h/20,0,(OFFSET('Base de dados'!$A$5,IF(O476&lt;20,1,IF(O476&gt;1000,10,MATCH(O476,Cargas,1))),Coluna_fih,1,1))*(PI()*(fi_h/1000)^2/4)*SQRT(2*9.81*(O476/100-fi_h/2/1000))*1000))</f>
        <v>28.622770122961224</v>
      </c>
      <c r="Q476" s="19">
        <f ca="1">IF(O476="","",IF(Tipo_Vertedor="Retangular",IF(O476&lt;=cota_s*100,0,IF(Tipo_Vertedor="Retangular",Cd_sr*Lef_sr*((O476/100-cota_s)^(3/2))*1000)),IF(O476&lt;=cota_s*100+fi_s/20,0,(OFFSET('Base de dados'!$A$4,IF(O476&lt;20,1,IF(O476&gt;1000,10,MATCH(O476,Cargas,1))),Coluna_fis,1,1))*(PI()*(fi_s/1000)^2/4)*(2*9.81*(O476/100-cota_s-fi_s/2/1000))^0.5*1000)))</f>
        <v>494.44062477681547</v>
      </c>
      <c r="R476" s="19">
        <f t="shared" ca="1" si="110"/>
        <v>523.06339489977665</v>
      </c>
      <c r="S476" s="19">
        <f t="shared" ca="1" si="111"/>
        <v>2451.6492793892844</v>
      </c>
      <c r="AD476" s="19"/>
      <c r="AE476" s="19"/>
      <c r="AG476" s="17" t="s">
        <v>160</v>
      </c>
      <c r="AH476" s="17" t="s">
        <v>160</v>
      </c>
      <c r="AI476" s="27" t="s">
        <v>160</v>
      </c>
      <c r="AJ476" s="17" t="s">
        <v>160</v>
      </c>
      <c r="AK476" s="19" t="str">
        <f>IF(A476="","",IF('Hidrograma afluente'!I483="",0,'Hidrograma afluente'!I483)+Simulação!B476)</f>
        <v/>
      </c>
    </row>
    <row r="477" spans="1:37" s="17" customFormat="1">
      <c r="A477" s="4" t="str">
        <f t="shared" si="119"/>
        <v/>
      </c>
      <c r="B477" s="5" t="str">
        <f>IF(A477="","",IF(A477&gt;tc_lot_i+tc,0,IF('Hidrograma afluente'!B484="","",'Hidrograma afluente'!B484)))</f>
        <v/>
      </c>
      <c r="C477" s="21" t="str">
        <f t="shared" si="120"/>
        <v/>
      </c>
      <c r="D477" s="21" t="str">
        <f t="shared" si="112"/>
        <v/>
      </c>
      <c r="E477" s="21" t="str">
        <f t="shared" si="113"/>
        <v/>
      </c>
      <c r="F477" s="21" t="str">
        <f t="shared" si="114"/>
        <v/>
      </c>
      <c r="G477" s="21" t="str">
        <f t="shared" si="115"/>
        <v/>
      </c>
      <c r="H477" s="23" t="str">
        <f t="shared" si="121"/>
        <v/>
      </c>
      <c r="I477" s="22" t="str">
        <f t="shared" si="116"/>
        <v/>
      </c>
      <c r="J477" s="1"/>
      <c r="K477" s="51"/>
      <c r="M477" s="81">
        <f t="shared" ca="1" si="109"/>
        <v>2983.708749381557</v>
      </c>
      <c r="N477" s="19">
        <f t="shared" si="117"/>
        <v>73.723631439439828</v>
      </c>
      <c r="O477" s="17">
        <f t="shared" si="118"/>
        <v>119</v>
      </c>
      <c r="P477" s="19">
        <f ca="1">IF(ISERROR(IF(O477&lt;fi_h/20,0,(OFFSET('Base de dados'!$A$5,IF(O477&lt;20,1,IF(O477&gt;1000,10,MATCH(O477,Cargas,1))),Coluna_fih,1,1))*(1+0.13*0.25)*(PI()*(fi_h/1000)^2/4)*SQRT(2*9.81*(O477/100-fi_h/2/1000))*1000)),"",IF(O477&lt;fi_h/20,0,(OFFSET('Base de dados'!$A$5,IF(O477&lt;20,1,IF(O477&gt;1000,10,MATCH(O477,Cargas,1))),Coluna_fih,1,1))*(PI()*(fi_h/1000)^2/4)*SQRT(2*9.81*(O477/100-fi_h/2/1000))*1000))</f>
        <v>28.654384228472338</v>
      </c>
      <c r="Q477" s="19">
        <f ca="1">IF(O477="","",IF(Tipo_Vertedor="Retangular",IF(O477&lt;=cota_s*100,0,IF(Tipo_Vertedor="Retangular",Cd_sr*Lef_sr*((O477/100-cota_s)^(3/2))*1000)),IF(O477&lt;=cota_s*100+fi_s/20,0,(OFFSET('Base de dados'!$A$4,IF(O477&lt;20,1,IF(O477&gt;1000,10,MATCH(O477,Cargas,1))),Coluna_fis,1,1))*(PI()*(fi_s/1000)^2/4)*(2*9.81*(O477/100-cota_s-fi_s/2/1000))^0.5*1000)))</f>
        <v>497.59998383842424</v>
      </c>
      <c r="R477" s="19">
        <f t="shared" ca="1" si="110"/>
        <v>526.25436806689663</v>
      </c>
      <c r="S477" s="19">
        <f t="shared" ca="1" si="111"/>
        <v>2457.4543813146606</v>
      </c>
      <c r="AD477" s="19"/>
      <c r="AE477" s="19"/>
      <c r="AG477" s="17" t="s">
        <v>160</v>
      </c>
      <c r="AH477" s="17" t="s">
        <v>160</v>
      </c>
      <c r="AI477" s="27" t="s">
        <v>160</v>
      </c>
      <c r="AJ477" s="17" t="s">
        <v>160</v>
      </c>
      <c r="AK477" s="19" t="str">
        <f>IF(A477="","",IF('Hidrograma afluente'!I484="",0,'Hidrograma afluente'!I484)+Simulação!B477)</f>
        <v/>
      </c>
    </row>
    <row r="478" spans="1:37" s="17" customFormat="1">
      <c r="A478" s="4" t="str">
        <f t="shared" si="119"/>
        <v/>
      </c>
      <c r="B478" s="5" t="str">
        <f>IF(A478="","",IF(A478&gt;tc_lot_i+tc,0,IF('Hidrograma afluente'!B485="","",'Hidrograma afluente'!B485)))</f>
        <v/>
      </c>
      <c r="C478" s="21" t="str">
        <f t="shared" si="120"/>
        <v/>
      </c>
      <c r="D478" s="21" t="str">
        <f t="shared" si="112"/>
        <v/>
      </c>
      <c r="E478" s="21" t="str">
        <f t="shared" si="113"/>
        <v/>
      </c>
      <c r="F478" s="21" t="str">
        <f t="shared" si="114"/>
        <v/>
      </c>
      <c r="G478" s="21" t="str">
        <f t="shared" si="115"/>
        <v/>
      </c>
      <c r="H478" s="23" t="str">
        <f t="shared" si="121"/>
        <v/>
      </c>
      <c r="I478" s="22" t="str">
        <f t="shared" si="116"/>
        <v/>
      </c>
      <c r="J478" s="1"/>
      <c r="K478" s="51"/>
      <c r="M478" s="81">
        <f t="shared" ca="1" si="109"/>
        <v>2992.7130097598379</v>
      </c>
      <c r="N478" s="19">
        <f t="shared" si="117"/>
        <v>73.897830080967267</v>
      </c>
      <c r="O478" s="17">
        <f t="shared" si="118"/>
        <v>119.25</v>
      </c>
      <c r="P478" s="19">
        <f ca="1">IF(ISERROR(IF(O478&lt;fi_h/20,0,(OFFSET('Base de dados'!$A$5,IF(O478&lt;20,1,IF(O478&gt;1000,10,MATCH(O478,Cargas,1))),Coluna_fih,1,1))*(1+0.13*0.25)*(PI()*(fi_h/1000)^2/4)*SQRT(2*9.81*(O478/100-fi_h/2/1000))*1000)),"",IF(O478&lt;fi_h/20,0,(OFFSET('Base de dados'!$A$5,IF(O478&lt;20,1,IF(O478&gt;1000,10,MATCH(O478,Cargas,1))),Coluna_fih,1,1))*(PI()*(fi_h/1000)^2/4)*SQRT(2*9.81*(O478/100-fi_h/2/1000))*1000))</f>
        <v>28.685963492864719</v>
      </c>
      <c r="Q478" s="19">
        <f ca="1">IF(O478="","",IF(Tipo_Vertedor="Retangular",IF(O478&lt;=cota_s*100,0,IF(Tipo_Vertedor="Retangular",Cd_sr*Lef_sr*((O478/100-cota_s)^(3/2))*1000)),IF(O478&lt;=cota_s*100+fi_s/20,0,(OFFSET('Base de dados'!$A$4,IF(O478&lt;20,1,IF(O478&gt;1000,10,MATCH(O478,Cargas,1))),Coluna_fis,1,1))*(PI()*(fi_s/1000)^2/4)*(2*9.81*(O478/100-cota_s-fi_s/2/1000))^0.5*1000)))</f>
        <v>500.76604356806433</v>
      </c>
      <c r="R478" s="19">
        <f t="shared" ca="1" si="110"/>
        <v>529.45200706092908</v>
      </c>
      <c r="S478" s="19">
        <f t="shared" ca="1" si="111"/>
        <v>2463.2610026989087</v>
      </c>
      <c r="AD478" s="19"/>
      <c r="AE478" s="19"/>
      <c r="AG478" s="17" t="s">
        <v>160</v>
      </c>
      <c r="AH478" s="17" t="s">
        <v>160</v>
      </c>
      <c r="AI478" s="27" t="s">
        <v>160</v>
      </c>
      <c r="AJ478" s="17" t="s">
        <v>160</v>
      </c>
      <c r="AK478" s="19" t="str">
        <f>IF(A478="","",IF('Hidrograma afluente'!I485="",0,'Hidrograma afluente'!I485)+Simulação!B478)</f>
        <v/>
      </c>
    </row>
    <row r="479" spans="1:37" s="17" customFormat="1">
      <c r="A479" s="4" t="str">
        <f t="shared" si="119"/>
        <v/>
      </c>
      <c r="B479" s="5" t="str">
        <f>IF(A479="","",IF(A479&gt;tc_lot_i+tc,0,IF('Hidrograma afluente'!B486="","",'Hidrograma afluente'!B486)))</f>
        <v/>
      </c>
      <c r="C479" s="21" t="str">
        <f t="shared" si="120"/>
        <v/>
      </c>
      <c r="D479" s="21" t="str">
        <f t="shared" si="112"/>
        <v/>
      </c>
      <c r="E479" s="21" t="str">
        <f t="shared" si="113"/>
        <v/>
      </c>
      <c r="F479" s="21" t="str">
        <f t="shared" si="114"/>
        <v/>
      </c>
      <c r="G479" s="21" t="str">
        <f t="shared" si="115"/>
        <v/>
      </c>
      <c r="H479" s="23" t="str">
        <f t="shared" si="121"/>
        <v/>
      </c>
      <c r="I479" s="22" t="str">
        <f t="shared" si="116"/>
        <v/>
      </c>
      <c r="J479" s="1"/>
      <c r="K479" s="51"/>
      <c r="M479" s="81">
        <f t="shared" ca="1" si="109"/>
        <v>3001.7254385984143</v>
      </c>
      <c r="N479" s="19">
        <f t="shared" si="117"/>
        <v>74.072074222591127</v>
      </c>
      <c r="O479" s="17">
        <f t="shared" si="118"/>
        <v>119.5</v>
      </c>
      <c r="P479" s="19">
        <f ca="1">IF(ISERROR(IF(O479&lt;fi_h/20,0,(OFFSET('Base de dados'!$A$5,IF(O479&lt;20,1,IF(O479&gt;1000,10,MATCH(O479,Cargas,1))),Coluna_fih,1,1))*(1+0.13*0.25)*(PI()*(fi_h/1000)^2/4)*SQRT(2*9.81*(O479/100-fi_h/2/1000))*1000)),"",IF(O479&lt;fi_h/20,0,(OFFSET('Base de dados'!$A$5,IF(O479&lt;20,1,IF(O479&gt;1000,10,MATCH(O479,Cargas,1))),Coluna_fih,1,1))*(PI()*(fi_h/1000)^2/4)*SQRT(2*9.81*(O479/100-fi_h/2/1000))*1000))</f>
        <v>28.717508031077671</v>
      </c>
      <c r="Q479" s="19">
        <f ca="1">IF(O479="","",IF(Tipo_Vertedor="Retangular",IF(O479&lt;=cota_s*100,0,IF(Tipo_Vertedor="Retangular",Cd_sr*Lef_sr*((O479/100-cota_s)^(3/2))*1000)),IF(O479&lt;=cota_s*100+fi_s/20,0,(OFFSET('Base de dados'!$A$4,IF(O479&lt;20,1,IF(O479&gt;1000,10,MATCH(O479,Cargas,1))),Coluna_fis,1,1))*(PI()*(fi_s/1000)^2/4)*(2*9.81*(O479/100-cota_s-fi_s/2/1000))^0.5*1000)))</f>
        <v>503.93878981429896</v>
      </c>
      <c r="R479" s="19">
        <f t="shared" ca="1" si="110"/>
        <v>532.65629784537668</v>
      </c>
      <c r="S479" s="19">
        <f t="shared" ca="1" si="111"/>
        <v>2469.0691407530376</v>
      </c>
      <c r="AD479" s="19"/>
      <c r="AE479" s="19"/>
      <c r="AG479" s="17" t="s">
        <v>160</v>
      </c>
      <c r="AH479" s="17" t="s">
        <v>160</v>
      </c>
      <c r="AI479" s="27" t="s">
        <v>160</v>
      </c>
      <c r="AJ479" s="17" t="s">
        <v>160</v>
      </c>
      <c r="AK479" s="19" t="str">
        <f>IF(A479="","",IF('Hidrograma afluente'!I486="",0,'Hidrograma afluente'!I486)+Simulação!B479)</f>
        <v/>
      </c>
    </row>
    <row r="480" spans="1:37" s="17" customFormat="1">
      <c r="A480" s="4" t="str">
        <f t="shared" si="119"/>
        <v/>
      </c>
      <c r="B480" s="5" t="str">
        <f>IF(A480="","",IF(A480&gt;tc_lot_i+tc,0,IF('Hidrograma afluente'!B487="","",'Hidrograma afluente'!B487)))</f>
        <v/>
      </c>
      <c r="C480" s="21" t="str">
        <f t="shared" si="120"/>
        <v/>
      </c>
      <c r="D480" s="21" t="str">
        <f t="shared" si="112"/>
        <v/>
      </c>
      <c r="E480" s="21" t="str">
        <f t="shared" si="113"/>
        <v/>
      </c>
      <c r="F480" s="21" t="str">
        <f t="shared" si="114"/>
        <v/>
      </c>
      <c r="G480" s="21" t="str">
        <f t="shared" si="115"/>
        <v/>
      </c>
      <c r="H480" s="23" t="str">
        <f t="shared" si="121"/>
        <v/>
      </c>
      <c r="I480" s="22" t="str">
        <f t="shared" si="116"/>
        <v/>
      </c>
      <c r="J480" s="1"/>
      <c r="K480" s="51"/>
      <c r="M480" s="81">
        <f t="shared" ca="1" si="109"/>
        <v>3010.7460191713944</v>
      </c>
      <c r="N480" s="19">
        <f t="shared" si="117"/>
        <v>74.246363780969986</v>
      </c>
      <c r="O480" s="17">
        <f t="shared" si="118"/>
        <v>119.75</v>
      </c>
      <c r="P480" s="19">
        <f ca="1">IF(ISERROR(IF(O480&lt;fi_h/20,0,(OFFSET('Base de dados'!$A$5,IF(O480&lt;20,1,IF(O480&gt;1000,10,MATCH(O480,Cargas,1))),Coluna_fih,1,1))*(1+0.13*0.25)*(PI()*(fi_h/1000)^2/4)*SQRT(2*9.81*(O480/100-fi_h/2/1000))*1000)),"",IF(O480&lt;fi_h/20,0,(OFFSET('Base de dados'!$A$5,IF(O480&lt;20,1,IF(O480&gt;1000,10,MATCH(O480,Cargas,1))),Coluna_fih,1,1))*(PI()*(fi_h/1000)^2/4)*SQRT(2*9.81*(O480/100-fi_h/2/1000))*1000))</f>
        <v>28.74901795741993</v>
      </c>
      <c r="Q480" s="19">
        <f ca="1">IF(O480="","",IF(Tipo_Vertedor="Retangular",IF(O480&lt;=cota_s*100,0,IF(Tipo_Vertedor="Retangular",Cd_sr*Lef_sr*((O480/100-cota_s)^(3/2))*1000)),IF(O480&lt;=cota_s*100+fi_s/20,0,(OFFSET('Base de dados'!$A$4,IF(O480&lt;20,1,IF(O480&gt;1000,10,MATCH(O480,Cargas,1))),Coluna_fis,1,1))*(PI()*(fi_s/1000)^2/4)*(2*9.81*(O480/100-cota_s-fi_s/2/1000))^0.5*1000)))</f>
        <v>507.11820851497492</v>
      </c>
      <c r="R480" s="19">
        <f t="shared" ca="1" si="110"/>
        <v>535.8672264723948</v>
      </c>
      <c r="S480" s="19">
        <f t="shared" ca="1" si="111"/>
        <v>2474.8787926989994</v>
      </c>
      <c r="AD480" s="19"/>
      <c r="AE480" s="19"/>
      <c r="AG480" s="17" t="s">
        <v>160</v>
      </c>
      <c r="AH480" s="17" t="s">
        <v>160</v>
      </c>
      <c r="AI480" s="27" t="s">
        <v>160</v>
      </c>
      <c r="AJ480" s="17" t="s">
        <v>160</v>
      </c>
      <c r="AK480" s="19" t="str">
        <f>IF(A480="","",IF('Hidrograma afluente'!I487="",0,'Hidrograma afluente'!I487)+Simulação!B480)</f>
        <v/>
      </c>
    </row>
    <row r="481" spans="1:37" s="17" customFormat="1">
      <c r="A481" s="4" t="str">
        <f t="shared" si="119"/>
        <v/>
      </c>
      <c r="B481" s="5" t="str">
        <f>IF(A481="","",IF(A481&gt;tc_lot_i+tc,0,IF('Hidrograma afluente'!B488="","",'Hidrograma afluente'!B488)))</f>
        <v/>
      </c>
      <c r="C481" s="21" t="str">
        <f t="shared" si="120"/>
        <v/>
      </c>
      <c r="D481" s="21" t="str">
        <f t="shared" si="112"/>
        <v/>
      </c>
      <c r="E481" s="21" t="str">
        <f t="shared" si="113"/>
        <v/>
      </c>
      <c r="F481" s="21" t="str">
        <f t="shared" si="114"/>
        <v/>
      </c>
      <c r="G481" s="21" t="str">
        <f t="shared" si="115"/>
        <v/>
      </c>
      <c r="H481" s="23" t="str">
        <f t="shared" si="121"/>
        <v/>
      </c>
      <c r="I481" s="22" t="str">
        <f t="shared" si="116"/>
        <v/>
      </c>
      <c r="J481" s="1"/>
      <c r="K481" s="51"/>
      <c r="M481" s="81">
        <f t="shared" ca="1" si="109"/>
        <v>3019.774734851489</v>
      </c>
      <c r="N481" s="19">
        <f t="shared" si="117"/>
        <v>74.420698673088765</v>
      </c>
      <c r="O481" s="17">
        <f t="shared" si="118"/>
        <v>120</v>
      </c>
      <c r="P481" s="19">
        <f ca="1">IF(ISERROR(IF(O481&lt;fi_h/20,0,(OFFSET('Base de dados'!$A$5,IF(O481&lt;20,1,IF(O481&gt;1000,10,MATCH(O481,Cargas,1))),Coluna_fih,1,1))*(1+0.13*0.25)*(PI()*(fi_h/1000)^2/4)*SQRT(2*9.81*(O481/100-fi_h/2/1000))*1000)),"",IF(O481&lt;fi_h/20,0,(OFFSET('Base de dados'!$A$5,IF(O481&lt;20,1,IF(O481&gt;1000,10,MATCH(O481,Cargas,1))),Coluna_fih,1,1))*(PI()*(fi_h/1000)^2/4)*SQRT(2*9.81*(O481/100-fi_h/2/1000))*1000))</f>
        <v>28.780493385574481</v>
      </c>
      <c r="Q481" s="19">
        <f ca="1">IF(O481="","",IF(Tipo_Vertedor="Retangular",IF(O481&lt;=cota_s*100,0,IF(Tipo_Vertedor="Retangular",Cd_sr*Lef_sr*((O481/100-cota_s)^(3/2))*1000)),IF(O481&lt;=cota_s*100+fi_s/20,0,(OFFSET('Base de dados'!$A$4,IF(O481&lt;20,1,IF(O481&gt;1000,10,MATCH(O481,Cargas,1))),Coluna_fis,1,1))*(PI()*(fi_s/1000)^2/4)*(2*9.81*(O481/100-cota_s-fi_s/2/1000))^0.5*1000)))</f>
        <v>510.3042856962893</v>
      </c>
      <c r="R481" s="19">
        <f t="shared" ca="1" si="110"/>
        <v>539.08477908186376</v>
      </c>
      <c r="S481" s="19">
        <f t="shared" ca="1" si="111"/>
        <v>2480.6899557696252</v>
      </c>
      <c r="AD481" s="19"/>
      <c r="AE481" s="19"/>
      <c r="AG481" s="17" t="s">
        <v>160</v>
      </c>
      <c r="AH481" s="17" t="s">
        <v>160</v>
      </c>
      <c r="AI481" s="27" t="s">
        <v>160</v>
      </c>
      <c r="AJ481" s="17" t="s">
        <v>160</v>
      </c>
      <c r="AK481" s="19" t="str">
        <f>IF(A481="","",IF('Hidrograma afluente'!I488="",0,'Hidrograma afluente'!I488)+Simulação!B481)</f>
        <v/>
      </c>
    </row>
    <row r="482" spans="1:37" s="17" customFormat="1">
      <c r="A482" s="4" t="str">
        <f t="shared" si="119"/>
        <v/>
      </c>
      <c r="B482" s="5" t="str">
        <f>IF(A482="","",IF(A482&gt;tc_lot_i+tc,0,IF('Hidrograma afluente'!B489="","",'Hidrograma afluente'!B489)))</f>
        <v/>
      </c>
      <c r="C482" s="21" t="str">
        <f t="shared" si="120"/>
        <v/>
      </c>
      <c r="D482" s="21" t="str">
        <f t="shared" si="112"/>
        <v/>
      </c>
      <c r="E482" s="21" t="str">
        <f t="shared" si="113"/>
        <v/>
      </c>
      <c r="F482" s="21" t="str">
        <f t="shared" si="114"/>
        <v/>
      </c>
      <c r="G482" s="21" t="str">
        <f t="shared" si="115"/>
        <v/>
      </c>
      <c r="H482" s="23" t="str">
        <f t="shared" si="121"/>
        <v/>
      </c>
      <c r="I482" s="22" t="str">
        <f t="shared" si="116"/>
        <v/>
      </c>
      <c r="J482" s="1"/>
      <c r="K482" s="51"/>
      <c r="M482" s="81">
        <f t="shared" ca="1" si="109"/>
        <v>3028.8115691090306</v>
      </c>
      <c r="N482" s="19">
        <f t="shared" si="117"/>
        <v>74.595078816256816</v>
      </c>
      <c r="O482" s="17">
        <f t="shared" si="118"/>
        <v>120.25</v>
      </c>
      <c r="P482" s="19">
        <f ca="1">IF(ISERROR(IF(O482&lt;fi_h/20,0,(OFFSET('Base de dados'!$A$5,IF(O482&lt;20,1,IF(O482&gt;1000,10,MATCH(O482,Cargas,1))),Coluna_fih,1,1))*(1+0.13*0.25)*(PI()*(fi_h/1000)^2/4)*SQRT(2*9.81*(O482/100-fi_h/2/1000))*1000)),"",IF(O482&lt;fi_h/20,0,(OFFSET('Base de dados'!$A$5,IF(O482&lt;20,1,IF(O482&gt;1000,10,MATCH(O482,Cargas,1))),Coluna_fih,1,1))*(PI()*(fi_h/1000)^2/4)*SQRT(2*9.81*(O482/100-fi_h/2/1000))*1000))</f>
        <v>28.811934428603351</v>
      </c>
      <c r="Q482" s="19">
        <f ca="1">IF(O482="","",IF(Tipo_Vertedor="Retangular",IF(O482&lt;=cota_s*100,0,IF(Tipo_Vertedor="Retangular",Cd_sr*Lef_sr*((O482/100-cota_s)^(3/2))*1000)),IF(O482&lt;=cota_s*100+fi_s/20,0,(OFFSET('Base de dados'!$A$4,IF(O482&lt;20,1,IF(O482&gt;1000,10,MATCH(O482,Cargas,1))),Coluna_fis,1,1))*(PI()*(fi_s/1000)^2/4)*(2*9.81*(O482/100-cota_s-fi_s/2/1000))^0.5*1000)))</f>
        <v>513.49700747186682</v>
      </c>
      <c r="R482" s="19">
        <f t="shared" ca="1" si="110"/>
        <v>542.30894190047013</v>
      </c>
      <c r="S482" s="19">
        <f t="shared" ca="1" si="111"/>
        <v>2486.5026272085606</v>
      </c>
      <c r="AD482" s="19"/>
      <c r="AE482" s="19"/>
      <c r="AG482" s="17" t="s">
        <v>160</v>
      </c>
      <c r="AH482" s="17" t="s">
        <v>160</v>
      </c>
      <c r="AI482" s="27" t="s">
        <v>160</v>
      </c>
      <c r="AJ482" s="17" t="s">
        <v>160</v>
      </c>
      <c r="AK482" s="19" t="str">
        <f>IF(A482="","",IF('Hidrograma afluente'!I489="",0,'Hidrograma afluente'!I489)+Simulação!B482)</f>
        <v/>
      </c>
    </row>
    <row r="483" spans="1:37" s="17" customFormat="1">
      <c r="A483" s="4" t="str">
        <f t="shared" si="119"/>
        <v/>
      </c>
      <c r="B483" s="5" t="str">
        <f>IF(A483="","",IF(A483&gt;tc_lot_i+tc,0,IF('Hidrograma afluente'!B490="","",'Hidrograma afluente'!B490)))</f>
        <v/>
      </c>
      <c r="C483" s="21" t="str">
        <f t="shared" si="120"/>
        <v/>
      </c>
      <c r="D483" s="21" t="str">
        <f t="shared" si="112"/>
        <v/>
      </c>
      <c r="E483" s="21" t="str">
        <f t="shared" si="113"/>
        <v/>
      </c>
      <c r="F483" s="21" t="str">
        <f t="shared" si="114"/>
        <v/>
      </c>
      <c r="G483" s="21" t="str">
        <f t="shared" si="115"/>
        <v/>
      </c>
      <c r="H483" s="23" t="str">
        <f t="shared" si="121"/>
        <v/>
      </c>
      <c r="I483" s="22" t="str">
        <f t="shared" si="116"/>
        <v/>
      </c>
      <c r="J483" s="1"/>
      <c r="K483" s="51"/>
      <c r="M483" s="81">
        <f t="shared" ca="1" si="109"/>
        <v>3037.856505511003</v>
      </c>
      <c r="N483" s="19">
        <f t="shared" si="117"/>
        <v>74.769504128105936</v>
      </c>
      <c r="O483" s="17">
        <f t="shared" si="118"/>
        <v>120.5</v>
      </c>
      <c r="P483" s="19">
        <f ca="1">IF(ISERROR(IF(O483&lt;fi_h/20,0,(OFFSET('Base de dados'!$A$5,IF(O483&lt;20,1,IF(O483&gt;1000,10,MATCH(O483,Cargas,1))),Coluna_fih,1,1))*(1+0.13*0.25)*(PI()*(fi_h/1000)^2/4)*SQRT(2*9.81*(O483/100-fi_h/2/1000))*1000)),"",IF(O483&lt;fi_h/20,0,(OFFSET('Base de dados'!$A$5,IF(O483&lt;20,1,IF(O483&gt;1000,10,MATCH(O483,Cargas,1))),Coluna_fih,1,1))*(PI()*(fi_h/1000)^2/4)*SQRT(2*9.81*(O483/100-fi_h/2/1000))*1000))</f>
        <v>28.843341198952359</v>
      </c>
      <c r="Q483" s="19">
        <f ca="1">IF(O483="","",IF(Tipo_Vertedor="Retangular",IF(O483&lt;=cota_s*100,0,IF(Tipo_Vertedor="Retangular",Cd_sr*Lef_sr*((O483/100-cota_s)^(3/2))*1000)),IF(O483&lt;=cota_s*100+fi_s/20,0,(OFFSET('Base de dados'!$A$4,IF(O483&lt;20,1,IF(O483&gt;1000,10,MATCH(O483,Cargas,1))),Coluna_fis,1,1))*(PI()*(fi_s/1000)^2/4)*(2*9.81*(O483/100-cota_s-fi_s/2/1000))^0.5*1000)))</f>
        <v>516.69636004185293</v>
      </c>
      <c r="R483" s="19">
        <f t="shared" ca="1" si="110"/>
        <v>545.53970124080524</v>
      </c>
      <c r="S483" s="19">
        <f t="shared" ca="1" si="111"/>
        <v>2492.3168042701977</v>
      </c>
      <c r="AD483" s="19"/>
      <c r="AE483" s="19"/>
      <c r="AG483" s="17" t="s">
        <v>160</v>
      </c>
      <c r="AH483" s="17" t="s">
        <v>160</v>
      </c>
      <c r="AI483" s="27" t="s">
        <v>160</v>
      </c>
      <c r="AJ483" s="17" t="s">
        <v>160</v>
      </c>
      <c r="AK483" s="19" t="str">
        <f>IF(A483="","",IF('Hidrograma afluente'!I490="",0,'Hidrograma afluente'!I490)+Simulação!B483)</f>
        <v/>
      </c>
    </row>
    <row r="484" spans="1:37" s="17" customFormat="1">
      <c r="A484" s="4" t="str">
        <f t="shared" si="119"/>
        <v/>
      </c>
      <c r="B484" s="5" t="str">
        <f>IF(A484="","",IF(A484&gt;tc_lot_i+tc,0,IF('Hidrograma afluente'!B491="","",'Hidrograma afluente'!B491)))</f>
        <v/>
      </c>
      <c r="C484" s="21" t="str">
        <f t="shared" si="120"/>
        <v/>
      </c>
      <c r="D484" s="21" t="str">
        <f t="shared" si="112"/>
        <v/>
      </c>
      <c r="E484" s="21" t="str">
        <f t="shared" si="113"/>
        <v/>
      </c>
      <c r="F484" s="21" t="str">
        <f t="shared" si="114"/>
        <v/>
      </c>
      <c r="G484" s="21" t="str">
        <f t="shared" si="115"/>
        <v/>
      </c>
      <c r="H484" s="23" t="str">
        <f t="shared" si="121"/>
        <v/>
      </c>
      <c r="I484" s="22" t="str">
        <f t="shared" si="116"/>
        <v/>
      </c>
      <c r="J484" s="1"/>
      <c r="K484" s="51"/>
      <c r="M484" s="81">
        <f t="shared" ca="1" si="109"/>
        <v>3046.9095277200863</v>
      </c>
      <c r="N484" s="19">
        <f t="shared" si="117"/>
        <v>74.943974526588377</v>
      </c>
      <c r="O484" s="17">
        <f t="shared" si="118"/>
        <v>120.75</v>
      </c>
      <c r="P484" s="19">
        <f ca="1">IF(ISERROR(IF(O484&lt;fi_h/20,0,(OFFSET('Base de dados'!$A$5,IF(O484&lt;20,1,IF(O484&gt;1000,10,MATCH(O484,Cargas,1))),Coluna_fih,1,1))*(1+0.13*0.25)*(PI()*(fi_h/1000)^2/4)*SQRT(2*9.81*(O484/100-fi_h/2/1000))*1000)),"",IF(O484&lt;fi_h/20,0,(OFFSET('Base de dados'!$A$5,IF(O484&lt;20,1,IF(O484&gt;1000,10,MATCH(O484,Cargas,1))),Coluna_fih,1,1))*(PI()*(fi_h/1000)^2/4)*SQRT(2*9.81*(O484/100-fi_h/2/1000))*1000))</f>
        <v>28.874713808455748</v>
      </c>
      <c r="Q484" s="19">
        <f ca="1">IF(O484="","",IF(Tipo_Vertedor="Retangular",IF(O484&lt;=cota_s*100,0,IF(Tipo_Vertedor="Retangular",Cd_sr*Lef_sr*((O484/100-cota_s)^(3/2))*1000)),IF(O484&lt;=cota_s*100+fi_s/20,0,(OFFSET('Base de dados'!$A$4,IF(O484&lt;20,1,IF(O484&gt;1000,10,MATCH(O484,Cargas,1))),Coluna_fis,1,1))*(PI()*(fi_s/1000)^2/4)*(2*9.81*(O484/100-cota_s-fi_s/2/1000))^0.5*1000)))</f>
        <v>519.90232969201793</v>
      </c>
      <c r="R484" s="19">
        <f t="shared" ca="1" si="110"/>
        <v>548.77704350047372</v>
      </c>
      <c r="S484" s="19">
        <f t="shared" ca="1" si="111"/>
        <v>2498.1324842196127</v>
      </c>
      <c r="AD484" s="19"/>
      <c r="AE484" s="19"/>
      <c r="AG484" s="17" t="s">
        <v>160</v>
      </c>
      <c r="AH484" s="17" t="s">
        <v>160</v>
      </c>
      <c r="AI484" s="27" t="s">
        <v>160</v>
      </c>
      <c r="AJ484" s="17" t="s">
        <v>160</v>
      </c>
      <c r="AK484" s="19" t="str">
        <f>IF(A484="","",IF('Hidrograma afluente'!I491="",0,'Hidrograma afluente'!I491)+Simulação!B484)</f>
        <v/>
      </c>
    </row>
    <row r="485" spans="1:37" s="17" customFormat="1">
      <c r="A485" s="4" t="str">
        <f t="shared" si="119"/>
        <v/>
      </c>
      <c r="B485" s="5" t="str">
        <f>IF(A485="","",IF(A485&gt;tc_lot_i+tc,0,IF('Hidrograma afluente'!B492="","",'Hidrograma afluente'!B492)))</f>
        <v/>
      </c>
      <c r="C485" s="21">
        <f t="shared" si="120"/>
        <v>0</v>
      </c>
      <c r="D485" s="21" t="str">
        <f t="shared" si="112"/>
        <v/>
      </c>
      <c r="E485" s="21" t="str">
        <f t="shared" si="113"/>
        <v/>
      </c>
      <c r="F485" s="21" t="str">
        <f t="shared" si="114"/>
        <v/>
      </c>
      <c r="G485" s="21" t="str">
        <f t="shared" si="115"/>
        <v/>
      </c>
      <c r="H485" s="23" t="str">
        <f t="shared" si="121"/>
        <v/>
      </c>
      <c r="I485" s="22" t="str">
        <f t="shared" si="116"/>
        <v/>
      </c>
      <c r="J485" s="1"/>
      <c r="K485" s="51"/>
      <c r="M485" s="81">
        <f t="shared" ca="1" si="109"/>
        <v>3055.9706194937207</v>
      </c>
      <c r="N485" s="19">
        <f t="shared" si="117"/>
        <v>75.118489929975112</v>
      </c>
      <c r="O485" s="17">
        <f t="shared" si="118"/>
        <v>121</v>
      </c>
      <c r="P485" s="19">
        <f ca="1">IF(ISERROR(IF(O485&lt;fi_h/20,0,(OFFSET('Base de dados'!$A$5,IF(O485&lt;20,1,IF(O485&gt;1000,10,MATCH(O485,Cargas,1))),Coluna_fih,1,1))*(1+0.13*0.25)*(PI()*(fi_h/1000)^2/4)*SQRT(2*9.81*(O485/100-fi_h/2/1000))*1000)),"",IF(O485&lt;fi_h/20,0,(OFFSET('Base de dados'!$A$5,IF(O485&lt;20,1,IF(O485&gt;1000,10,MATCH(O485,Cargas,1))),Coluna_fih,1,1))*(PI()*(fi_h/1000)^2/4)*SQRT(2*9.81*(O485/100-fi_h/2/1000))*1000))</f>
        <v>28.90605236834093</v>
      </c>
      <c r="Q485" s="19">
        <f ca="1">IF(O485="","",IF(Tipo_Vertedor="Retangular",IF(O485&lt;=cota_s*100,0,IF(Tipo_Vertedor="Retangular",Cd_sr*Lef_sr*((O485/100-cota_s)^(3/2))*1000)),IF(O485&lt;=cota_s*100+fi_s/20,0,(OFFSET('Base de dados'!$A$4,IF(O485&lt;20,1,IF(O485&gt;1000,10,MATCH(O485,Cargas,1))),Coluna_fis,1,1))*(PI()*(fi_s/1000)^2/4)*(2*9.81*(O485/100-cota_s-fi_s/2/1000))^0.5*1000)))</f>
        <v>523.11490279287602</v>
      </c>
      <c r="R485" s="19">
        <f t="shared" ca="1" si="110"/>
        <v>552.02095516121699</v>
      </c>
      <c r="S485" s="19">
        <f t="shared" ca="1" si="111"/>
        <v>2503.9496643325037</v>
      </c>
      <c r="AD485" s="19"/>
      <c r="AE485" s="19"/>
      <c r="AG485" s="17" t="s">
        <v>160</v>
      </c>
      <c r="AH485" s="17" t="s">
        <v>160</v>
      </c>
      <c r="AI485" s="27" t="s">
        <v>160</v>
      </c>
      <c r="AJ485" s="17" t="s">
        <v>160</v>
      </c>
      <c r="AK485" s="19" t="str">
        <f>IF(A485="","",IF('Hidrograma afluente'!I492="",0,'Hidrograma afluente'!I492)+Simulação!B485)</f>
        <v/>
      </c>
    </row>
    <row r="486" spans="1:37" s="17" customFormat="1">
      <c r="A486" s="4"/>
      <c r="B486" s="5"/>
      <c r="C486" s="21"/>
      <c r="D486" s="21"/>
      <c r="E486" s="21"/>
      <c r="F486" s="21"/>
      <c r="G486" s="21"/>
      <c r="H486" s="23"/>
      <c r="I486" s="33"/>
      <c r="J486" s="1"/>
      <c r="K486" s="51"/>
      <c r="M486" s="81">
        <f t="shared" ca="1" si="109"/>
        <v>3065.0397646831761</v>
      </c>
      <c r="N486" s="19">
        <f t="shared" si="117"/>
        <v>75.293050256853817</v>
      </c>
      <c r="O486" s="17">
        <f t="shared" si="118"/>
        <v>121.25</v>
      </c>
      <c r="P486" s="19">
        <f ca="1">IF(ISERROR(IF(O486&lt;fi_h/20,0,(OFFSET('Base de dados'!$A$5,IF(O486&lt;20,1,IF(O486&gt;1000,10,MATCH(O486,Cargas,1))),Coluna_fih,1,1))*(1+0.13*0.25)*(PI()*(fi_h/1000)^2/4)*SQRT(2*9.81*(O486/100-fi_h/2/1000))*1000)),"",IF(O486&lt;fi_h/20,0,(OFFSET('Base de dados'!$A$5,IF(O486&lt;20,1,IF(O486&gt;1000,10,MATCH(O486,Cargas,1))),Coluna_fih,1,1))*(PI()*(fi_h/1000)^2/4)*SQRT(2*9.81*(O486/100-fi_h/2/1000))*1000))</f>
        <v>28.937356989232988</v>
      </c>
      <c r="Q486" s="19">
        <f ca="1">IF(O486="","",IF(Tipo_Vertedor="Retangular",IF(O486&lt;=cota_s*100,0,IF(Tipo_Vertedor="Retangular",Cd_sr*Lef_sr*((O486/100-cota_s)^(3/2))*1000)),IF(O486&lt;=cota_s*100+fi_s/20,0,(OFFSET('Base de dados'!$A$4,IF(O486&lt;20,1,IF(O486&gt;1000,10,MATCH(O486,Cargas,1))),Coluna_fis,1,1))*(PI()*(fi_s/1000)^2/4)*(2*9.81*(O486/100-cota_s-fi_s/2/1000))^0.5*1000)))</f>
        <v>526.33406579881603</v>
      </c>
      <c r="R486" s="19">
        <f t="shared" ca="1" si="110"/>
        <v>555.27142278804899</v>
      </c>
      <c r="S486" s="19">
        <f t="shared" ca="1" si="111"/>
        <v>2509.7683418951274</v>
      </c>
      <c r="AD486" s="19"/>
      <c r="AE486" s="19"/>
      <c r="AI486" s="27"/>
    </row>
    <row r="487" spans="1:37" s="17" customFormat="1">
      <c r="A487" s="4"/>
      <c r="B487" s="5"/>
      <c r="C487" s="21"/>
      <c r="D487" s="21"/>
      <c r="E487" s="21"/>
      <c r="F487" s="21"/>
      <c r="G487" s="21"/>
      <c r="H487" s="23"/>
      <c r="I487" s="33"/>
      <c r="J487" s="1"/>
      <c r="K487" s="51"/>
      <c r="M487" s="81">
        <f t="shared" ca="1" si="109"/>
        <v>3074.1169472326374</v>
      </c>
      <c r="N487" s="19">
        <f t="shared" si="117"/>
        <v>75.467655426126996</v>
      </c>
      <c r="O487" s="17">
        <f t="shared" si="118"/>
        <v>121.5</v>
      </c>
      <c r="P487" s="19">
        <f ca="1">IF(ISERROR(IF(O487&lt;fi_h/20,0,(OFFSET('Base de dados'!$A$5,IF(O487&lt;20,1,IF(O487&gt;1000,10,MATCH(O487,Cargas,1))),Coluna_fih,1,1))*(1+0.13*0.25)*(PI()*(fi_h/1000)^2/4)*SQRT(2*9.81*(O487/100-fi_h/2/1000))*1000)),"",IF(O487&lt;fi_h/20,0,(OFFSET('Base de dados'!$A$5,IF(O487&lt;20,1,IF(O487&gt;1000,10,MATCH(O487,Cargas,1))),Coluna_fih,1,1))*(PI()*(fi_h/1000)^2/4)*SQRT(2*9.81*(O487/100-fi_h/2/1000))*1000))</f>
        <v>28.968627781159295</v>
      </c>
      <c r="Q487" s="19">
        <f ca="1">IF(O487="","",IF(Tipo_Vertedor="Retangular",IF(O487&lt;=cota_s*100,0,IF(Tipo_Vertedor="Retangular",Cd_sr*Lef_sr*((O487/100-cota_s)^(3/2))*1000)),IF(O487&lt;=cota_s*100+fi_s/20,0,(OFFSET('Base de dados'!$A$4,IF(O487&lt;20,1,IF(O487&gt;1000,10,MATCH(O487,Cargas,1))),Coluna_fis,1,1))*(PI()*(fi_s/1000)^2/4)*(2*9.81*(O487/100-cota_s-fi_s/2/1000))^0.5*1000)))</f>
        <v>529.55980524724509</v>
      </c>
      <c r="R487" s="19">
        <f t="shared" ca="1" si="110"/>
        <v>558.52843302840438</v>
      </c>
      <c r="S487" s="19">
        <f t="shared" ca="1" si="111"/>
        <v>2515.588514204233</v>
      </c>
      <c r="AD487" s="19"/>
      <c r="AE487" s="19"/>
      <c r="AI487" s="27"/>
    </row>
    <row r="488" spans="1:37" s="17" customFormat="1">
      <c r="A488" s="1"/>
      <c r="B488" s="21"/>
      <c r="C488" s="21"/>
      <c r="D488" s="21"/>
      <c r="E488" s="21"/>
      <c r="F488" s="21"/>
      <c r="G488" s="21"/>
      <c r="H488" s="21"/>
      <c r="I488" s="22"/>
      <c r="J488" s="1"/>
      <c r="K488" s="51"/>
      <c r="M488" s="81">
        <f t="shared" ca="1" si="109"/>
        <v>3083.2021511783014</v>
      </c>
      <c r="N488" s="19">
        <f t="shared" si="117"/>
        <v>75.642305357010144</v>
      </c>
      <c r="O488" s="17">
        <f t="shared" si="118"/>
        <v>121.75</v>
      </c>
      <c r="P488" s="19">
        <f ca="1">IF(ISERROR(IF(O488&lt;fi_h/20,0,(OFFSET('Base de dados'!$A$5,IF(O488&lt;20,1,IF(O488&gt;1000,10,MATCH(O488,Cargas,1))),Coluna_fih,1,1))*(1+0.13*0.25)*(PI()*(fi_h/1000)^2/4)*SQRT(2*9.81*(O488/100-fi_h/2/1000))*1000)),"",IF(O488&lt;fi_h/20,0,(OFFSET('Base de dados'!$A$5,IF(O488&lt;20,1,IF(O488&gt;1000,10,MATCH(O488,Cargas,1))),Coluna_fih,1,1))*(PI()*(fi_h/1000)^2/4)*SQRT(2*9.81*(O488/100-fi_h/2/1000))*1000))</f>
        <v>28.999864853554012</v>
      </c>
      <c r="Q488" s="19">
        <f ca="1">IF(O488="","",IF(Tipo_Vertedor="Retangular",IF(O488&lt;=cota_s*100,0,IF(Tipo_Vertedor="Retangular",Cd_sr*Lef_sr*((O488/100-cota_s)^(3/2))*1000)),IF(O488&lt;=cota_s*100+fi_s/20,0,(OFFSET('Base de dados'!$A$4,IF(O488&lt;20,1,IF(O488&gt;1000,10,MATCH(O488,Cargas,1))),Coluna_fis,1,1))*(PI()*(fi_s/1000)^2/4)*(2*9.81*(O488/100-cota_s-fi_s/2/1000))^0.5*1000)))</f>
        <v>532.7921077577422</v>
      </c>
      <c r="R488" s="19">
        <f t="shared" ca="1" si="110"/>
        <v>561.79197261129616</v>
      </c>
      <c r="S488" s="19">
        <f t="shared" ca="1" si="111"/>
        <v>2521.410178567005</v>
      </c>
      <c r="AD488" s="19"/>
      <c r="AE488" s="19"/>
      <c r="AI488" s="27"/>
    </row>
    <row r="489" spans="1:37" s="17" customFormat="1">
      <c r="A489" s="1"/>
      <c r="B489" s="21"/>
      <c r="C489" s="21"/>
      <c r="D489" s="21"/>
      <c r="E489" s="21"/>
      <c r="F489" s="21"/>
      <c r="G489" s="21"/>
      <c r="H489" s="21"/>
      <c r="I489" s="22"/>
      <c r="J489" s="1"/>
      <c r="K489" s="51"/>
      <c r="M489" s="81">
        <f t="shared" ca="1" si="109"/>
        <v>3092.2953606474866</v>
      </c>
      <c r="N489" s="19">
        <f t="shared" si="117"/>
        <v>75.816999969029894</v>
      </c>
      <c r="O489" s="17">
        <f t="shared" si="118"/>
        <v>122</v>
      </c>
      <c r="P489" s="19">
        <f ca="1">IF(ISERROR(IF(O489&lt;fi_h/20,0,(OFFSET('Base de dados'!$A$5,IF(O489&lt;20,1,IF(O489&gt;1000,10,MATCH(O489,Cargas,1))),Coluna_fih,1,1))*(1+0.13*0.25)*(PI()*(fi_h/1000)^2/4)*SQRT(2*9.81*(O489/100-fi_h/2/1000))*1000)),"",IF(O489&lt;fi_h/20,0,(OFFSET('Base de dados'!$A$5,IF(O489&lt;20,1,IF(O489&gt;1000,10,MATCH(O489,Cargas,1))),Coluna_fih,1,1))*(PI()*(fi_h/1000)^2/4)*SQRT(2*9.81*(O489/100-fi_h/2/1000))*1000))</f>
        <v>29.031068315262534</v>
      </c>
      <c r="Q489" s="19">
        <f ca="1">IF(O489="","",IF(Tipo_Vertedor="Retangular",IF(O489&lt;=cota_s*100,0,IF(Tipo_Vertedor="Retangular",Cd_sr*Lef_sr*((O489/100-cota_s)^(3/2))*1000)),IF(O489&lt;=cota_s*100+fi_s/20,0,(OFFSET('Base de dados'!$A$4,IF(O489&lt;20,1,IF(O489&gt;1000,10,MATCH(O489,Cargas,1))),Coluna_fis,1,1))*(PI()*(fi_s/1000)^2/4)*(2*9.81*(O489/100-cota_s-fi_s/2/1000))^0.5*1000)))</f>
        <v>536.03096003122812</v>
      </c>
      <c r="R489" s="19">
        <f t="shared" ca="1" si="110"/>
        <v>565.06202834649071</v>
      </c>
      <c r="S489" s="19">
        <f t="shared" ca="1" si="111"/>
        <v>2527.2333323009962</v>
      </c>
      <c r="AD489" s="19"/>
      <c r="AE489" s="19"/>
      <c r="AI489" s="27"/>
    </row>
    <row r="490" spans="1:37" s="17" customFormat="1">
      <c r="A490" s="1"/>
      <c r="B490" s="21"/>
      <c r="C490" s="21"/>
      <c r="D490" s="21"/>
      <c r="E490" s="21"/>
      <c r="F490" s="21"/>
      <c r="G490" s="21"/>
      <c r="H490" s="21"/>
      <c r="I490" s="22"/>
      <c r="J490" s="1"/>
      <c r="K490" s="51"/>
      <c r="M490" s="81">
        <f t="shared" ca="1" si="109"/>
        <v>3101.3965598577624</v>
      </c>
      <c r="N490" s="19">
        <f t="shared" si="117"/>
        <v>75.991739182022215</v>
      </c>
      <c r="O490" s="17">
        <f t="shared" si="118"/>
        <v>122.25</v>
      </c>
      <c r="P490" s="19">
        <f ca="1">IF(ISERROR(IF(O490&lt;fi_h/20,0,(OFFSET('Base de dados'!$A$5,IF(O490&lt;20,1,IF(O490&gt;1000,10,MATCH(O490,Cargas,1))),Coluna_fih,1,1))*(1+0.13*0.25)*(PI()*(fi_h/1000)^2/4)*SQRT(2*9.81*(O490/100-fi_h/2/1000))*1000)),"",IF(O490&lt;fi_h/20,0,(OFFSET('Base de dados'!$A$5,IF(O490&lt;20,1,IF(O490&gt;1000,10,MATCH(O490,Cargas,1))),Coluna_fih,1,1))*(PI()*(fi_h/1000)^2/4)*SQRT(2*9.81*(O490/100-fi_h/2/1000))*1000))</f>
        <v>29.062238274545944</v>
      </c>
      <c r="Q490" s="19">
        <f ca="1">IF(O490="","",IF(Tipo_Vertedor="Retangular",IF(O490&lt;=cota_s*100,0,IF(Tipo_Vertedor="Retangular",Cd_sr*Lef_sr*((O490/100-cota_s)^(3/2))*1000)),IF(O490&lt;=cota_s*100+fi_s/20,0,(OFFSET('Base de dados'!$A$4,IF(O490&lt;20,1,IF(O490&gt;1000,10,MATCH(O490,Cargas,1))),Coluna_fis,1,1))*(PI()*(fi_s/1000)^2/4)*(2*9.81*(O490/100-cota_s-fi_s/2/1000))^0.5*1000)))</f>
        <v>539.27634884914289</v>
      </c>
      <c r="R490" s="19">
        <f t="shared" ca="1" si="110"/>
        <v>568.33858712368885</v>
      </c>
      <c r="S490" s="19">
        <f t="shared" ca="1" si="111"/>
        <v>2533.0579727340737</v>
      </c>
      <c r="AD490" s="19"/>
      <c r="AE490" s="19"/>
      <c r="AI490" s="27"/>
    </row>
    <row r="491" spans="1:37" s="17" customFormat="1">
      <c r="A491" s="1"/>
      <c r="B491" s="21"/>
      <c r="C491" s="21"/>
      <c r="D491" s="21"/>
      <c r="E491" s="21"/>
      <c r="F491" s="21"/>
      <c r="G491" s="21"/>
      <c r="H491" s="21"/>
      <c r="I491" s="22"/>
      <c r="J491" s="1"/>
      <c r="K491" s="51"/>
      <c r="M491" s="81">
        <f t="shared" ca="1" si="109"/>
        <v>3110.5057331160751</v>
      </c>
      <c r="N491" s="19">
        <f t="shared" si="117"/>
        <v>76.16652291613056</v>
      </c>
      <c r="O491" s="17">
        <f t="shared" si="118"/>
        <v>122.5</v>
      </c>
      <c r="P491" s="19">
        <f ca="1">IF(ISERROR(IF(O491&lt;fi_h/20,0,(OFFSET('Base de dados'!$A$5,IF(O491&lt;20,1,IF(O491&gt;1000,10,MATCH(O491,Cargas,1))),Coluna_fih,1,1))*(1+0.13*0.25)*(PI()*(fi_h/1000)^2/4)*SQRT(2*9.81*(O491/100-fi_h/2/1000))*1000)),"",IF(O491&lt;fi_h/20,0,(OFFSET('Base de dados'!$A$5,IF(O491&lt;20,1,IF(O491&gt;1000,10,MATCH(O491,Cargas,1))),Coluna_fih,1,1))*(PI()*(fi_h/1000)^2/4)*SQRT(2*9.81*(O491/100-fi_h/2/1000))*1000))</f>
        <v>29.093374839085374</v>
      </c>
      <c r="Q491" s="19">
        <f ca="1">IF(O491="","",IF(Tipo_Vertedor="Retangular",IF(O491&lt;=cota_s*100,0,IF(Tipo_Vertedor="Retangular",Cd_sr*Lef_sr*((O491/100-cota_s)^(3/2))*1000)),IF(O491&lt;=cota_s*100+fi_s/20,0,(OFFSET('Base de dados'!$A$4,IF(O491&lt;20,1,IF(O491&gt;1000,10,MATCH(O491,Cargas,1))),Coluna_fis,1,1))*(PI()*(fi_s/1000)^2/4)*(2*9.81*(O491/100-cota_s-fi_s/2/1000))^0.5*1000)))</f>
        <v>542.52826107263775</v>
      </c>
      <c r="R491" s="19">
        <f t="shared" ca="1" si="110"/>
        <v>571.62163591172316</v>
      </c>
      <c r="S491" s="19">
        <f t="shared" ca="1" si="111"/>
        <v>2538.8840972043522</v>
      </c>
      <c r="AD491" s="19"/>
      <c r="AE491" s="19"/>
      <c r="AI491" s="27"/>
    </row>
    <row r="492" spans="1:37" s="17" customFormat="1">
      <c r="A492" s="1"/>
      <c r="B492" s="21"/>
      <c r="C492" s="21"/>
      <c r="D492" s="21"/>
      <c r="E492" s="21"/>
      <c r="F492" s="21"/>
      <c r="G492" s="21"/>
      <c r="H492" s="21"/>
      <c r="I492" s="22"/>
      <c r="J492" s="1"/>
      <c r="K492" s="51"/>
      <c r="M492" s="81">
        <f t="shared" ca="1" si="109"/>
        <v>3119.6228648178953</v>
      </c>
      <c r="N492" s="19">
        <f t="shared" si="117"/>
        <v>76.341351091804</v>
      </c>
      <c r="O492" s="17">
        <f t="shared" si="118"/>
        <v>122.75</v>
      </c>
      <c r="P492" s="19">
        <f ca="1">IF(ISERROR(IF(O492&lt;fi_h/20,0,(OFFSET('Base de dados'!$A$5,IF(O492&lt;20,1,IF(O492&gt;1000,10,MATCH(O492,Cargas,1))),Coluna_fih,1,1))*(1+0.13*0.25)*(PI()*(fi_h/1000)^2/4)*SQRT(2*9.81*(O492/100-fi_h/2/1000))*1000)),"",IF(O492&lt;fi_h/20,0,(OFFSET('Base de dados'!$A$5,IF(O492&lt;20,1,IF(O492&gt;1000,10,MATCH(O492,Cargas,1))),Coluna_fih,1,1))*(PI()*(fi_h/1000)^2/4)*SQRT(2*9.81*(O492/100-fi_h/2/1000))*1000))</f>
        <v>29.124478115986374</v>
      </c>
      <c r="Q492" s="19">
        <f ca="1">IF(O492="","",IF(Tipo_Vertedor="Retangular",IF(O492&lt;=cota_s*100,0,IF(Tipo_Vertedor="Retangular",Cd_sr*Lef_sr*((O492/100-cota_s)^(3/2))*1000)),IF(O492&lt;=cota_s*100+fi_s/20,0,(OFFSET('Base de dados'!$A$4,IF(O492&lt;20,1,IF(O492&gt;1000,10,MATCH(O492,Cargas,1))),Coluna_fis,1,1))*(PI()*(fi_s/1000)^2/4)*(2*9.81*(O492/100-cota_s-fi_s/2/1000))^0.5*1000)))</f>
        <v>545.78668364177565</v>
      </c>
      <c r="R492" s="19">
        <f t="shared" ca="1" si="110"/>
        <v>574.91116175776199</v>
      </c>
      <c r="S492" s="19">
        <f t="shared" ca="1" si="111"/>
        <v>2544.7117030601335</v>
      </c>
      <c r="AD492" s="19"/>
      <c r="AE492" s="19"/>
      <c r="AI492" s="27"/>
    </row>
    <row r="493" spans="1:37" s="17" customFormat="1">
      <c r="A493" s="1"/>
      <c r="B493" s="21"/>
      <c r="C493" s="21"/>
      <c r="D493" s="21"/>
      <c r="E493" s="21"/>
      <c r="F493" s="21"/>
      <c r="G493" s="21"/>
      <c r="H493" s="21"/>
      <c r="I493" s="22"/>
      <c r="J493" s="1"/>
      <c r="K493" s="51"/>
      <c r="M493" s="81">
        <f t="shared" ca="1" si="109"/>
        <v>3128.7479394463817</v>
      </c>
      <c r="N493" s="19">
        <f t="shared" si="117"/>
        <v>76.516223629795562</v>
      </c>
      <c r="O493" s="17">
        <f t="shared" si="118"/>
        <v>123</v>
      </c>
      <c r="P493" s="19">
        <f ca="1">IF(ISERROR(IF(O493&lt;fi_h/20,0,(OFFSET('Base de dados'!$A$5,IF(O493&lt;20,1,IF(O493&gt;1000,10,MATCH(O493,Cargas,1))),Coluna_fih,1,1))*(1+0.13*0.25)*(PI()*(fi_h/1000)^2/4)*SQRT(2*9.81*(O493/100-fi_h/2/1000))*1000)),"",IF(O493&lt;fi_h/20,0,(OFFSET('Base de dados'!$A$5,IF(O493&lt;20,1,IF(O493&gt;1000,10,MATCH(O493,Cargas,1))),Coluna_fih,1,1))*(PI()*(fi_h/1000)^2/4)*SQRT(2*9.81*(O493/100-fi_h/2/1000))*1000))</f>
        <v>29.155548211783156</v>
      </c>
      <c r="Q493" s="19">
        <f ca="1">IF(O493="","",IF(Tipo_Vertedor="Retangular",IF(O493&lt;=cota_s*100,0,IF(Tipo_Vertedor="Retangular",Cd_sr*Lef_sr*((O493/100-cota_s)^(3/2))*1000)),IF(O493&lt;=cota_s*100+fi_s/20,0,(OFFSET('Base de dados'!$A$4,IF(O493&lt;20,1,IF(O493&gt;1000,10,MATCH(O493,Cargas,1))),Coluna_fis,1,1))*(PI()*(fi_s/1000)^2/4)*(2*9.81*(O493/100-cota_s-fi_s/2/1000))^0.5*1000)))</f>
        <v>549.05160357474608</v>
      </c>
      <c r="R493" s="19">
        <f t="shared" ca="1" si="110"/>
        <v>578.20715178652927</v>
      </c>
      <c r="S493" s="19">
        <f t="shared" ca="1" si="111"/>
        <v>2550.5407876598524</v>
      </c>
      <c r="AD493" s="19"/>
      <c r="AE493" s="19"/>
      <c r="AI493" s="27"/>
    </row>
    <row r="494" spans="1:37" s="17" customFormat="1">
      <c r="A494" s="1"/>
      <c r="B494" s="21"/>
      <c r="C494" s="21"/>
      <c r="D494" s="21"/>
      <c r="E494" s="21"/>
      <c r="F494" s="21"/>
      <c r="G494" s="21"/>
      <c r="H494" s="21"/>
      <c r="I494" s="22"/>
      <c r="J494" s="1"/>
      <c r="K494" s="51"/>
      <c r="M494" s="81">
        <f t="shared" ca="1" si="109"/>
        <v>3137.8809415715441</v>
      </c>
      <c r="N494" s="19">
        <f t="shared" si="117"/>
        <v>76.691140451160379</v>
      </c>
      <c r="O494" s="17">
        <f t="shared" si="118"/>
        <v>123.25</v>
      </c>
      <c r="P494" s="19">
        <f ca="1">IF(ISERROR(IF(O494&lt;fi_h/20,0,(OFFSET('Base de dados'!$A$5,IF(O494&lt;20,1,IF(O494&gt;1000,10,MATCH(O494,Cargas,1))),Coluna_fih,1,1))*(1+0.13*0.25)*(PI()*(fi_h/1000)^2/4)*SQRT(2*9.81*(O494/100-fi_h/2/1000))*1000)),"",IF(O494&lt;fi_h/20,0,(OFFSET('Base de dados'!$A$5,IF(O494&lt;20,1,IF(O494&gt;1000,10,MATCH(O494,Cargas,1))),Coluna_fih,1,1))*(PI()*(fi_h/1000)^2/4)*SQRT(2*9.81*(O494/100-fi_h/2/1000))*1000))</f>
        <v>29.186585232442916</v>
      </c>
      <c r="Q494" s="19">
        <f ca="1">IF(O494="","",IF(Tipo_Vertedor="Retangular",IF(O494&lt;=cota_s*100,0,IF(Tipo_Vertedor="Retangular",Cd_sr*Lef_sr*((O494/100-cota_s)^(3/2))*1000)),IF(O494&lt;=cota_s*100+fi_s/20,0,(OFFSET('Base de dados'!$A$4,IF(O494&lt;20,1,IF(O494&gt;1000,10,MATCH(O494,Cargas,1))),Coluna_fis,1,1))*(PI()*(fi_s/1000)^2/4)*(2*9.81*(O494/100-cota_s-fi_s/2/1000))^0.5*1000)))</f>
        <v>552.32300796708842</v>
      </c>
      <c r="R494" s="19">
        <f t="shared" ca="1" si="110"/>
        <v>581.50959319953131</v>
      </c>
      <c r="S494" s="19">
        <f t="shared" ca="1" si="111"/>
        <v>2556.3713483720126</v>
      </c>
      <c r="AD494" s="19"/>
      <c r="AE494" s="19"/>
      <c r="AI494" s="27"/>
    </row>
    <row r="495" spans="1:37" s="17" customFormat="1">
      <c r="A495" s="1"/>
      <c r="B495" s="21"/>
      <c r="C495" s="21"/>
      <c r="D495" s="21"/>
      <c r="E495" s="21"/>
      <c r="F495" s="21"/>
      <c r="G495" s="21"/>
      <c r="H495" s="21"/>
      <c r="I495" s="22"/>
      <c r="J495" s="1"/>
      <c r="K495" s="51"/>
      <c r="M495" s="81">
        <f t="shared" ca="1" si="109"/>
        <v>3147.0218558494298</v>
      </c>
      <c r="N495" s="19">
        <f t="shared" si="117"/>
        <v>76.866101477253963</v>
      </c>
      <c r="O495" s="17">
        <f t="shared" si="118"/>
        <v>123.5</v>
      </c>
      <c r="P495" s="19">
        <f ca="1">IF(ISERROR(IF(O495&lt;fi_h/20,0,(OFFSET('Base de dados'!$A$5,IF(O495&lt;20,1,IF(O495&gt;1000,10,MATCH(O495,Cargas,1))),Coluna_fih,1,1))*(1+0.13*0.25)*(PI()*(fi_h/1000)^2/4)*SQRT(2*9.81*(O495/100-fi_h/2/1000))*1000)),"",IF(O495&lt;fi_h/20,0,(OFFSET('Base de dados'!$A$5,IF(O495&lt;20,1,IF(O495&gt;1000,10,MATCH(O495,Cargas,1))),Coluna_fih,1,1))*(PI()*(fi_h/1000)^2/4)*SQRT(2*9.81*(O495/100-fi_h/2/1000))*1000))</f>
        <v>29.21758928337001</v>
      </c>
      <c r="Q495" s="19">
        <f ca="1">IF(O495="","",IF(Tipo_Vertedor="Retangular",IF(O495&lt;=cota_s*100,0,IF(Tipo_Vertedor="Retangular",Cd_sr*Lef_sr*((O495/100-cota_s)^(3/2))*1000)),IF(O495&lt;=cota_s*100+fi_s/20,0,(OFFSET('Base de dados'!$A$4,IF(O495&lt;20,1,IF(O495&gt;1000,10,MATCH(O495,Cargas,1))),Coluna_fis,1,1))*(PI()*(fi_s/1000)^2/4)*(2*9.81*(O495/100-cota_s-fi_s/2/1000))^0.5*1000)))</f>
        <v>555.60088399092751</v>
      </c>
      <c r="R495" s="19">
        <f t="shared" ca="1" si="110"/>
        <v>584.8184732742975</v>
      </c>
      <c r="S495" s="19">
        <f t="shared" ca="1" si="111"/>
        <v>2562.2033825751323</v>
      </c>
      <c r="AD495" s="19"/>
      <c r="AE495" s="19"/>
      <c r="AI495" s="27"/>
    </row>
    <row r="496" spans="1:37" s="17" customFormat="1">
      <c r="A496" s="1"/>
      <c r="B496" s="21"/>
      <c r="C496" s="21"/>
      <c r="D496" s="21"/>
      <c r="E496" s="21"/>
      <c r="F496" s="21"/>
      <c r="G496" s="21"/>
      <c r="H496" s="21"/>
      <c r="I496" s="22"/>
      <c r="J496" s="1"/>
      <c r="K496" s="51"/>
      <c r="M496" s="81">
        <f t="shared" ca="1" si="109"/>
        <v>3156.1706670213048</v>
      </c>
      <c r="N496" s="19">
        <f t="shared" si="117"/>
        <v>77.041106629730322</v>
      </c>
      <c r="O496" s="17">
        <f t="shared" si="118"/>
        <v>123.75</v>
      </c>
      <c r="P496" s="19">
        <f ca="1">IF(ISERROR(IF(O496&lt;fi_h/20,0,(OFFSET('Base de dados'!$A$5,IF(O496&lt;20,1,IF(O496&gt;1000,10,MATCH(O496,Cargas,1))),Coluna_fih,1,1))*(1+0.13*0.25)*(PI()*(fi_h/1000)^2/4)*SQRT(2*9.81*(O496/100-fi_h/2/1000))*1000)),"",IF(O496&lt;fi_h/20,0,(OFFSET('Base de dados'!$A$5,IF(O496&lt;20,1,IF(O496&gt;1000,10,MATCH(O496,Cargas,1))),Coluna_fih,1,1))*(PI()*(fi_h/1000)^2/4)*SQRT(2*9.81*(O496/100-fi_h/2/1000))*1000))</f>
        <v>29.24856046941013</v>
      </c>
      <c r="Q496" s="19">
        <f ca="1">IF(O496="","",IF(Tipo_Vertedor="Retangular",IF(O496&lt;=cota_s*100,0,IF(Tipo_Vertedor="Retangular",Cd_sr*Lef_sr*((O496/100-cota_s)^(3/2))*1000)),IF(O496&lt;=cota_s*100+fi_s/20,0,(OFFSET('Base de dados'!$A$4,IF(O496&lt;20,1,IF(O496&gt;1000,10,MATCH(O496,Cargas,1))),Coluna_fis,1,1))*(PI()*(fi_s/1000)^2/4)*(2*9.81*(O496/100-cota_s-fi_s/2/1000))^0.5*1000)))</f>
        <v>558.88521889421759</v>
      </c>
      <c r="R496" s="19">
        <f t="shared" ca="1" si="110"/>
        <v>588.1337793636277</v>
      </c>
      <c r="S496" s="19">
        <f t="shared" ca="1" si="111"/>
        <v>2568.0368876576772</v>
      </c>
      <c r="AD496" s="19"/>
      <c r="AE496" s="19"/>
      <c r="AI496" s="27"/>
    </row>
    <row r="497" spans="1:35" s="17" customFormat="1">
      <c r="A497" s="1"/>
      <c r="B497" s="21"/>
      <c r="C497" s="21"/>
      <c r="D497" s="21"/>
      <c r="E497" s="21"/>
      <c r="F497" s="21"/>
      <c r="G497" s="21"/>
      <c r="H497" s="21"/>
      <c r="I497" s="22"/>
      <c r="J497" s="1"/>
      <c r="K497" s="51"/>
      <c r="M497" s="81">
        <f t="shared" ca="1" si="109"/>
        <v>3165.3273599128702</v>
      </c>
      <c r="N497" s="19">
        <f t="shared" si="117"/>
        <v>77.216155830540472</v>
      </c>
      <c r="O497" s="17">
        <f t="shared" si="118"/>
        <v>124</v>
      </c>
      <c r="P497" s="19">
        <f ca="1">IF(ISERROR(IF(O497&lt;fi_h/20,0,(OFFSET('Base de dados'!$A$5,IF(O497&lt;20,1,IF(O497&gt;1000,10,MATCH(O497,Cargas,1))),Coluna_fih,1,1))*(1+0.13*0.25)*(PI()*(fi_h/1000)^2/4)*SQRT(2*9.81*(O497/100-fi_h/2/1000))*1000)),"",IF(O497&lt;fi_h/20,0,(OFFSET('Base de dados'!$A$5,IF(O497&lt;20,1,IF(O497&gt;1000,10,MATCH(O497,Cargas,1))),Coluna_fih,1,1))*(PI()*(fi_h/1000)^2/4)*SQRT(2*9.81*(O497/100-fi_h/2/1000))*1000))</f>
        <v>29.279498894854466</v>
      </c>
      <c r="Q497" s="19">
        <f ca="1">IF(O497="","",IF(Tipo_Vertedor="Retangular",IF(O497&lt;=cota_s*100,0,IF(Tipo_Vertedor="Retangular",Cd_sr*Lef_sr*((O497/100-cota_s)^(3/2))*1000)),IF(O497&lt;=cota_s*100+fi_s/20,0,(OFFSET('Base de dados'!$A$4,IF(O497&lt;20,1,IF(O497&gt;1000,10,MATCH(O497,Cargas,1))),Coluna_fis,1,1))*(PI()*(fi_s/1000)^2/4)*(2*9.81*(O497/100-cota_s-fi_s/2/1000))^0.5*1000)))</f>
        <v>562.17600000000004</v>
      </c>
      <c r="R497" s="19">
        <f t="shared" ca="1" si="110"/>
        <v>591.45549889485449</v>
      </c>
      <c r="S497" s="19">
        <f t="shared" ca="1" si="111"/>
        <v>2573.8718610180158</v>
      </c>
      <c r="AD497" s="19"/>
      <c r="AE497" s="19"/>
      <c r="AI497" s="27"/>
    </row>
    <row r="498" spans="1:35" s="17" customFormat="1">
      <c r="A498" s="1"/>
      <c r="B498" s="21"/>
      <c r="C498" s="21"/>
      <c r="D498" s="21"/>
      <c r="E498" s="21"/>
      <c r="F498" s="21"/>
      <c r="G498" s="21"/>
      <c r="H498" s="21"/>
      <c r="I498" s="22"/>
      <c r="J498" s="1"/>
      <c r="K498" s="51"/>
      <c r="M498" s="81">
        <f t="shared" ca="1" si="109"/>
        <v>3174.4919194334616</v>
      </c>
      <c r="N498" s="19">
        <f t="shared" si="117"/>
        <v>77.39124900193049</v>
      </c>
      <c r="O498" s="17">
        <f t="shared" si="118"/>
        <v>124.25</v>
      </c>
      <c r="P498" s="19">
        <f ca="1">IF(ISERROR(IF(O498&lt;fi_h/20,0,(OFFSET('Base de dados'!$A$5,IF(O498&lt;20,1,IF(O498&gt;1000,10,MATCH(O498,Cargas,1))),Coluna_fih,1,1))*(1+0.13*0.25)*(PI()*(fi_h/1000)^2/4)*SQRT(2*9.81*(O498/100-fi_h/2/1000))*1000)),"",IF(O498&lt;fi_h/20,0,(OFFSET('Base de dados'!$A$5,IF(O498&lt;20,1,IF(O498&gt;1000,10,MATCH(O498,Cargas,1))),Coluna_fih,1,1))*(PI()*(fi_h/1000)^2/4)*SQRT(2*9.81*(O498/100-fi_h/2/1000))*1000))</f>
        <v>29.31040466344378</v>
      </c>
      <c r="Q498" s="19">
        <f ca="1">IF(O498="","",IF(Tipo_Vertedor="Retangular",IF(O498&lt;=cota_s*100,0,IF(Tipo_Vertedor="Retangular",Cd_sr*Lef_sr*((O498/100-cota_s)^(3/2))*1000)),IF(O498&lt;=cota_s*100+fi_s/20,0,(OFFSET('Base de dados'!$A$4,IF(O498&lt;20,1,IF(O498&gt;1000,10,MATCH(O498,Cargas,1))),Coluna_fis,1,1))*(PI()*(fi_s/1000)^2/4)*(2*9.81*(O498/100-cota_s-fi_s/2/1000))^0.5*1000)))</f>
        <v>565.47321470566806</v>
      </c>
      <c r="R498" s="19">
        <f t="shared" ca="1" si="110"/>
        <v>594.78361936911188</v>
      </c>
      <c r="S498" s="19">
        <f t="shared" ca="1" si="111"/>
        <v>2579.7083000643497</v>
      </c>
      <c r="AD498" s="19"/>
      <c r="AE498" s="19"/>
      <c r="AI498" s="27"/>
    </row>
    <row r="499" spans="1:35" s="17" customFormat="1">
      <c r="A499" s="1"/>
      <c r="B499" s="21"/>
      <c r="C499" s="21"/>
      <c r="D499" s="21"/>
      <c r="E499" s="21"/>
      <c r="F499" s="21"/>
      <c r="G499" s="21"/>
      <c r="H499" s="21"/>
      <c r="I499" s="22"/>
      <c r="J499" s="1"/>
      <c r="K499" s="51"/>
      <c r="M499" s="81">
        <f t="shared" ca="1" si="109"/>
        <v>3183.6643305752814</v>
      </c>
      <c r="N499" s="19">
        <f t="shared" si="117"/>
        <v>77.566386066439961</v>
      </c>
      <c r="O499" s="17">
        <f t="shared" si="118"/>
        <v>124.5</v>
      </c>
      <c r="P499" s="19">
        <f ca="1">IF(ISERROR(IF(O499&lt;fi_h/20,0,(OFFSET('Base de dados'!$A$5,IF(O499&lt;20,1,IF(O499&gt;1000,10,MATCH(O499,Cargas,1))),Coluna_fih,1,1))*(1+0.13*0.25)*(PI()*(fi_h/1000)^2/4)*SQRT(2*9.81*(O499/100-fi_h/2/1000))*1000)),"",IF(O499&lt;fi_h/20,0,(OFFSET('Base de dados'!$A$5,IF(O499&lt;20,1,IF(O499&gt;1000,10,MATCH(O499,Cargas,1))),Coluna_fih,1,1))*(PI()*(fi_h/1000)^2/4)*SQRT(2*9.81*(O499/100-fi_h/2/1000))*1000))</f>
        <v>29.341277878372473</v>
      </c>
      <c r="Q499" s="19">
        <f ca="1">IF(O499="","",IF(Tipo_Vertedor="Retangular",IF(O499&lt;=cota_s*100,0,IF(Tipo_Vertedor="Retangular",Cd_sr*Lef_sr*((O499/100-cota_s)^(3/2))*1000)),IF(O499&lt;=cota_s*100+fi_s/20,0,(OFFSET('Base de dados'!$A$4,IF(O499&lt;20,1,IF(O499&gt;1000,10,MATCH(O499,Cargas,1))),Coluna_fis,1,1))*(PI()*(fi_s/1000)^2/4)*(2*9.81*(O499/100-cota_s-fi_s/2/1000))^0.5*1000)))</f>
        <v>568.7768504822435</v>
      </c>
      <c r="R499" s="19">
        <f t="shared" ca="1" si="110"/>
        <v>598.11812836061597</v>
      </c>
      <c r="S499" s="19">
        <f t="shared" ca="1" si="111"/>
        <v>2585.5462022146653</v>
      </c>
      <c r="AD499" s="19"/>
      <c r="AE499" s="19"/>
      <c r="AI499" s="27"/>
    </row>
    <row r="500" spans="1:35" s="17" customFormat="1">
      <c r="A500" s="1"/>
      <c r="B500" s="21"/>
      <c r="C500" s="21"/>
      <c r="D500" s="21"/>
      <c r="E500" s="21"/>
      <c r="F500" s="21"/>
      <c r="G500" s="21"/>
      <c r="H500" s="21"/>
      <c r="I500" s="22"/>
      <c r="J500" s="1"/>
      <c r="K500" s="51"/>
      <c r="M500" s="81">
        <f t="shared" ca="1" si="109"/>
        <v>3192.8445784126243</v>
      </c>
      <c r="N500" s="19">
        <f t="shared" si="117"/>
        <v>77.741566946900107</v>
      </c>
      <c r="O500" s="17">
        <f t="shared" si="118"/>
        <v>124.75</v>
      </c>
      <c r="P500" s="19">
        <f ca="1">IF(ISERROR(IF(O500&lt;fi_h/20,0,(OFFSET('Base de dados'!$A$5,IF(O500&lt;20,1,IF(O500&gt;1000,10,MATCH(O500,Cargas,1))),Coluna_fih,1,1))*(1+0.13*0.25)*(PI()*(fi_h/1000)^2/4)*SQRT(2*9.81*(O500/100-fi_h/2/1000))*1000)),"",IF(O500&lt;fi_h/20,0,(OFFSET('Base de dados'!$A$5,IF(O500&lt;20,1,IF(O500&gt;1000,10,MATCH(O500,Cargas,1))),Coluna_fih,1,1))*(PI()*(fi_h/1000)^2/4)*SQRT(2*9.81*(O500/100-fi_h/2/1000))*1000))</f>
        <v>29.372118642292609</v>
      </c>
      <c r="Q500" s="19">
        <f ca="1">IF(O500="","",IF(Tipo_Vertedor="Retangular",IF(O500&lt;=cota_s*100,0,IF(Tipo_Vertedor="Retangular",Cd_sr*Lef_sr*((O500/100-cota_s)^(3/2))*1000)),IF(O500&lt;=cota_s*100+fi_s/20,0,(OFFSET('Base de dados'!$A$4,IF(O500&lt;20,1,IF(O500&gt;1000,10,MATCH(O500,Cargas,1))),Coluna_fis,1,1))*(PI()*(fi_s/1000)^2/4)*(2*9.81*(O500/100-cota_s-fi_s/2/1000))^0.5*1000)))</f>
        <v>572.08689487366132</v>
      </c>
      <c r="R500" s="19">
        <f t="shared" ca="1" si="110"/>
        <v>601.45901351595398</v>
      </c>
      <c r="S500" s="19">
        <f t="shared" ca="1" si="111"/>
        <v>2591.3855648966701</v>
      </c>
      <c r="AD500" s="19"/>
      <c r="AE500" s="19"/>
      <c r="AI500" s="27"/>
    </row>
    <row r="501" spans="1:35">
      <c r="M501" s="81">
        <f t="shared" ca="1" si="109"/>
        <v>3202.0326481011293</v>
      </c>
      <c r="N501" s="19">
        <f t="shared" si="117"/>
        <v>77.916791566432323</v>
      </c>
      <c r="O501" s="17">
        <f t="shared" si="118"/>
        <v>125</v>
      </c>
      <c r="P501" s="19">
        <f ca="1">IF(ISERROR(IF(O501&lt;fi_h/20,0,(OFFSET('Base de dados'!$A$5,IF(O501&lt;20,1,IF(O501&gt;1000,10,MATCH(O501,Cargas,1))),Coluna_fih,1,1))*(1+0.13*0.25)*(PI()*(fi_h/1000)^2/4)*SQRT(2*9.81*(O501/100-fi_h/2/1000))*1000)),"",IF(O501&lt;fi_h/20,0,(OFFSET('Base de dados'!$A$5,IF(O501&lt;20,1,IF(O501&gt;1000,10,MATCH(O501,Cargas,1))),Coluna_fih,1,1))*(PI()*(fi_h/1000)^2/4)*SQRT(2*9.81*(O501/100-fi_h/2/1000))*1000))</f>
        <v>29.402927057317882</v>
      </c>
      <c r="Q501" s="19">
        <f ca="1">IF(O501="","",IF(Tipo_Vertedor="Retangular",IF(O501&lt;=cota_s*100,0,IF(Tipo_Vertedor="Retangular",Cd_sr*Lef_sr*((O501/100-cota_s)^(3/2))*1000)),IF(O501&lt;=cota_s*100+fi_s/20,0,(OFFSET('Base de dados'!$A$4,IF(O501&lt;20,1,IF(O501&gt;1000,10,MATCH(O501,Cargas,1))),Coluna_fis,1,1))*(PI()*(fi_s/1000)^2/4)*(2*9.81*(O501/100-cota_s-fi_s/2/1000))^0.5*1000)))</f>
        <v>575.40333549606748</v>
      </c>
      <c r="R501" s="19">
        <f t="shared" ca="1" si="110"/>
        <v>604.80626255338541</v>
      </c>
      <c r="S501" s="19">
        <f t="shared" ca="1" si="111"/>
        <v>2597.226385547744</v>
      </c>
    </row>
    <row r="502" spans="1:35">
      <c r="M502" s="81">
        <f t="shared" ca="1" si="109"/>
        <v>3211.2285248770286</v>
      </c>
      <c r="N502" s="19">
        <f t="shared" si="117"/>
        <v>78.092059848446354</v>
      </c>
      <c r="O502" s="17">
        <f t="shared" si="118"/>
        <v>125.25</v>
      </c>
      <c r="P502" s="19">
        <f ca="1">IF(ISERROR(IF(O502&lt;fi_h/20,0,(OFFSET('Base de dados'!$A$5,IF(O502&lt;20,1,IF(O502&gt;1000,10,MATCH(O502,Cargas,1))),Coluna_fih,1,1))*(1+0.13*0.25)*(PI()*(fi_h/1000)^2/4)*SQRT(2*9.81*(O502/100-fi_h/2/1000))*1000)),"",IF(O502&lt;fi_h/20,0,(OFFSET('Base de dados'!$A$5,IF(O502&lt;20,1,IF(O502&gt;1000,10,MATCH(O502,Cargas,1))),Coluna_fih,1,1))*(PI()*(fi_h/1000)^2/4)*SQRT(2*9.81*(O502/100-fi_h/2/1000))*1000))</f>
        <v>29.433703225027575</v>
      </c>
      <c r="Q502" s="19">
        <f ca="1">IF(O502="","",IF(Tipo_Vertedor="Retangular",IF(O502&lt;=cota_s*100,0,IF(Tipo_Vertedor="Retangular",Cd_sr*Lef_sr*((O502/100-cota_s)^(3/2))*1000)),IF(O502&lt;=cota_s*100+fi_s/20,0,(OFFSET('Base de dados'!$A$4,IF(O502&lt;20,1,IF(O502&gt;1000,10,MATCH(O502,Cargas,1))),Coluna_fis,1,1))*(PI()*(fi_s/1000)^2/4)*(2*9.81*(O502/100-cota_s-fi_s/2/1000))^0.5*1000)))</f>
        <v>578.7261600371221</v>
      </c>
      <c r="R502" s="19">
        <f t="shared" ref="R502:R565" ca="1" si="122">IF(O502="","",Q502+P502)</f>
        <v>608.15986326214966</v>
      </c>
      <c r="S502" s="19">
        <f t="shared" ca="1" si="111"/>
        <v>2603.0686616148787</v>
      </c>
    </row>
    <row r="503" spans="1:35">
      <c r="M503" s="81">
        <f t="shared" ca="1" si="109"/>
        <v>3220.4321940564073</v>
      </c>
      <c r="N503" s="19">
        <f t="shared" si="117"/>
        <v>78.267371716638706</v>
      </c>
      <c r="O503" s="17">
        <f t="shared" si="118"/>
        <v>125.5</v>
      </c>
      <c r="P503" s="19">
        <f ca="1">IF(ISERROR(IF(O503&lt;fi_h/20,0,(OFFSET('Base de dados'!$A$5,IF(O503&lt;20,1,IF(O503&gt;1000,10,MATCH(O503,Cargas,1))),Coluna_fih,1,1))*(1+0.13*0.25)*(PI()*(fi_h/1000)^2/4)*SQRT(2*9.81*(O503/100-fi_h/2/1000))*1000)),"",IF(O503&lt;fi_h/20,0,(OFFSET('Base de dados'!$A$5,IF(O503&lt;20,1,IF(O503&gt;1000,10,MATCH(O503,Cargas,1))),Coluna_fih,1,1))*(PI()*(fi_h/1000)^2/4)*SQRT(2*9.81*(O503/100-fi_h/2/1000))*1000))</f>
        <v>29.464447246470478</v>
      </c>
      <c r="Q503" s="19">
        <f ca="1">IF(O503="","",IF(Tipo_Vertedor="Retangular",IF(O503&lt;=cota_s*100,0,IF(Tipo_Vertedor="Retangular",Cd_sr*Lef_sr*((O503/100-cota_s)^(3/2))*1000)),IF(O503&lt;=cota_s*100+fi_s/20,0,(OFFSET('Base de dados'!$A$4,IF(O503&lt;20,1,IF(O503&gt;1000,10,MATCH(O503,Cargas,1))),Coluna_fis,1,1))*(PI()*(fi_s/1000)^2/4)*(2*9.81*(O503/100-cota_s-fi_s/2/1000))^0.5*1000)))</f>
        <v>582.05535625531343</v>
      </c>
      <c r="R503" s="19">
        <f t="shared" ca="1" si="122"/>
        <v>611.51980350178394</v>
      </c>
      <c r="S503" s="19">
        <f t="shared" ca="1" si="111"/>
        <v>2608.9123905546235</v>
      </c>
    </row>
    <row r="504" spans="1:35">
      <c r="M504" s="81">
        <f t="shared" ca="1" si="109"/>
        <v>3229.6436410344854</v>
      </c>
      <c r="N504" s="19">
        <f t="shared" si="117"/>
        <v>78.442727094990985</v>
      </c>
      <c r="O504" s="17">
        <f t="shared" si="118"/>
        <v>125.75</v>
      </c>
      <c r="P504" s="19">
        <f ca="1">IF(ISERROR(IF(O504&lt;fi_h/20,0,(OFFSET('Base de dados'!$A$5,IF(O504&lt;20,1,IF(O504&gt;1000,10,MATCH(O504,Cargas,1))),Coluna_fih,1,1))*(1+0.13*0.25)*(PI()*(fi_h/1000)^2/4)*SQRT(2*9.81*(O504/100-fi_h/2/1000))*1000)),"",IF(O504&lt;fi_h/20,0,(OFFSET('Base de dados'!$A$5,IF(O504&lt;20,1,IF(O504&gt;1000,10,MATCH(O504,Cargas,1))),Coluna_fih,1,1))*(PI()*(fi_h/1000)^2/4)*SQRT(2*9.81*(O504/100-fi_h/2/1000))*1000))</f>
        <v>29.495159222168724</v>
      </c>
      <c r="Q504" s="19">
        <f ca="1">IF(O504="","",IF(Tipo_Vertedor="Retangular",IF(O504&lt;=cota_s*100,0,IF(Tipo_Vertedor="Retangular",Cd_sr*Lef_sr*((O504/100-cota_s)^(3/2))*1000)),IF(O504&lt;=cota_s*100+fi_s/20,0,(OFFSET('Base de dados'!$A$4,IF(O504&lt;20,1,IF(O504&gt;1000,10,MATCH(O504,Cargas,1))),Coluna_fis,1,1))*(PI()*(fi_s/1000)^2/4)*(2*9.81*(O504/100-cota_s-fi_s/2/1000))^0.5*1000)))</f>
        <v>585.39091197928383</v>
      </c>
      <c r="R504" s="19">
        <f t="shared" ca="1" si="122"/>
        <v>614.88607120145252</v>
      </c>
      <c r="S504" s="19">
        <f t="shared" ca="1" si="111"/>
        <v>2614.7575698330329</v>
      </c>
    </row>
    <row r="505" spans="1:35">
      <c r="M505" s="81">
        <f t="shared" ca="1" si="109"/>
        <v>3238.8628512848886</v>
      </c>
      <c r="N505" s="19">
        <f t="shared" si="117"/>
        <v>78.618125907768231</v>
      </c>
      <c r="O505" s="17">
        <f t="shared" si="118"/>
        <v>126</v>
      </c>
      <c r="P505" s="19">
        <f ca="1">IF(ISERROR(IF(O505&lt;fi_h/20,0,(OFFSET('Base de dados'!$A$5,IF(O505&lt;20,1,IF(O505&gt;1000,10,MATCH(O505,Cargas,1))),Coluna_fih,1,1))*(1+0.13*0.25)*(PI()*(fi_h/1000)^2/4)*SQRT(2*9.81*(O505/100-fi_h/2/1000))*1000)),"",IF(O505&lt;fi_h/20,0,(OFFSET('Base de dados'!$A$5,IF(O505&lt;20,1,IF(O505&gt;1000,10,MATCH(O505,Cargas,1))),Coluna_fih,1,1))*(PI()*(fi_h/1000)^2/4)*SQRT(2*9.81*(O505/100-fi_h/2/1000))*1000))</f>
        <v>29.525839252121649</v>
      </c>
      <c r="Q505" s="19">
        <f ca="1">IF(O505="","",IF(Tipo_Vertedor="Retangular",IF(O505&lt;=cota_s*100,0,IF(Tipo_Vertedor="Retangular",Cd_sr*Lef_sr*((O505/100-cota_s)^(3/2))*1000)),IF(O505&lt;=cota_s*100+fi_s/20,0,(OFFSET('Base de dados'!$A$4,IF(O505&lt;20,1,IF(O505&gt;1000,10,MATCH(O505,Cargas,1))),Coluna_fis,1,1))*(PI()*(fi_s/1000)^2/4)*(2*9.81*(O505/100-cota_s-fi_s/2/1000))^0.5*1000)))</f>
        <v>588.7328151071589</v>
      </c>
      <c r="R505" s="19">
        <f t="shared" ca="1" si="122"/>
        <v>618.25865435928051</v>
      </c>
      <c r="S505" s="19">
        <f t="shared" ca="1" si="111"/>
        <v>2620.604196925608</v>
      </c>
    </row>
    <row r="506" spans="1:35">
      <c r="M506" s="81">
        <f t="shared" ca="1" si="109"/>
        <v>3248.0898103589457</v>
      </c>
      <c r="N506" s="19">
        <f t="shared" si="117"/>
        <v>78.793568079517343</v>
      </c>
      <c r="O506" s="17">
        <f t="shared" si="118"/>
        <v>126.25</v>
      </c>
      <c r="P506" s="19">
        <f ca="1">IF(ISERROR(IF(O506&lt;fi_h/20,0,(OFFSET('Base de dados'!$A$5,IF(O506&lt;20,1,IF(O506&gt;1000,10,MATCH(O506,Cargas,1))),Coluna_fih,1,1))*(1+0.13*0.25)*(PI()*(fi_h/1000)^2/4)*SQRT(2*9.81*(O506/100-fi_h/2/1000))*1000)),"",IF(O506&lt;fi_h/20,0,(OFFSET('Base de dados'!$A$5,IF(O506&lt;20,1,IF(O506&gt;1000,10,MATCH(O506,Cargas,1))),Coluna_fih,1,1))*(PI()*(fi_h/1000)^2/4)*SQRT(2*9.81*(O506/100-fi_h/2/1000))*1000))</f>
        <v>29.556487435809604</v>
      </c>
      <c r="Q506" s="19">
        <f ca="1">IF(O506="","",IF(Tipo_Vertedor="Retangular",IF(O506&lt;=cota_s*100,0,IF(Tipo_Vertedor="Retangular",Cd_sr*Lef_sr*((O506/100-cota_s)^(3/2))*1000)),IF(O506&lt;=cota_s*100+fi_s/20,0,(OFFSET('Base de dados'!$A$4,IF(O506&lt;20,1,IF(O506&gt;1000,10,MATCH(O506,Cargas,1))),Coluna_fis,1,1))*(PI()*(fi_s/1000)^2/4)*(2*9.81*(O506/100-cota_s-fi_s/2/1000))^0.5*1000)))</f>
        <v>592.08105360589138</v>
      </c>
      <c r="R506" s="19">
        <f t="shared" ca="1" si="122"/>
        <v>621.63754104170096</v>
      </c>
      <c r="S506" s="19">
        <f t="shared" ca="1" si="111"/>
        <v>2626.4522693172448</v>
      </c>
    </row>
    <row r="507" spans="1:35">
      <c r="M507" s="81">
        <f t="shared" ca="1" si="109"/>
        <v>3257.3245038849918</v>
      </c>
      <c r="N507" s="19">
        <f t="shared" si="117"/>
        <v>78.969053535065513</v>
      </c>
      <c r="O507" s="17">
        <f t="shared" si="118"/>
        <v>126.5</v>
      </c>
      <c r="P507" s="19">
        <f ca="1">IF(ISERROR(IF(O507&lt;fi_h/20,0,(OFFSET('Base de dados'!$A$5,IF(O507&lt;20,1,IF(O507&gt;1000,10,MATCH(O507,Cargas,1))),Coluna_fih,1,1))*(1+0.13*0.25)*(PI()*(fi_h/1000)^2/4)*SQRT(2*9.81*(O507/100-fi_h/2/1000))*1000)),"",IF(O507&lt;fi_h/20,0,(OFFSET('Base de dados'!$A$5,IF(O507&lt;20,1,IF(O507&gt;1000,10,MATCH(O507,Cargas,1))),Coluna_fih,1,1))*(PI()*(fi_h/1000)^2/4)*SQRT(2*9.81*(O507/100-fi_h/2/1000))*1000))</f>
        <v>29.587103872197655</v>
      </c>
      <c r="Q507" s="19">
        <f ca="1">IF(O507="","",IF(Tipo_Vertedor="Retangular",IF(O507&lt;=cota_s*100,0,IF(Tipo_Vertedor="Retangular",Cd_sr*Lef_sr*((O507/100-cota_s)^(3/2))*1000)),IF(O507&lt;=cota_s*100+fi_s/20,0,(OFFSET('Base de dados'!$A$4,IF(O507&lt;20,1,IF(O507&gt;1000,10,MATCH(O507,Cargas,1))),Coluna_fis,1,1))*(PI()*(fi_s/1000)^2/4)*(2*9.81*(O507/100-cota_s-fi_s/2/1000))^0.5*1000)))</f>
        <v>595.43561551061077</v>
      </c>
      <c r="R507" s="19">
        <f t="shared" ca="1" si="122"/>
        <v>625.02271938280842</v>
      </c>
      <c r="S507" s="19">
        <f t="shared" ca="1" si="111"/>
        <v>2632.3017845021836</v>
      </c>
    </row>
    <row r="508" spans="1:35">
      <c r="M508" s="81">
        <f t="shared" ca="1" si="109"/>
        <v>3266.5669175676721</v>
      </c>
      <c r="N508" s="19">
        <f t="shared" si="117"/>
        <v>79.144582199518538</v>
      </c>
      <c r="O508" s="17">
        <f t="shared" si="118"/>
        <v>126.75</v>
      </c>
      <c r="P508" s="19">
        <f ca="1">IF(ISERROR(IF(O508&lt;fi_h/20,0,(OFFSET('Base de dados'!$A$5,IF(O508&lt;20,1,IF(O508&gt;1000,10,MATCH(O508,Cargas,1))),Coluna_fih,1,1))*(1+0.13*0.25)*(PI()*(fi_h/1000)^2/4)*SQRT(2*9.81*(O508/100-fi_h/2/1000))*1000)),"",IF(O508&lt;fi_h/20,0,(OFFSET('Base de dados'!$A$5,IF(O508&lt;20,1,IF(O508&gt;1000,10,MATCH(O508,Cargas,1))),Coluna_fih,1,1))*(PI()*(fi_h/1000)^2/4)*SQRT(2*9.81*(O508/100-fi_h/2/1000))*1000))</f>
        <v>29.617688659739411</v>
      </c>
      <c r="Q508" s="19">
        <f ca="1">IF(O508="","",IF(Tipo_Vertedor="Retangular",IF(O508&lt;=cota_s*100,0,IF(Tipo_Vertedor="Retangular",Cd_sr*Lef_sr*((O508/100-cota_s)^(3/2))*1000)),IF(O508&lt;=cota_s*100+fi_s/20,0,(OFFSET('Base de dados'!$A$4,IF(O508&lt;20,1,IF(O508&gt;1000,10,MATCH(O508,Cargas,1))),Coluna_fis,1,1))*(PI()*(fi_s/1000)^2/4)*(2*9.81*(O508/100-cota_s-fi_s/2/1000))^0.5*1000)))</f>
        <v>598.79648892398143</v>
      </c>
      <c r="R508" s="19">
        <f t="shared" ca="1" si="122"/>
        <v>628.41417758372086</v>
      </c>
      <c r="S508" s="19">
        <f t="shared" ca="1" si="111"/>
        <v>2638.1527399839515</v>
      </c>
    </row>
    <row r="509" spans="1:35">
      <c r="M509" s="81">
        <f t="shared" ca="1" si="109"/>
        <v>3275.8170371872593</v>
      </c>
      <c r="N509" s="19">
        <f t="shared" si="117"/>
        <v>79.3201539982593</v>
      </c>
      <c r="O509" s="17">
        <f t="shared" si="118"/>
        <v>127</v>
      </c>
      <c r="P509" s="19">
        <f ca="1">IF(ISERROR(IF(O509&lt;fi_h/20,0,(OFFSET('Base de dados'!$A$5,IF(O509&lt;20,1,IF(O509&gt;1000,10,MATCH(O509,Cargas,1))),Coluna_fih,1,1))*(1+0.13*0.25)*(PI()*(fi_h/1000)^2/4)*SQRT(2*9.81*(O509/100-fi_h/2/1000))*1000)),"",IF(O509&lt;fi_h/20,0,(OFFSET('Base de dados'!$A$5,IF(O509&lt;20,1,IF(O509&gt;1000,10,MATCH(O509,Cargas,1))),Coluna_fih,1,1))*(PI()*(fi_h/1000)^2/4)*SQRT(2*9.81*(O509/100-fi_h/2/1000))*1000))</f>
        <v>29.648241896380629</v>
      </c>
      <c r="Q509" s="19">
        <f ca="1">IF(O509="","",IF(Tipo_Vertedor="Retangular",IF(O509&lt;=cota_s*100,0,IF(Tipo_Vertedor="Retangular",Cd_sr*Lef_sr*((O509/100-cota_s)^(3/2))*1000)),IF(O509&lt;=cota_s*100+fi_s/20,0,(OFFSET('Base de dados'!$A$4,IF(O509&lt;20,1,IF(O509&gt;1000,10,MATCH(O509,Cargas,1))),Coluna_fis,1,1))*(PI()*(fi_s/1000)^2/4)*(2*9.81*(O509/100-cota_s-fi_s/2/1000))^0.5*1000)))</f>
        <v>602.16366201556878</v>
      </c>
      <c r="R509" s="19">
        <f t="shared" ca="1" si="122"/>
        <v>631.81190391194946</v>
      </c>
      <c r="S509" s="19">
        <f t="shared" ca="1" si="111"/>
        <v>2644.0051332753096</v>
      </c>
    </row>
    <row r="510" spans="1:35">
      <c r="M510" s="81">
        <f t="shared" ca="1" si="109"/>
        <v>3285.074848598987</v>
      </c>
      <c r="N510" s="19">
        <f t="shared" si="117"/>
        <v>79.495768856946199</v>
      </c>
      <c r="O510" s="17">
        <f t="shared" si="118"/>
        <v>127.25</v>
      </c>
      <c r="P510" s="19">
        <f ca="1">IF(ISERROR(IF(O510&lt;fi_h/20,0,(OFFSET('Base de dados'!$A$5,IF(O510&lt;20,1,IF(O510&gt;1000,10,MATCH(O510,Cargas,1))),Coluna_fih,1,1))*(1+0.13*0.25)*(PI()*(fi_h/1000)^2/4)*SQRT(2*9.81*(O510/100-fi_h/2/1000))*1000)),"",IF(O510&lt;fi_h/20,0,(OFFSET('Base de dados'!$A$5,IF(O510&lt;20,1,IF(O510&gt;1000,10,MATCH(O510,Cargas,1))),Coluna_fih,1,1))*(PI()*(fi_h/1000)^2/4)*SQRT(2*9.81*(O510/100-fi_h/2/1000))*1000))</f>
        <v>29.678763679562906</v>
      </c>
      <c r="Q510" s="19">
        <f ca="1">IF(O510="","",IF(Tipo_Vertedor="Retangular",IF(O510&lt;=cota_s*100,0,IF(Tipo_Vertedor="Retangular",Cd_sr*Lef_sr*((O510/100-cota_s)^(3/2))*1000)),IF(O510&lt;=cota_s*100+fi_s/20,0,(OFFSET('Base de dados'!$A$4,IF(O510&lt;20,1,IF(O510&gt;1000,10,MATCH(O510,Cargas,1))),Coluna_fis,1,1))*(PI()*(fi_s/1000)^2/4)*(2*9.81*(O510/100-cota_s-fi_s/2/1000))^0.5*1000)))</f>
        <v>605.53712302121698</v>
      </c>
      <c r="R510" s="19">
        <f t="shared" ca="1" si="122"/>
        <v>635.21588670077995</v>
      </c>
      <c r="S510" s="19">
        <f t="shared" ca="1" si="111"/>
        <v>2649.8589618982069</v>
      </c>
    </row>
    <row r="511" spans="1:35">
      <c r="M511" s="81">
        <f t="shared" ca="1" si="109"/>
        <v>3294.3403377323775</v>
      </c>
      <c r="N511" s="19">
        <f t="shared" si="117"/>
        <v>79.671426701511578</v>
      </c>
      <c r="O511" s="17">
        <f t="shared" si="118"/>
        <v>127.5</v>
      </c>
      <c r="P511" s="19">
        <f ca="1">IF(ISERROR(IF(O511&lt;fi_h/20,0,(OFFSET('Base de dados'!$A$5,IF(O511&lt;20,1,IF(O511&gt;1000,10,MATCH(O511,Cargas,1))),Coluna_fih,1,1))*(1+0.13*0.25)*(PI()*(fi_h/1000)^2/4)*SQRT(2*9.81*(O511/100-fi_h/2/1000))*1000)),"",IF(O511&lt;fi_h/20,0,(OFFSET('Base de dados'!$A$5,IF(O511&lt;20,1,IF(O511&gt;1000,10,MATCH(O511,Cargas,1))),Coluna_fih,1,1))*(PI()*(fi_h/1000)^2/4)*SQRT(2*9.81*(O511/100-fi_h/2/1000))*1000))</f>
        <v>29.709254106227334</v>
      </c>
      <c r="Q511" s="19">
        <f ca="1">IF(O511="","",IF(Tipo_Vertedor="Retangular",IF(O511&lt;=cota_s*100,0,IF(Tipo_Vertedor="Retangular",Cd_sr*Lef_sr*((O511/100-cota_s)^(3/2))*1000)),IF(O511&lt;=cota_s*100+fi_s/20,0,(OFFSET('Base de dados'!$A$4,IF(O511&lt;20,1,IF(O511&gt;1000,10,MATCH(O511,Cargas,1))),Coluna_fis,1,1))*(PI()*(fi_s/1000)^2/4)*(2*9.81*(O511/100-cota_s-fi_s/2/1000))^0.5*1000)))</f>
        <v>608.91686024243063</v>
      </c>
      <c r="R511" s="19">
        <f t="shared" ca="1" si="122"/>
        <v>638.62611434865801</v>
      </c>
      <c r="S511" s="19">
        <f t="shared" ca="1" si="111"/>
        <v>2655.7142233837194</v>
      </c>
    </row>
    <row r="512" spans="1:35">
      <c r="M512" s="81">
        <f t="shared" ca="1" si="109"/>
        <v>3303.613490590591</v>
      </c>
      <c r="N512" s="19">
        <f t="shared" si="117"/>
        <v>79.847127458160173</v>
      </c>
      <c r="O512" s="17">
        <f t="shared" si="118"/>
        <v>127.75</v>
      </c>
      <c r="P512" s="19">
        <f ca="1">IF(ISERROR(IF(O512&lt;fi_h/20,0,(OFFSET('Base de dados'!$A$5,IF(O512&lt;20,1,IF(O512&gt;1000,10,MATCH(O512,Cargas,1))),Coluna_fih,1,1))*(1+0.13*0.25)*(PI()*(fi_h/1000)^2/4)*SQRT(2*9.81*(O512/100-fi_h/2/1000))*1000)),"",IF(O512&lt;fi_h/20,0,(OFFSET('Base de dados'!$A$5,IF(O512&lt;20,1,IF(O512&gt;1000,10,MATCH(O512,Cargas,1))),Coluna_fih,1,1))*(PI()*(fi_h/1000)^2/4)*SQRT(2*9.81*(O512/100-fi_h/2/1000))*1000))</f>
        <v>29.739713272818022</v>
      </c>
      <c r="Q512" s="19">
        <f ca="1">IF(O512="","",IF(Tipo_Vertedor="Retangular",IF(O512&lt;=cota_s*100,0,IF(Tipo_Vertedor="Retangular",Cd_sr*Lef_sr*((O512/100-cota_s)^(3/2))*1000)),IF(O512&lt;=cota_s*100+fi_s/20,0,(OFFSET('Base de dados'!$A$4,IF(O512&lt;20,1,IF(O512&gt;1000,10,MATCH(O512,Cargas,1))),Coluna_fis,1,1))*(PI()*(fi_s/1000)^2/4)*(2*9.81*(O512/100-cota_s-fi_s/2/1000))^0.5*1000)))</f>
        <v>612.30286204576714</v>
      </c>
      <c r="R512" s="19">
        <f t="shared" ca="1" si="122"/>
        <v>642.04257531858514</v>
      </c>
      <c r="S512" s="19">
        <f t="shared" ca="1" si="111"/>
        <v>2661.570915272006</v>
      </c>
    </row>
    <row r="513" spans="13:19">
      <c r="M513" s="81">
        <f t="shared" ca="1" si="109"/>
        <v>3312.8942932497725</v>
      </c>
      <c r="N513" s="19">
        <f t="shared" si="117"/>
        <v>80.022871053367581</v>
      </c>
      <c r="O513" s="17">
        <f t="shared" si="118"/>
        <v>128</v>
      </c>
      <c r="P513" s="19">
        <f ca="1">IF(ISERROR(IF(O513&lt;fi_h/20,0,(OFFSET('Base de dados'!$A$5,IF(O513&lt;20,1,IF(O513&gt;1000,10,MATCH(O513,Cargas,1))),Coluna_fih,1,1))*(1+0.13*0.25)*(PI()*(fi_h/1000)^2/4)*SQRT(2*9.81*(O513/100-fi_h/2/1000))*1000)),"",IF(O513&lt;fi_h/20,0,(OFFSET('Base de dados'!$A$5,IF(O513&lt;20,1,IF(O513&gt;1000,10,MATCH(O513,Cargas,1))),Coluna_fih,1,1))*(PI()*(fi_h/1000)^2/4)*SQRT(2*9.81*(O513/100-fi_h/2/1000))*1000))</f>
        <v>29.770141275285738</v>
      </c>
      <c r="Q513" s="19">
        <f ca="1">IF(O513="","",IF(Tipo_Vertedor="Retangular",IF(O513&lt;=cota_s*100,0,IF(Tipo_Vertedor="Retangular",Cd_sr*Lef_sr*((O513/100-cota_s)^(3/2))*1000)),IF(O513&lt;=cota_s*100+fi_s/20,0,(OFFSET('Base de dados'!$A$4,IF(O513&lt;20,1,IF(O513&gt;1000,10,MATCH(O513,Cargas,1))),Coluna_fis,1,1))*(PI()*(fi_s/1000)^2/4)*(2*9.81*(O513/100-cota_s-fi_s/2/1000))^0.5*1000)))</f>
        <v>615.69511686223416</v>
      </c>
      <c r="R513" s="19">
        <f t="shared" ca="1" si="122"/>
        <v>645.46525813751987</v>
      </c>
      <c r="S513" s="19">
        <f t="shared" ca="1" si="111"/>
        <v>2667.4290351122527</v>
      </c>
    </row>
    <row r="514" spans="13:19">
      <c r="M514" s="81">
        <f t="shared" ca="1" si="109"/>
        <v>3322.1827318584169</v>
      </c>
      <c r="N514" s="19">
        <f t="shared" si="117"/>
        <v>80.198657413878777</v>
      </c>
      <c r="O514" s="17">
        <f t="shared" si="118"/>
        <v>128.25</v>
      </c>
      <c r="P514" s="19">
        <f ca="1">IF(ISERROR(IF(O514&lt;fi_h/20,0,(OFFSET('Base de dados'!$A$5,IF(O514&lt;20,1,IF(O514&gt;1000,10,MATCH(O514,Cargas,1))),Coluna_fih,1,1))*(1+0.13*0.25)*(PI()*(fi_h/1000)^2/4)*SQRT(2*9.81*(O514/100-fi_h/2/1000))*1000)),"",IF(O514&lt;fi_h/20,0,(OFFSET('Base de dados'!$A$5,IF(O514&lt;20,1,IF(O514&gt;1000,10,MATCH(O514,Cargas,1))),Coluna_fih,1,1))*(PI()*(fi_h/1000)^2/4)*SQRT(2*9.81*(O514/100-fi_h/2/1000))*1000))</f>
        <v>29.800538209091364</v>
      </c>
      <c r="Q514" s="19">
        <f ca="1">IF(O514="","",IF(Tipo_Vertedor="Retangular",IF(O514&lt;=cota_s*100,0,IF(Tipo_Vertedor="Retangular",Cd_sr*Lef_sr*((O514/100-cota_s)^(3/2))*1000)),IF(O514&lt;=cota_s*100+fi_s/20,0,(OFFSET('Base de dados'!$A$4,IF(O514&lt;20,1,IF(O514&gt;1000,10,MATCH(O514,Cargas,1))),Coluna_fis,1,1))*(PI()*(fi_s/1000)^2/4)*(2*9.81*(O514/100-cota_s-fi_s/2/1000))^0.5*1000)))</f>
        <v>619.09361318669937</v>
      </c>
      <c r="R514" s="19">
        <f t="shared" ca="1" si="122"/>
        <v>648.89415139579069</v>
      </c>
      <c r="S514" s="19">
        <f t="shared" ca="1" si="111"/>
        <v>2673.2885804626262</v>
      </c>
    </row>
    <row r="515" spans="13:19">
      <c r="M515" s="81">
        <f t="shared" ca="1" si="109"/>
        <v>3331.4787926367321</v>
      </c>
      <c r="N515" s="19">
        <f t="shared" si="117"/>
        <v>80.374486466706571</v>
      </c>
      <c r="O515" s="17">
        <f t="shared" si="118"/>
        <v>128.5</v>
      </c>
      <c r="P515" s="19">
        <f ca="1">IF(ISERROR(IF(O515&lt;fi_h/20,0,(OFFSET('Base de dados'!$A$5,IF(O515&lt;20,1,IF(O515&gt;1000,10,MATCH(O515,Cargas,1))),Coluna_fih,1,1))*(1+0.13*0.25)*(PI()*(fi_h/1000)^2/4)*SQRT(2*9.81*(O515/100-fi_h/2/1000))*1000)),"",IF(O515&lt;fi_h/20,0,(OFFSET('Base de dados'!$A$5,IF(O515&lt;20,1,IF(O515&gt;1000,10,MATCH(O515,Cargas,1))),Coluna_fih,1,1))*(PI()*(fi_h/1000)^2/4)*SQRT(2*9.81*(O515/100-fi_h/2/1000))*1000))</f>
        <v>29.830904169209443</v>
      </c>
      <c r="Q515" s="19">
        <f ca="1">IF(O515="","",IF(Tipo_Vertedor="Retangular",IF(O515&lt;=cota_s*100,0,IF(Tipo_Vertedor="Retangular",Cd_sr*Lef_sr*((O515/100-cota_s)^(3/2))*1000)),IF(O515&lt;=cota_s*100+fi_s/20,0,(OFFSET('Base de dados'!$A$4,IF(O515&lt;20,1,IF(O515&gt;1000,10,MATCH(O515,Cargas,1))),Coluna_fis,1,1))*(PI()*(fi_s/1000)^2/4)*(2*9.81*(O515/100-cota_s-fi_s/2/1000))^0.5*1000)))</f>
        <v>622.49833957730357</v>
      </c>
      <c r="R515" s="19">
        <f t="shared" ca="1" si="122"/>
        <v>652.32924374651304</v>
      </c>
      <c r="S515" s="19">
        <f t="shared" ca="1" si="111"/>
        <v>2679.1495488902192</v>
      </c>
    </row>
    <row r="516" spans="13:19">
      <c r="M516" s="81">
        <f t="shared" ca="1" si="109"/>
        <v>3340.7824618760178</v>
      </c>
      <c r="N516" s="19">
        <f t="shared" si="117"/>
        <v>80.550358139130097</v>
      </c>
      <c r="O516" s="17">
        <f t="shared" si="118"/>
        <v>128.75</v>
      </c>
      <c r="P516" s="19">
        <f ca="1">IF(ISERROR(IF(O516&lt;fi_h/20,0,(OFFSET('Base de dados'!$A$5,IF(O516&lt;20,1,IF(O516&gt;1000,10,MATCH(O516,Cargas,1))),Coluna_fih,1,1))*(1+0.13*0.25)*(PI()*(fi_h/1000)^2/4)*SQRT(2*9.81*(O516/100-fi_h/2/1000))*1000)),"",IF(O516&lt;fi_h/20,0,(OFFSET('Base de dados'!$A$5,IF(O516&lt;20,1,IF(O516&gt;1000,10,MATCH(O516,Cargas,1))),Coluna_fih,1,1))*(PI()*(fi_h/1000)^2/4)*SQRT(2*9.81*(O516/100-fi_h/2/1000))*1000))</f>
        <v>29.861239250131607</v>
      </c>
      <c r="Q516" s="19">
        <f ca="1">IF(O516="","",IF(Tipo_Vertedor="Retangular",IF(O516&lt;=cota_s*100,0,IF(Tipo_Vertedor="Retangular",Cd_sr*Lef_sr*((O516/100-cota_s)^(3/2))*1000)),IF(O516&lt;=cota_s*100+fi_s/20,0,(OFFSET('Base de dados'!$A$4,IF(O516&lt;20,1,IF(O516&gt;1000,10,MATCH(O516,Cargas,1))),Coluna_fis,1,1))*(PI()*(fi_s/1000)^2/4)*(2*9.81*(O516/100-cota_s-fi_s/2/1000))^0.5*1000)))</f>
        <v>625.90928465488332</v>
      </c>
      <c r="R516" s="19">
        <f t="shared" ca="1" si="122"/>
        <v>655.7705239050149</v>
      </c>
      <c r="S516" s="19">
        <f t="shared" ca="1" si="111"/>
        <v>2685.0119379710031</v>
      </c>
    </row>
    <row r="517" spans="13:19">
      <c r="M517" s="81">
        <f t="shared" ref="M517:M580" ca="1" si="123">IF(O517="","",2*N517*1000/(Passo*60)+R517)</f>
        <v>3350.0937259380476</v>
      </c>
      <c r="N517" s="19">
        <f t="shared" si="117"/>
        <v>80.726272358693336</v>
      </c>
      <c r="O517" s="17">
        <f t="shared" si="118"/>
        <v>129</v>
      </c>
      <c r="P517" s="19">
        <f ca="1">IF(ISERROR(IF(O517&lt;fi_h/20,0,(OFFSET('Base de dados'!$A$5,IF(O517&lt;20,1,IF(O517&gt;1000,10,MATCH(O517,Cargas,1))),Coluna_fih,1,1))*(1+0.13*0.25)*(PI()*(fi_h/1000)^2/4)*SQRT(2*9.81*(O517/100-fi_h/2/1000))*1000)),"",IF(O517&lt;fi_h/20,0,(OFFSET('Base de dados'!$A$5,IF(O517&lt;20,1,IF(O517&gt;1000,10,MATCH(O517,Cargas,1))),Coluna_fih,1,1))*(PI()*(fi_h/1000)^2/4)*SQRT(2*9.81*(O517/100-fi_h/2/1000))*1000))</f>
        <v>29.891543545870018</v>
      </c>
      <c r="Q517" s="19">
        <f ca="1">IF(O517="","",IF(Tipo_Vertedor="Retangular",IF(O517&lt;=cota_s*100,0,IF(Tipo_Vertedor="Retangular",Cd_sr*Lef_sr*((O517/100-cota_s)^(3/2))*1000)),IF(O517&lt;=cota_s*100+fi_s/20,0,(OFFSET('Base de dados'!$A$4,IF(O517&lt;20,1,IF(O517&gt;1000,10,MATCH(O517,Cargas,1))),Coluna_fis,1,1))*(PI()*(fi_s/1000)^2/4)*(2*9.81*(O517/100-cota_s-fi_s/2/1000))^0.5*1000)))</f>
        <v>629.32643710239938</v>
      </c>
      <c r="R517" s="19">
        <f t="shared" ca="1" si="122"/>
        <v>659.21798064826942</v>
      </c>
      <c r="S517" s="19">
        <f t="shared" ref="S517:S580" ca="1" si="124">IF(M517="","",2*N517*1000/(Passo*60))</f>
        <v>2690.875745289778</v>
      </c>
    </row>
    <row r="518" spans="13:19">
      <c r="M518" s="81">
        <f t="shared" ca="1" si="123"/>
        <v>3359.4125712544578</v>
      </c>
      <c r="N518" s="19">
        <f t="shared" ref="N518:N581" si="125">IF(O518="","",b_0*(O518/100)^c_0)</f>
        <v>80.902229053203655</v>
      </c>
      <c r="O518" s="17">
        <f t="shared" ref="O518:O581" si="126">IF(ISERROR(IF(O517+passo_altura&gt;h_max_puls*100,"",O517+passo_altura)),"",IF(O517+passo_altura&gt;h_max_puls*100,"",O517+passo_altura))</f>
        <v>129.25</v>
      </c>
      <c r="P518" s="19">
        <f ca="1">IF(ISERROR(IF(O518&lt;fi_h/20,0,(OFFSET('Base de dados'!$A$5,IF(O518&lt;20,1,IF(O518&gt;1000,10,MATCH(O518,Cargas,1))),Coluna_fih,1,1))*(1+0.13*0.25)*(PI()*(fi_h/1000)^2/4)*SQRT(2*9.81*(O518/100-fi_h/2/1000))*1000)),"",IF(O518&lt;fi_h/20,0,(OFFSET('Base de dados'!$A$5,IF(O518&lt;20,1,IF(O518&gt;1000,10,MATCH(O518,Cargas,1))),Coluna_fih,1,1))*(PI()*(fi_h/1000)^2/4)*SQRT(2*9.81*(O518/100-fi_h/2/1000))*1000))</f>
        <v>29.92181714996077</v>
      </c>
      <c r="Q518" s="19">
        <f ca="1">IF(O518="","",IF(Tipo_Vertedor="Retangular",IF(O518&lt;=cota_s*100,0,IF(Tipo_Vertedor="Retangular",Cd_sr*Lef_sr*((O518/100-cota_s)^(3/2))*1000)),IF(O518&lt;=cota_s*100+fi_s/20,0,(OFFSET('Base de dados'!$A$4,IF(O518&lt;20,1,IF(O518&gt;1000,10,MATCH(O518,Cargas,1))),Coluna_fis,1,1))*(PI()*(fi_s/1000)^2/4)*(2*9.81*(O518/100-cota_s-fi_s/2/1000))^0.5*1000)))</f>
        <v>632.74978566437505</v>
      </c>
      <c r="R518" s="19">
        <f t="shared" ca="1" si="122"/>
        <v>662.67160281433587</v>
      </c>
      <c r="S518" s="19">
        <f t="shared" ca="1" si="124"/>
        <v>2696.7409684401218</v>
      </c>
    </row>
    <row r="519" spans="13:19">
      <c r="M519" s="81">
        <f t="shared" ca="1" si="123"/>
        <v>3368.7389843261517</v>
      </c>
      <c r="N519" s="19">
        <f t="shared" si="125"/>
        <v>81.078228150730354</v>
      </c>
      <c r="O519" s="17">
        <f t="shared" si="126"/>
        <v>129.5</v>
      </c>
      <c r="P519" s="19">
        <f ca="1">IF(ISERROR(IF(O519&lt;fi_h/20,0,(OFFSET('Base de dados'!$A$5,IF(O519&lt;20,1,IF(O519&gt;1000,10,MATCH(O519,Cargas,1))),Coluna_fih,1,1))*(1+0.13*0.25)*(PI()*(fi_h/1000)^2/4)*SQRT(2*9.81*(O519/100-fi_h/2/1000))*1000)),"",IF(O519&lt;fi_h/20,0,(OFFSET('Base de dados'!$A$5,IF(O519&lt;20,1,IF(O519&gt;1000,10,MATCH(O519,Cargas,1))),Coluna_fih,1,1))*(PI()*(fi_h/1000)^2/4)*SQRT(2*9.81*(O519/100-fi_h/2/1000))*1000))</f>
        <v>29.952060155467255</v>
      </c>
      <c r="Q519" s="19">
        <f ca="1">IF(O519="","",IF(Tipo_Vertedor="Retangular",IF(O519&lt;=cota_s*100,0,IF(Tipo_Vertedor="Retangular",Cd_sr*Lef_sr*((O519/100-cota_s)^(3/2))*1000)),IF(O519&lt;=cota_s*100+fi_s/20,0,(OFFSET('Base de dados'!$A$4,IF(O519&lt;20,1,IF(O519&gt;1000,10,MATCH(O519,Cargas,1))),Coluna_fis,1,1))*(PI()*(fi_s/1000)^2/4)*(2*9.81*(O519/100-cota_s-fi_s/2/1000))^0.5*1000)))</f>
        <v>636.17931914633937</v>
      </c>
      <c r="R519" s="19">
        <f t="shared" ca="1" si="122"/>
        <v>666.13137930180665</v>
      </c>
      <c r="S519" s="19">
        <f t="shared" ca="1" si="124"/>
        <v>2702.607605024345</v>
      </c>
    </row>
    <row r="520" spans="13:19">
      <c r="M520" s="81">
        <f t="shared" ca="1" si="123"/>
        <v>3378.0729517227014</v>
      </c>
      <c r="N520" s="19">
        <f t="shared" si="125"/>
        <v>81.254269579603189</v>
      </c>
      <c r="O520" s="17">
        <f t="shared" si="126"/>
        <v>129.75</v>
      </c>
      <c r="P520" s="19">
        <f ca="1">IF(ISERROR(IF(O520&lt;fi_h/20,0,(OFFSET('Base de dados'!$A$5,IF(O520&lt;20,1,IF(O520&gt;1000,10,MATCH(O520,Cargas,1))),Coluna_fih,1,1))*(1+0.13*0.25)*(PI()*(fi_h/1000)^2/4)*SQRT(2*9.81*(O520/100-fi_h/2/1000))*1000)),"",IF(O520&lt;fi_h/20,0,(OFFSET('Base de dados'!$A$5,IF(O520&lt;20,1,IF(O520&gt;1000,10,MATCH(O520,Cargas,1))),Coluna_fih,1,1))*(PI()*(fi_h/1000)^2/4)*SQRT(2*9.81*(O520/100-fi_h/2/1000))*1000))</f>
        <v>29.982272654983515</v>
      </c>
      <c r="Q520" s="19">
        <f ca="1">IF(O520="","",IF(Tipo_Vertedor="Retangular",IF(O520&lt;=cota_s*100,0,IF(Tipo_Vertedor="Retangular",Cd_sr*Lef_sr*((O520/100-cota_s)^(3/2))*1000)),IF(O520&lt;=cota_s*100+fi_s/20,0,(OFFSET('Base de dados'!$A$4,IF(O520&lt;20,1,IF(O520&gt;1000,10,MATCH(O520,Cargas,1))),Coluna_fis,1,1))*(PI()*(fi_s/1000)^2/4)*(2*9.81*(O520/100-cota_s-fi_s/2/1000))^0.5*1000)))</f>
        <v>639.61502641427819</v>
      </c>
      <c r="R520" s="19">
        <f t="shared" ca="1" si="122"/>
        <v>669.59729906926168</v>
      </c>
      <c r="S520" s="19">
        <f t="shared" ca="1" si="124"/>
        <v>2708.4756526534397</v>
      </c>
    </row>
    <row r="521" spans="13:19">
      <c r="M521" s="81">
        <f t="shared" ca="1" si="123"/>
        <v>3387.4144600817567</v>
      </c>
      <c r="N521" s="19">
        <f t="shared" si="125"/>
        <v>81.430353268410869</v>
      </c>
      <c r="O521" s="17">
        <f t="shared" si="126"/>
        <v>130</v>
      </c>
      <c r="P521" s="19">
        <f ca="1">IF(ISERROR(IF(O521&lt;fi_h/20,0,(OFFSET('Base de dados'!$A$5,IF(O521&lt;20,1,IF(O521&gt;1000,10,MATCH(O521,Cargas,1))),Coluna_fih,1,1))*(1+0.13*0.25)*(PI()*(fi_h/1000)^2/4)*SQRT(2*9.81*(O521/100-fi_h/2/1000))*1000)),"",IF(O521&lt;fi_h/20,0,(OFFSET('Base de dados'!$A$5,IF(O521&lt;20,1,IF(O521&gt;1000,10,MATCH(O521,Cargas,1))),Coluna_fih,1,1))*(PI()*(fi_h/1000)^2/4)*SQRT(2*9.81*(O521/100-fi_h/2/1000))*1000))</f>
        <v>30.012454740637516</v>
      </c>
      <c r="Q521" s="19">
        <f ca="1">IF(O521="","",IF(Tipo_Vertedor="Retangular",IF(O521&lt;=cota_s*100,0,IF(Tipo_Vertedor="Retangular",Cd_sr*Lef_sr*((O521/100-cota_s)^(3/2))*1000)),IF(O521&lt;=cota_s*100+fi_s/20,0,(OFFSET('Base de dados'!$A$4,IF(O521&lt;20,1,IF(O521&gt;1000,10,MATCH(O521,Cargas,1))),Coluna_fis,1,1))*(PI()*(fi_s/1000)^2/4)*(2*9.81*(O521/100-cota_s-fi_s/2/1000))^0.5*1000)))</f>
        <v>643.05689639409059</v>
      </c>
      <c r="R521" s="19">
        <f t="shared" ca="1" si="122"/>
        <v>673.06935113472809</v>
      </c>
      <c r="S521" s="19">
        <f t="shared" ca="1" si="124"/>
        <v>2714.3451089470286</v>
      </c>
    </row>
    <row r="522" spans="13:19">
      <c r="M522" s="81">
        <f t="shared" ca="1" si="123"/>
        <v>3396.7634961084755</v>
      </c>
      <c r="N522" s="19">
        <f t="shared" si="125"/>
        <v>81.606479145999756</v>
      </c>
      <c r="O522" s="17">
        <f t="shared" si="126"/>
        <v>130.25</v>
      </c>
      <c r="P522" s="19">
        <f ca="1">IF(ISERROR(IF(O522&lt;fi_h/20,0,(OFFSET('Base de dados'!$A$5,IF(O522&lt;20,1,IF(O522&gt;1000,10,MATCH(O522,Cargas,1))),Coluna_fih,1,1))*(1+0.13*0.25)*(PI()*(fi_h/1000)^2/4)*SQRT(2*9.81*(O522/100-fi_h/2/1000))*1000)),"",IF(O522&lt;fi_h/20,0,(OFFSET('Base de dados'!$A$5,IF(O522&lt;20,1,IF(O522&gt;1000,10,MATCH(O522,Cargas,1))),Coluna_fih,1,1))*(PI()*(fi_h/1000)^2/4)*SQRT(2*9.81*(O522/100-fi_h/2/1000))*1000))</f>
        <v>30.042606504094454</v>
      </c>
      <c r="Q522" s="19">
        <f ca="1">IF(O522="","",IF(Tipo_Vertedor="Retangular",IF(O522&lt;=cota_s*100,0,IF(Tipo_Vertedor="Retangular",Cd_sr*Lef_sr*((O522/100-cota_s)^(3/2))*1000)),IF(O522&lt;=cota_s*100+fi_s/20,0,(OFFSET('Base de dados'!$A$4,IF(O522&lt;20,1,IF(O522&gt;1000,10,MATCH(O522,Cargas,1))),Coluna_fis,1,1))*(PI()*(fi_s/1000)^2/4)*(2*9.81*(O522/100-cota_s-fi_s/2/1000))^0.5*1000)))</f>
        <v>646.50491807105584</v>
      </c>
      <c r="R522" s="19">
        <f t="shared" ca="1" si="122"/>
        <v>676.54752457515031</v>
      </c>
      <c r="S522" s="19">
        <f t="shared" ca="1" si="124"/>
        <v>2720.215971533325</v>
      </c>
    </row>
    <row r="523" spans="13:19">
      <c r="M523" s="81">
        <f t="shared" ca="1" si="123"/>
        <v>3406.1200465749412</v>
      </c>
      <c r="N523" s="19">
        <f t="shared" si="125"/>
        <v>81.782647141472353</v>
      </c>
      <c r="O523" s="17">
        <f t="shared" si="126"/>
        <v>130.5</v>
      </c>
      <c r="P523" s="19">
        <f ca="1">IF(ISERROR(IF(O523&lt;fi_h/20,0,(OFFSET('Base de dados'!$A$5,IF(O523&lt;20,1,IF(O523&gt;1000,10,MATCH(O523,Cargas,1))),Coluna_fih,1,1))*(1+0.13*0.25)*(PI()*(fi_h/1000)^2/4)*SQRT(2*9.81*(O523/100-fi_h/2/1000))*1000)),"",IF(O523&lt;fi_h/20,0,(OFFSET('Base de dados'!$A$5,IF(O523&lt;20,1,IF(O523&gt;1000,10,MATCH(O523,Cargas,1))),Coluna_fih,1,1))*(PI()*(fi_h/1000)^2/4)*SQRT(2*9.81*(O523/100-fi_h/2/1000))*1000))</f>
        <v>30.072728036559983</v>
      </c>
      <c r="Q523" s="19">
        <f ca="1">IF(O523="","",IF(Tipo_Vertedor="Retangular",IF(O523&lt;=cota_s*100,0,IF(Tipo_Vertedor="Retangular",Cd_sr*Lef_sr*((O523/100-cota_s)^(3/2))*1000)),IF(O523&lt;=cota_s*100+fi_s/20,0,(OFFSET('Base de dados'!$A$4,IF(O523&lt;20,1,IF(O523&gt;1000,10,MATCH(O523,Cargas,1))),Coluna_fis,1,1))*(PI()*(fi_s/1000)^2/4)*(2*9.81*(O523/100-cota_s-fi_s/2/1000))^0.5*1000)))</f>
        <v>649.95908048930289</v>
      </c>
      <c r="R523" s="19">
        <f t="shared" ca="1" si="122"/>
        <v>680.03180852586286</v>
      </c>
      <c r="S523" s="19">
        <f t="shared" ca="1" si="124"/>
        <v>2726.0882380490784</v>
      </c>
    </row>
    <row r="524" spans="13:19">
      <c r="M524" s="81">
        <f t="shared" ca="1" si="123"/>
        <v>3415.4840983196027</v>
      </c>
      <c r="N524" s="19">
        <f t="shared" si="125"/>
        <v>81.958857184185902</v>
      </c>
      <c r="O524" s="17">
        <f t="shared" si="126"/>
        <v>130.75</v>
      </c>
      <c r="P524" s="19">
        <f ca="1">IF(ISERROR(IF(O524&lt;fi_h/20,0,(OFFSET('Base de dados'!$A$5,IF(O524&lt;20,1,IF(O524&gt;1000,10,MATCH(O524,Cargas,1))),Coluna_fih,1,1))*(1+0.13*0.25)*(PI()*(fi_h/1000)^2/4)*SQRT(2*9.81*(O524/100-fi_h/2/1000))*1000)),"",IF(O524&lt;fi_h/20,0,(OFFSET('Base de dados'!$A$5,IF(O524&lt;20,1,IF(O524&gt;1000,10,MATCH(O524,Cargas,1))),Coluna_fih,1,1))*(PI()*(fi_h/1000)^2/4)*SQRT(2*9.81*(O524/100-fi_h/2/1000))*1000))</f>
        <v>30.102819428783484</v>
      </c>
      <c r="Q524" s="19">
        <f ca="1">IF(O524="","",IF(Tipo_Vertedor="Retangular",IF(O524&lt;=cota_s*100,0,IF(Tipo_Vertedor="Retangular",Cd_sr*Lef_sr*((O524/100-cota_s)^(3/2))*1000)),IF(O524&lt;=cota_s*100+fi_s/20,0,(OFFSET('Base de dados'!$A$4,IF(O524&lt;20,1,IF(O524&gt;1000,10,MATCH(O524,Cargas,1))),Coluna_fis,1,1))*(PI()*(fi_s/1000)^2/4)*(2*9.81*(O524/100-cota_s-fi_s/2/1000))^0.5*1000)))</f>
        <v>653.41937275128896</v>
      </c>
      <c r="R524" s="19">
        <f t="shared" ca="1" si="122"/>
        <v>683.52219218007247</v>
      </c>
      <c r="S524" s="19">
        <f t="shared" ca="1" si="124"/>
        <v>2731.9619061395301</v>
      </c>
    </row>
    <row r="525" spans="13:19">
      <c r="M525" s="81">
        <f t="shared" ca="1" si="123"/>
        <v>3424.8556382467095</v>
      </c>
      <c r="N525" s="19">
        <f t="shared" si="125"/>
        <v>82.135109203750972</v>
      </c>
      <c r="O525" s="17">
        <f t="shared" si="126"/>
        <v>131</v>
      </c>
      <c r="P525" s="19">
        <f ca="1">IF(ISERROR(IF(O525&lt;fi_h/20,0,(OFFSET('Base de dados'!$A$5,IF(O525&lt;20,1,IF(O525&gt;1000,10,MATCH(O525,Cargas,1))),Coluna_fih,1,1))*(1+0.13*0.25)*(PI()*(fi_h/1000)^2/4)*SQRT(2*9.81*(O525/100-fi_h/2/1000))*1000)),"",IF(O525&lt;fi_h/20,0,(OFFSET('Base de dados'!$A$5,IF(O525&lt;20,1,IF(O525&gt;1000,10,MATCH(O525,Cargas,1))),Coluna_fih,1,1))*(PI()*(fi_h/1000)^2/4)*SQRT(2*9.81*(O525/100-fi_h/2/1000))*1000))</f>
        <v>30.132880771061156</v>
      </c>
      <c r="Q525" s="19">
        <f ca="1">IF(O525="","",IF(Tipo_Vertedor="Retangular",IF(O525&lt;=cota_s*100,0,IF(Tipo_Vertedor="Retangular",Cd_sr*Lef_sr*((O525/100-cota_s)^(3/2))*1000)),IF(O525&lt;=cota_s*100+fi_s/20,0,(OFFSET('Base de dados'!$A$4,IF(O525&lt;20,1,IF(O525&gt;1000,10,MATCH(O525,Cargas,1))),Coluna_fis,1,1))*(PI()*(fi_s/1000)^2/4)*(2*9.81*(O525/100-cota_s-fi_s/2/1000))^0.5*1000)))</f>
        <v>656.88578401728273</v>
      </c>
      <c r="R525" s="19">
        <f t="shared" ca="1" si="122"/>
        <v>687.01866478834393</v>
      </c>
      <c r="S525" s="19">
        <f t="shared" ca="1" si="124"/>
        <v>2737.8369734583657</v>
      </c>
    </row>
    <row r="526" spans="13:19">
      <c r="M526" s="81">
        <f t="shared" ca="1" si="123"/>
        <v>3434.2346533257673</v>
      </c>
      <c r="N526" s="19">
        <f t="shared" si="125"/>
        <v>82.311403130030143</v>
      </c>
      <c r="O526" s="17">
        <f t="shared" si="126"/>
        <v>131.25</v>
      </c>
      <c r="P526" s="19">
        <f ca="1">IF(ISERROR(IF(O526&lt;fi_h/20,0,(OFFSET('Base de dados'!$A$5,IF(O526&lt;20,1,IF(O526&gt;1000,10,MATCH(O526,Cargas,1))),Coluna_fih,1,1))*(1+0.13*0.25)*(PI()*(fi_h/1000)^2/4)*SQRT(2*9.81*(O526/100-fi_h/2/1000))*1000)),"",IF(O526&lt;fi_h/20,0,(OFFSET('Base de dados'!$A$5,IF(O526&lt;20,1,IF(O526&gt;1000,10,MATCH(O526,Cargas,1))),Coluna_fih,1,1))*(PI()*(fi_h/1000)^2/4)*SQRT(2*9.81*(O526/100-fi_h/2/1000))*1000))</f>
        <v>30.162912153239283</v>
      </c>
      <c r="Q526" s="19">
        <f ca="1">IF(O526="","",IF(Tipo_Vertedor="Retangular",IF(O526&lt;=cota_s*100,0,IF(Tipo_Vertedor="Retangular",Cd_sr*Lef_sr*((O526/100-cota_s)^(3/2))*1000)),IF(O526&lt;=cota_s*100+fi_s/20,0,(OFFSET('Base de dados'!$A$4,IF(O526&lt;20,1,IF(O526&gt;1000,10,MATCH(O526,Cargas,1))),Coluna_fis,1,1))*(PI()*(fi_s/1000)^2/4)*(2*9.81*(O526/100-cota_s-fi_s/2/1000))^0.5*1000)))</f>
        <v>660.35830350485685</v>
      </c>
      <c r="R526" s="19">
        <f t="shared" ca="1" si="122"/>
        <v>690.52121565809614</v>
      </c>
      <c r="S526" s="19">
        <f t="shared" ca="1" si="124"/>
        <v>2743.7134376676713</v>
      </c>
    </row>
    <row r="527" spans="13:19">
      <c r="M527" s="81">
        <f t="shared" ca="1" si="123"/>
        <v>3443.6211305909865</v>
      </c>
      <c r="N527" s="19">
        <f t="shared" si="125"/>
        <v>82.487738893136566</v>
      </c>
      <c r="O527" s="17">
        <f t="shared" si="126"/>
        <v>131.5</v>
      </c>
      <c r="P527" s="19">
        <f ca="1">IF(ISERROR(IF(O527&lt;fi_h/20,0,(OFFSET('Base de dados'!$A$5,IF(O527&lt;20,1,IF(O527&gt;1000,10,MATCH(O527,Cargas,1))),Coluna_fih,1,1))*(1+0.13*0.25)*(PI()*(fi_h/1000)^2/4)*SQRT(2*9.81*(O527/100-fi_h/2/1000))*1000)),"",IF(O527&lt;fi_h/20,0,(OFFSET('Base de dados'!$A$5,IF(O527&lt;20,1,IF(O527&gt;1000,10,MATCH(O527,Cargas,1))),Coluna_fih,1,1))*(PI()*(fi_h/1000)^2/4)*SQRT(2*9.81*(O527/100-fi_h/2/1000))*1000))</f>
        <v>30.19291366471731</v>
      </c>
      <c r="Q527" s="19">
        <f ca="1">IF(O527="","",IF(Tipo_Vertedor="Retangular",IF(O527&lt;=cota_s*100,0,IF(Tipo_Vertedor="Retangular",Cd_sr*Lef_sr*((O527/100-cota_s)^(3/2))*1000)),IF(O527&lt;=cota_s*100+fi_s/20,0,(OFFSET('Base de dados'!$A$4,IF(O527&lt;20,1,IF(O527&gt;1000,10,MATCH(O527,Cargas,1))),Coluna_fis,1,1))*(PI()*(fi_s/1000)^2/4)*(2*9.81*(O527/100-cota_s-fi_s/2/1000))^0.5*1000)))</f>
        <v>663.83692048838316</v>
      </c>
      <c r="R527" s="19">
        <f t="shared" ca="1" si="122"/>
        <v>694.02983415310041</v>
      </c>
      <c r="S527" s="19">
        <f t="shared" ca="1" si="124"/>
        <v>2749.5912964378858</v>
      </c>
    </row>
    <row r="528" spans="13:19">
      <c r="M528" s="81">
        <f t="shared" ca="1" si="123"/>
        <v>3453.0150571407385</v>
      </c>
      <c r="N528" s="19">
        <f t="shared" si="125"/>
        <v>82.664116423432532</v>
      </c>
      <c r="O528" s="17">
        <f t="shared" si="126"/>
        <v>131.75</v>
      </c>
      <c r="P528" s="19">
        <f ca="1">IF(ISERROR(IF(O528&lt;fi_h/20,0,(OFFSET('Base de dados'!$A$5,IF(O528&lt;20,1,IF(O528&gt;1000,10,MATCH(O528,Cargas,1))),Coluna_fih,1,1))*(1+0.13*0.25)*(PI()*(fi_h/1000)^2/4)*SQRT(2*9.81*(O528/100-fi_h/2/1000))*1000)),"",IF(O528&lt;fi_h/20,0,(OFFSET('Base de dados'!$A$5,IF(O528&lt;20,1,IF(O528&gt;1000,10,MATCH(O528,Cargas,1))),Coluna_fih,1,1))*(PI()*(fi_h/1000)^2/4)*SQRT(2*9.81*(O528/100-fi_h/2/1000))*1000))</f>
        <v>30.222885394450937</v>
      </c>
      <c r="Q528" s="19">
        <f ca="1">IF(O528="","",IF(Tipo_Vertedor="Retangular",IF(O528&lt;=cota_s*100,0,IF(Tipo_Vertedor="Retangular",Cd_sr*Lef_sr*((O528/100-cota_s)^(3/2))*1000)),IF(O528&lt;=cota_s*100+fi_s/20,0,(OFFSET('Base de dados'!$A$4,IF(O528&lt;20,1,IF(O528&gt;1000,10,MATCH(O528,Cargas,1))),Coluna_fis,1,1))*(PI()*(fi_s/1000)^2/4)*(2*9.81*(O528/100-cota_s-fi_s/2/1000))^0.5*1000)))</f>
        <v>667.32162429853668</v>
      </c>
      <c r="R528" s="19">
        <f t="shared" ca="1" si="122"/>
        <v>697.54450969298762</v>
      </c>
      <c r="S528" s="19">
        <f t="shared" ca="1" si="124"/>
        <v>2755.470547447751</v>
      </c>
    </row>
    <row r="529" spans="13:19">
      <c r="M529" s="81">
        <f t="shared" ca="1" si="123"/>
        <v>3462.4164201370359</v>
      </c>
      <c r="N529" s="19">
        <f t="shared" si="125"/>
        <v>82.84053565152827</v>
      </c>
      <c r="O529" s="17">
        <f t="shared" si="126"/>
        <v>132</v>
      </c>
      <c r="P529" s="19">
        <f ca="1">IF(ISERROR(IF(O529&lt;fi_h/20,0,(OFFSET('Base de dados'!$A$5,IF(O529&lt;20,1,IF(O529&gt;1000,10,MATCH(O529,Cargas,1))),Coluna_fih,1,1))*(1+0.13*0.25)*(PI()*(fi_h/1000)^2/4)*SQRT(2*9.81*(O529/100-fi_h/2/1000))*1000)),"",IF(O529&lt;fi_h/20,0,(OFFSET('Base de dados'!$A$5,IF(O529&lt;20,1,IF(O529&gt;1000,10,MATCH(O529,Cargas,1))),Coluna_fih,1,1))*(PI()*(fi_h/1000)^2/4)*SQRT(2*9.81*(O529/100-fi_h/2/1000))*1000))</f>
        <v>30.252827430955261</v>
      </c>
      <c r="Q529" s="19">
        <f ca="1">IF(O529="","",IF(Tipo_Vertedor="Retangular",IF(O529&lt;=cota_s*100,0,IF(Tipo_Vertedor="Retangular",Cd_sr*Lef_sr*((O529/100-cota_s)^(3/2))*1000)),IF(O529&lt;=cota_s*100+fi_s/20,0,(OFFSET('Base de dados'!$A$4,IF(O529&lt;20,1,IF(O529&gt;1000,10,MATCH(O529,Cargas,1))),Coluna_fis,1,1))*(PI()*(fi_s/1000)^2/4)*(2*9.81*(O529/100-cota_s-fi_s/2/1000))^0.5*1000)))</f>
        <v>670.81240432180471</v>
      </c>
      <c r="R529" s="19">
        <f t="shared" ca="1" si="122"/>
        <v>701.06523175275993</v>
      </c>
      <c r="S529" s="19">
        <f t="shared" ca="1" si="124"/>
        <v>2761.3511883842757</v>
      </c>
    </row>
    <row r="530" spans="13:19">
      <c r="M530" s="81">
        <f t="shared" ca="1" si="123"/>
        <v>3471.8252068049887</v>
      </c>
      <c r="N530" s="19">
        <f t="shared" si="125"/>
        <v>83.016996508280428</v>
      </c>
      <c r="O530" s="17">
        <f t="shared" si="126"/>
        <v>132.25</v>
      </c>
      <c r="P530" s="19">
        <f ca="1">IF(ISERROR(IF(O530&lt;fi_h/20,0,(OFFSET('Base de dados'!$A$5,IF(O530&lt;20,1,IF(O530&gt;1000,10,MATCH(O530,Cargas,1))),Coluna_fih,1,1))*(1+0.13*0.25)*(PI()*(fi_h/1000)^2/4)*SQRT(2*9.81*(O530/100-fi_h/2/1000))*1000)),"",IF(O530&lt;fi_h/20,0,(OFFSET('Base de dados'!$A$5,IF(O530&lt;20,1,IF(O530&gt;1000,10,MATCH(O530,Cargas,1))),Coluna_fih,1,1))*(PI()*(fi_h/1000)^2/4)*SQRT(2*9.81*(O530/100-fi_h/2/1000))*1000))</f>
        <v>30.282739862307736</v>
      </c>
      <c r="Q530" s="19">
        <f ca="1">IF(O530="","",IF(Tipo_Vertedor="Retangular",IF(O530&lt;=cota_s*100,0,IF(Tipo_Vertedor="Retangular",Cd_sr*Lef_sr*((O530/100-cota_s)^(3/2))*1000)),IF(O530&lt;=cota_s*100+fi_s/20,0,(OFFSET('Base de dados'!$A$4,IF(O530&lt;20,1,IF(O530&gt;1000,10,MATCH(O530,Cargas,1))),Coluna_fis,1,1))*(PI()*(fi_s/1000)^2/4)*(2*9.81*(O530/100-cota_s-fi_s/2/1000))^0.5*1000)))</f>
        <v>674.30925000000013</v>
      </c>
      <c r="R530" s="19">
        <f t="shared" ca="1" si="122"/>
        <v>704.59198986230786</v>
      </c>
      <c r="S530" s="19">
        <f t="shared" ca="1" si="124"/>
        <v>2767.2332169426809</v>
      </c>
    </row>
    <row r="531" spans="13:19">
      <c r="M531" s="81">
        <f t="shared" ca="1" si="123"/>
        <v>3481.2414044322995</v>
      </c>
      <c r="N531" s="19">
        <f t="shared" si="125"/>
        <v>83.193498924790873</v>
      </c>
      <c r="O531" s="17">
        <f t="shared" si="126"/>
        <v>132.5</v>
      </c>
      <c r="P531" s="19">
        <f ca="1">IF(ISERROR(IF(O531&lt;fi_h/20,0,(OFFSET('Base de dados'!$A$5,IF(O531&lt;20,1,IF(O531&gt;1000,10,MATCH(O531,Cargas,1))),Coluna_fih,1,1))*(1+0.13*0.25)*(PI()*(fi_h/1000)^2/4)*SQRT(2*9.81*(O531/100-fi_h/2/1000))*1000)),"",IF(O531&lt;fi_h/20,0,(OFFSET('Base de dados'!$A$5,IF(O531&lt;20,1,IF(O531&gt;1000,10,MATCH(O531,Cargas,1))),Coluna_fih,1,1))*(PI()*(fi_h/1000)^2/4)*SQRT(2*9.81*(O531/100-fi_h/2/1000))*1000))</f>
        <v>30.312622776151272</v>
      </c>
      <c r="Q531" s="19">
        <f ca="1">IF(O531="","",IF(Tipo_Vertedor="Retangular",IF(O531&lt;=cota_s*100,0,IF(Tipo_Vertedor="Retangular",Cd_sr*Lef_sr*((O531/100-cota_s)^(3/2))*1000)),IF(O531&lt;=cota_s*100+fi_s/20,0,(OFFSET('Base de dados'!$A$4,IF(O531&lt;20,1,IF(O531&gt;1000,10,MATCH(O531,Cargas,1))),Coluna_fis,1,1))*(PI()*(fi_s/1000)^2/4)*(2*9.81*(O531/100-cota_s-fi_s/2/1000))^0.5*1000)))</f>
        <v>677.81215082978565</v>
      </c>
      <c r="R531" s="19">
        <f t="shared" ca="1" si="122"/>
        <v>708.12477360593698</v>
      </c>
      <c r="S531" s="19">
        <f t="shared" ca="1" si="124"/>
        <v>2773.1166308263623</v>
      </c>
    </row>
    <row r="532" spans="13:19">
      <c r="M532" s="81">
        <f t="shared" ca="1" si="123"/>
        <v>3490.6650003687373</v>
      </c>
      <c r="N532" s="19">
        <f t="shared" si="125"/>
        <v>83.370042832405261</v>
      </c>
      <c r="O532" s="17">
        <f t="shared" si="126"/>
        <v>132.75</v>
      </c>
      <c r="P532" s="19">
        <f ca="1">IF(ISERROR(IF(O532&lt;fi_h/20,0,(OFFSET('Base de dados'!$A$5,IF(O532&lt;20,1,IF(O532&gt;1000,10,MATCH(O532,Cargas,1))),Coluna_fih,1,1))*(1+0.13*0.25)*(PI()*(fi_h/1000)^2/4)*SQRT(2*9.81*(O532/100-fi_h/2/1000))*1000)),"",IF(O532&lt;fi_h/20,0,(OFFSET('Base de dados'!$A$5,IF(O532&lt;20,1,IF(O532&gt;1000,10,MATCH(O532,Cargas,1))),Coluna_fih,1,1))*(PI()*(fi_h/1000)^2/4)*SQRT(2*9.81*(O532/100-fi_h/2/1000))*1000))</f>
        <v>30.34247625969719</v>
      </c>
      <c r="Q532" s="19">
        <f ca="1">IF(O532="","",IF(Tipo_Vertedor="Retangular",IF(O532&lt;=cota_s*100,0,IF(Tipo_Vertedor="Retangular",Cd_sr*Lef_sr*((O532/100-cota_s)^(3/2))*1000)),IF(O532&lt;=cota_s*100+fi_s/20,0,(OFFSET('Base de dados'!$A$4,IF(O532&lt;20,1,IF(O532&gt;1000,10,MATCH(O532,Cargas,1))),Coluna_fis,1,1))*(PI()*(fi_s/1000)^2/4)*(2*9.81*(O532/100-cota_s-fi_s/2/1000))^0.5*1000)))</f>
        <v>681.32109636219798</v>
      </c>
      <c r="R532" s="19">
        <f t="shared" ca="1" si="122"/>
        <v>711.66357262189513</v>
      </c>
      <c r="S532" s="19">
        <f t="shared" ca="1" si="124"/>
        <v>2779.0014277468422</v>
      </c>
    </row>
    <row r="533" spans="13:19">
      <c r="M533" s="81">
        <f t="shared" ca="1" si="123"/>
        <v>3500.0959820256367</v>
      </c>
      <c r="N533" s="19">
        <f t="shared" si="125"/>
        <v>83.546628162711812</v>
      </c>
      <c r="O533" s="17">
        <f t="shared" si="126"/>
        <v>133</v>
      </c>
      <c r="P533" s="19">
        <f ca="1">IF(ISERROR(IF(O533&lt;fi_h/20,0,(OFFSET('Base de dados'!$A$5,IF(O533&lt;20,1,IF(O533&gt;1000,10,MATCH(O533,Cargas,1))),Coluna_fih,1,1))*(1+0.13*0.25)*(PI()*(fi_h/1000)^2/4)*SQRT(2*9.81*(O533/100-fi_h/2/1000))*1000)),"",IF(O533&lt;fi_h/20,0,(OFFSET('Base de dados'!$A$5,IF(O533&lt;20,1,IF(O533&gt;1000,10,MATCH(O533,Cargas,1))),Coluna_fih,1,1))*(PI()*(fi_h/1000)^2/4)*SQRT(2*9.81*(O533/100-fi_h/2/1000))*1000))</f>
        <v>30.372300399728221</v>
      </c>
      <c r="Q533" s="19">
        <f ca="1">IF(O533="","",IF(Tipo_Vertedor="Retangular",IF(O533&lt;=cota_s*100,0,IF(Tipo_Vertedor="Retangular",Cd_sr*Lef_sr*((O533/100-cota_s)^(3/2))*1000)),IF(O533&lt;=cota_s*100+fi_s/20,0,(OFFSET('Base de dados'!$A$4,IF(O533&lt;20,1,IF(O533&gt;1000,10,MATCH(O533,Cargas,1))),Coluna_fis,1,1))*(PI()*(fi_s/1000)^2/4)*(2*9.81*(O533/100-cota_s-fi_s/2/1000))^0.5*1000)))</f>
        <v>684.83607620218152</v>
      </c>
      <c r="R533" s="19">
        <f t="shared" ca="1" si="122"/>
        <v>715.20837660190978</v>
      </c>
      <c r="S533" s="19">
        <f t="shared" ca="1" si="124"/>
        <v>2784.8876054237271</v>
      </c>
    </row>
    <row r="534" spans="13:19">
      <c r="M534" s="81">
        <f t="shared" ca="1" si="123"/>
        <v>3509.5343368753884</v>
      </c>
      <c r="N534" s="19">
        <f t="shared" si="125"/>
        <v>83.723254847539849</v>
      </c>
      <c r="O534" s="17">
        <f t="shared" si="126"/>
        <v>133.25</v>
      </c>
      <c r="P534" s="19">
        <f ca="1">IF(ISERROR(IF(O534&lt;fi_h/20,0,(OFFSET('Base de dados'!$A$5,IF(O534&lt;20,1,IF(O534&gt;1000,10,MATCH(O534,Cargas,1))),Coluna_fih,1,1))*(1+0.13*0.25)*(PI()*(fi_h/1000)^2/4)*SQRT(2*9.81*(O534/100-fi_h/2/1000))*1000)),"",IF(O534&lt;fi_h/20,0,(OFFSET('Base de dados'!$A$5,IF(O534&lt;20,1,IF(O534&gt;1000,10,MATCH(O534,Cargas,1))),Coluna_fih,1,1))*(PI()*(fi_h/1000)^2/4)*SQRT(2*9.81*(O534/100-fi_h/2/1000))*1000))</f>
        <v>30.40209528260139</v>
      </c>
      <c r="Q534" s="19">
        <f ca="1">IF(O534="","",IF(Tipo_Vertedor="Retangular",IF(O534&lt;=cota_s*100,0,IF(Tipo_Vertedor="Retangular",Cd_sr*Lef_sr*((O534/100-cota_s)^(3/2))*1000)),IF(O534&lt;=cota_s*100+fi_s/20,0,(OFFSET('Base de dados'!$A$4,IF(O534&lt;20,1,IF(O534&gt;1000,10,MATCH(O534,Cargas,1))),Coluna_fis,1,1))*(PI()*(fi_s/1000)^2/4)*(2*9.81*(O534/100-cota_s-fi_s/2/1000))^0.5*1000)))</f>
        <v>688.35708000812531</v>
      </c>
      <c r="R534" s="19">
        <f t="shared" ca="1" si="122"/>
        <v>718.75917529072672</v>
      </c>
      <c r="S534" s="19">
        <f t="shared" ca="1" si="124"/>
        <v>2790.7751615846619</v>
      </c>
    </row>
    <row r="535" spans="13:19">
      <c r="M535" s="81">
        <f t="shared" ca="1" si="123"/>
        <v>3518.9800524509469</v>
      </c>
      <c r="N535" s="19">
        <f t="shared" si="125"/>
        <v>83.899922818958643</v>
      </c>
      <c r="O535" s="17">
        <f t="shared" si="126"/>
        <v>133.5</v>
      </c>
      <c r="P535" s="19">
        <f ca="1">IF(ISERROR(IF(O535&lt;fi_h/20,0,(OFFSET('Base de dados'!$A$5,IF(O535&lt;20,1,IF(O535&gt;1000,10,MATCH(O535,Cargas,1))),Coluna_fih,1,1))*(1+0.13*0.25)*(PI()*(fi_h/1000)^2/4)*SQRT(2*9.81*(O535/100-fi_h/2/1000))*1000)),"",IF(O535&lt;fi_h/20,0,(OFFSET('Base de dados'!$A$5,IF(O535&lt;20,1,IF(O535&gt;1000,10,MATCH(O535,Cargas,1))),Coluna_fih,1,1))*(PI()*(fi_h/1000)^2/4)*SQRT(2*9.81*(O535/100-fi_h/2/1000))*1000))</f>
        <v>30.431860994251021</v>
      </c>
      <c r="Q535" s="19">
        <f ca="1">IF(O535="","",IF(Tipo_Vertedor="Retangular",IF(O535&lt;=cota_s*100,0,IF(Tipo_Vertedor="Retangular",Cd_sr*Lef_sr*((O535/100-cota_s)^(3/2))*1000)),IF(O535&lt;=cota_s*100+fi_s/20,0,(OFFSET('Base de dados'!$A$4,IF(O535&lt;20,1,IF(O535&gt;1000,10,MATCH(O535,Cargas,1))),Coluna_fis,1,1))*(PI()*(fi_s/1000)^2/4)*(2*9.81*(O535/100-cota_s-fi_s/2/1000))^0.5*1000)))</f>
        <v>691.88409749140794</v>
      </c>
      <c r="R535" s="19">
        <f t="shared" ca="1" si="122"/>
        <v>722.31595848565894</v>
      </c>
      <c r="S535" s="19">
        <f t="shared" ca="1" si="124"/>
        <v>2796.664093965288</v>
      </c>
    </row>
    <row r="536" spans="13:19">
      <c r="M536" s="81">
        <f t="shared" ca="1" si="123"/>
        <v>3528.4331163453412</v>
      </c>
      <c r="N536" s="19">
        <f t="shared" si="125"/>
        <v>84.076632009276111</v>
      </c>
      <c r="O536" s="17">
        <f t="shared" si="126"/>
        <v>133.75</v>
      </c>
      <c r="P536" s="19">
        <f ca="1">IF(ISERROR(IF(O536&lt;fi_h/20,0,(OFFSET('Base de dados'!$A$5,IF(O536&lt;20,1,IF(O536&gt;1000,10,MATCH(O536,Cargas,1))),Coluna_fih,1,1))*(1+0.13*0.25)*(PI()*(fi_h/1000)^2/4)*SQRT(2*9.81*(O536/100-fi_h/2/1000))*1000)),"",IF(O536&lt;fi_h/20,0,(OFFSET('Base de dados'!$A$5,IF(O536&lt;20,1,IF(O536&gt;1000,10,MATCH(O536,Cargas,1))),Coluna_fih,1,1))*(PI()*(fi_h/1000)^2/4)*SQRT(2*9.81*(O536/100-fi_h/2/1000))*1000))</f>
        <v>30.461597620191551</v>
      </c>
      <c r="Q536" s="19">
        <f ca="1">IF(O536="","",IF(Tipo_Vertedor="Retangular",IF(O536&lt;=cota_s*100,0,IF(Tipo_Vertedor="Retangular",Cd_sr*Lef_sr*((O536/100-cota_s)^(3/2))*1000)),IF(O536&lt;=cota_s*100+fi_s/20,0,(OFFSET('Base de dados'!$A$4,IF(O536&lt;20,1,IF(O536&gt;1000,10,MATCH(O536,Cargas,1))),Coluna_fis,1,1))*(PI()*(fi_s/1000)^2/4)*(2*9.81*(O536/100-cota_s-fi_s/2/1000))^0.5*1000)))</f>
        <v>695.41711841594565</v>
      </c>
      <c r="R536" s="19">
        <f t="shared" ca="1" si="122"/>
        <v>725.87871603613723</v>
      </c>
      <c r="S536" s="19">
        <f t="shared" ca="1" si="124"/>
        <v>2802.5544003092041</v>
      </c>
    </row>
    <row r="537" spans="13:19">
      <c r="M537" s="81">
        <f t="shared" ca="1" si="123"/>
        <v>3537.8935162111829</v>
      </c>
      <c r="N537" s="19">
        <f t="shared" si="125"/>
        <v>84.25338235103743</v>
      </c>
      <c r="O537" s="17">
        <f t="shared" si="126"/>
        <v>134</v>
      </c>
      <c r="P537" s="19">
        <f ca="1">IF(ISERROR(IF(O537&lt;fi_h/20,0,(OFFSET('Base de dados'!$A$5,IF(O537&lt;20,1,IF(O537&gt;1000,10,MATCH(O537,Cargas,1))),Coluna_fih,1,1))*(1+0.13*0.25)*(PI()*(fi_h/1000)^2/4)*SQRT(2*9.81*(O537/100-fi_h/2/1000))*1000)),"",IF(O537&lt;fi_h/20,0,(OFFSET('Base de dados'!$A$5,IF(O537&lt;20,1,IF(O537&gt;1000,10,MATCH(O537,Cargas,1))),Coluna_fih,1,1))*(PI()*(fi_h/1000)^2/4)*SQRT(2*9.81*(O537/100-fi_h/2/1000))*1000))</f>
        <v>30.491305245520447</v>
      </c>
      <c r="Q537" s="19">
        <f ca="1">IF(O537="","",IF(Tipo_Vertedor="Retangular",IF(O537&lt;=cota_s*100,0,IF(Tipo_Vertedor="Retangular",Cd_sr*Lef_sr*((O537/100-cota_s)^(3/2))*1000)),IF(O537&lt;=cota_s*100+fi_s/20,0,(OFFSET('Base de dados'!$A$4,IF(O537&lt;20,1,IF(O537&gt;1000,10,MATCH(O537,Cargas,1))),Coluna_fis,1,1))*(PI()*(fi_s/1000)^2/4)*(2*9.81*(O537/100-cota_s-fi_s/2/1000))^0.5*1000)))</f>
        <v>698.95613259774757</v>
      </c>
      <c r="R537" s="19">
        <f t="shared" ca="1" si="122"/>
        <v>729.44743784326806</v>
      </c>
      <c r="S537" s="19">
        <f t="shared" ca="1" si="124"/>
        <v>2808.4460783679147</v>
      </c>
    </row>
    <row r="538" spans="13:19">
      <c r="M538" s="81">
        <f t="shared" ca="1" si="123"/>
        <v>3547.3612397601892</v>
      </c>
      <c r="N538" s="19">
        <f t="shared" si="125"/>
        <v>84.430173777023825</v>
      </c>
      <c r="O538" s="17">
        <f t="shared" si="126"/>
        <v>134.25</v>
      </c>
      <c r="P538" s="19">
        <f ca="1">IF(ISERROR(IF(O538&lt;fi_h/20,0,(OFFSET('Base de dados'!$A$5,IF(O538&lt;20,1,IF(O538&gt;1000,10,MATCH(O538,Cargas,1))),Coluna_fih,1,1))*(1+0.13*0.25)*(PI()*(fi_h/1000)^2/4)*SQRT(2*9.81*(O538/100-fi_h/2/1000))*1000)),"",IF(O538&lt;fi_h/20,0,(OFFSET('Base de dados'!$A$5,IF(O538&lt;20,1,IF(O538&gt;1000,10,MATCH(O538,Cargas,1))),Coluna_fih,1,1))*(PI()*(fi_h/1000)^2/4)*SQRT(2*9.81*(O538/100-fi_h/2/1000))*1000))</f>
        <v>30.520983954921011</v>
      </c>
      <c r="Q538" s="19">
        <f ca="1">IF(O538="","",IF(Tipo_Vertedor="Retangular",IF(O538&lt;=cota_s*100,0,IF(Tipo_Vertedor="Retangular",Cd_sr*Lef_sr*((O538/100-cota_s)^(3/2))*1000)),IF(O538&lt;=cota_s*100+fi_s/20,0,(OFFSET('Base de dados'!$A$4,IF(O538&lt;20,1,IF(O538&gt;1000,10,MATCH(O538,Cargas,1))),Coluna_fis,1,1))*(PI()*(fi_s/1000)^2/4)*(2*9.81*(O538/100-cota_s-fi_s/2/1000))^0.5*1000)))</f>
        <v>702.50112990447394</v>
      </c>
      <c r="R538" s="19">
        <f t="shared" ca="1" si="122"/>
        <v>733.02211385939495</v>
      </c>
      <c r="S538" s="19">
        <f t="shared" ca="1" si="124"/>
        <v>2814.339125900794</v>
      </c>
    </row>
    <row r="539" spans="13:19">
      <c r="M539" s="81">
        <f t="shared" ca="1" si="123"/>
        <v>3556.8362747627116</v>
      </c>
      <c r="N539" s="19">
        <f t="shared" si="125"/>
        <v>84.607006220251321</v>
      </c>
      <c r="O539" s="17">
        <f t="shared" si="126"/>
        <v>134.5</v>
      </c>
      <c r="P539" s="19">
        <f ca="1">IF(ISERROR(IF(O539&lt;fi_h/20,0,(OFFSET('Base de dados'!$A$5,IF(O539&lt;20,1,IF(O539&gt;1000,10,MATCH(O539,Cargas,1))),Coluna_fih,1,1))*(1+0.13*0.25)*(PI()*(fi_h/1000)^2/4)*SQRT(2*9.81*(O539/100-fi_h/2/1000))*1000)),"",IF(O539&lt;fi_h/20,0,(OFFSET('Base de dados'!$A$5,IF(O539&lt;20,1,IF(O539&gt;1000,10,MATCH(O539,Cargas,1))),Coluna_fih,1,1))*(PI()*(fi_h/1000)^2/4)*SQRT(2*9.81*(O539/100-fi_h/2/1000))*1000))</f>
        <v>30.55063383266522</v>
      </c>
      <c r="Q539" s="19">
        <f ca="1">IF(O539="","",IF(Tipo_Vertedor="Retangular",IF(O539&lt;=cota_s*100,0,IF(Tipo_Vertedor="Retangular",Cd_sr*Lef_sr*((O539/100-cota_s)^(3/2))*1000)),IF(O539&lt;=cota_s*100+fi_s/20,0,(OFFSET('Base de dados'!$A$4,IF(O539&lt;20,1,IF(O539&gt;1000,10,MATCH(O539,Cargas,1))),Coluna_fis,1,1))*(PI()*(fi_s/1000)^2/4)*(2*9.81*(O539/100-cota_s-fi_s/2/1000))^0.5*1000)))</f>
        <v>706.05210025500241</v>
      </c>
      <c r="R539" s="19">
        <f t="shared" ca="1" si="122"/>
        <v>736.60273408766761</v>
      </c>
      <c r="S539" s="19">
        <f t="shared" ca="1" si="124"/>
        <v>2820.233540675044</v>
      </c>
    </row>
    <row r="540" spans="13:19">
      <c r="M540" s="81">
        <f t="shared" ca="1" si="123"/>
        <v>3566.3186090472636</v>
      </c>
      <c r="N540" s="19">
        <f t="shared" si="125"/>
        <v>84.783879613969489</v>
      </c>
      <c r="O540" s="17">
        <f t="shared" si="126"/>
        <v>134.75</v>
      </c>
      <c r="P540" s="19">
        <f ca="1">IF(ISERROR(IF(O540&lt;fi_h/20,0,(OFFSET('Base de dados'!$A$5,IF(O540&lt;20,1,IF(O540&gt;1000,10,MATCH(O540,Cargas,1))),Coluna_fih,1,1))*(1+0.13*0.25)*(PI()*(fi_h/1000)^2/4)*SQRT(2*9.81*(O540/100-fi_h/2/1000))*1000)),"",IF(O540&lt;fi_h/20,0,(OFFSET('Base de dados'!$A$5,IF(O540&lt;20,1,IF(O540&gt;1000,10,MATCH(O540,Cargas,1))),Coluna_fih,1,1))*(PI()*(fi_h/1000)^2/4)*SQRT(2*9.81*(O540/100-fi_h/2/1000))*1000))</f>
        <v>30.580254962616507</v>
      </c>
      <c r="Q540" s="19">
        <f ca="1">IF(O540="","",IF(Tipo_Vertedor="Retangular",IF(O540&lt;=cota_s*100,0,IF(Tipo_Vertedor="Retangular",Cd_sr*Lef_sr*((O540/100-cota_s)^(3/2))*1000)),IF(O540&lt;=cota_s*100+fi_s/20,0,(OFFSET('Base de dados'!$A$4,IF(O540&lt;20,1,IF(O540&gt;1000,10,MATCH(O540,Cargas,1))),Coluna_fis,1,1))*(PI()*(fi_s/1000)^2/4)*(2*9.81*(O540/100-cota_s-fi_s/2/1000))^0.5*1000)))</f>
        <v>709.60903361899739</v>
      </c>
      <c r="R540" s="19">
        <f t="shared" ca="1" si="122"/>
        <v>740.18928858161394</v>
      </c>
      <c r="S540" s="19">
        <f t="shared" ca="1" si="124"/>
        <v>2826.1293204656495</v>
      </c>
    </row>
    <row r="541" spans="13:19">
      <c r="M541" s="81">
        <f t="shared" ca="1" si="123"/>
        <v>3575.8082305000567</v>
      </c>
      <c r="N541" s="19">
        <f t="shared" si="125"/>
        <v>84.960793891660174</v>
      </c>
      <c r="O541" s="17">
        <f t="shared" si="126"/>
        <v>135</v>
      </c>
      <c r="P541" s="19">
        <f ca="1">IF(ISERROR(IF(O541&lt;fi_h/20,0,(OFFSET('Base de dados'!$A$5,IF(O541&lt;20,1,IF(O541&gt;1000,10,MATCH(O541,Cargas,1))),Coluna_fih,1,1))*(1+0.13*0.25)*(PI()*(fi_h/1000)^2/4)*SQRT(2*9.81*(O541/100-fi_h/2/1000))*1000)),"",IF(O541&lt;fi_h/20,0,(OFFSET('Base de dados'!$A$5,IF(O541&lt;20,1,IF(O541&gt;1000,10,MATCH(O541,Cargas,1))),Coluna_fih,1,1))*(PI()*(fi_h/1000)^2/4)*SQRT(2*9.81*(O541/100-fi_h/2/1000))*1000))</f>
        <v>30.609847428232545</v>
      </c>
      <c r="Q541" s="19">
        <f ca="1">IF(O541="","",IF(Tipo_Vertedor="Retangular",IF(O541&lt;=cota_s*100,0,IF(Tipo_Vertedor="Retangular",Cd_sr*Lef_sr*((O541/100-cota_s)^(3/2))*1000)),IF(O541&lt;=cota_s*100+fi_s/20,0,(OFFSET('Base de dados'!$A$4,IF(O541&lt;20,1,IF(O541&gt;1000,10,MATCH(O541,Cargas,1))),Coluna_fis,1,1))*(PI()*(fi_s/1000)^2/4)*(2*9.81*(O541/100-cota_s-fi_s/2/1000))^0.5*1000)))</f>
        <v>713.17192001648539</v>
      </c>
      <c r="R541" s="19">
        <f t="shared" ca="1" si="122"/>
        <v>743.78176744471796</v>
      </c>
      <c r="S541" s="19">
        <f t="shared" ca="1" si="124"/>
        <v>2832.0264630553388</v>
      </c>
    </row>
    <row r="542" spans="13:19">
      <c r="M542" s="81">
        <f t="shared" ca="1" si="123"/>
        <v>3585.3051270645424</v>
      </c>
      <c r="N542" s="19">
        <f t="shared" si="125"/>
        <v>85.137748987036218</v>
      </c>
      <c r="O542" s="17">
        <f t="shared" si="126"/>
        <v>135.25</v>
      </c>
      <c r="P542" s="19">
        <f ca="1">IF(ISERROR(IF(O542&lt;fi_h/20,0,(OFFSET('Base de dados'!$A$5,IF(O542&lt;20,1,IF(O542&gt;1000,10,MATCH(O542,Cargas,1))),Coluna_fih,1,1))*(1+0.13*0.25)*(PI()*(fi_h/1000)^2/4)*SQRT(2*9.81*(O542/100-fi_h/2/1000))*1000)),"",IF(O542&lt;fi_h/20,0,(OFFSET('Base de dados'!$A$5,IF(O542&lt;20,1,IF(O542&gt;1000,10,MATCH(O542,Cargas,1))),Coluna_fih,1,1))*(PI()*(fi_h/1000)^2/4)*SQRT(2*9.81*(O542/100-fi_h/2/1000))*1000))</f>
        <v>30.639411312567958</v>
      </c>
      <c r="Q542" s="19">
        <f ca="1">IF(O542="","",IF(Tipo_Vertedor="Retangular",IF(O542&lt;=cota_s*100,0,IF(Tipo_Vertedor="Retangular",Cd_sr*Lef_sr*((O542/100-cota_s)^(3/2))*1000)),IF(O542&lt;=cota_s*100+fi_s/20,0,(OFFSET('Base de dados'!$A$4,IF(O542&lt;20,1,IF(O542&gt;1000,10,MATCH(O542,Cargas,1))),Coluna_fis,1,1))*(PI()*(fi_s/1000)^2/4)*(2*9.81*(O542/100-cota_s-fi_s/2/1000))^0.5*1000)))</f>
        <v>716.74074951743376</v>
      </c>
      <c r="R542" s="19">
        <f t="shared" ca="1" si="122"/>
        <v>747.38016083000173</v>
      </c>
      <c r="S542" s="19">
        <f t="shared" ca="1" si="124"/>
        <v>2837.9249662345405</v>
      </c>
    </row>
    <row r="543" spans="13:19">
      <c r="M543" s="81">
        <f t="shared" ca="1" si="123"/>
        <v>3594.8092867409587</v>
      </c>
      <c r="N543" s="19">
        <f t="shared" si="125"/>
        <v>85.31474483404034</v>
      </c>
      <c r="O543" s="17">
        <f t="shared" si="126"/>
        <v>135.5</v>
      </c>
      <c r="P543" s="19">
        <f ca="1">IF(ISERROR(IF(O543&lt;fi_h/20,0,(OFFSET('Base de dados'!$A$5,IF(O543&lt;20,1,IF(O543&gt;1000,10,MATCH(O543,Cargas,1))),Coluna_fih,1,1))*(1+0.13*0.25)*(PI()*(fi_h/1000)^2/4)*SQRT(2*9.81*(O543/100-fi_h/2/1000))*1000)),"",IF(O543&lt;fi_h/20,0,(OFFSET('Base de dados'!$A$5,IF(O543&lt;20,1,IF(O543&gt;1000,10,MATCH(O543,Cargas,1))),Coluna_fih,1,1))*(PI()*(fi_h/1000)^2/4)*SQRT(2*9.81*(O543/100-fi_h/2/1000))*1000))</f>
        <v>30.668946698277082</v>
      </c>
      <c r="Q543" s="19">
        <f ca="1">IF(O543="","",IF(Tipo_Vertedor="Retangular",IF(O543&lt;=cota_s*100,0,IF(Tipo_Vertedor="Retangular",Cd_sr*Lef_sr*((O543/100-cota_s)^(3/2))*1000)),IF(O543&lt;=cota_s*100+fi_s/20,0,(OFFSET('Base de dados'!$A$4,IF(O543&lt;20,1,IF(O543&gt;1000,10,MATCH(O543,Cargas,1))),Coluna_fis,1,1))*(PI()*(fi_s/1000)^2/4)*(2*9.81*(O543/100-cota_s-fi_s/2/1000))^0.5*1000)))</f>
        <v>720.31551224133727</v>
      </c>
      <c r="R543" s="19">
        <f t="shared" ca="1" si="122"/>
        <v>750.98445893961434</v>
      </c>
      <c r="S543" s="19">
        <f t="shared" ca="1" si="124"/>
        <v>2843.8248278013443</v>
      </c>
    </row>
    <row r="544" spans="13:19">
      <c r="M544" s="81">
        <f t="shared" ca="1" si="123"/>
        <v>3604.3206975858839</v>
      </c>
      <c r="N544" s="19">
        <f t="shared" si="125"/>
        <v>85.491781366843824</v>
      </c>
      <c r="O544" s="17">
        <f t="shared" si="126"/>
        <v>135.75</v>
      </c>
      <c r="P544" s="19">
        <f ca="1">IF(ISERROR(IF(O544&lt;fi_h/20,0,(OFFSET('Base de dados'!$A$5,IF(O544&lt;20,1,IF(O544&gt;1000,10,MATCH(O544,Cargas,1))),Coluna_fih,1,1))*(1+0.13*0.25)*(PI()*(fi_h/1000)^2/4)*SQRT(2*9.81*(O544/100-fi_h/2/1000))*1000)),"",IF(O544&lt;fi_h/20,0,(OFFSET('Base de dados'!$A$5,IF(O544&lt;20,1,IF(O544&gt;1000,10,MATCH(O544,Cargas,1))),Coluna_fih,1,1))*(PI()*(fi_h/1000)^2/4)*SQRT(2*9.81*(O544/100-fi_h/2/1000))*1000))</f>
        <v>30.698453667616604</v>
      </c>
      <c r="Q544" s="19">
        <f ca="1">IF(O544="","",IF(Tipo_Vertedor="Retangular",IF(O544&lt;=cota_s*100,0,IF(Tipo_Vertedor="Retangular",Cd_sr*Lef_sr*((O544/100-cota_s)^(3/2))*1000)),IF(O544&lt;=cota_s*100+fi_s/20,0,(OFFSET('Base de dados'!$A$4,IF(O544&lt;20,1,IF(O544&gt;1000,10,MATCH(O544,Cargas,1))),Coluna_fis,1,1))*(PI()*(fi_s/1000)^2/4)*(2*9.81*(O544/100-cota_s-fi_s/2/1000))^0.5*1000)))</f>
        <v>723.89619835680685</v>
      </c>
      <c r="R544" s="19">
        <f t="shared" ca="1" si="122"/>
        <v>754.59465202442345</v>
      </c>
      <c r="S544" s="19">
        <f t="shared" ca="1" si="124"/>
        <v>2849.7260455614605</v>
      </c>
    </row>
    <row r="545" spans="13:19">
      <c r="M545" s="81">
        <f t="shared" ca="1" si="123"/>
        <v>3613.839347711792</v>
      </c>
      <c r="N545" s="19">
        <f t="shared" si="125"/>
        <v>85.668858519845386</v>
      </c>
      <c r="O545" s="17">
        <f t="shared" si="126"/>
        <v>136</v>
      </c>
      <c r="P545" s="19">
        <f ca="1">IF(ISERROR(IF(O545&lt;fi_h/20,0,(OFFSET('Base de dados'!$A$5,IF(O545&lt;20,1,IF(O545&gt;1000,10,MATCH(O545,Cargas,1))),Coluna_fih,1,1))*(1+0.13*0.25)*(PI()*(fi_h/1000)^2/4)*SQRT(2*9.81*(O545/100-fi_h/2/1000))*1000)),"",IF(O545&lt;fi_h/20,0,(OFFSET('Base de dados'!$A$5,IF(O545&lt;20,1,IF(O545&gt;1000,10,MATCH(O545,Cargas,1))),Coluna_fih,1,1))*(PI()*(fi_h/1000)^2/4)*SQRT(2*9.81*(O545/100-fi_h/2/1000))*1000))</f>
        <v>30.727932302448316</v>
      </c>
      <c r="Q545" s="19">
        <f ca="1">IF(O545="","",IF(Tipo_Vertedor="Retangular",IF(O545&lt;=cota_s*100,0,IF(Tipo_Vertedor="Retangular",Cd_sr*Lef_sr*((O545/100-cota_s)^(3/2))*1000)),IF(O545&lt;=cota_s*100+fi_s/20,0,(OFFSET('Base de dados'!$A$4,IF(O545&lt;20,1,IF(O545&gt;1000,10,MATCH(O545,Cargas,1))),Coluna_fis,1,1))*(PI()*(fi_s/1000)^2/4)*(2*9.81*(O545/100-cota_s-fi_s/2/1000))^0.5*1000)))</f>
        <v>727.48279808116445</v>
      </c>
      <c r="R545" s="19">
        <f t="shared" ca="1" si="122"/>
        <v>758.21073038361271</v>
      </c>
      <c r="S545" s="19">
        <f t="shared" ca="1" si="124"/>
        <v>2855.6286173281792</v>
      </c>
    </row>
    <row r="546" spans="13:19">
      <c r="M546" s="81">
        <f t="shared" ca="1" si="123"/>
        <v>3623.3652252866118</v>
      </c>
      <c r="N546" s="19">
        <f t="shared" si="125"/>
        <v>85.84597622766988</v>
      </c>
      <c r="O546" s="17">
        <f t="shared" si="126"/>
        <v>136.25</v>
      </c>
      <c r="P546" s="19">
        <f ca="1">IF(ISERROR(IF(O546&lt;fi_h/20,0,(OFFSET('Base de dados'!$A$5,IF(O546&lt;20,1,IF(O546&gt;1000,10,MATCH(O546,Cargas,1))),Coluna_fih,1,1))*(1+0.13*0.25)*(PI()*(fi_h/1000)^2/4)*SQRT(2*9.81*(O546/100-fi_h/2/1000))*1000)),"",IF(O546&lt;fi_h/20,0,(OFFSET('Base de dados'!$A$5,IF(O546&lt;20,1,IF(O546&gt;1000,10,MATCH(O546,Cargas,1))),Coluna_fih,1,1))*(PI()*(fi_h/1000)^2/4)*SQRT(2*9.81*(O546/100-fi_h/2/1000))*1000))</f>
        <v>30.757382684241673</v>
      </c>
      <c r="Q546" s="19">
        <f ca="1">IF(O546="","",IF(Tipo_Vertedor="Retangular",IF(O546&lt;=cota_s*100,0,IF(Tipo_Vertedor="Retangular",Cd_sr*Lef_sr*((O546/100-cota_s)^(3/2))*1000)),IF(O546&lt;=cota_s*100+fi_s/20,0,(OFFSET('Base de dados'!$A$4,IF(O546&lt;20,1,IF(O546&gt;1000,10,MATCH(O546,Cargas,1))),Coluna_fis,1,1))*(PI()*(fi_s/1000)^2/4)*(2*9.81*(O546/100-cota_s-fi_s/2/1000))^0.5*1000)))</f>
        <v>731.07530168004087</v>
      </c>
      <c r="R546" s="19">
        <f t="shared" ca="1" si="122"/>
        <v>761.8326843642825</v>
      </c>
      <c r="S546" s="19">
        <f t="shared" ca="1" si="124"/>
        <v>2861.5325409223292</v>
      </c>
    </row>
    <row r="547" spans="13:19">
      <c r="M547" s="81">
        <f t="shared" ca="1" si="123"/>
        <v>3632.8983185332954</v>
      </c>
      <c r="N547" s="19">
        <f t="shared" si="125"/>
        <v>86.023134425167129</v>
      </c>
      <c r="O547" s="17">
        <f t="shared" si="126"/>
        <v>136.5</v>
      </c>
      <c r="P547" s="19">
        <f ca="1">IF(ISERROR(IF(O547&lt;fi_h/20,0,(OFFSET('Base de dados'!$A$5,IF(O547&lt;20,1,IF(O547&gt;1000,10,MATCH(O547,Cargas,1))),Coluna_fih,1,1))*(1+0.13*0.25)*(PI()*(fi_h/1000)^2/4)*SQRT(2*9.81*(O547/100-fi_h/2/1000))*1000)),"",IF(O547&lt;fi_h/20,0,(OFFSET('Base de dados'!$A$5,IF(O547&lt;20,1,IF(O547&gt;1000,10,MATCH(O547,Cargas,1))),Coluna_fih,1,1))*(PI()*(fi_h/1000)^2/4)*SQRT(2*9.81*(O547/100-fi_h/2/1000))*1000))</f>
        <v>30.786804894076493</v>
      </c>
      <c r="Q547" s="19">
        <f ca="1">IF(O547="","",IF(Tipo_Vertedor="Retangular",IF(O547&lt;=cota_s*100,0,IF(Tipo_Vertedor="Retangular",Cd_sr*Lef_sr*((O547/100-cota_s)^(3/2))*1000)),IF(O547&lt;=cota_s*100+fi_s/20,0,(OFFSET('Base de dados'!$A$4,IF(O547&lt;20,1,IF(O547&gt;1000,10,MATCH(O547,Cargas,1))),Coluna_fis,1,1))*(PI()*(fi_s/1000)^2/4)*(2*9.81*(O547/100-cota_s-fi_s/2/1000))^0.5*1000)))</f>
        <v>734.67369946698113</v>
      </c>
      <c r="R547" s="19">
        <f t="shared" ca="1" si="122"/>
        <v>765.46050436105759</v>
      </c>
      <c r="S547" s="19">
        <f t="shared" ca="1" si="124"/>
        <v>2867.4378141722377</v>
      </c>
    </row>
    <row r="548" spans="13:19">
      <c r="M548" s="81">
        <f t="shared" ca="1" si="123"/>
        <v>3642.4386157293916</v>
      </c>
      <c r="N548" s="19">
        <f t="shared" si="125"/>
        <v>86.200333047410822</v>
      </c>
      <c r="O548" s="17">
        <f t="shared" si="126"/>
        <v>136.75</v>
      </c>
      <c r="P548" s="19">
        <f ca="1">IF(ISERROR(IF(O548&lt;fi_h/20,0,(OFFSET('Base de dados'!$A$5,IF(O548&lt;20,1,IF(O548&gt;1000,10,MATCH(O548,Cargas,1))),Coluna_fih,1,1))*(1+0.13*0.25)*(PI()*(fi_h/1000)^2/4)*SQRT(2*9.81*(O548/100-fi_h/2/1000))*1000)),"",IF(O548&lt;fi_h/20,0,(OFFSET('Base de dados'!$A$5,IF(O548&lt;20,1,IF(O548&gt;1000,10,MATCH(O548,Cargas,1))),Coluna_fih,1,1))*(PI()*(fi_h/1000)^2/4)*SQRT(2*9.81*(O548/100-fi_h/2/1000))*1000))</f>
        <v>30.816199012645534</v>
      </c>
      <c r="Q548" s="19">
        <f ca="1">IF(O548="","",IF(Tipo_Vertedor="Retangular",IF(O548&lt;=cota_s*100,0,IF(Tipo_Vertedor="Retangular",Cd_sr*Lef_sr*((O548/100-cota_s)^(3/2))*1000)),IF(O548&lt;=cota_s*100+fi_s/20,0,(OFFSET('Base de dados'!$A$4,IF(O548&lt;20,1,IF(O548&gt;1000,10,MATCH(O548,Cargas,1))),Coluna_fis,1,1))*(PI()*(fi_s/1000)^2/4)*(2*9.81*(O548/100-cota_s-fi_s/2/1000))^0.5*1000)))</f>
        <v>738.27798180305206</v>
      </c>
      <c r="R548" s="19">
        <f t="shared" ca="1" si="122"/>
        <v>769.09418081569754</v>
      </c>
      <c r="S548" s="19">
        <f t="shared" ca="1" si="124"/>
        <v>2873.3444349136939</v>
      </c>
    </row>
    <row r="549" spans="13:19">
      <c r="M549" s="81">
        <f t="shared" ca="1" si="123"/>
        <v>3651.9861052066212</v>
      </c>
      <c r="N549" s="19">
        <f t="shared" si="125"/>
        <v>86.377572029697291</v>
      </c>
      <c r="O549" s="17">
        <f t="shared" si="126"/>
        <v>137</v>
      </c>
      <c r="P549" s="19">
        <f ca="1">IF(ISERROR(IF(O549&lt;fi_h/20,0,(OFFSET('Base de dados'!$A$5,IF(O549&lt;20,1,IF(O549&gt;1000,10,MATCH(O549,Cargas,1))),Coluna_fih,1,1))*(1+0.13*0.25)*(PI()*(fi_h/1000)^2/4)*SQRT(2*9.81*(O549/100-fi_h/2/1000))*1000)),"",IF(O549&lt;fi_h/20,0,(OFFSET('Base de dados'!$A$5,IF(O549&lt;20,1,IF(O549&gt;1000,10,MATCH(O549,Cargas,1))),Coluna_fih,1,1))*(PI()*(fi_h/1000)^2/4)*SQRT(2*9.81*(O549/100-fi_h/2/1000))*1000))</f>
        <v>30.845565120257056</v>
      </c>
      <c r="Q549" s="19">
        <f ca="1">IF(O549="","",IF(Tipo_Vertedor="Retangular",IF(O549&lt;=cota_s*100,0,IF(Tipo_Vertedor="Retangular",Cd_sr*Lef_sr*((O549/100-cota_s)^(3/2))*1000)),IF(O549&lt;=cota_s*100+fi_s/20,0,(OFFSET('Base de dados'!$A$4,IF(O549&lt;20,1,IF(O549&gt;1000,10,MATCH(O549,Cargas,1))),Coluna_fis,1,1))*(PI()*(fi_s/1000)^2/4)*(2*9.81*(O549/100-cota_s-fi_s/2/1000))^0.5*1000)))</f>
        <v>741.88813909645467</v>
      </c>
      <c r="R549" s="19">
        <f t="shared" ca="1" si="122"/>
        <v>772.73370421671177</v>
      </c>
      <c r="S549" s="19">
        <f t="shared" ca="1" si="124"/>
        <v>2879.2524009899093</v>
      </c>
    </row>
    <row r="550" spans="13:19">
      <c r="M550" s="81">
        <f t="shared" ca="1" si="123"/>
        <v>3661.5407753504542</v>
      </c>
      <c r="N550" s="19">
        <f t="shared" si="125"/>
        <v>86.554851307544268</v>
      </c>
      <c r="O550" s="17">
        <f t="shared" si="126"/>
        <v>137.25</v>
      </c>
      <c r="P550" s="19">
        <f ca="1">IF(ISERROR(IF(O550&lt;fi_h/20,0,(OFFSET('Base de dados'!$A$5,IF(O550&lt;20,1,IF(O550&gt;1000,10,MATCH(O550,Cargas,1))),Coluna_fih,1,1))*(1+0.13*0.25)*(PI()*(fi_h/1000)^2/4)*SQRT(2*9.81*(O550/100-fi_h/2/1000))*1000)),"",IF(O550&lt;fi_h/20,0,(OFFSET('Base de dados'!$A$5,IF(O550&lt;20,1,IF(O550&gt;1000,10,MATCH(O550,Cargas,1))),Coluna_fih,1,1))*(PI()*(fi_h/1000)^2/4)*SQRT(2*9.81*(O550/100-fi_h/2/1000))*1000))</f>
        <v>30.874903296837406</v>
      </c>
      <c r="Q550" s="19">
        <f ca="1">IF(O550="","",IF(Tipo_Vertedor="Retangular",IF(O550&lt;=cota_s*100,0,IF(Tipo_Vertedor="Retangular",Cd_sr*Lef_sr*((O550/100-cota_s)^(3/2))*1000)),IF(O550&lt;=cota_s*100+fi_s/20,0,(OFFSET('Base de dados'!$A$4,IF(O550&lt;20,1,IF(O550&gt;1000,10,MATCH(O550,Cargas,1))),Coluna_fis,1,1))*(PI()*(fi_s/1000)^2/4)*(2*9.81*(O550/100-cota_s-fi_s/2/1000))^0.5*1000)))</f>
        <v>745.50416180214097</v>
      </c>
      <c r="R550" s="19">
        <f t="shared" ca="1" si="122"/>
        <v>776.37906509897834</v>
      </c>
      <c r="S550" s="19">
        <f t="shared" ca="1" si="124"/>
        <v>2885.1617102514761</v>
      </c>
    </row>
    <row r="551" spans="13:19">
      <c r="M551" s="81">
        <f t="shared" ca="1" si="123"/>
        <v>3671.1026145996962</v>
      </c>
      <c r="N551" s="19">
        <f t="shared" si="125"/>
        <v>86.732170816689774</v>
      </c>
      <c r="O551" s="17">
        <f t="shared" si="126"/>
        <v>137.5</v>
      </c>
      <c r="P551" s="19">
        <f ca="1">IF(ISERROR(IF(O551&lt;fi_h/20,0,(OFFSET('Base de dados'!$A$5,IF(O551&lt;20,1,IF(O551&gt;1000,10,MATCH(O551,Cargas,1))),Coluna_fih,1,1))*(1+0.13*0.25)*(PI()*(fi_h/1000)^2/4)*SQRT(2*9.81*(O551/100-fi_h/2/1000))*1000)),"",IF(O551&lt;fi_h/20,0,(OFFSET('Base de dados'!$A$5,IF(O551&lt;20,1,IF(O551&gt;1000,10,MATCH(O551,Cargas,1))),Coluna_fih,1,1))*(PI()*(fi_h/1000)^2/4)*SQRT(2*9.81*(O551/100-fi_h/2/1000))*1000))</f>
        <v>30.904213621933568</v>
      </c>
      <c r="Q551" s="19">
        <f ca="1">IF(O551="","",IF(Tipo_Vertedor="Retangular",IF(O551&lt;=cota_s*100,0,IF(Tipo_Vertedor="Retangular",Cd_sr*Lef_sr*((O551/100-cota_s)^(3/2))*1000)),IF(O551&lt;=cota_s*100+fi_s/20,0,(OFFSET('Base de dados'!$A$4,IF(O551&lt;20,1,IF(O551&gt;1000,10,MATCH(O551,Cargas,1))),Coluna_fis,1,1))*(PI()*(fi_s/1000)^2/4)*(2*9.81*(O551/100-cota_s-fi_s/2/1000))^0.5*1000)))</f>
        <v>749.12604042143676</v>
      </c>
      <c r="R551" s="19">
        <f t="shared" ca="1" si="122"/>
        <v>780.03025404337029</v>
      </c>
      <c r="S551" s="19">
        <f t="shared" ca="1" si="124"/>
        <v>2891.0723605563257</v>
      </c>
    </row>
    <row r="552" spans="13:19">
      <c r="M552" s="81">
        <f t="shared" ca="1" si="123"/>
        <v>3680.6716114460842</v>
      </c>
      <c r="N552" s="19">
        <f t="shared" si="125"/>
        <v>86.909530493091069</v>
      </c>
      <c r="O552" s="17">
        <f t="shared" si="126"/>
        <v>137.75</v>
      </c>
      <c r="P552" s="19">
        <f ca="1">IF(ISERROR(IF(O552&lt;fi_h/20,0,(OFFSET('Base de dados'!$A$5,IF(O552&lt;20,1,IF(O552&gt;1000,10,MATCH(O552,Cargas,1))),Coluna_fih,1,1))*(1+0.13*0.25)*(PI()*(fi_h/1000)^2/4)*SQRT(2*9.81*(O552/100-fi_h/2/1000))*1000)),"",IF(O552&lt;fi_h/20,0,(OFFSET('Base de dados'!$A$5,IF(O552&lt;20,1,IF(O552&gt;1000,10,MATCH(O552,Cargas,1))),Coluna_fih,1,1))*(PI()*(fi_h/1000)^2/4)*SQRT(2*9.81*(O552/100-fi_h/2/1000))*1000))</f>
        <v>30.933496174715643</v>
      </c>
      <c r="Q552" s="19">
        <f ca="1">IF(O552="","",IF(Tipo_Vertedor="Retangular",IF(O552&lt;=cota_s*100,0,IF(Tipo_Vertedor="Retangular",Cd_sr*Lef_sr*((O552/100-cota_s)^(3/2))*1000)),IF(O552&lt;=cota_s*100+fi_s/20,0,(OFFSET('Base de dados'!$A$4,IF(O552&lt;20,1,IF(O552&gt;1000,10,MATCH(O552,Cargas,1))),Coluna_fis,1,1))*(PI()*(fi_s/1000)^2/4)*(2*9.81*(O552/100-cota_s-fi_s/2/1000))^0.5*1000)))</f>
        <v>752.75376550166629</v>
      </c>
      <c r="R552" s="19">
        <f t="shared" ca="1" si="122"/>
        <v>783.68726167638192</v>
      </c>
      <c r="S552" s="19">
        <f t="shared" ca="1" si="124"/>
        <v>2896.984349769702</v>
      </c>
    </row>
    <row r="553" spans="13:19">
      <c r="M553" s="81">
        <f t="shared" ca="1" si="123"/>
        <v>3690.2477544338731</v>
      </c>
      <c r="N553" s="19">
        <f t="shared" si="125"/>
        <v>87.08693027292334</v>
      </c>
      <c r="O553" s="17">
        <f t="shared" si="126"/>
        <v>138</v>
      </c>
      <c r="P553" s="19">
        <f ca="1">IF(ISERROR(IF(O553&lt;fi_h/20,0,(OFFSET('Base de dados'!$A$5,IF(O553&lt;20,1,IF(O553&gt;1000,10,MATCH(O553,Cargas,1))),Coluna_fih,1,1))*(1+0.13*0.25)*(PI()*(fi_h/1000)^2/4)*SQRT(2*9.81*(O553/100-fi_h/2/1000))*1000)),"",IF(O553&lt;fi_h/20,0,(OFFSET('Base de dados'!$A$5,IF(O553&lt;20,1,IF(O553&gt;1000,10,MATCH(O553,Cargas,1))),Coluna_fih,1,1))*(PI()*(fi_h/1000)^2/4)*SQRT(2*9.81*(O553/100-fi_h/2/1000))*1000))</f>
        <v>30.962751033979362</v>
      </c>
      <c r="Q553" s="19">
        <f ca="1">IF(O553="","",IF(Tipo_Vertedor="Retangular",IF(O553&lt;=cota_s*100,0,IF(Tipo_Vertedor="Retangular",Cd_sr*Lef_sr*((O553/100-cota_s)^(3/2))*1000)),IF(O553&lt;=cota_s*100+fi_s/20,0,(OFFSET('Base de dados'!$A$4,IF(O553&lt;20,1,IF(O553&gt;1000,10,MATCH(O553,Cargas,1))),Coluna_fis,1,1))*(PI()*(fi_s/1000)^2/4)*(2*9.81*(O553/100-cota_s-fi_s/2/1000))^0.5*1000)))</f>
        <v>756.38732763578207</v>
      </c>
      <c r="R553" s="19">
        <f t="shared" ca="1" si="122"/>
        <v>787.35007866976139</v>
      </c>
      <c r="S553" s="19">
        <f t="shared" ca="1" si="124"/>
        <v>2902.8976757641117</v>
      </c>
    </row>
    <row r="554" spans="13:19">
      <c r="M554" s="81">
        <f t="shared" ca="1" si="123"/>
        <v>3699.8310321594381</v>
      </c>
      <c r="N554" s="19">
        <f t="shared" si="125"/>
        <v>87.264370092578702</v>
      </c>
      <c r="O554" s="17">
        <f t="shared" si="126"/>
        <v>138.25</v>
      </c>
      <c r="P554" s="19">
        <f ca="1">IF(ISERROR(IF(O554&lt;fi_h/20,0,(OFFSET('Base de dados'!$A$5,IF(O554&lt;20,1,IF(O554&gt;1000,10,MATCH(O554,Cargas,1))),Coluna_fih,1,1))*(1+0.13*0.25)*(PI()*(fi_h/1000)^2/4)*SQRT(2*9.81*(O554/100-fi_h/2/1000))*1000)),"",IF(O554&lt;fi_h/20,0,(OFFSET('Base de dados'!$A$5,IF(O554&lt;20,1,IF(O554&gt;1000,10,MATCH(O554,Cargas,1))),Coluna_fih,1,1))*(PI()*(fi_h/1000)^2/4)*SQRT(2*9.81*(O554/100-fi_h/2/1000))*1000))</f>
        <v>30.991978278148576</v>
      </c>
      <c r="Q554" s="19">
        <f ca="1">IF(O554="","",IF(Tipo_Vertedor="Retangular",IF(O554&lt;=cota_s*100,0,IF(Tipo_Vertedor="Retangular",Cd_sr*Lef_sr*((O554/100-cota_s)^(3/2))*1000)),IF(O554&lt;=cota_s*100+fi_s/20,0,(OFFSET('Base de dados'!$A$4,IF(O554&lt;20,1,IF(O554&gt;1000,10,MATCH(O554,Cargas,1))),Coluna_fis,1,1))*(PI()*(fi_s/1000)^2/4)*(2*9.81*(O554/100-cota_s-fi_s/2/1000))^0.5*1000)))</f>
        <v>760.02671746199997</v>
      </c>
      <c r="R554" s="19">
        <f t="shared" ca="1" si="122"/>
        <v>791.01869574014859</v>
      </c>
      <c r="S554" s="19">
        <f t="shared" ca="1" si="124"/>
        <v>2908.8123364192897</v>
      </c>
    </row>
    <row r="555" spans="13:19">
      <c r="M555" s="81">
        <f t="shared" ca="1" si="123"/>
        <v>3709.4214332708789</v>
      </c>
      <c r="N555" s="19">
        <f t="shared" si="125"/>
        <v>87.441849888664962</v>
      </c>
      <c r="O555" s="17">
        <f t="shared" si="126"/>
        <v>138.5</v>
      </c>
      <c r="P555" s="19">
        <f ca="1">IF(ISERROR(IF(O555&lt;fi_h/20,0,(OFFSET('Base de dados'!$A$5,IF(O555&lt;20,1,IF(O555&gt;1000,10,MATCH(O555,Cargas,1))),Coluna_fih,1,1))*(1+0.13*0.25)*(PI()*(fi_h/1000)^2/4)*SQRT(2*9.81*(O555/100-fi_h/2/1000))*1000)),"",IF(O555&lt;fi_h/20,0,(OFFSET('Base de dados'!$A$5,IF(O555&lt;20,1,IF(O555&gt;1000,10,MATCH(O555,Cargas,1))),Coluna_fih,1,1))*(PI()*(fi_h/1000)^2/4)*SQRT(2*9.81*(O555/100-fi_h/2/1000))*1000))</f>
        <v>31.021177985277671</v>
      </c>
      <c r="Q555" s="19">
        <f ca="1">IF(O555="","",IF(Tipo_Vertedor="Retangular",IF(O555&lt;=cota_s*100,0,IF(Tipo_Vertedor="Retangular",Cd_sr*Lef_sr*((O555/100-cota_s)^(3/2))*1000)),IF(O555&lt;=cota_s*100+fi_s/20,0,(OFFSET('Base de dados'!$A$4,IF(O555&lt;20,1,IF(O555&gt;1000,10,MATCH(O555,Cargas,1))),Coluna_fis,1,1))*(PI()*(fi_s/1000)^2/4)*(2*9.81*(O555/100-cota_s-fi_s/2/1000))^0.5*1000)))</f>
        <v>763.67192566343579</v>
      </c>
      <c r="R555" s="19">
        <f t="shared" ca="1" si="122"/>
        <v>794.69310364871342</v>
      </c>
      <c r="S555" s="19">
        <f t="shared" ca="1" si="124"/>
        <v>2914.7283296221653</v>
      </c>
    </row>
    <row r="556" spans="13:19">
      <c r="M556" s="81">
        <f t="shared" ca="1" si="123"/>
        <v>3719.0189464676214</v>
      </c>
      <c r="N556" s="19">
        <f t="shared" si="125"/>
        <v>87.619369598004553</v>
      </c>
      <c r="O556" s="17">
        <f t="shared" si="126"/>
        <v>138.75</v>
      </c>
      <c r="P556" s="19">
        <f ca="1">IF(ISERROR(IF(O556&lt;fi_h/20,0,(OFFSET('Base de dados'!$A$5,IF(O556&lt;20,1,IF(O556&gt;1000,10,MATCH(O556,Cargas,1))),Coluna_fih,1,1))*(1+0.13*0.25)*(PI()*(fi_h/1000)^2/4)*SQRT(2*9.81*(O556/100-fi_h/2/1000))*1000)),"",IF(O556&lt;fi_h/20,0,(OFFSET('Base de dados'!$A$5,IF(O556&lt;20,1,IF(O556&gt;1000,10,MATCH(O556,Cargas,1))),Coluna_fih,1,1))*(PI()*(fi_h/1000)^2/4)*SQRT(2*9.81*(O556/100-fi_h/2/1000))*1000))</f>
        <v>31.050350233054047</v>
      </c>
      <c r="Q556" s="19">
        <f ca="1">IF(O556="","",IF(Tipo_Vertedor="Retangular",IF(O556&lt;=cota_s*100,0,IF(Tipo_Vertedor="Retangular",Cd_sr*Lef_sr*((O556/100-cota_s)^(3/2))*1000)),IF(O556&lt;=cota_s*100+fi_s/20,0,(OFFSET('Base de dados'!$A$4,IF(O556&lt;20,1,IF(O556&gt;1000,10,MATCH(O556,Cargas,1))),Coluna_fis,1,1))*(PI()*(fi_s/1000)^2/4)*(2*9.81*(O556/100-cota_s-fi_s/2/1000))^0.5*1000)))</f>
        <v>767.3229429677491</v>
      </c>
      <c r="R556" s="19">
        <f t="shared" ca="1" si="122"/>
        <v>798.37329320080312</v>
      </c>
      <c r="S556" s="19">
        <f t="shared" ca="1" si="124"/>
        <v>2920.6456532668185</v>
      </c>
    </row>
    <row r="557" spans="13:19">
      <c r="M557" s="81">
        <f t="shared" ca="1" si="123"/>
        <v>3728.6235605000375</v>
      </c>
      <c r="N557" s="19">
        <f t="shared" si="125"/>
        <v>87.796929157633457</v>
      </c>
      <c r="O557" s="17">
        <f t="shared" si="126"/>
        <v>139</v>
      </c>
      <c r="P557" s="19">
        <f ca="1">IF(ISERROR(IF(O557&lt;fi_h/20,0,(OFFSET('Base de dados'!$A$5,IF(O557&lt;20,1,IF(O557&gt;1000,10,MATCH(O557,Cargas,1))),Coluna_fih,1,1))*(1+0.13*0.25)*(PI()*(fi_h/1000)^2/4)*SQRT(2*9.81*(O557/100-fi_h/2/1000))*1000)),"",IF(O557&lt;fi_h/20,0,(OFFSET('Base de dados'!$A$5,IF(O557&lt;20,1,IF(O557&gt;1000,10,MATCH(O557,Cargas,1))),Coluna_fih,1,1))*(PI()*(fi_h/1000)^2/4)*SQRT(2*9.81*(O557/100-fi_h/2/1000))*1000))</f>
        <v>31.079495098800468</v>
      </c>
      <c r="Q557" s="19">
        <f ca="1">IF(O557="","",IF(Tipo_Vertedor="Retangular",IF(O557&lt;=cota_s*100,0,IF(Tipo_Vertedor="Retangular",Cd_sr*Lef_sr*((O557/100-cota_s)^(3/2))*1000)),IF(O557&lt;=cota_s*100+fi_s/20,0,(OFFSET('Base de dados'!$A$4,IF(O557&lt;20,1,IF(O557&gt;1000,10,MATCH(O557,Cargas,1))),Coluna_fis,1,1))*(PI()*(fi_s/1000)^2/4)*(2*9.81*(O557/100-cota_s-fi_s/2/1000))^0.5*1000)))</f>
        <v>770.97976014678875</v>
      </c>
      <c r="R557" s="19">
        <f t="shared" ca="1" si="122"/>
        <v>802.05925524558927</v>
      </c>
      <c r="S557" s="19">
        <f t="shared" ca="1" si="124"/>
        <v>2926.5643052544483</v>
      </c>
    </row>
    <row r="558" spans="13:19">
      <c r="M558" s="81">
        <f t="shared" ca="1" si="123"/>
        <v>3738.2352641690559</v>
      </c>
      <c r="N558" s="19">
        <f t="shared" si="125"/>
        <v>87.974528504800048</v>
      </c>
      <c r="O558" s="17">
        <f t="shared" si="126"/>
        <v>139.25</v>
      </c>
      <c r="P558" s="19">
        <f ca="1">IF(ISERROR(IF(O558&lt;fi_h/20,0,(OFFSET('Base de dados'!$A$5,IF(O558&lt;20,1,IF(O558&gt;1000,10,MATCH(O558,Cargas,1))),Coluna_fih,1,1))*(1+0.13*0.25)*(PI()*(fi_h/1000)^2/4)*SQRT(2*9.81*(O558/100-fi_h/2/1000))*1000)),"",IF(O558&lt;fi_h/20,0,(OFFSET('Base de dados'!$A$5,IF(O558&lt;20,1,IF(O558&gt;1000,10,MATCH(O558,Cargas,1))),Coluna_fih,1,1))*(PI()*(fi_h/1000)^2/4)*SQRT(2*9.81*(O558/100-fi_h/2/1000))*1000))</f>
        <v>31.108612659477522</v>
      </c>
      <c r="Q558" s="19">
        <f ca="1">IF(O558="","",IF(Tipo_Vertedor="Retangular",IF(O558&lt;=cota_s*100,0,IF(Tipo_Vertedor="Retangular",Cd_sr*Lef_sr*((O558/100-cota_s)^(3/2))*1000)),IF(O558&lt;=cota_s*100+fi_s/20,0,(OFFSET('Base de dados'!$A$4,IF(O558&lt;20,1,IF(O558&gt;1000,10,MATCH(O558,Cargas,1))),Coluna_fis,1,1))*(PI()*(fi_s/1000)^2/4)*(2*9.81*(O558/100-cota_s-fi_s/2/1000))^0.5*1000)))</f>
        <v>774.64236801624315</v>
      </c>
      <c r="R558" s="19">
        <f t="shared" ca="1" si="122"/>
        <v>805.75098067572071</v>
      </c>
      <c r="S558" s="19">
        <f t="shared" ca="1" si="124"/>
        <v>2932.4842834933352</v>
      </c>
    </row>
    <row r="559" spans="13:19">
      <c r="M559" s="81">
        <f t="shared" ca="1" si="123"/>
        <v>3747.8540463257787</v>
      </c>
      <c r="N559" s="19">
        <f t="shared" si="125"/>
        <v>88.15216757696399</v>
      </c>
      <c r="O559" s="17">
        <f t="shared" si="126"/>
        <v>139.5</v>
      </c>
      <c r="P559" s="19">
        <f ca="1">IF(ISERROR(IF(O559&lt;fi_h/20,0,(OFFSET('Base de dados'!$A$5,IF(O559&lt;20,1,IF(O559&gt;1000,10,MATCH(O559,Cargas,1))),Coluna_fih,1,1))*(1+0.13*0.25)*(PI()*(fi_h/1000)^2/4)*SQRT(2*9.81*(O559/100-fi_h/2/1000))*1000)),"",IF(O559&lt;fi_h/20,0,(OFFSET('Base de dados'!$A$5,IF(O559&lt;20,1,IF(O559&gt;1000,10,MATCH(O559,Cargas,1))),Coluna_fih,1,1))*(PI()*(fi_h/1000)^2/4)*SQRT(2*9.81*(O559/100-fi_h/2/1000))*1000))</f>
        <v>31.137702991685952</v>
      </c>
      <c r="Q559" s="19">
        <f ca="1">IF(O559="","",IF(Tipo_Vertedor="Retangular",IF(O559&lt;=cota_s*100,0,IF(Tipo_Vertedor="Retangular",Cd_sr*Lef_sr*((O559/100-cota_s)^(3/2))*1000)),IF(O559&lt;=cota_s*100+fi_s/20,0,(OFFSET('Base de dados'!$A$4,IF(O559&lt;20,1,IF(O559&gt;1000,10,MATCH(O559,Cargas,1))),Coluna_fis,1,1))*(PI()*(fi_s/1000)^2/4)*(2*9.81*(O559/100-cota_s-fi_s/2/1000))^0.5*1000)))</f>
        <v>778.31075743529345</v>
      </c>
      <c r="R559" s="19">
        <f t="shared" ca="1" si="122"/>
        <v>809.44846042697941</v>
      </c>
      <c r="S559" s="19">
        <f t="shared" ca="1" si="124"/>
        <v>2938.4055858987995</v>
      </c>
    </row>
    <row r="560" spans="13:19">
      <c r="M560" s="81">
        <f t="shared" ca="1" si="123"/>
        <v>3757.4798958711135</v>
      </c>
      <c r="N560" s="19">
        <f t="shared" si="125"/>
        <v>88.329846311795166</v>
      </c>
      <c r="O560" s="17">
        <f t="shared" si="126"/>
        <v>139.75</v>
      </c>
      <c r="P560" s="19">
        <f ca="1">IF(ISERROR(IF(O560&lt;fi_h/20,0,(OFFSET('Base de dados'!$A$5,IF(O560&lt;20,1,IF(O560&gt;1000,10,MATCH(O560,Cargas,1))),Coluna_fih,1,1))*(1+0.13*0.25)*(PI()*(fi_h/1000)^2/4)*SQRT(2*9.81*(O560/100-fi_h/2/1000))*1000)),"",IF(O560&lt;fi_h/20,0,(OFFSET('Base de dados'!$A$5,IF(O560&lt;20,1,IF(O560&gt;1000,10,MATCH(O560,Cargas,1))),Coluna_fih,1,1))*(PI()*(fi_h/1000)^2/4)*SQRT(2*9.81*(O560/100-fi_h/2/1000))*1000))</f>
        <v>31.166766171669</v>
      </c>
      <c r="Q560" s="19">
        <f ca="1">IF(O560="","",IF(Tipo_Vertedor="Retangular",IF(O560&lt;=cota_s*100,0,IF(Tipo_Vertedor="Retangular",Cd_sr*Lef_sr*((O560/100-cota_s)^(3/2))*1000)),IF(O560&lt;=cota_s*100+fi_s/20,0,(OFFSET('Base de dados'!$A$4,IF(O560&lt;20,1,IF(O560&gt;1000,10,MATCH(O560,Cargas,1))),Coluna_fis,1,1))*(PI()*(fi_s/1000)^2/4)*(2*9.81*(O560/100-cota_s-fi_s/2/1000))^0.5*1000)))</f>
        <v>781.98491930627245</v>
      </c>
      <c r="R560" s="19">
        <f t="shared" ca="1" si="122"/>
        <v>813.15168547794144</v>
      </c>
      <c r="S560" s="19">
        <f t="shared" ca="1" si="124"/>
        <v>2944.328210393172</v>
      </c>
    </row>
    <row r="561" spans="13:19">
      <c r="M561" s="81">
        <f t="shared" ca="1" si="123"/>
        <v>3767.1128017553956</v>
      </c>
      <c r="N561" s="19">
        <f t="shared" si="125"/>
        <v>88.507564647172643</v>
      </c>
      <c r="O561" s="17">
        <f t="shared" si="126"/>
        <v>140</v>
      </c>
      <c r="P561" s="19">
        <f ca="1">IF(ISERROR(IF(O561&lt;fi_h/20,0,(OFFSET('Base de dados'!$A$5,IF(O561&lt;20,1,IF(O561&gt;1000,10,MATCH(O561,Cargas,1))),Coluna_fih,1,1))*(1+0.13*0.25)*(PI()*(fi_h/1000)^2/4)*SQRT(2*9.81*(O561/100-fi_h/2/1000))*1000)),"",IF(O561&lt;fi_h/20,0,(OFFSET('Base de dados'!$A$5,IF(O561&lt;20,1,IF(O561&gt;1000,10,MATCH(O561,Cargas,1))),Coluna_fih,1,1))*(PI()*(fi_h/1000)^2/4)*SQRT(2*9.81*(O561/100-fi_h/2/1000))*1000))</f>
        <v>31.195802275314765</v>
      </c>
      <c r="Q561" s="19">
        <f ca="1">IF(O561="","",IF(Tipo_Vertedor="Retangular",IF(O561&lt;=cota_s*100,0,IF(Tipo_Vertedor="Retangular",Cd_sr*Lef_sr*((O561/100-cota_s)^(3/2))*1000)),IF(O561&lt;=cota_s*100+fi_s/20,0,(OFFSET('Base de dados'!$A$4,IF(O561&lt;20,1,IF(O561&gt;1000,10,MATCH(O561,Cargas,1))),Coluna_fis,1,1))*(PI()*(fi_s/1000)^2/4)*(2*9.81*(O561/100-cota_s-fi_s/2/1000))^0.5*1000)))</f>
        <v>785.66484457432603</v>
      </c>
      <c r="R561" s="19">
        <f t="shared" ca="1" si="122"/>
        <v>816.86064684964083</v>
      </c>
      <c r="S561" s="19">
        <f t="shared" ca="1" si="124"/>
        <v>2950.2521549057547</v>
      </c>
    </row>
    <row r="562" spans="13:19">
      <c r="M562" s="81">
        <f t="shared" ca="1" si="123"/>
        <v>3776.75275297802</v>
      </c>
      <c r="N562" s="19">
        <f t="shared" si="125"/>
        <v>88.685322521183508</v>
      </c>
      <c r="O562" s="17">
        <f t="shared" si="126"/>
        <v>140.25</v>
      </c>
      <c r="P562" s="19">
        <f ca="1">IF(ISERROR(IF(O562&lt;fi_h/20,0,(OFFSET('Base de dados'!$A$5,IF(O562&lt;20,1,IF(O562&gt;1000,10,MATCH(O562,Cargas,1))),Coluna_fih,1,1))*(1+0.13*0.25)*(PI()*(fi_h/1000)^2/4)*SQRT(2*9.81*(O562/100-fi_h/2/1000))*1000)),"",IF(O562&lt;fi_h/20,0,(OFFSET('Base de dados'!$A$5,IF(O562&lt;20,1,IF(O562&gt;1000,10,MATCH(O562,Cargas,1))),Coluna_fih,1,1))*(PI()*(fi_h/1000)^2/4)*SQRT(2*9.81*(O562/100-fi_h/2/1000))*1000))</f>
        <v>31.224811378158506</v>
      </c>
      <c r="Q562" s="19">
        <f ca="1">IF(O562="","",IF(Tipo_Vertedor="Retangular",IF(O562&lt;=cota_s*100,0,IF(Tipo_Vertedor="Retangular",Cd_sr*Lef_sr*((O562/100-cota_s)^(3/2))*1000)),IF(O562&lt;=cota_s*100+fi_s/20,0,(OFFSET('Base de dados'!$A$4,IF(O562&lt;20,1,IF(O562&gt;1000,10,MATCH(O562,Cargas,1))),Coluna_fis,1,1))*(PI()*(fi_s/1000)^2/4)*(2*9.81*(O562/100-cota_s-fi_s/2/1000))^0.5*1000)))</f>
        <v>789.35052422707793</v>
      </c>
      <c r="R562" s="19">
        <f t="shared" ca="1" si="122"/>
        <v>820.57533560523643</v>
      </c>
      <c r="S562" s="19">
        <f t="shared" ca="1" si="124"/>
        <v>2956.1774173727836</v>
      </c>
    </row>
    <row r="563" spans="13:19">
      <c r="M563" s="81">
        <f t="shared" ca="1" si="123"/>
        <v>3786.399738587078</v>
      </c>
      <c r="N563" s="19">
        <f t="shared" si="125"/>
        <v>88.863119872121842</v>
      </c>
      <c r="O563" s="17">
        <f t="shared" si="126"/>
        <v>140.5</v>
      </c>
      <c r="P563" s="19">
        <f ca="1">IF(ISERROR(IF(O563&lt;fi_h/20,0,(OFFSET('Base de dados'!$A$5,IF(O563&lt;20,1,IF(O563&gt;1000,10,MATCH(O563,Cargas,1))),Coluna_fih,1,1))*(1+0.13*0.25)*(PI()*(fi_h/1000)^2/4)*SQRT(2*9.81*(O563/100-fi_h/2/1000))*1000)),"",IF(O563&lt;fi_h/20,0,(OFFSET('Base de dados'!$A$5,IF(O563&lt;20,1,IF(O563&gt;1000,10,MATCH(O563,Cargas,1))),Coluna_fih,1,1))*(PI()*(fi_h/1000)^2/4)*SQRT(2*9.81*(O563/100-fi_h/2/1000))*1000))</f>
        <v>31.25379355538492</v>
      </c>
      <c r="Q563" s="19">
        <f ca="1">IF(O563="","",IF(Tipo_Vertedor="Retangular",IF(O563&lt;=cota_s*100,0,IF(Tipo_Vertedor="Retangular",Cd_sr*Lef_sr*((O563/100-cota_s)^(3/2))*1000)),IF(O563&lt;=cota_s*100+fi_s/20,0,(OFFSET('Base de dados'!$A$4,IF(O563&lt;20,1,IF(O563&gt;1000,10,MATCH(O563,Cargas,1))),Coluna_fis,1,1))*(PI()*(fi_s/1000)^2/4)*(2*9.81*(O563/100-cota_s-fi_s/2/1000))^0.5*1000)))</f>
        <v>793.04194929429821</v>
      </c>
      <c r="R563" s="19">
        <f t="shared" ca="1" si="122"/>
        <v>824.29574284968317</v>
      </c>
      <c r="S563" s="19">
        <f t="shared" ca="1" si="124"/>
        <v>2962.1039957373946</v>
      </c>
    </row>
    <row r="564" spans="13:19">
      <c r="M564" s="81">
        <f t="shared" ca="1" si="123"/>
        <v>3796.0537476789968</v>
      </c>
      <c r="N564" s="19">
        <f t="shared" si="125"/>
        <v>89.040956638487685</v>
      </c>
      <c r="O564" s="17">
        <f t="shared" si="126"/>
        <v>140.75</v>
      </c>
      <c r="P564" s="19">
        <f ca="1">IF(ISERROR(IF(O564&lt;fi_h/20,0,(OFFSET('Base de dados'!$A$5,IF(O564&lt;20,1,IF(O564&gt;1000,10,MATCH(O564,Cargas,1))),Coluna_fih,1,1))*(1+0.13*0.25)*(PI()*(fi_h/1000)^2/4)*SQRT(2*9.81*(O564/100-fi_h/2/1000))*1000)),"",IF(O564&lt;fi_h/20,0,(OFFSET('Base de dados'!$A$5,IF(O564&lt;20,1,IF(O564&gt;1000,10,MATCH(O564,Cargas,1))),Coluna_fih,1,1))*(PI()*(fi_h/1000)^2/4)*SQRT(2*9.81*(O564/100-fi_h/2/1000))*1000))</f>
        <v>31.282748881830429</v>
      </c>
      <c r="Q564" s="19">
        <f ca="1">IF(O564="","",IF(Tipo_Vertedor="Retangular",IF(O564&lt;=cota_s*100,0,IF(Tipo_Vertedor="Retangular",Cd_sr*Lef_sr*((O564/100-cota_s)^(3/2))*1000)),IF(O564&lt;=cota_s*100+fi_s/20,0,(OFFSET('Base de dados'!$A$4,IF(O564&lt;20,1,IF(O564&gt;1000,10,MATCH(O564,Cargas,1))),Coluna_fis,1,1))*(PI()*(fi_s/1000)^2/4)*(2*9.81*(O564/100-cota_s-fi_s/2/1000))^0.5*1000)))</f>
        <v>796.73911084757708</v>
      </c>
      <c r="R564" s="19">
        <f t="shared" ca="1" si="122"/>
        <v>828.02185972940754</v>
      </c>
      <c r="S564" s="19">
        <f t="shared" ca="1" si="124"/>
        <v>2968.0318879495894</v>
      </c>
    </row>
    <row r="565" spans="13:19">
      <c r="M565" s="81">
        <f t="shared" ca="1" si="123"/>
        <v>3805.7147693981851</v>
      </c>
      <c r="N565" s="19">
        <f t="shared" si="125"/>
        <v>89.218832758985982</v>
      </c>
      <c r="O565" s="17">
        <f t="shared" si="126"/>
        <v>141</v>
      </c>
      <c r="P565" s="19">
        <f ca="1">IF(ISERROR(IF(O565&lt;fi_h/20,0,(OFFSET('Base de dados'!$A$5,IF(O565&lt;20,1,IF(O565&gt;1000,10,MATCH(O565,Cargas,1))),Coluna_fih,1,1))*(1+0.13*0.25)*(PI()*(fi_h/1000)^2/4)*SQRT(2*9.81*(O565/100-fi_h/2/1000))*1000)),"",IF(O565&lt;fi_h/20,0,(OFFSET('Base de dados'!$A$5,IF(O565&lt;20,1,IF(O565&gt;1000,10,MATCH(O565,Cargas,1))),Coluna_fih,1,1))*(PI()*(fi_h/1000)^2/4)*SQRT(2*9.81*(O565/100-fi_h/2/1000))*1000))</f>
        <v>31.31167743198543</v>
      </c>
      <c r="Q565" s="19">
        <f ca="1">IF(O565="","",IF(Tipo_Vertedor="Retangular",IF(O565&lt;=cota_s*100,0,IF(Tipo_Vertedor="Retangular",Cd_sr*Lef_sr*((O565/100-cota_s)^(3/2))*1000)),IF(O565&lt;=cota_s*100+fi_s/20,0,(OFFSET('Base de dados'!$A$4,IF(O565&lt;20,1,IF(O565&gt;1000,10,MATCH(O565,Cargas,1))),Coluna_fis,1,1))*(PI()*(fi_s/1000)^2/4)*(2*9.81*(O565/100-cota_s-fi_s/2/1000))^0.5*1000)))</f>
        <v>800.44199999999989</v>
      </c>
      <c r="R565" s="19">
        <f t="shared" ca="1" si="122"/>
        <v>831.75367743198535</v>
      </c>
      <c r="S565" s="19">
        <f t="shared" ca="1" si="124"/>
        <v>2973.9610919661995</v>
      </c>
    </row>
    <row r="566" spans="13:19">
      <c r="M566" s="81">
        <f t="shared" ca="1" si="123"/>
        <v>3815.3827929366753</v>
      </c>
      <c r="N566" s="19">
        <f t="shared" si="125"/>
        <v>89.39674817252552</v>
      </c>
      <c r="O566" s="17">
        <f t="shared" si="126"/>
        <v>141.25</v>
      </c>
      <c r="P566" s="19">
        <f ca="1">IF(ISERROR(IF(O566&lt;fi_h/20,0,(OFFSET('Base de dados'!$A$5,IF(O566&lt;20,1,IF(O566&gt;1000,10,MATCH(O566,Cargas,1))),Coluna_fih,1,1))*(1+0.13*0.25)*(PI()*(fi_h/1000)^2/4)*SQRT(2*9.81*(O566/100-fi_h/2/1000))*1000)),"",IF(O566&lt;fi_h/20,0,(OFFSET('Base de dados'!$A$5,IF(O566&lt;20,1,IF(O566&gt;1000,10,MATCH(O566,Cargas,1))),Coluna_fih,1,1))*(PI()*(fi_h/1000)^2/4)*SQRT(2*9.81*(O566/100-fi_h/2/1000))*1000))</f>
        <v>31.340579279996547</v>
      </c>
      <c r="Q566" s="19">
        <f ca="1">IF(O566="","",IF(Tipo_Vertedor="Retangular",IF(O566&lt;=cota_s*100,0,IF(Tipo_Vertedor="Retangular",Cd_sr*Lef_sr*((O566/100-cota_s)^(3/2))*1000)),IF(O566&lt;=cota_s*100+fi_s/20,0,(OFFSET('Base de dados'!$A$4,IF(O566&lt;20,1,IF(O566&gt;1000,10,MATCH(O566,Cargas,1))),Coluna_fis,1,1))*(PI()*(fi_s/1000)^2/4)*(2*9.81*(O566/100-cota_s-fi_s/2/1000))^0.5*1000)))</f>
        <v>804.150607905828</v>
      </c>
      <c r="R566" s="19">
        <f t="shared" ref="R566:R629" ca="1" si="127">IF(O566="","",Q566+P566)</f>
        <v>835.49118718582451</v>
      </c>
      <c r="S566" s="19">
        <f t="shared" ca="1" si="124"/>
        <v>2979.8916057508509</v>
      </c>
    </row>
    <row r="567" spans="13:19">
      <c r="M567" s="81">
        <f t="shared" ca="1" si="123"/>
        <v>3825.0578075337753</v>
      </c>
      <c r="N567" s="19">
        <f t="shared" si="125"/>
        <v>89.574702818217816</v>
      </c>
      <c r="O567" s="17">
        <f t="shared" si="126"/>
        <v>141.5</v>
      </c>
      <c r="P567" s="19">
        <f ca="1">IF(ISERROR(IF(O567&lt;fi_h/20,0,(OFFSET('Base de dados'!$A$5,IF(O567&lt;20,1,IF(O567&gt;1000,10,MATCH(O567,Cargas,1))),Coluna_fih,1,1))*(1+0.13*0.25)*(PI()*(fi_h/1000)^2/4)*SQRT(2*9.81*(O567/100-fi_h/2/1000))*1000)),"",IF(O567&lt;fi_h/20,0,(OFFSET('Base de dados'!$A$5,IF(O567&lt;20,1,IF(O567&gt;1000,10,MATCH(O567,Cargas,1))),Coluna_fih,1,1))*(PI()*(fi_h/1000)^2/4)*SQRT(2*9.81*(O567/100-fi_h/2/1000))*1000))</f>
        <v>31.369454499668812</v>
      </c>
      <c r="Q567" s="19">
        <f ca="1">IF(O567="","",IF(Tipo_Vertedor="Retangular",IF(O567&lt;=cota_s*100,0,IF(Tipo_Vertedor="Retangular",Cd_sr*Lef_sr*((O567/100-cota_s)^(3/2))*1000)),IF(O567&lt;=cota_s*100+fi_s/20,0,(OFFSET('Base de dados'!$A$4,IF(O567&lt;20,1,IF(O567&gt;1000,10,MATCH(O567,Cargas,1))),Coluna_fis,1,1))*(PI()*(fi_s/1000)^2/4)*(2*9.81*(O567/100-cota_s-fi_s/2/1000))^0.5*1000)))</f>
        <v>807.8649257601794</v>
      </c>
      <c r="R567" s="19">
        <f t="shared" ca="1" si="127"/>
        <v>839.23438025984819</v>
      </c>
      <c r="S567" s="19">
        <f t="shared" ca="1" si="124"/>
        <v>2985.8234272739273</v>
      </c>
    </row>
    <row r="568" spans="13:19">
      <c r="M568" s="81">
        <f t="shared" ca="1" si="123"/>
        <v>3834.7398024757272</v>
      </c>
      <c r="N568" s="19">
        <f t="shared" si="125"/>
        <v>89.752696635376253</v>
      </c>
      <c r="O568" s="17">
        <f t="shared" si="126"/>
        <v>141.75</v>
      </c>
      <c r="P568" s="19">
        <f ca="1">IF(ISERROR(IF(O568&lt;fi_h/20,0,(OFFSET('Base de dados'!$A$5,IF(O568&lt;20,1,IF(O568&gt;1000,10,MATCH(O568,Cargas,1))),Coluna_fih,1,1))*(1+0.13*0.25)*(PI()*(fi_h/1000)^2/4)*SQRT(2*9.81*(O568/100-fi_h/2/1000))*1000)),"",IF(O568&lt;fi_h/20,0,(OFFSET('Base de dados'!$A$5,IF(O568&lt;20,1,IF(O568&gt;1000,10,MATCH(O568,Cargas,1))),Coluna_fih,1,1))*(PI()*(fi_h/1000)^2/4)*SQRT(2*9.81*(O568/100-fi_h/2/1000))*1000))</f>
        <v>31.398303164467894</v>
      </c>
      <c r="Q568" s="19">
        <f ca="1">IF(O568="","",IF(Tipo_Vertedor="Retangular",IF(O568&lt;=cota_s*100,0,IF(Tipo_Vertedor="Retangular",Cd_sr*Lef_sr*((O568/100-cota_s)^(3/2))*1000)),IF(O568&lt;=cota_s*100+fi_s/20,0,(OFFSET('Base de dados'!$A$4,IF(O568&lt;20,1,IF(O568&gt;1000,10,MATCH(O568,Cargas,1))),Coluna_fis,1,1))*(PI()*(fi_s/1000)^2/4)*(2*9.81*(O568/100-cota_s-fi_s/2/1000))^0.5*1000)))</f>
        <v>811.58494479871763</v>
      </c>
      <c r="R568" s="19">
        <f t="shared" ca="1" si="127"/>
        <v>842.98324796318548</v>
      </c>
      <c r="S568" s="19">
        <f t="shared" ca="1" si="124"/>
        <v>2991.7565545125417</v>
      </c>
    </row>
    <row r="569" spans="13:19">
      <c r="M569" s="81">
        <f t="shared" ca="1" si="123"/>
        <v>3844.4287670953599</v>
      </c>
      <c r="N569" s="19">
        <f t="shared" si="125"/>
        <v>89.930729563514916</v>
      </c>
      <c r="O569" s="17">
        <f t="shared" si="126"/>
        <v>142</v>
      </c>
      <c r="P569" s="19">
        <f ca="1">IF(ISERROR(IF(O569&lt;fi_h/20,0,(OFFSET('Base de dados'!$A$5,IF(O569&lt;20,1,IF(O569&gt;1000,10,MATCH(O569,Cargas,1))),Coluna_fih,1,1))*(1+0.13*0.25)*(PI()*(fi_h/1000)^2/4)*SQRT(2*9.81*(O569/100-fi_h/2/1000))*1000)),"",IF(O569&lt;fi_h/20,0,(OFFSET('Base de dados'!$A$5,IF(O569&lt;20,1,IF(O569&gt;1000,10,MATCH(O569,Cargas,1))),Coluna_fih,1,1))*(PI()*(fi_h/1000)^2/4)*SQRT(2*9.81*(O569/100-fi_h/2/1000))*1000))</f>
        <v>31.427125347522288</v>
      </c>
      <c r="Q569" s="19">
        <f ca="1">IF(O569="","",IF(Tipo_Vertedor="Retangular",IF(O569&lt;=cota_s*100,0,IF(Tipo_Vertedor="Retangular",Cd_sr*Lef_sr*((O569/100-cota_s)^(3/2))*1000)),IF(O569&lt;=cota_s*100+fi_s/20,0,(OFFSET('Base de dados'!$A$4,IF(O569&lt;20,1,IF(O569&gt;1000,10,MATCH(O569,Cargas,1))),Coluna_fis,1,1))*(PI()*(fi_s/1000)^2/4)*(2*9.81*(O569/100-cota_s-fi_s/2/1000))^0.5*1000)))</f>
        <v>815.31065629734042</v>
      </c>
      <c r="R569" s="19">
        <f t="shared" ca="1" si="127"/>
        <v>846.73778164486271</v>
      </c>
      <c r="S569" s="19">
        <f t="shared" ca="1" si="124"/>
        <v>2997.6909854504975</v>
      </c>
    </row>
    <row r="570" spans="13:19">
      <c r="M570" s="81">
        <f t="shared" ca="1" si="123"/>
        <v>3854.1246907717541</v>
      </c>
      <c r="N570" s="19">
        <f t="shared" si="125"/>
        <v>90.108801542347678</v>
      </c>
      <c r="O570" s="17">
        <f t="shared" si="126"/>
        <v>142.25</v>
      </c>
      <c r="P570" s="19">
        <f ca="1">IF(ISERROR(IF(O570&lt;fi_h/20,0,(OFFSET('Base de dados'!$A$5,IF(O570&lt;20,1,IF(O570&gt;1000,10,MATCH(O570,Cargas,1))),Coluna_fih,1,1))*(1+0.13*0.25)*(PI()*(fi_h/1000)^2/4)*SQRT(2*9.81*(O570/100-fi_h/2/1000))*1000)),"",IF(O570&lt;fi_h/20,0,(OFFSET('Base de dados'!$A$5,IF(O570&lt;20,1,IF(O570&gt;1000,10,MATCH(O570,Cargas,1))),Coluna_fih,1,1))*(PI()*(fi_h/1000)^2/4)*SQRT(2*9.81*(O570/100-fi_h/2/1000))*1000))</f>
        <v>31.45592112162543</v>
      </c>
      <c r="Q570" s="19">
        <f ca="1">IF(O570="","",IF(Tipo_Vertedor="Retangular",IF(O570&lt;=cota_s*100,0,IF(Tipo_Vertedor="Retangular",Cd_sr*Lef_sr*((O570/100-cota_s)^(3/2))*1000)),IF(O570&lt;=cota_s*100+fi_s/20,0,(OFFSET('Base de dados'!$A$4,IF(O570&lt;20,1,IF(O570&gt;1000,10,MATCH(O570,Cargas,1))),Coluna_fis,1,1))*(PI()*(fi_s/1000)^2/4)*(2*9.81*(O570/100-cota_s-fi_s/2/1000))^0.5*1000)))</f>
        <v>819.042051571873</v>
      </c>
      <c r="R570" s="19">
        <f t="shared" ca="1" si="127"/>
        <v>850.49797269349847</v>
      </c>
      <c r="S570" s="19">
        <f t="shared" ca="1" si="124"/>
        <v>3003.6267180782556</v>
      </c>
    </row>
    <row r="571" spans="13:19">
      <c r="M571" s="81">
        <f t="shared" ca="1" si="123"/>
        <v>3863.8275629299033</v>
      </c>
      <c r="N571" s="19">
        <f t="shared" si="125"/>
        <v>90.286912511787037</v>
      </c>
      <c r="O571" s="17">
        <f t="shared" si="126"/>
        <v>142.5</v>
      </c>
      <c r="P571" s="19">
        <f ca="1">IF(ISERROR(IF(O571&lt;fi_h/20,0,(OFFSET('Base de dados'!$A$5,IF(O571&lt;20,1,IF(O571&gt;1000,10,MATCH(O571,Cargas,1))),Coluna_fih,1,1))*(1+0.13*0.25)*(PI()*(fi_h/1000)^2/4)*SQRT(2*9.81*(O571/100-fi_h/2/1000))*1000)),"",IF(O571&lt;fi_h/20,0,(OFFSET('Base de dados'!$A$5,IF(O571&lt;20,1,IF(O571&gt;1000,10,MATCH(O571,Cargas,1))),Coluna_fih,1,1))*(PI()*(fi_h/1000)^2/4)*SQRT(2*9.81*(O571/100-fi_h/2/1000))*1000))</f>
        <v>31.484690559237894</v>
      </c>
      <c r="Q571" s="19">
        <f ca="1">IF(O571="","",IF(Tipo_Vertedor="Retangular",IF(O571&lt;=cota_s*100,0,IF(Tipo_Vertedor="Retangular",Cd_sr*Lef_sr*((O571/100-cota_s)^(3/2))*1000)),IF(O571&lt;=cota_s*100+fi_s/20,0,(OFFSET('Base de dados'!$A$4,IF(O571&lt;20,1,IF(O571&gt;1000,10,MATCH(O571,Cargas,1))),Coluna_fis,1,1))*(PI()*(fi_s/1000)^2/4)*(2*9.81*(O571/100-cota_s-fi_s/2/1000))^0.5*1000)))</f>
        <v>822.77912197776402</v>
      </c>
      <c r="R571" s="19">
        <f t="shared" ca="1" si="127"/>
        <v>854.26381253700197</v>
      </c>
      <c r="S571" s="19">
        <f t="shared" ca="1" si="124"/>
        <v>3009.5637503929015</v>
      </c>
    </row>
    <row r="572" spans="13:19">
      <c r="M572" s="81">
        <f t="shared" ca="1" si="123"/>
        <v>3873.5373730403853</v>
      </c>
      <c r="N572" s="19">
        <f t="shared" si="125"/>
        <v>90.465062411943308</v>
      </c>
      <c r="O572" s="17">
        <f t="shared" si="126"/>
        <v>142.75</v>
      </c>
      <c r="P572" s="19">
        <f ca="1">IF(ISERROR(IF(O572&lt;fi_h/20,0,(OFFSET('Base de dados'!$A$5,IF(O572&lt;20,1,IF(O572&gt;1000,10,MATCH(O572,Cargas,1))),Coluna_fih,1,1))*(1+0.13*0.25)*(PI()*(fi_h/1000)^2/4)*SQRT(2*9.81*(O572/100-fi_h/2/1000))*1000)),"",IF(O572&lt;fi_h/20,0,(OFFSET('Base de dados'!$A$5,IF(O572&lt;20,1,IF(O572&gt;1000,10,MATCH(O572,Cargas,1))),Coluna_fih,1,1))*(PI()*(fi_h/1000)^2/4)*SQRT(2*9.81*(O572/100-fi_h/2/1000))*1000))</f>
        <v>31.513433732489492</v>
      </c>
      <c r="Q572" s="19">
        <f ca="1">IF(O572="","",IF(Tipo_Vertedor="Retangular",IF(O572&lt;=cota_s*100,0,IF(Tipo_Vertedor="Retangular",Cd_sr*Lef_sr*((O572/100-cota_s)^(3/2))*1000)),IF(O572&lt;=cota_s*100+fi_s/20,0,(OFFSET('Base de dados'!$A$4,IF(O572&lt;20,1,IF(O572&gt;1000,10,MATCH(O572,Cargas,1))),Coluna_fis,1,1))*(PI()*(fi_s/1000)^2/4)*(2*9.81*(O572/100-cota_s-fi_s/2/1000))^0.5*1000)))</f>
        <v>826.52185890978569</v>
      </c>
      <c r="R572" s="19">
        <f t="shared" ca="1" si="127"/>
        <v>858.03529264227518</v>
      </c>
      <c r="S572" s="19">
        <f t="shared" ca="1" si="124"/>
        <v>3015.5020803981101</v>
      </c>
    </row>
    <row r="573" spans="13:19">
      <c r="M573" s="81">
        <f t="shared" ca="1" si="123"/>
        <v>3883.2541106190351</v>
      </c>
      <c r="N573" s="19">
        <f t="shared" si="125"/>
        <v>90.64325118312351</v>
      </c>
      <c r="O573" s="17">
        <f t="shared" si="126"/>
        <v>143</v>
      </c>
      <c r="P573" s="19">
        <f ca="1">IF(ISERROR(IF(O573&lt;fi_h/20,0,(OFFSET('Base de dados'!$A$5,IF(O573&lt;20,1,IF(O573&gt;1000,10,MATCH(O573,Cargas,1))),Coluna_fih,1,1))*(1+0.13*0.25)*(PI()*(fi_h/1000)^2/4)*SQRT(2*9.81*(O573/100-fi_h/2/1000))*1000)),"",IF(O573&lt;fi_h/20,0,(OFFSET('Base de dados'!$A$5,IF(O573&lt;20,1,IF(O573&gt;1000,10,MATCH(O573,Cargas,1))),Coluna_fih,1,1))*(PI()*(fi_h/1000)^2/4)*SQRT(2*9.81*(O573/100-fi_h/2/1000))*1000))</f>
        <v>31.542150713181393</v>
      </c>
      <c r="Q573" s="19">
        <f ca="1">IF(O573="","",IF(Tipo_Vertedor="Retangular",IF(O573&lt;=cota_s*100,0,IF(Tipo_Vertedor="Retangular",Cd_sr*Lef_sr*((O573/100-cota_s)^(3/2))*1000)),IF(O573&lt;=cota_s*100+fi_s/20,0,(OFFSET('Base de dados'!$A$4,IF(O573&lt;20,1,IF(O573&gt;1000,10,MATCH(O573,Cargas,1))),Coluna_fis,1,1))*(PI()*(fi_s/1000)^2/4)*(2*9.81*(O573/100-cota_s-fi_s/2/1000))^0.5*1000)))</f>
        <v>830.27025380173654</v>
      </c>
      <c r="R573" s="19">
        <f t="shared" ca="1" si="127"/>
        <v>861.81240451491794</v>
      </c>
      <c r="S573" s="19">
        <f t="shared" ca="1" si="124"/>
        <v>3021.4417061041172</v>
      </c>
    </row>
    <row r="574" spans="13:19">
      <c r="M574" s="81">
        <f t="shared" ca="1" si="123"/>
        <v>3892.9777652266152</v>
      </c>
      <c r="N574" s="19">
        <f t="shared" si="125"/>
        <v>90.821478765830378</v>
      </c>
      <c r="O574" s="17">
        <f t="shared" si="126"/>
        <v>143.25</v>
      </c>
      <c r="P574" s="19">
        <f ca="1">IF(ISERROR(IF(O574&lt;fi_h/20,0,(OFFSET('Base de dados'!$A$5,IF(O574&lt;20,1,IF(O574&gt;1000,10,MATCH(O574,Cargas,1))),Coluna_fih,1,1))*(1+0.13*0.25)*(PI()*(fi_h/1000)^2/4)*SQRT(2*9.81*(O574/100-fi_h/2/1000))*1000)),"",IF(O574&lt;fi_h/20,0,(OFFSET('Base de dados'!$A$5,IF(O574&lt;20,1,IF(O574&gt;1000,10,MATCH(O574,Cargas,1))),Coluna_fih,1,1))*(PI()*(fi_h/1000)^2/4)*SQRT(2*9.81*(O574/100-fi_h/2/1000))*1000))</f>
        <v>31.570841572788215</v>
      </c>
      <c r="Q574" s="19">
        <f ca="1">IF(O574="","",IF(Tipo_Vertedor="Retangular",IF(O574&lt;=cota_s*100,0,IF(Tipo_Vertedor="Retangular",Cd_sr*Lef_sr*((O574/100-cota_s)^(3/2))*1000)),IF(O574&lt;=cota_s*100+fi_s/20,0,(OFFSET('Base de dados'!$A$4,IF(O574&lt;20,1,IF(O574&gt;1000,10,MATCH(O574,Cargas,1))),Coluna_fis,1,1))*(PI()*(fi_s/1000)^2/4)*(2*9.81*(O574/100-cota_s-fi_s/2/1000))^0.5*1000)))</f>
        <v>834.02429812614741</v>
      </c>
      <c r="R574" s="19">
        <f t="shared" ca="1" si="127"/>
        <v>865.59513969893567</v>
      </c>
      <c r="S574" s="19">
        <f t="shared" ca="1" si="124"/>
        <v>3027.3826255276795</v>
      </c>
    </row>
    <row r="575" spans="13:19">
      <c r="M575" s="81">
        <f t="shared" ca="1" si="123"/>
        <v>3902.7083264684961</v>
      </c>
      <c r="N575" s="19">
        <f t="shared" si="125"/>
        <v>90.999745100761402</v>
      </c>
      <c r="O575" s="17">
        <f t="shared" si="126"/>
        <v>143.5</v>
      </c>
      <c r="P575" s="19">
        <f ca="1">IF(ISERROR(IF(O575&lt;fi_h/20,0,(OFFSET('Base de dados'!$A$5,IF(O575&lt;20,1,IF(O575&gt;1000,10,MATCH(O575,Cargas,1))),Coluna_fih,1,1))*(1+0.13*0.25)*(PI()*(fi_h/1000)^2/4)*SQRT(2*9.81*(O575/100-fi_h/2/1000))*1000)),"",IF(O575&lt;fi_h/20,0,(OFFSET('Base de dados'!$A$5,IF(O575&lt;20,1,IF(O575&gt;1000,10,MATCH(O575,Cargas,1))),Coluna_fih,1,1))*(PI()*(fi_h/1000)^2/4)*SQRT(2*9.81*(O575/100-fi_h/2/1000))*1000))</f>
        <v>31.599506382460085</v>
      </c>
      <c r="Q575" s="19">
        <f ca="1">IF(O575="","",IF(Tipo_Vertedor="Retangular",IF(O575&lt;=cota_s*100,0,IF(Tipo_Vertedor="Retangular",Cd_sr*Lef_sr*((O575/100-cota_s)^(3/2))*1000)),IF(O575&lt;=cota_s*100+fi_s/20,0,(OFFSET('Base de dados'!$A$4,IF(O575&lt;20,1,IF(O575&gt;1000,10,MATCH(O575,Cargas,1))),Coluna_fis,1,1))*(PI()*(fi_s/1000)^2/4)*(2*9.81*(O575/100-cota_s-fi_s/2/1000))^0.5*1000)))</f>
        <v>837.78398339398939</v>
      </c>
      <c r="R575" s="19">
        <f t="shared" ca="1" si="127"/>
        <v>869.38348977644944</v>
      </c>
      <c r="S575" s="19">
        <f t="shared" ca="1" si="124"/>
        <v>3033.3248366920466</v>
      </c>
    </row>
    <row r="576" spans="13:19">
      <c r="M576" s="81">
        <f t="shared" ca="1" si="123"/>
        <v>3912.4457839943411</v>
      </c>
      <c r="N576" s="19">
        <f t="shared" si="125"/>
        <v>91.178050128807882</v>
      </c>
      <c r="O576" s="17">
        <f t="shared" si="126"/>
        <v>143.75</v>
      </c>
      <c r="P576" s="19">
        <f ca="1">IF(ISERROR(IF(O576&lt;fi_h/20,0,(OFFSET('Base de dados'!$A$5,IF(O576&lt;20,1,IF(O576&gt;1000,10,MATCH(O576,Cargas,1))),Coluna_fih,1,1))*(1+0.13*0.25)*(PI()*(fi_h/1000)^2/4)*SQRT(2*9.81*(O576/100-fi_h/2/1000))*1000)),"",IF(O576&lt;fi_h/20,0,(OFFSET('Base de dados'!$A$5,IF(O576&lt;20,1,IF(O576&gt;1000,10,MATCH(O576,Cargas,1))),Coluna_fih,1,1))*(PI()*(fi_h/1000)^2/4)*SQRT(2*9.81*(O576/100-fi_h/2/1000))*1000))</f>
        <v>31.62814521302472</v>
      </c>
      <c r="Q576" s="19">
        <f ca="1">IF(O576="","",IF(Tipo_Vertedor="Retangular",IF(O576&lt;=cota_s*100,0,IF(Tipo_Vertedor="Retangular",Cd_sr*Lef_sr*((O576/100-cota_s)^(3/2))*1000)),IF(O576&lt;=cota_s*100+fi_s/20,0,(OFFSET('Base de dados'!$A$4,IF(O576&lt;20,1,IF(O576&gt;1000,10,MATCH(O576,Cargas,1))),Coluna_fis,1,1))*(PI()*(fi_s/1000)^2/4)*(2*9.81*(O576/100-cota_s-fi_s/2/1000))^0.5*1000)))</f>
        <v>841.54930115438719</v>
      </c>
      <c r="R576" s="19">
        <f t="shared" ca="1" si="127"/>
        <v>873.1774463674119</v>
      </c>
      <c r="S576" s="19">
        <f t="shared" ca="1" si="124"/>
        <v>3039.2683376269292</v>
      </c>
    </row>
    <row r="577" spans="13:19">
      <c r="M577" s="81">
        <f t="shared" ca="1" si="123"/>
        <v>3922.1901274977872</v>
      </c>
      <c r="N577" s="19">
        <f t="shared" si="125"/>
        <v>91.356393791053904</v>
      </c>
      <c r="O577" s="17">
        <f t="shared" si="126"/>
        <v>144</v>
      </c>
      <c r="P577" s="19">
        <f ca="1">IF(ISERROR(IF(O577&lt;fi_h/20,0,(OFFSET('Base de dados'!$A$5,IF(O577&lt;20,1,IF(O577&gt;1000,10,MATCH(O577,Cargas,1))),Coluna_fih,1,1))*(1+0.13*0.25)*(PI()*(fi_h/1000)^2/4)*SQRT(2*9.81*(O577/100-fi_h/2/1000))*1000)),"",IF(O577&lt;fi_h/20,0,(OFFSET('Base de dados'!$A$5,IF(O577&lt;20,1,IF(O577&gt;1000,10,MATCH(O577,Cargas,1))),Coluna_fih,1,1))*(PI()*(fi_h/1000)^2/4)*SQRT(2*9.81*(O577/100-fi_h/2/1000))*1000))</f>
        <v>31.656758134989463</v>
      </c>
      <c r="Q577" s="19">
        <f ca="1">IF(O577="","",IF(Tipo_Vertedor="Retangular",IF(O577&lt;=cota_s*100,0,IF(Tipo_Vertedor="Retangular",Cd_sr*Lef_sr*((O577/100-cota_s)^(3/2))*1000)),IF(O577&lt;=cota_s*100+fi_s/20,0,(OFFSET('Base de dados'!$A$4,IF(O577&lt;20,1,IF(O577&gt;1000,10,MATCH(O577,Cargas,1))),Coluna_fis,1,1))*(PI()*(fi_s/1000)^2/4)*(2*9.81*(O577/100-cota_s-fi_s/2/1000))^0.5*1000)))</f>
        <v>845.32024299433408</v>
      </c>
      <c r="R577" s="19">
        <f t="shared" ca="1" si="127"/>
        <v>876.97700112932353</v>
      </c>
      <c r="S577" s="19">
        <f t="shared" ca="1" si="124"/>
        <v>3045.2131263684637</v>
      </c>
    </row>
    <row r="578" spans="13:19">
      <c r="M578" s="81">
        <f t="shared" ca="1" si="123"/>
        <v>3931.9413467161321</v>
      </c>
      <c r="N578" s="19">
        <f t="shared" si="125"/>
        <v>91.534776028775411</v>
      </c>
      <c r="O578" s="17">
        <f t="shared" si="126"/>
        <v>144.25</v>
      </c>
      <c r="P578" s="19">
        <f ca="1">IF(ISERROR(IF(O578&lt;fi_h/20,0,(OFFSET('Base de dados'!$A$5,IF(O578&lt;20,1,IF(O578&gt;1000,10,MATCH(O578,Cargas,1))),Coluna_fih,1,1))*(1+0.13*0.25)*(PI()*(fi_h/1000)^2/4)*SQRT(2*9.81*(O578/100-fi_h/2/1000))*1000)),"",IF(O578&lt;fi_h/20,0,(OFFSET('Base de dados'!$A$5,IF(O578&lt;20,1,IF(O578&gt;1000,10,MATCH(O578,Cargas,1))),Coluna_fih,1,1))*(PI()*(fi_h/1000)^2/4)*SQRT(2*9.81*(O578/100-fi_h/2/1000))*1000))</f>
        <v>31.685345218543297</v>
      </c>
      <c r="Q578" s="19">
        <f ca="1">IF(O578="","",IF(Tipo_Vertedor="Retangular",IF(O578&lt;=cota_s*100,0,IF(Tipo_Vertedor="Retangular",Cd_sr*Lef_sr*((O578/100-cota_s)^(3/2))*1000)),IF(O578&lt;=cota_s*100+fi_s/20,0,(OFFSET('Base de dados'!$A$4,IF(O578&lt;20,1,IF(O578&gt;1000,10,MATCH(O578,Cargas,1))),Coluna_fis,1,1))*(PI()*(fi_s/1000)^2/4)*(2*9.81*(O578/100-cota_s-fi_s/2/1000))^0.5*1000)))</f>
        <v>849.09680053840884</v>
      </c>
      <c r="R578" s="19">
        <f t="shared" ca="1" si="127"/>
        <v>880.7821457569521</v>
      </c>
      <c r="S578" s="19">
        <f t="shared" ca="1" si="124"/>
        <v>3051.15920095918</v>
      </c>
    </row>
    <row r="579" spans="13:19">
      <c r="M579" s="81">
        <f t="shared" ca="1" si="123"/>
        <v>3941.6994314300318</v>
      </c>
      <c r="N579" s="19">
        <f t="shared" si="125"/>
        <v>91.713196783439258</v>
      </c>
      <c r="O579" s="17">
        <f t="shared" si="126"/>
        <v>144.5</v>
      </c>
      <c r="P579" s="19">
        <f ca="1">IF(ISERROR(IF(O579&lt;fi_h/20,0,(OFFSET('Base de dados'!$A$5,IF(O579&lt;20,1,IF(O579&gt;1000,10,MATCH(O579,Cargas,1))),Coluna_fih,1,1))*(1+0.13*0.25)*(PI()*(fi_h/1000)^2/4)*SQRT(2*9.81*(O579/100-fi_h/2/1000))*1000)),"",IF(O579&lt;fi_h/20,0,(OFFSET('Base de dados'!$A$5,IF(O579&lt;20,1,IF(O579&gt;1000,10,MATCH(O579,Cargas,1))),Coluna_fih,1,1))*(PI()*(fi_h/1000)^2/4)*SQRT(2*9.81*(O579/100-fi_h/2/1000))*1000))</f>
        <v>31.713906533558863</v>
      </c>
      <c r="Q579" s="19">
        <f ca="1">IF(O579="","",IF(Tipo_Vertedor="Retangular",IF(O579&lt;=cota_s*100,0,IF(Tipo_Vertedor="Retangular",Cd_sr*Lef_sr*((O579/100-cota_s)^(3/2))*1000)),IF(O579&lt;=cota_s*100+fi_s/20,0,(OFFSET('Base de dados'!$A$4,IF(O579&lt;20,1,IF(O579&gt;1000,10,MATCH(O579,Cargas,1))),Coluna_fis,1,1))*(PI()*(fi_s/1000)^2/4)*(2*9.81*(O579/100-cota_s-fi_s/2/1000))^0.5*1000)))</f>
        <v>852.87896544849809</v>
      </c>
      <c r="R579" s="19">
        <f t="shared" ca="1" si="127"/>
        <v>884.59287198205698</v>
      </c>
      <c r="S579" s="19">
        <f t="shared" ca="1" si="124"/>
        <v>3057.1065594479751</v>
      </c>
    </row>
    <row r="580" spans="13:19">
      <c r="M580" s="81">
        <f t="shared" ca="1" si="123"/>
        <v>3951.4643714631857</v>
      </c>
      <c r="N580" s="19">
        <f t="shared" si="125"/>
        <v>91.891655996702184</v>
      </c>
      <c r="O580" s="17">
        <f t="shared" si="126"/>
        <v>144.75</v>
      </c>
      <c r="P580" s="19">
        <f ca="1">IF(ISERROR(IF(O580&lt;fi_h/20,0,(OFFSET('Base de dados'!$A$5,IF(O580&lt;20,1,IF(O580&gt;1000,10,MATCH(O580,Cargas,1))),Coluna_fih,1,1))*(1+0.13*0.25)*(PI()*(fi_h/1000)^2/4)*SQRT(2*9.81*(O580/100-fi_h/2/1000))*1000)),"",IF(O580&lt;fi_h/20,0,(OFFSET('Base de dados'!$A$5,IF(O580&lt;20,1,IF(O580&gt;1000,10,MATCH(O580,Cargas,1))),Coluna_fih,1,1))*(PI()*(fi_h/1000)^2/4)*SQRT(2*9.81*(O580/100-fi_h/2/1000))*1000))</f>
        <v>31.742442149594449</v>
      </c>
      <c r="Q580" s="19">
        <f ca="1">IF(O580="","",IF(Tipo_Vertedor="Retangular",IF(O580&lt;=cota_s*100,0,IF(Tipo_Vertedor="Retangular",Cd_sr*Lef_sr*((O580/100-cota_s)^(3/2))*1000)),IF(O580&lt;=cota_s*100+fi_s/20,0,(OFFSET('Base de dados'!$A$4,IF(O580&lt;20,1,IF(O580&gt;1000,10,MATCH(O580,Cargas,1))),Coluna_fis,1,1))*(PI()*(fi_s/1000)^2/4)*(2*9.81*(O580/100-cota_s-fi_s/2/1000))^0.5*1000)))</f>
        <v>856.6667294235184</v>
      </c>
      <c r="R580" s="19">
        <f t="shared" ca="1" si="127"/>
        <v>888.40917157311287</v>
      </c>
      <c r="S580" s="19">
        <f t="shared" ca="1" si="124"/>
        <v>3063.0551998900728</v>
      </c>
    </row>
    <row r="581" spans="13:19">
      <c r="M581" s="81">
        <f t="shared" ref="M581:M644" ca="1" si="128">IF(O581="","",2*N581*1000/(Passo*60)+R581)</f>
        <v>3961.2361566820405</v>
      </c>
      <c r="N581" s="19">
        <f t="shared" si="125"/>
        <v>92.070153610409974</v>
      </c>
      <c r="O581" s="17">
        <f t="shared" si="126"/>
        <v>145</v>
      </c>
      <c r="P581" s="19">
        <f ca="1">IF(ISERROR(IF(O581&lt;fi_h/20,0,(OFFSET('Base de dados'!$A$5,IF(O581&lt;20,1,IF(O581&gt;1000,10,MATCH(O581,Cargas,1))),Coluna_fih,1,1))*(1+0.13*0.25)*(PI()*(fi_h/1000)^2/4)*SQRT(2*9.81*(O581/100-fi_h/2/1000))*1000)),"",IF(O581&lt;fi_h/20,0,(OFFSET('Base de dados'!$A$5,IF(O581&lt;20,1,IF(O581&gt;1000,10,MATCH(O581,Cargas,1))),Coluna_fih,1,1))*(PI()*(fi_h/1000)^2/4)*SQRT(2*9.81*(O581/100-fi_h/2/1000))*1000))</f>
        <v>31.770952135895982</v>
      </c>
      <c r="Q581" s="19">
        <f ca="1">IF(O581="","",IF(Tipo_Vertedor="Retangular",IF(O581&lt;=cota_s*100,0,IF(Tipo_Vertedor="Retangular",Cd_sr*Lef_sr*((O581/100-cota_s)^(3/2))*1000)),IF(O581&lt;=cota_s*100+fi_s/20,0,(OFFSET('Base de dados'!$A$4,IF(O581&lt;20,1,IF(O581&gt;1000,10,MATCH(O581,Cargas,1))),Coluna_fis,1,1))*(PI()*(fi_s/1000)^2/4)*(2*9.81*(O581/100-cota_s-fi_s/2/1000))^0.5*1000)))</f>
        <v>860.46008419914506</v>
      </c>
      <c r="R581" s="19">
        <f t="shared" ca="1" si="127"/>
        <v>892.23103633504104</v>
      </c>
      <c r="S581" s="19">
        <f t="shared" ref="S581:S644" ca="1" si="129">IF(M581="","",2*N581*1000/(Passo*60))</f>
        <v>3069.0051203469993</v>
      </c>
    </row>
    <row r="582" spans="13:19">
      <c r="M582" s="81">
        <f t="shared" ca="1" si="128"/>
        <v>3971.0147769954888</v>
      </c>
      <c r="N582" s="19">
        <f t="shared" ref="N582:N645" si="130">IF(O582="","",b_0*(O582/100)^c_0)</f>
        <v>92.248689566596468</v>
      </c>
      <c r="O582" s="17">
        <f t="shared" ref="O582:O645" si="131">IF(ISERROR(IF(O581+passo_altura&gt;h_max_puls*100,"",O581+passo_altura)),"",IF(O581+passo_altura&gt;h_max_puls*100,"",O581+passo_altura))</f>
        <v>145.25</v>
      </c>
      <c r="P582" s="19">
        <f ca="1">IF(ISERROR(IF(O582&lt;fi_h/20,0,(OFFSET('Base de dados'!$A$5,IF(O582&lt;20,1,IF(O582&gt;1000,10,MATCH(O582,Cargas,1))),Coluna_fih,1,1))*(1+0.13*0.25)*(PI()*(fi_h/1000)^2/4)*SQRT(2*9.81*(O582/100-fi_h/2/1000))*1000)),"",IF(O582&lt;fi_h/20,0,(OFFSET('Base de dados'!$A$5,IF(O582&lt;20,1,IF(O582&gt;1000,10,MATCH(O582,Cargas,1))),Coluna_fih,1,1))*(PI()*(fi_h/1000)^2/4)*SQRT(2*9.81*(O582/100-fi_h/2/1000))*1000))</f>
        <v>31.799436561398956</v>
      </c>
      <c r="Q582" s="19">
        <f ca="1">IF(O582="","",IF(Tipo_Vertedor="Retangular",IF(O582&lt;=cota_s*100,0,IF(Tipo_Vertedor="Retangular",Cd_sr*Lef_sr*((O582/100-cota_s)^(3/2))*1000)),IF(O582&lt;=cota_s*100+fi_s/20,0,(OFFSET('Base de dados'!$A$4,IF(O582&lt;20,1,IF(O582&gt;1000,10,MATCH(O582,Cargas,1))),Coluna_fis,1,1))*(PI()*(fi_s/1000)^2/4)*(2*9.81*(O582/100-cota_s-fi_s/2/1000))^0.5*1000)))</f>
        <v>864.25902154754078</v>
      </c>
      <c r="R582" s="19">
        <f t="shared" ca="1" si="127"/>
        <v>896.0584581089397</v>
      </c>
      <c r="S582" s="19">
        <f t="shared" ca="1" si="129"/>
        <v>3074.9563188865491</v>
      </c>
    </row>
    <row r="583" spans="13:19">
      <c r="M583" s="81">
        <f t="shared" ca="1" si="128"/>
        <v>3980.8002223545727</v>
      </c>
      <c r="N583" s="19">
        <f t="shared" si="130"/>
        <v>92.427263807482674</v>
      </c>
      <c r="O583" s="17">
        <f t="shared" si="131"/>
        <v>145.5</v>
      </c>
      <c r="P583" s="19">
        <f ca="1">IF(ISERROR(IF(O583&lt;fi_h/20,0,(OFFSET('Base de dados'!$A$5,IF(O583&lt;20,1,IF(O583&gt;1000,10,MATCH(O583,Cargas,1))),Coluna_fih,1,1))*(1+0.13*0.25)*(PI()*(fi_h/1000)^2/4)*SQRT(2*9.81*(O583/100-fi_h/2/1000))*1000)),"",IF(O583&lt;fi_h/20,0,(OFFSET('Base de dados'!$A$5,IF(O583&lt;20,1,IF(O583&gt;1000,10,MATCH(O583,Cargas,1))),Coluna_fih,1,1))*(PI()*(fi_h/1000)^2/4)*SQRT(2*9.81*(O583/100-fi_h/2/1000))*1000))</f>
        <v>31.827895494730399</v>
      </c>
      <c r="Q583" s="19">
        <f ca="1">IF(O583="","",IF(Tipo_Vertedor="Retangular",IF(O583&lt;=cota_s*100,0,IF(Tipo_Vertedor="Retangular",Cd_sr*Lef_sr*((O583/100-cota_s)^(3/2))*1000)),IF(O583&lt;=cota_s*100+fi_s/20,0,(OFFSET('Base de dados'!$A$4,IF(O583&lt;20,1,IF(O583&gt;1000,10,MATCH(O583,Cargas,1))),Coluna_fis,1,1))*(PI()*(fi_s/1000)^2/4)*(2*9.81*(O583/100-cota_s-fi_s/2/1000))^0.5*1000)))</f>
        <v>868.063533277087</v>
      </c>
      <c r="R583" s="19">
        <f t="shared" ca="1" si="127"/>
        <v>899.89142877181735</v>
      </c>
      <c r="S583" s="19">
        <f t="shared" ca="1" si="129"/>
        <v>3080.9087935827556</v>
      </c>
    </row>
    <row r="584" spans="13:19">
      <c r="M584" s="81">
        <f t="shared" ca="1" si="128"/>
        <v>3990.5924827521867</v>
      </c>
      <c r="N584" s="19">
        <f t="shared" si="130"/>
        <v>92.605876275475694</v>
      </c>
      <c r="O584" s="17">
        <f t="shared" si="131"/>
        <v>145.75</v>
      </c>
      <c r="P584" s="19">
        <f ca="1">IF(ISERROR(IF(O584&lt;fi_h/20,0,(OFFSET('Base de dados'!$A$5,IF(O584&lt;20,1,IF(O584&gt;1000,10,MATCH(O584,Cargas,1))),Coluna_fih,1,1))*(1+0.13*0.25)*(PI()*(fi_h/1000)^2/4)*SQRT(2*9.81*(O584/100-fi_h/2/1000))*1000)),"",IF(O584&lt;fi_h/20,0,(OFFSET('Base de dados'!$A$5,IF(O584&lt;20,1,IF(O584&gt;1000,10,MATCH(O584,Cargas,1))),Coluna_fih,1,1))*(PI()*(fi_h/1000)^2/4)*SQRT(2*9.81*(O584/100-fi_h/2/1000))*1000))</f>
        <v>31.856329004210799</v>
      </c>
      <c r="Q584" s="19">
        <f ca="1">IF(O584="","",IF(Tipo_Vertedor="Retangular",IF(O584&lt;=cota_s*100,0,IF(Tipo_Vertedor="Retangular",Cd_sr*Lef_sr*((O584/100-cota_s)^(3/2))*1000)),IF(O584&lt;=cota_s*100+fi_s/20,0,(OFFSET('Base de dados'!$A$4,IF(O584&lt;20,1,IF(O584&gt;1000,10,MATCH(O584,Cargas,1))),Coluna_fis,1,1))*(PI()*(fi_s/1000)^2/4)*(2*9.81*(O584/100-cota_s-fi_s/2/1000))^0.5*1000)))</f>
        <v>871.87361123211997</v>
      </c>
      <c r="R584" s="19">
        <f t="shared" ca="1" si="127"/>
        <v>903.72994023633078</v>
      </c>
      <c r="S584" s="19">
        <f t="shared" ca="1" si="129"/>
        <v>3086.8625425158561</v>
      </c>
    </row>
    <row r="585" spans="13:19">
      <c r="M585" s="81">
        <f t="shared" ca="1" si="128"/>
        <v>4000.3915482227922</v>
      </c>
      <c r="N585" s="19">
        <f t="shared" si="130"/>
        <v>92.784526913168023</v>
      </c>
      <c r="O585" s="17">
        <f t="shared" si="131"/>
        <v>146</v>
      </c>
      <c r="P585" s="19">
        <f ca="1">IF(ISERROR(IF(O585&lt;fi_h/20,0,(OFFSET('Base de dados'!$A$5,IF(O585&lt;20,1,IF(O585&gt;1000,10,MATCH(O585,Cargas,1))),Coluna_fih,1,1))*(1+0.13*0.25)*(PI()*(fi_h/1000)^2/4)*SQRT(2*9.81*(O585/100-fi_h/2/1000))*1000)),"",IF(O585&lt;fi_h/20,0,(OFFSET('Base de dados'!$A$5,IF(O585&lt;20,1,IF(O585&gt;1000,10,MATCH(O585,Cargas,1))),Coluna_fih,1,1))*(PI()*(fi_h/1000)^2/4)*SQRT(2*9.81*(O585/100-fi_h/2/1000))*1000))</f>
        <v>31.884737157856037</v>
      </c>
      <c r="Q585" s="19">
        <f ca="1">IF(O585="","",IF(Tipo_Vertedor="Retangular",IF(O585&lt;=cota_s*100,0,IF(Tipo_Vertedor="Retangular",Cd_sr*Lef_sr*((O585/100-cota_s)^(3/2))*1000)),IF(O585&lt;=cota_s*100+fi_s/20,0,(OFFSET('Base de dados'!$A$4,IF(O585&lt;20,1,IF(O585&gt;1000,10,MATCH(O585,Cargas,1))),Coluna_fis,1,1))*(PI()*(fi_s/1000)^2/4)*(2*9.81*(O585/100-cota_s-fi_s/2/1000))^0.5*1000)))</f>
        <v>875.68924729266837</v>
      </c>
      <c r="R585" s="19">
        <f t="shared" ca="1" si="127"/>
        <v>907.57398445052445</v>
      </c>
      <c r="S585" s="19">
        <f t="shared" ca="1" si="129"/>
        <v>3092.8175637722675</v>
      </c>
    </row>
    <row r="586" spans="13:19">
      <c r="M586" s="81">
        <f t="shared" ca="1" si="128"/>
        <v>4010.1974088421221</v>
      </c>
      <c r="N586" s="19">
        <f t="shared" si="130"/>
        <v>92.963215663336484</v>
      </c>
      <c r="O586" s="17">
        <f t="shared" si="131"/>
        <v>146.25</v>
      </c>
      <c r="P586" s="19">
        <f ca="1">IF(ISERROR(IF(O586&lt;fi_h/20,0,(OFFSET('Base de dados'!$A$5,IF(O586&lt;20,1,IF(O586&gt;1000,10,MATCH(O586,Cargas,1))),Coluna_fih,1,1))*(1+0.13*0.25)*(PI()*(fi_h/1000)^2/4)*SQRT(2*9.81*(O586/100-fi_h/2/1000))*1000)),"",IF(O586&lt;fi_h/20,0,(OFFSET('Base de dados'!$A$5,IF(O586&lt;20,1,IF(O586&gt;1000,10,MATCH(O586,Cargas,1))),Coluna_fih,1,1))*(PI()*(fi_h/1000)^2/4)*SQRT(2*9.81*(O586/100-fi_h/2/1000))*1000))</f>
        <v>31.913120023379232</v>
      </c>
      <c r="Q586" s="19">
        <f ca="1">IF(O586="","",IF(Tipo_Vertedor="Retangular",IF(O586&lt;=cota_s*100,0,IF(Tipo_Vertedor="Retangular",Cd_sr*Lef_sr*((O586/100-cota_s)^(3/2))*1000)),IF(O586&lt;=cota_s*100+fi_s/20,0,(OFFSET('Base de dados'!$A$4,IF(O586&lt;20,1,IF(O586&gt;1000,10,MATCH(O586,Cargas,1))),Coluna_fis,1,1))*(PI()*(fi_s/1000)^2/4)*(2*9.81*(O586/100-cota_s-fi_s/2/1000))^0.5*1000)))</f>
        <v>879.51043337419401</v>
      </c>
      <c r="R586" s="19">
        <f t="shared" ca="1" si="127"/>
        <v>911.42355339757319</v>
      </c>
      <c r="S586" s="19">
        <f t="shared" ca="1" si="129"/>
        <v>3098.7738554445491</v>
      </c>
    </row>
    <row r="587" spans="13:19">
      <c r="M587" s="81">
        <f t="shared" ca="1" si="128"/>
        <v>4020.010054726908</v>
      </c>
      <c r="N587" s="19">
        <f t="shared" si="130"/>
        <v>93.141942468941437</v>
      </c>
      <c r="O587" s="17">
        <f t="shared" si="131"/>
        <v>146.5</v>
      </c>
      <c r="P587" s="19">
        <f ca="1">IF(ISERROR(IF(O587&lt;fi_h/20,0,(OFFSET('Base de dados'!$A$5,IF(O587&lt;20,1,IF(O587&gt;1000,10,MATCH(O587,Cargas,1))),Coluna_fih,1,1))*(1+0.13*0.25)*(PI()*(fi_h/1000)^2/4)*SQRT(2*9.81*(O587/100-fi_h/2/1000))*1000)),"",IF(O587&lt;fi_h/20,0,(OFFSET('Base de dados'!$A$5,IF(O587&lt;20,1,IF(O587&gt;1000,10,MATCH(O587,Cargas,1))),Coluna_fih,1,1))*(PI()*(fi_h/1000)^2/4)*SQRT(2*9.81*(O587/100-fi_h/2/1000))*1000))</f>
        <v>31.941477668192679</v>
      </c>
      <c r="Q587" s="19">
        <f ca="1">IF(O587="","",IF(Tipo_Vertedor="Retangular",IF(O587&lt;=cota_s*100,0,IF(Tipo_Vertedor="Retangular",Cd_sr*Lef_sr*((O587/100-cota_s)^(3/2))*1000)),IF(O587&lt;=cota_s*100+fi_s/20,0,(OFFSET('Base de dados'!$A$4,IF(O587&lt;20,1,IF(O587&gt;1000,10,MATCH(O587,Cargas,1))),Coluna_fis,1,1))*(PI()*(fi_s/1000)^2/4)*(2*9.81*(O587/100-cota_s-fi_s/2/1000))^0.5*1000)))</f>
        <v>883.33716142733431</v>
      </c>
      <c r="R587" s="19">
        <f t="shared" ca="1" si="127"/>
        <v>915.27863909552696</v>
      </c>
      <c r="S587" s="19">
        <f t="shared" ca="1" si="129"/>
        <v>3104.731415631381</v>
      </c>
    </row>
    <row r="588" spans="13:19">
      <c r="M588" s="81">
        <f t="shared" ca="1" si="128"/>
        <v>4029.8294760345798</v>
      </c>
      <c r="N588" s="19">
        <f t="shared" si="130"/>
        <v>93.320707273125677</v>
      </c>
      <c r="O588" s="17">
        <f t="shared" si="131"/>
        <v>146.75</v>
      </c>
      <c r="P588" s="19">
        <f ca="1">IF(ISERROR(IF(O588&lt;fi_h/20,0,(OFFSET('Base de dados'!$A$5,IF(O588&lt;20,1,IF(O588&gt;1000,10,MATCH(O588,Cargas,1))),Coluna_fih,1,1))*(1+0.13*0.25)*(PI()*(fi_h/1000)^2/4)*SQRT(2*9.81*(O588/100-fi_h/2/1000))*1000)),"",IF(O588&lt;fi_h/20,0,(OFFSET('Base de dados'!$A$5,IF(O588&lt;20,1,IF(O588&gt;1000,10,MATCH(O588,Cargas,1))),Coluna_fih,1,1))*(PI()*(fi_h/1000)^2/4)*SQRT(2*9.81*(O588/100-fi_h/2/1000))*1000))</f>
        <v>31.969810159409683</v>
      </c>
      <c r="Q588" s="19">
        <f ca="1">IF(O588="","",IF(Tipo_Vertedor="Retangular",IF(O588&lt;=cota_s*100,0,IF(Tipo_Vertedor="Retangular",Cd_sr*Lef_sr*((O588/100-cota_s)^(3/2))*1000)),IF(O588&lt;=cota_s*100+fi_s/20,0,(OFFSET('Base de dados'!$A$4,IF(O588&lt;20,1,IF(O588&gt;1000,10,MATCH(O588,Cargas,1))),Coluna_fis,1,1))*(PI()*(fi_s/1000)^2/4)*(2*9.81*(O588/100-cota_s-fi_s/2/1000))^0.5*1000)))</f>
        <v>887.16942343764754</v>
      </c>
      <c r="R588" s="19">
        <f t="shared" ca="1" si="127"/>
        <v>919.13923359705723</v>
      </c>
      <c r="S588" s="19">
        <f t="shared" ca="1" si="129"/>
        <v>3110.6902424375226</v>
      </c>
    </row>
    <row r="589" spans="13:19">
      <c r="M589" s="81">
        <f t="shared" ca="1" si="128"/>
        <v>4039.6556629630013</v>
      </c>
      <c r="N589" s="19">
        <f t="shared" si="130"/>
        <v>93.499510019213787</v>
      </c>
      <c r="O589" s="17">
        <f t="shared" si="131"/>
        <v>147</v>
      </c>
      <c r="P589" s="19">
        <f ca="1">IF(ISERROR(IF(O589&lt;fi_h/20,0,(OFFSET('Base de dados'!$A$5,IF(O589&lt;20,1,IF(O589&gt;1000,10,MATCH(O589,Cargas,1))),Coluna_fih,1,1))*(1+0.13*0.25)*(PI()*(fi_h/1000)^2/4)*SQRT(2*9.81*(O589/100-fi_h/2/1000))*1000)),"",IF(O589&lt;fi_h/20,0,(OFFSET('Base de dados'!$A$5,IF(O589&lt;20,1,IF(O589&gt;1000,10,MATCH(O589,Cargas,1))),Coluna_fih,1,1))*(PI()*(fi_h/1000)^2/4)*SQRT(2*9.81*(O589/100-fi_h/2/1000))*1000))</f>
        <v>31.998117563846428</v>
      </c>
      <c r="Q589" s="19">
        <f ca="1">IF(O589="","",IF(Tipo_Vertedor="Retangular",IF(O589&lt;=cota_s*100,0,IF(Tipo_Vertedor="Retangular",Cd_sr*Lef_sr*((O589/100-cota_s)^(3/2))*1000)),IF(O589&lt;=cota_s*100+fi_s/20,0,(OFFSET('Base de dados'!$A$4,IF(O589&lt;20,1,IF(O589&gt;1000,10,MATCH(O589,Cargas,1))),Coluna_fis,1,1))*(PI()*(fi_s/1000)^2/4)*(2*9.81*(O589/100-cota_s-fi_s/2/1000))^0.5*1000)))</f>
        <v>891.00721142536224</v>
      </c>
      <c r="R589" s="19">
        <f t="shared" ca="1" si="127"/>
        <v>923.00532898920869</v>
      </c>
      <c r="S589" s="19">
        <f t="shared" ca="1" si="129"/>
        <v>3116.6503339737928</v>
      </c>
    </row>
    <row r="590" spans="13:19">
      <c r="M590" s="81">
        <f t="shared" ca="1" si="128"/>
        <v>4049.488605750189</v>
      </c>
      <c r="N590" s="19">
        <f t="shared" si="130"/>
        <v>93.678350650711124</v>
      </c>
      <c r="O590" s="17">
        <f t="shared" si="131"/>
        <v>147.25</v>
      </c>
      <c r="P590" s="19">
        <f ca="1">IF(ISERROR(IF(O590&lt;fi_h/20,0,(OFFSET('Base de dados'!$A$5,IF(O590&lt;20,1,IF(O590&gt;1000,10,MATCH(O590,Cargas,1))),Coluna_fih,1,1))*(1+0.13*0.25)*(PI()*(fi_h/1000)^2/4)*SQRT(2*9.81*(O590/100-fi_h/2/1000))*1000)),"",IF(O590&lt;fi_h/20,0,(OFFSET('Base de dados'!$A$5,IF(O590&lt;20,1,IF(O590&gt;1000,10,MATCH(O590,Cargas,1))),Coluna_fih,1,1))*(PI()*(fi_h/1000)^2/4)*SQRT(2*9.81*(O590/100-fi_h/2/1000))*1000))</f>
        <v>32.026399948023816</v>
      </c>
      <c r="Q590" s="19">
        <f ca="1">IF(O590="","",IF(Tipo_Vertedor="Retangular",IF(O590&lt;=cota_s*100,0,IF(Tipo_Vertedor="Retangular",Cd_sr*Lef_sr*((O590/100-cota_s)^(3/2))*1000)),IF(O590&lt;=cota_s*100+fi_s/20,0,(OFFSET('Base de dados'!$A$4,IF(O590&lt;20,1,IF(O590&gt;1000,10,MATCH(O590,Cargas,1))),Coluna_fis,1,1))*(PI()*(fi_s/1000)^2/4)*(2*9.81*(O590/100-cota_s-fi_s/2/1000))^0.5*1000)))</f>
        <v>894.85051744512759</v>
      </c>
      <c r="R590" s="19">
        <f t="shared" ca="1" si="127"/>
        <v>926.87691739315142</v>
      </c>
      <c r="S590" s="19">
        <f t="shared" ca="1" si="129"/>
        <v>3122.6116883570376</v>
      </c>
    </row>
    <row r="591" spans="13:19">
      <c r="M591" s="81">
        <f t="shared" ca="1" si="128"/>
        <v>4059.3282946740328</v>
      </c>
      <c r="N591" s="19">
        <f t="shared" si="130"/>
        <v>93.857229111302914</v>
      </c>
      <c r="O591" s="17">
        <f t="shared" si="131"/>
        <v>147.5</v>
      </c>
      <c r="P591" s="19">
        <f ca="1">IF(ISERROR(IF(O591&lt;fi_h/20,0,(OFFSET('Base de dados'!$A$5,IF(O591&lt;20,1,IF(O591&gt;1000,10,MATCH(O591,Cargas,1))),Coluna_fih,1,1))*(1+0.13*0.25)*(PI()*(fi_h/1000)^2/4)*SQRT(2*9.81*(O591/100-fi_h/2/1000))*1000)),"",IF(O591&lt;fi_h/20,0,(OFFSET('Base de dados'!$A$5,IF(O591&lt;20,1,IF(O591&gt;1000,10,MATCH(O591,Cargas,1))),Coluna_fih,1,1))*(PI()*(fi_h/1000)^2/4)*SQRT(2*9.81*(O591/100-fi_h/2/1000))*1000))</f>
        <v>32.054657378169296</v>
      </c>
      <c r="Q591" s="19">
        <f ca="1">IF(O591="","",IF(Tipo_Vertedor="Retangular",IF(O591&lt;=cota_s*100,0,IF(Tipo_Vertedor="Retangular",Cd_sr*Lef_sr*((O591/100-cota_s)^(3/2))*1000)),IF(O591&lt;=cota_s*100+fi_s/20,0,(OFFSET('Base de dados'!$A$4,IF(O591&lt;20,1,IF(O591&gt;1000,10,MATCH(O591,Cargas,1))),Coluna_fis,1,1))*(PI()*(fi_s/1000)^2/4)*(2*9.81*(O591/100-cota_s-fi_s/2/1000))^0.5*1000)))</f>
        <v>898.69933358576634</v>
      </c>
      <c r="R591" s="19">
        <f t="shared" ca="1" si="127"/>
        <v>930.75399096393562</v>
      </c>
      <c r="S591" s="19">
        <f t="shared" ca="1" si="129"/>
        <v>3128.5743037100974</v>
      </c>
    </row>
    <row r="592" spans="13:19">
      <c r="M592" s="81">
        <f t="shared" ca="1" si="128"/>
        <v>4069.1747200520285</v>
      </c>
      <c r="N592" s="19">
        <f t="shared" si="130"/>
        <v>94.036145344853395</v>
      </c>
      <c r="O592" s="17">
        <f t="shared" si="131"/>
        <v>147.75</v>
      </c>
      <c r="P592" s="19">
        <f ca="1">IF(ISERROR(IF(O592&lt;fi_h/20,0,(OFFSET('Base de dados'!$A$5,IF(O592&lt;20,1,IF(O592&gt;1000,10,MATCH(O592,Cargas,1))),Coluna_fih,1,1))*(1+0.13*0.25)*(PI()*(fi_h/1000)^2/4)*SQRT(2*9.81*(O592/100-fi_h/2/1000))*1000)),"",IF(O592&lt;fi_h/20,0,(OFFSET('Base de dados'!$A$5,IF(O592&lt;20,1,IF(O592&gt;1000,10,MATCH(O592,Cargas,1))),Coluna_fih,1,1))*(PI()*(fi_h/1000)^2/4)*SQRT(2*9.81*(O592/100-fi_h/2/1000))*1000))</f>
        <v>32.082889920218626</v>
      </c>
      <c r="Q592" s="19">
        <f ca="1">IF(O592="","",IF(Tipo_Vertedor="Retangular",IF(O592&lt;=cota_s*100,0,IF(Tipo_Vertedor="Retangular",Cd_sr*Lef_sr*((O592/100-cota_s)^(3/2))*1000)),IF(O592&lt;=cota_s*100+fi_s/20,0,(OFFSET('Base de dados'!$A$4,IF(O592&lt;20,1,IF(O592&gt;1000,10,MATCH(O592,Cargas,1))),Coluna_fis,1,1))*(PI()*(fi_s/1000)^2/4)*(2*9.81*(O592/100-cota_s-fi_s/2/1000))^0.5*1000)))</f>
        <v>902.55365197002982</v>
      </c>
      <c r="R592" s="19">
        <f t="shared" ca="1" si="127"/>
        <v>934.6365418902484</v>
      </c>
      <c r="S592" s="19">
        <f t="shared" ca="1" si="129"/>
        <v>3134.5381781617803</v>
      </c>
    </row>
    <row r="593" spans="13:19">
      <c r="M593" s="81">
        <f t="shared" ca="1" si="128"/>
        <v>4079.0278722410098</v>
      </c>
      <c r="N593" s="19">
        <f t="shared" si="130"/>
        <v>94.215099295405011</v>
      </c>
      <c r="O593" s="17">
        <f t="shared" si="131"/>
        <v>148</v>
      </c>
      <c r="P593" s="19">
        <f ca="1">IF(ISERROR(IF(O593&lt;fi_h/20,0,(OFFSET('Base de dados'!$A$5,IF(O593&lt;20,1,IF(O593&gt;1000,10,MATCH(O593,Cargas,1))),Coluna_fih,1,1))*(1+0.13*0.25)*(PI()*(fi_h/1000)^2/4)*SQRT(2*9.81*(O593/100-fi_h/2/1000))*1000)),"",IF(O593&lt;fi_h/20,0,(OFFSET('Base de dados'!$A$5,IF(O593&lt;20,1,IF(O593&gt;1000,10,MATCH(O593,Cargas,1))),Coluna_fih,1,1))*(PI()*(fi_h/1000)^2/4)*SQRT(2*9.81*(O593/100-fi_h/2/1000))*1000))</f>
        <v>32.11109763981775</v>
      </c>
      <c r="Q593" s="19">
        <f ca="1">IF(O593="","",IF(Tipo_Vertedor="Retangular",IF(O593&lt;=cota_s*100,0,IF(Tipo_Vertedor="Retangular",Cd_sr*Lef_sr*((O593/100-cota_s)^(3/2))*1000)),IF(O593&lt;=cota_s*100+fi_s/20,0,(OFFSET('Base de dados'!$A$4,IF(O593&lt;20,1,IF(O593&gt;1000,10,MATCH(O593,Cargas,1))),Coluna_fis,1,1))*(PI()*(fi_s/1000)^2/4)*(2*9.81*(O593/100-cota_s-fi_s/2/1000))^0.5*1000)))</f>
        <v>906.4134647543583</v>
      </c>
      <c r="R593" s="19">
        <f t="shared" ca="1" si="127"/>
        <v>938.52456239417609</v>
      </c>
      <c r="S593" s="19">
        <f t="shared" ca="1" si="129"/>
        <v>3140.5033098468339</v>
      </c>
    </row>
    <row r="594" spans="13:19">
      <c r="M594" s="81">
        <f t="shared" ca="1" si="128"/>
        <v>4088.8877416368782</v>
      </c>
      <c r="N594" s="19">
        <f t="shared" si="130"/>
        <v>94.394090907177443</v>
      </c>
      <c r="O594" s="17">
        <f t="shared" si="131"/>
        <v>148.25</v>
      </c>
      <c r="P594" s="19">
        <f ca="1">IF(ISERROR(IF(O594&lt;fi_h/20,0,(OFFSET('Base de dados'!$A$5,IF(O594&lt;20,1,IF(O594&gt;1000,10,MATCH(O594,Cargas,1))),Coluna_fih,1,1))*(1+0.13*0.25)*(PI()*(fi_h/1000)^2/4)*SQRT(2*9.81*(O594/100-fi_h/2/1000))*1000)),"",IF(O594&lt;fi_h/20,0,(OFFSET('Base de dados'!$A$5,IF(O594&lt;20,1,IF(O594&gt;1000,10,MATCH(O594,Cargas,1))),Coluna_fih,1,1))*(PI()*(fi_h/1000)^2/4)*SQRT(2*9.81*(O594/100-fi_h/2/1000))*1000))</f>
        <v>32.139280602324504</v>
      </c>
      <c r="Q594" s="19">
        <f ca="1">IF(O594="","",IF(Tipo_Vertedor="Retangular",IF(O594&lt;=cota_s*100,0,IF(Tipo_Vertedor="Retangular",Cd_sr*Lef_sr*((O594/100-cota_s)^(3/2))*1000)),IF(O594&lt;=cota_s*100+fi_s/20,0,(OFFSET('Base de dados'!$A$4,IF(O594&lt;20,1,IF(O594&gt;1000,10,MATCH(O594,Cargas,1))),Coluna_fis,1,1))*(PI()*(fi_s/1000)^2/4)*(2*9.81*(O594/100-cota_s-fi_s/2/1000))^0.5*1000)))</f>
        <v>910.27876412863907</v>
      </c>
      <c r="R594" s="19">
        <f t="shared" ca="1" si="127"/>
        <v>942.41804473096363</v>
      </c>
      <c r="S594" s="19">
        <f t="shared" ca="1" si="129"/>
        <v>3146.4696969059146</v>
      </c>
    </row>
    <row r="595" spans="13:19">
      <c r="M595" s="81">
        <f t="shared" ca="1" si="128"/>
        <v>4098.7543186743442</v>
      </c>
      <c r="N595" s="19">
        <f t="shared" si="130"/>
        <v>94.57312012456687</v>
      </c>
      <c r="O595" s="17">
        <f t="shared" si="131"/>
        <v>148.5</v>
      </c>
      <c r="P595" s="19">
        <f ca="1">IF(ISERROR(IF(O595&lt;fi_h/20,0,(OFFSET('Base de dados'!$A$5,IF(O595&lt;20,1,IF(O595&gt;1000,10,MATCH(O595,Cargas,1))),Coluna_fih,1,1))*(1+0.13*0.25)*(PI()*(fi_h/1000)^2/4)*SQRT(2*9.81*(O595/100-fi_h/2/1000))*1000)),"",IF(O595&lt;fi_h/20,0,(OFFSET('Base de dados'!$A$5,IF(O595&lt;20,1,IF(O595&gt;1000,10,MATCH(O595,Cargas,1))),Coluna_fih,1,1))*(PI()*(fi_h/1000)^2/4)*SQRT(2*9.81*(O595/100-fi_h/2/1000))*1000))</f>
        <v>32.167438872810422</v>
      </c>
      <c r="Q595" s="19">
        <f ca="1">IF(O595="","",IF(Tipo_Vertedor="Retangular",IF(O595&lt;=cota_s*100,0,IF(Tipo_Vertedor="Retangular",Cd_sr*Lef_sr*((O595/100-cota_s)^(3/2))*1000)),IF(O595&lt;=cota_s*100+fi_s/20,0,(OFFSET('Base de dados'!$A$4,IF(O595&lt;20,1,IF(O595&gt;1000,10,MATCH(O595,Cargas,1))),Coluna_fis,1,1))*(PI()*(fi_s/1000)^2/4)*(2*9.81*(O595/100-cota_s-fi_s/2/1000))^0.5*1000)))</f>
        <v>914.14954231597164</v>
      </c>
      <c r="R595" s="19">
        <f t="shared" ca="1" si="127"/>
        <v>946.31698118878205</v>
      </c>
      <c r="S595" s="19">
        <f t="shared" ca="1" si="129"/>
        <v>3152.4373374855622</v>
      </c>
    </row>
    <row r="596" spans="13:19">
      <c r="M596" s="81">
        <f t="shared" ca="1" si="128"/>
        <v>4108.627593826659</v>
      </c>
      <c r="N596" s="19">
        <f t="shared" si="130"/>
        <v>94.752186892144962</v>
      </c>
      <c r="O596" s="17">
        <f t="shared" si="131"/>
        <v>148.75</v>
      </c>
      <c r="P596" s="19">
        <f ca="1">IF(ISERROR(IF(O596&lt;fi_h/20,0,(OFFSET('Base de dados'!$A$5,IF(O596&lt;20,1,IF(O596&gt;1000,10,MATCH(O596,Cargas,1))),Coluna_fih,1,1))*(1+0.13*0.25)*(PI()*(fi_h/1000)^2/4)*SQRT(2*9.81*(O596/100-fi_h/2/1000))*1000)),"",IF(O596&lt;fi_h/20,0,(OFFSET('Base de dados'!$A$5,IF(O596&lt;20,1,IF(O596&gt;1000,10,MATCH(O596,Cargas,1))),Coluna_fih,1,1))*(PI()*(fi_h/1000)^2/4)*SQRT(2*9.81*(O596/100-fi_h/2/1000))*1000))</f>
        <v>32.195572516062491</v>
      </c>
      <c r="Q596" s="19">
        <f ca="1">IF(O596="","",IF(Tipo_Vertedor="Retangular",IF(O596&lt;=cota_s*100,0,IF(Tipo_Vertedor="Retangular",Cd_sr*Lef_sr*((O596/100-cota_s)^(3/2))*1000)),IF(O596&lt;=cota_s*100+fi_s/20,0,(OFFSET('Base de dados'!$A$4,IF(O596&lt;20,1,IF(O596&gt;1000,10,MATCH(O596,Cargas,1))),Coluna_fis,1,1))*(PI()*(fi_s/1000)^2/4)*(2*9.81*(O596/100-cota_s-fi_s/2/1000))^0.5*1000)))</f>
        <v>918.02579157243053</v>
      </c>
      <c r="R596" s="19">
        <f t="shared" ca="1" si="127"/>
        <v>950.22136408849303</v>
      </c>
      <c r="S596" s="19">
        <f t="shared" ca="1" si="129"/>
        <v>3158.4062297381656</v>
      </c>
    </row>
    <row r="597" spans="13:19">
      <c r="M597" s="81">
        <f t="shared" ca="1" si="128"/>
        <v>4118.5075576053605</v>
      </c>
      <c r="N597" s="19">
        <f t="shared" si="130"/>
        <v>94.931291154658197</v>
      </c>
      <c r="O597" s="17">
        <f t="shared" si="131"/>
        <v>149</v>
      </c>
      <c r="P597" s="19">
        <f ca="1">IF(ISERROR(IF(O597&lt;fi_h/20,0,(OFFSET('Base de dados'!$A$5,IF(O597&lt;20,1,IF(O597&gt;1000,10,MATCH(O597,Cargas,1))),Coluna_fih,1,1))*(1+0.13*0.25)*(PI()*(fi_h/1000)^2/4)*SQRT(2*9.81*(O597/100-fi_h/2/1000))*1000)),"",IF(O597&lt;fi_h/20,0,(OFFSET('Base de dados'!$A$5,IF(O597&lt;20,1,IF(O597&gt;1000,10,MATCH(O597,Cargas,1))),Coluna_fih,1,1))*(PI()*(fi_h/1000)^2/4)*SQRT(2*9.81*(O597/100-fi_h/2/1000))*1000))</f>
        <v>32.223681596584846</v>
      </c>
      <c r="Q597" s="19">
        <f ca="1">IF(O597="","",IF(Tipo_Vertedor="Retangular",IF(O597&lt;=cota_s*100,0,IF(Tipo_Vertedor="Retangular",Cd_sr*Lef_sr*((O597/100-cota_s)^(3/2))*1000)),IF(O597&lt;=cota_s*100+fi_s/20,0,(OFFSET('Base de dados'!$A$4,IF(O597&lt;20,1,IF(O597&gt;1000,10,MATCH(O597,Cargas,1))),Coluna_fis,1,1))*(PI()*(fi_s/1000)^2/4)*(2*9.81*(O597/100-cota_s-fi_s/2/1000))^0.5*1000)))</f>
        <v>921.90750418683558</v>
      </c>
      <c r="R597" s="19">
        <f t="shared" ca="1" si="127"/>
        <v>954.13118578342039</v>
      </c>
      <c r="S597" s="19">
        <f t="shared" ca="1" si="129"/>
        <v>3164.3763718219402</v>
      </c>
    </row>
    <row r="598" spans="13:19">
      <c r="M598" s="81">
        <f t="shared" ca="1" si="128"/>
        <v>4128.3942005600165</v>
      </c>
      <c r="N598" s="19">
        <f t="shared" si="130"/>
        <v>95.110432857026865</v>
      </c>
      <c r="O598" s="17">
        <f t="shared" si="131"/>
        <v>149.25</v>
      </c>
      <c r="P598" s="19">
        <f ca="1">IF(ISERROR(IF(O598&lt;fi_h/20,0,(OFFSET('Base de dados'!$A$5,IF(O598&lt;20,1,IF(O598&gt;1000,10,MATCH(O598,Cargas,1))),Coluna_fih,1,1))*(1+0.13*0.25)*(PI()*(fi_h/1000)^2/4)*SQRT(2*9.81*(O598/100-fi_h/2/1000))*1000)),"",IF(O598&lt;fi_h/20,0,(OFFSET('Base de dados'!$A$5,IF(O598&lt;20,1,IF(O598&gt;1000,10,MATCH(O598,Cargas,1))),Coluna_fih,1,1))*(PI()*(fi_h/1000)^2/4)*SQRT(2*9.81*(O598/100-fi_h/2/1000))*1000))</f>
        <v>32.251766178600576</v>
      </c>
      <c r="Q598" s="19">
        <f ca="1">IF(O598="","",IF(Tipo_Vertedor="Retangular",IF(O598&lt;=cota_s*100,0,IF(Tipo_Vertedor="Retangular",Cd_sr*Lef_sr*((O598/100-cota_s)^(3/2))*1000)),IF(O598&lt;=cota_s*100+fi_s/20,0,(OFFSET('Base de dados'!$A$4,IF(O598&lt;20,1,IF(O598&gt;1000,10,MATCH(O598,Cargas,1))),Coluna_fis,1,1))*(PI()*(fi_s/1000)^2/4)*(2*9.81*(O598/100-cota_s-fi_s/2/1000))^0.5*1000)))</f>
        <v>925.79467248051958</v>
      </c>
      <c r="R598" s="19">
        <f t="shared" ca="1" si="127"/>
        <v>958.04643865912021</v>
      </c>
      <c r="S598" s="19">
        <f t="shared" ca="1" si="129"/>
        <v>3170.3477619008959</v>
      </c>
    </row>
    <row r="599" spans="13:19">
      <c r="M599" s="81">
        <f t="shared" ca="1" si="128"/>
        <v>4138.2875132779691</v>
      </c>
      <c r="N599" s="19">
        <f t="shared" si="130"/>
        <v>95.289611944344401</v>
      </c>
      <c r="O599" s="17">
        <f t="shared" si="131"/>
        <v>149.5</v>
      </c>
      <c r="P599" s="19">
        <f ca="1">IF(ISERROR(IF(O599&lt;fi_h/20,0,(OFFSET('Base de dados'!$A$5,IF(O599&lt;20,1,IF(O599&gt;1000,10,MATCH(O599,Cargas,1))),Coluna_fih,1,1))*(1+0.13*0.25)*(PI()*(fi_h/1000)^2/4)*SQRT(2*9.81*(O599/100-fi_h/2/1000))*1000)),"",IF(O599&lt;fi_h/20,0,(OFFSET('Base de dados'!$A$5,IF(O599&lt;20,1,IF(O599&gt;1000,10,MATCH(O599,Cargas,1))),Coluna_fih,1,1))*(PI()*(fi_h/1000)^2/4)*SQRT(2*9.81*(O599/100-fi_h/2/1000))*1000))</f>
        <v>32.279826326053353</v>
      </c>
      <c r="Q599" s="19">
        <f ca="1">IF(O599="","",IF(Tipo_Vertedor="Retangular",IF(O599&lt;=cota_s*100,0,IF(Tipo_Vertedor="Retangular",Cd_sr*Lef_sr*((O599/100-cota_s)^(3/2))*1000)),IF(O599&lt;=cota_s*100+fi_s/20,0,(OFFSET('Base de dados'!$A$4,IF(O599&lt;20,1,IF(O599&gt;1000,10,MATCH(O599,Cargas,1))),Coluna_fis,1,1))*(PI()*(fi_s/1000)^2/4)*(2*9.81*(O599/100-cota_s-fi_s/2/1000))^0.5*1000)))</f>
        <v>929.68728880710239</v>
      </c>
      <c r="R599" s="19">
        <f t="shared" ca="1" si="127"/>
        <v>961.96711513315574</v>
      </c>
      <c r="S599" s="19">
        <f t="shared" ca="1" si="129"/>
        <v>3176.3203981448137</v>
      </c>
    </row>
    <row r="600" spans="13:19">
      <c r="M600" s="81">
        <f t="shared" ca="1" si="128"/>
        <v>4148.1874863840821</v>
      </c>
      <c r="N600" s="19">
        <f t="shared" si="130"/>
        <v>95.468828361876291</v>
      </c>
      <c r="O600" s="17">
        <f t="shared" si="131"/>
        <v>149.75</v>
      </c>
      <c r="P600" s="19">
        <f ca="1">IF(ISERROR(IF(O600&lt;fi_h/20,0,(OFFSET('Base de dados'!$A$5,IF(O600&lt;20,1,IF(O600&gt;1000,10,MATCH(O600,Cargas,1))),Coluna_fih,1,1))*(1+0.13*0.25)*(PI()*(fi_h/1000)^2/4)*SQRT(2*9.81*(O600/100-fi_h/2/1000))*1000)),"",IF(O600&lt;fi_h/20,0,(OFFSET('Base de dados'!$A$5,IF(O600&lt;20,1,IF(O600&gt;1000,10,MATCH(O600,Cargas,1))),Coluna_fih,1,1))*(PI()*(fi_h/1000)^2/4)*SQRT(2*9.81*(O600/100-fi_h/2/1000))*1000))</f>
        <v>32.307862102609171</v>
      </c>
      <c r="Q600" s="19">
        <f ca="1">IF(O600="","",IF(Tipo_Vertedor="Retangular",IF(O600&lt;=cota_s*100,0,IF(Tipo_Vertedor="Retangular",Cd_sr*Lef_sr*((O600/100-cota_s)^(3/2))*1000)),IF(O600&lt;=cota_s*100+fi_s/20,0,(OFFSET('Base de dados'!$A$4,IF(O600&lt;20,1,IF(O600&gt;1000,10,MATCH(O600,Cargas,1))),Coluna_fis,1,1))*(PI()*(fi_s/1000)^2/4)*(2*9.81*(O600/100-cota_s-fi_s/2/1000))^0.5*1000)))</f>
        <v>933.58534555226277</v>
      </c>
      <c r="R600" s="19">
        <f t="shared" ca="1" si="127"/>
        <v>965.89320765487196</v>
      </c>
      <c r="S600" s="19">
        <f t="shared" ca="1" si="129"/>
        <v>3182.29427872921</v>
      </c>
    </row>
    <row r="601" spans="13:19">
      <c r="M601" s="81">
        <f t="shared" ca="1" si="128"/>
        <v>4158.0941105404963</v>
      </c>
      <c r="N601" s="19">
        <f t="shared" si="130"/>
        <v>95.648082055059589</v>
      </c>
      <c r="O601" s="17">
        <f t="shared" si="131"/>
        <v>150</v>
      </c>
      <c r="P601" s="19">
        <f ca="1">IF(ISERROR(IF(O601&lt;fi_h/20,0,(OFFSET('Base de dados'!$A$5,IF(O601&lt;20,1,IF(O601&gt;1000,10,MATCH(O601,Cargas,1))),Coluna_fih,1,1))*(1+0.13*0.25)*(PI()*(fi_h/1000)^2/4)*SQRT(2*9.81*(O601/100-fi_h/2/1000))*1000)),"",IF(O601&lt;fi_h/20,0,(OFFSET('Base de dados'!$A$5,IF(O601&lt;20,1,IF(O601&gt;1000,10,MATCH(O601,Cargas,1))),Coluna_fih,1,1))*(PI()*(fi_h/1000)^2/4)*SQRT(2*9.81*(O601/100-fi_h/2/1000))*1000))</f>
        <v>32.335873571658034</v>
      </c>
      <c r="Q601" s="19">
        <f ca="1">IF(O601="","",IF(Tipo_Vertedor="Retangular",IF(O601&lt;=cota_s*100,0,IF(Tipo_Vertedor="Retangular",Cd_sr*Lef_sr*((O601/100-cota_s)^(3/2))*1000)),IF(O601&lt;=cota_s*100+fi_s/20,0,(OFFSET('Base de dados'!$A$4,IF(O601&lt;20,1,IF(O601&gt;1000,10,MATCH(O601,Cargas,1))),Coluna_fis,1,1))*(PI()*(fi_s/1000)^2/4)*(2*9.81*(O601/100-cota_s-fi_s/2/1000))^0.5*1000)))</f>
        <v>937.48883513351791</v>
      </c>
      <c r="R601" s="19">
        <f t="shared" ca="1" si="127"/>
        <v>969.82470870517591</v>
      </c>
      <c r="S601" s="19">
        <f t="shared" ca="1" si="129"/>
        <v>3188.26940183532</v>
      </c>
    </row>
    <row r="602" spans="13:19">
      <c r="M602" s="81">
        <f t="shared" ca="1" si="128"/>
        <v>4168.0073764463768</v>
      </c>
      <c r="N602" s="19">
        <f t="shared" si="130"/>
        <v>95.827372969501823</v>
      </c>
      <c r="O602" s="17">
        <f t="shared" si="131"/>
        <v>150.25</v>
      </c>
      <c r="P602" s="19">
        <f ca="1">IF(ISERROR(IF(O602&lt;fi_h/20,0,(OFFSET('Base de dados'!$A$5,IF(O602&lt;20,1,IF(O602&gt;1000,10,MATCH(O602,Cargas,1))),Coluna_fih,1,1))*(1+0.13*0.25)*(PI()*(fi_h/1000)^2/4)*SQRT(2*9.81*(O602/100-fi_h/2/1000))*1000)),"",IF(O602&lt;fi_h/20,0,(OFFSET('Base de dados'!$A$5,IF(O602&lt;20,1,IF(O602&gt;1000,10,MATCH(O602,Cargas,1))),Coluna_fih,1,1))*(PI()*(fi_h/1000)^2/4)*SQRT(2*9.81*(O602/100-fi_h/2/1000))*1000))</f>
        <v>32.363860796315635</v>
      </c>
      <c r="Q602" s="19">
        <f ca="1">IF(O602="","",IF(Tipo_Vertedor="Retangular",IF(O602&lt;=cota_s*100,0,IF(Tipo_Vertedor="Retangular",Cd_sr*Lef_sr*((O602/100-cota_s)^(3/2))*1000)),IF(O602&lt;=cota_s*100+fi_s/20,0,(OFFSET('Base de dados'!$A$4,IF(O602&lt;20,1,IF(O602&gt;1000,10,MATCH(O602,Cargas,1))),Coluna_fis,1,1))*(PI()*(fi_s/1000)^2/4)*(2*9.81*(O602/100-cota_s-fi_s/2/1000))^0.5*1000)))</f>
        <v>941.39775000000009</v>
      </c>
      <c r="R602" s="19">
        <f t="shared" ca="1" si="127"/>
        <v>973.76161079631572</v>
      </c>
      <c r="S602" s="19">
        <f t="shared" ca="1" si="129"/>
        <v>3194.245765650061</v>
      </c>
    </row>
    <row r="603" spans="13:19">
      <c r="M603" s="81">
        <f t="shared" ca="1" si="128"/>
        <v>4177.9272748376716</v>
      </c>
      <c r="N603" s="19">
        <f t="shared" si="130"/>
        <v>96.00670105098024</v>
      </c>
      <c r="O603" s="17">
        <f t="shared" si="131"/>
        <v>150.5</v>
      </c>
      <c r="P603" s="19">
        <f ca="1">IF(ISERROR(IF(O603&lt;fi_h/20,0,(OFFSET('Base de dados'!$A$5,IF(O603&lt;20,1,IF(O603&gt;1000,10,MATCH(O603,Cargas,1))),Coluna_fih,1,1))*(1+0.13*0.25)*(PI()*(fi_h/1000)^2/4)*SQRT(2*9.81*(O603/100-fi_h/2/1000))*1000)),"",IF(O603&lt;fi_h/20,0,(OFFSET('Base de dados'!$A$5,IF(O603&lt;20,1,IF(O603&gt;1000,10,MATCH(O603,Cargas,1))),Coluna_fih,1,1))*(PI()*(fi_h/1000)^2/4)*SQRT(2*9.81*(O603/100-fi_h/2/1000))*1000))</f>
        <v>32.391823839424951</v>
      </c>
      <c r="Q603" s="19">
        <f ca="1">IF(O603="","",IF(Tipo_Vertedor="Retangular",IF(O603&lt;=cota_s*100,0,IF(Tipo_Vertedor="Retangular",Cd_sr*Lef_sr*((O603/100-cota_s)^(3/2))*1000)),IF(O603&lt;=cota_s*100+fi_s/20,0,(OFFSET('Base de dados'!$A$4,IF(O603&lt;20,1,IF(O603&gt;1000,10,MATCH(O603,Cargas,1))),Coluna_fis,1,1))*(PI()*(fi_s/1000)^2/4)*(2*9.81*(O603/100-cota_s-fi_s/2/1000))^0.5*1000)))</f>
        <v>945.31208263223846</v>
      </c>
      <c r="R603" s="19">
        <f t="shared" ca="1" si="127"/>
        <v>977.70390647166346</v>
      </c>
      <c r="S603" s="19">
        <f t="shared" ca="1" si="129"/>
        <v>3200.2233683660079</v>
      </c>
    </row>
    <row r="604" spans="13:19">
      <c r="M604" s="81">
        <f t="shared" ca="1" si="128"/>
        <v>4187.853796486871</v>
      </c>
      <c r="N604" s="19">
        <f t="shared" si="130"/>
        <v>96.186066245441125</v>
      </c>
      <c r="O604" s="17">
        <f t="shared" si="131"/>
        <v>150.75</v>
      </c>
      <c r="P604" s="19">
        <f ca="1">IF(ISERROR(IF(O604&lt;fi_h/20,0,(OFFSET('Base de dados'!$A$5,IF(O604&lt;20,1,IF(O604&gt;1000,10,MATCH(O604,Cargas,1))),Coluna_fih,1,1))*(1+0.13*0.25)*(PI()*(fi_h/1000)^2/4)*SQRT(2*9.81*(O604/100-fi_h/2/1000))*1000)),"",IF(O604&lt;fi_h/20,0,(OFFSET('Base de dados'!$A$5,IF(O604&lt;20,1,IF(O604&gt;1000,10,MATCH(O604,Cargas,1))),Coluna_fih,1,1))*(PI()*(fi_h/1000)^2/4)*SQRT(2*9.81*(O604/100-fi_h/2/1000))*1000))</f>
        <v>32.419762763557998</v>
      </c>
      <c r="Q604" s="19">
        <f ca="1">IF(O604="","",IF(Tipo_Vertedor="Retangular",IF(O604&lt;=cota_s*100,0,IF(Tipo_Vertedor="Retangular",Cd_sr*Lef_sr*((O604/100-cota_s)^(3/2))*1000)),IF(O604&lt;=cota_s*100+fi_s/20,0,(OFFSET('Base de dados'!$A$4,IF(O604&lt;20,1,IF(O604&gt;1000,10,MATCH(O604,Cargas,1))),Coluna_fis,1,1))*(PI()*(fi_s/1000)^2/4)*(2*9.81*(O604/100-cota_s-fi_s/2/1000))^0.5*1000)))</f>
        <v>949.23182554194204</v>
      </c>
      <c r="R604" s="19">
        <f t="shared" ca="1" si="127"/>
        <v>981.65158830550001</v>
      </c>
      <c r="S604" s="19">
        <f t="shared" ca="1" si="129"/>
        <v>3206.2022081813707</v>
      </c>
    </row>
    <row r="605" spans="13:19">
      <c r="M605" s="81">
        <f t="shared" ca="1" si="128"/>
        <v>4197.7869322027609</v>
      </c>
      <c r="N605" s="19">
        <f t="shared" si="130"/>
        <v>96.365468498998794</v>
      </c>
      <c r="O605" s="17">
        <f t="shared" si="131"/>
        <v>151</v>
      </c>
      <c r="P605" s="19">
        <f ca="1">IF(ISERROR(IF(O605&lt;fi_h/20,0,(OFFSET('Base de dados'!$A$5,IF(O605&lt;20,1,IF(O605&gt;1000,10,MATCH(O605,Cargas,1))),Coluna_fih,1,1))*(1+0.13*0.25)*(PI()*(fi_h/1000)^2/4)*SQRT(2*9.81*(O605/100-fi_h/2/1000))*1000)),"",IF(O605&lt;fi_h/20,0,(OFFSET('Base de dados'!$A$5,IF(O605&lt;20,1,IF(O605&gt;1000,10,MATCH(O605,Cargas,1))),Coluna_fih,1,1))*(PI()*(fi_h/1000)^2/4)*SQRT(2*9.81*(O605/100-fi_h/2/1000))*1000))</f>
        <v>32.447677631017363</v>
      </c>
      <c r="Q605" s="19">
        <f ca="1">IF(O605="","",IF(Tipo_Vertedor="Retangular",IF(O605&lt;=cota_s*100,0,IF(Tipo_Vertedor="Retangular",Cd_sr*Lef_sr*((O605/100-cota_s)^(3/2))*1000)),IF(O605&lt;=cota_s*100+fi_s/20,0,(OFFSET('Base de dados'!$A$4,IF(O605&lt;20,1,IF(O605&gt;1000,10,MATCH(O605,Cargas,1))),Coluna_fis,1,1))*(PI()*(fi_s/1000)^2/4)*(2*9.81*(O605/100-cota_s-fi_s/2/1000))^0.5*1000)))</f>
        <v>953.15697127178385</v>
      </c>
      <c r="R605" s="19">
        <f t="shared" ca="1" si="127"/>
        <v>985.60464890280116</v>
      </c>
      <c r="S605" s="19">
        <f t="shared" ca="1" si="129"/>
        <v>3212.1822832999596</v>
      </c>
    </row>
    <row r="606" spans="13:19">
      <c r="M606" s="81">
        <f t="shared" ca="1" si="128"/>
        <v>4207.7266728301929</v>
      </c>
      <c r="N606" s="19">
        <f t="shared" si="130"/>
        <v>96.544907757934965</v>
      </c>
      <c r="O606" s="17">
        <f t="shared" si="131"/>
        <v>151.25</v>
      </c>
      <c r="P606" s="19">
        <f ca="1">IF(ISERROR(IF(O606&lt;fi_h/20,0,(OFFSET('Base de dados'!$A$5,IF(O606&lt;20,1,IF(O606&gt;1000,10,MATCH(O606,Cargas,1))),Coluna_fih,1,1))*(1+0.13*0.25)*(PI()*(fi_h/1000)^2/4)*SQRT(2*9.81*(O606/100-fi_h/2/1000))*1000)),"",IF(O606&lt;fi_h/20,0,(OFFSET('Base de dados'!$A$5,IF(O606&lt;20,1,IF(O606&gt;1000,10,MATCH(O606,Cargas,1))),Coluna_fih,1,1))*(PI()*(fi_h/1000)^2/4)*SQRT(2*9.81*(O606/100-fi_h/2/1000))*1000))</f>
        <v>32.475568503837891</v>
      </c>
      <c r="Q606" s="19">
        <f ca="1">IF(O606="","",IF(Tipo_Vertedor="Retangular",IF(O606&lt;=cota_s*100,0,IF(Tipo_Vertedor="Retangular",Cd_sr*Lef_sr*((O606/100-cota_s)^(3/2))*1000)),IF(O606&lt;=cota_s*100+fi_s/20,0,(OFFSET('Base de dados'!$A$4,IF(O606&lt;20,1,IF(O606&gt;1000,10,MATCH(O606,Cargas,1))),Coluna_fis,1,1))*(PI()*(fi_s/1000)^2/4)*(2*9.81*(O606/100-cota_s-fi_s/2/1000))^0.5*1000)))</f>
        <v>957.08751239518972</v>
      </c>
      <c r="R606" s="19">
        <f t="shared" ca="1" si="127"/>
        <v>989.56308089902757</v>
      </c>
      <c r="S606" s="19">
        <f t="shared" ca="1" si="129"/>
        <v>3218.1635919311657</v>
      </c>
    </row>
    <row r="607" spans="13:19">
      <c r="M607" s="81">
        <f t="shared" ca="1" si="128"/>
        <v>4217.6730092498428</v>
      </c>
      <c r="N607" s="19">
        <f t="shared" si="130"/>
        <v>96.72438396869785</v>
      </c>
      <c r="O607" s="17">
        <f t="shared" si="131"/>
        <v>151.5</v>
      </c>
      <c r="P607" s="19">
        <f ca="1">IF(ISERROR(IF(O607&lt;fi_h/20,0,(OFFSET('Base de dados'!$A$5,IF(O607&lt;20,1,IF(O607&gt;1000,10,MATCH(O607,Cargas,1))),Coluna_fih,1,1))*(1+0.13*0.25)*(PI()*(fi_h/1000)^2/4)*SQRT(2*9.81*(O607/100-fi_h/2/1000))*1000)),"",IF(O607&lt;fi_h/20,0,(OFFSET('Base de dados'!$A$5,IF(O607&lt;20,1,IF(O607&gt;1000,10,MATCH(O607,Cargas,1))),Coluna_fih,1,1))*(PI()*(fi_h/1000)^2/4)*SQRT(2*9.81*(O607/100-fi_h/2/1000))*1000))</f>
        <v>32.503435443788263</v>
      </c>
      <c r="Q607" s="19">
        <f ca="1">IF(O607="","",IF(Tipo_Vertedor="Retangular",IF(O607&lt;=cota_s*100,0,IF(Tipo_Vertedor="Retangular",Cd_sr*Lef_sr*((O607/100-cota_s)^(3/2))*1000)),IF(O607&lt;=cota_s*100+fi_s/20,0,(OFFSET('Base de dados'!$A$4,IF(O607&lt;20,1,IF(O607&gt;1000,10,MATCH(O607,Cargas,1))),Coluna_fis,1,1))*(PI()*(fi_s/1000)^2/4)*(2*9.81*(O607/100-cota_s-fi_s/2/1000))^0.5*1000)))</f>
        <v>961.02344151612658</v>
      </c>
      <c r="R607" s="19">
        <f t="shared" ca="1" si="127"/>
        <v>993.52687695991483</v>
      </c>
      <c r="S607" s="19">
        <f t="shared" ca="1" si="129"/>
        <v>3224.1461322899281</v>
      </c>
    </row>
    <row r="608" spans="13:19">
      <c r="M608" s="81">
        <f t="shared" ca="1" si="128"/>
        <v>4227.6259323779823</v>
      </c>
      <c r="N608" s="19">
        <f t="shared" si="130"/>
        <v>96.903897077901476</v>
      </c>
      <c r="O608" s="17">
        <f t="shared" si="131"/>
        <v>151.75</v>
      </c>
      <c r="P608" s="19">
        <f ca="1">IF(ISERROR(IF(O608&lt;fi_h/20,0,(OFFSET('Base de dados'!$A$5,IF(O608&lt;20,1,IF(O608&gt;1000,10,MATCH(O608,Cargas,1))),Coluna_fih,1,1))*(1+0.13*0.25)*(PI()*(fi_h/1000)^2/4)*SQRT(2*9.81*(O608/100-fi_h/2/1000))*1000)),"",IF(O608&lt;fi_h/20,0,(OFFSET('Base de dados'!$A$5,IF(O608&lt;20,1,IF(O608&gt;1000,10,MATCH(O608,Cargas,1))),Coluna_fih,1,1))*(PI()*(fi_h/1000)^2/4)*SQRT(2*9.81*(O608/100-fi_h/2/1000))*1000))</f>
        <v>32.531278512372573</v>
      </c>
      <c r="Q608" s="19">
        <f ca="1">IF(O608="","",IF(Tipo_Vertedor="Retangular",IF(O608&lt;=cota_s*100,0,IF(Tipo_Vertedor="Retangular",Cd_sr*Lef_sr*((O608/100-cota_s)^(3/2))*1000)),IF(O608&lt;=cota_s*100+fi_s/20,0,(OFFSET('Base de dados'!$A$4,IF(O608&lt;20,1,IF(O608&gt;1000,10,MATCH(O608,Cargas,1))),Coluna_fis,1,1))*(PI()*(fi_s/1000)^2/4)*(2*9.81*(O608/100-cota_s-fi_s/2/1000))^0.5*1000)))</f>
        <v>964.96475126889368</v>
      </c>
      <c r="R608" s="19">
        <f t="shared" ca="1" si="127"/>
        <v>997.4960297812662</v>
      </c>
      <c r="S608" s="19">
        <f t="shared" ca="1" si="129"/>
        <v>3230.129902596716</v>
      </c>
    </row>
    <row r="609" spans="13:19">
      <c r="M609" s="81">
        <f t="shared" ca="1" si="128"/>
        <v>4237.5854331662385</v>
      </c>
      <c r="N609" s="19">
        <f t="shared" si="130"/>
        <v>97.083447032324742</v>
      </c>
      <c r="O609" s="17">
        <f t="shared" si="131"/>
        <v>152</v>
      </c>
      <c r="P609" s="19">
        <f ca="1">IF(ISERROR(IF(O609&lt;fi_h/20,0,(OFFSET('Base de dados'!$A$5,IF(O609&lt;20,1,IF(O609&gt;1000,10,MATCH(O609,Cargas,1))),Coluna_fih,1,1))*(1+0.13*0.25)*(PI()*(fi_h/1000)^2/4)*SQRT(2*9.81*(O609/100-fi_h/2/1000))*1000)),"",IF(O609&lt;fi_h/20,0,(OFFSET('Base de dados'!$A$5,IF(O609&lt;20,1,IF(O609&gt;1000,10,MATCH(O609,Cargas,1))),Coluna_fih,1,1))*(PI()*(fi_h/1000)^2/4)*SQRT(2*9.81*(O609/100-fi_h/2/1000))*1000))</f>
        <v>32.55909777083199</v>
      </c>
      <c r="Q609" s="19">
        <f ca="1">IF(O609="","",IF(Tipo_Vertedor="Retangular",IF(O609&lt;=cota_s*100,0,IF(Tipo_Vertedor="Retangular",Cd_sr*Lef_sr*((O609/100-cota_s)^(3/2))*1000)),IF(O609&lt;=cota_s*100+fi_s/20,0,(OFFSET('Base de dados'!$A$4,IF(O609&lt;20,1,IF(O609&gt;1000,10,MATCH(O609,Cargas,1))),Coluna_fis,1,1))*(PI()*(fi_s/1000)^2/4)*(2*9.81*(O609/100-cota_s-fi_s/2/1000))^0.5*1000)))</f>
        <v>968.91143431791545</v>
      </c>
      <c r="R609" s="19">
        <f t="shared" ca="1" si="127"/>
        <v>1001.4705320887474</v>
      </c>
      <c r="S609" s="19">
        <f t="shared" ca="1" si="129"/>
        <v>3236.1149010774911</v>
      </c>
    </row>
    <row r="610" spans="13:19">
      <c r="M610" s="81">
        <f t="shared" ca="1" si="128"/>
        <v>4247.5515026013763</v>
      </c>
      <c r="N610" s="19">
        <f t="shared" si="130"/>
        <v>97.263033778910767</v>
      </c>
      <c r="O610" s="17">
        <f t="shared" si="131"/>
        <v>152.25</v>
      </c>
      <c r="P610" s="19">
        <f ca="1">IF(ISERROR(IF(O610&lt;fi_h/20,0,(OFFSET('Base de dados'!$A$5,IF(O610&lt;20,1,IF(O610&gt;1000,10,MATCH(O610,Cargas,1))),Coluna_fih,1,1))*(1+0.13*0.25)*(PI()*(fi_h/1000)^2/4)*SQRT(2*9.81*(O610/100-fi_h/2/1000))*1000)),"",IF(O610&lt;fi_h/20,0,(OFFSET('Base de dados'!$A$5,IF(O610&lt;20,1,IF(O610&gt;1000,10,MATCH(O610,Cargas,1))),Coluna_fih,1,1))*(PI()*(fi_h/1000)^2/4)*SQRT(2*9.81*(O610/100-fi_h/2/1000))*1000))</f>
        <v>32.586893280146228</v>
      </c>
      <c r="Q610" s="19">
        <f ca="1">IF(O610="","",IF(Tipo_Vertedor="Retangular",IF(O610&lt;=cota_s*100,0,IF(Tipo_Vertedor="Retangular",Cd_sr*Lef_sr*((O610/100-cota_s)^(3/2))*1000)),IF(O610&lt;=cota_s*100+fi_s/20,0,(OFFSET('Base de dados'!$A$4,IF(O610&lt;20,1,IF(O610&gt;1000,10,MATCH(O610,Cargas,1))),Coluna_fis,1,1))*(PI()*(fi_s/1000)^2/4)*(2*9.81*(O610/100-cota_s-fi_s/2/1000))^0.5*1000)))</f>
        <v>972.86348335753803</v>
      </c>
      <c r="R610" s="19">
        <f t="shared" ca="1" si="127"/>
        <v>1005.4503766376843</v>
      </c>
      <c r="S610" s="19">
        <f t="shared" ca="1" si="129"/>
        <v>3242.1011259636925</v>
      </c>
    </row>
    <row r="611" spans="13:19">
      <c r="M611" s="81">
        <f t="shared" ca="1" si="128"/>
        <v>4257.5241317050632</v>
      </c>
      <c r="N611" s="19">
        <f t="shared" si="130"/>
        <v>97.442657264766098</v>
      </c>
      <c r="O611" s="17">
        <f t="shared" si="131"/>
        <v>152.5</v>
      </c>
      <c r="P611" s="19">
        <f ca="1">IF(ISERROR(IF(O611&lt;fi_h/20,0,(OFFSET('Base de dados'!$A$5,IF(O611&lt;20,1,IF(O611&gt;1000,10,MATCH(O611,Cargas,1))),Coluna_fih,1,1))*(1+0.13*0.25)*(PI()*(fi_h/1000)^2/4)*SQRT(2*9.81*(O611/100-fi_h/2/1000))*1000)),"",IF(O611&lt;fi_h/20,0,(OFFSET('Base de dados'!$A$5,IF(O611&lt;20,1,IF(O611&gt;1000,10,MATCH(O611,Cargas,1))),Coluna_fih,1,1))*(PI()*(fi_h/1000)^2/4)*SQRT(2*9.81*(O611/100-fi_h/2/1000))*1000))</f>
        <v>32.614665101035186</v>
      </c>
      <c r="Q611" s="19">
        <f ca="1">IF(O611="","",IF(Tipo_Vertedor="Retangular",IF(O611&lt;=cota_s*100,0,IF(Tipo_Vertedor="Retangular",Cd_sr*Lef_sr*((O611/100-cota_s)^(3/2))*1000)),IF(O611&lt;=cota_s*100+fi_s/20,0,(OFFSET('Base de dados'!$A$4,IF(O611&lt;20,1,IF(O611&gt;1000,10,MATCH(O611,Cargas,1))),Coluna_fis,1,1))*(PI()*(fi_s/1000)^2/4)*(2*9.81*(O611/100-cota_s-fi_s/2/1000))^0.5*1000)))</f>
        <v>976.82089111182506</v>
      </c>
      <c r="R611" s="19">
        <f t="shared" ca="1" si="127"/>
        <v>1009.4355562128602</v>
      </c>
      <c r="S611" s="19">
        <f t="shared" ca="1" si="129"/>
        <v>3248.0885754922033</v>
      </c>
    </row>
    <row r="612" spans="13:19">
      <c r="M612" s="81">
        <f t="shared" ca="1" si="128"/>
        <v>4267.5033115336491</v>
      </c>
      <c r="N612" s="19">
        <f t="shared" si="130"/>
        <v>97.622317437159921</v>
      </c>
      <c r="O612" s="17">
        <f t="shared" si="131"/>
        <v>152.75</v>
      </c>
      <c r="P612" s="19">
        <f ca="1">IF(ISERROR(IF(O612&lt;fi_h/20,0,(OFFSET('Base de dados'!$A$5,IF(O612&lt;20,1,IF(O612&gt;1000,10,MATCH(O612,Cargas,1))),Coluna_fih,1,1))*(1+0.13*0.25)*(PI()*(fi_h/1000)^2/4)*SQRT(2*9.81*(O612/100-fi_h/2/1000))*1000)),"",IF(O612&lt;fi_h/20,0,(OFFSET('Base de dados'!$A$5,IF(O612&lt;20,1,IF(O612&gt;1000,10,MATCH(O612,Cargas,1))),Coluna_fih,1,1))*(PI()*(fi_h/1000)^2/4)*SQRT(2*9.81*(O612/100-fi_h/2/1000))*1000))</f>
        <v>32.642413293960445</v>
      </c>
      <c r="Q612" s="19">
        <f ca="1">IF(O612="","",IF(Tipo_Vertedor="Retangular",IF(O612&lt;=cota_s*100,0,IF(Tipo_Vertedor="Retangular",Cd_sr*Lef_sr*((O612/100-cota_s)^(3/2))*1000)),IF(O612&lt;=cota_s*100+fi_s/20,0,(OFFSET('Base de dados'!$A$4,IF(O612&lt;20,1,IF(O612&gt;1000,10,MATCH(O612,Cargas,1))),Coluna_fis,1,1))*(PI()*(fi_s/1000)^2/4)*(2*9.81*(O612/100-cota_s-fi_s/2/1000))^0.5*1000)))</f>
        <v>980.78365033435784</v>
      </c>
      <c r="R612" s="19">
        <f t="shared" ca="1" si="127"/>
        <v>1013.4260636283183</v>
      </c>
      <c r="S612" s="19">
        <f t="shared" ca="1" si="129"/>
        <v>3254.0772479053308</v>
      </c>
    </row>
    <row r="613" spans="13:19">
      <c r="M613" s="81">
        <f t="shared" ca="1" si="128"/>
        <v>4277.4890331779352</v>
      </c>
      <c r="N613" s="19">
        <f t="shared" si="130"/>
        <v>97.802014243523232</v>
      </c>
      <c r="O613" s="17">
        <f t="shared" si="131"/>
        <v>153</v>
      </c>
      <c r="P613" s="19">
        <f ca="1">IF(ISERROR(IF(O613&lt;fi_h/20,0,(OFFSET('Base de dados'!$A$5,IF(O613&lt;20,1,IF(O613&gt;1000,10,MATCH(O613,Cargas,1))),Coluna_fih,1,1))*(1+0.13*0.25)*(PI()*(fi_h/1000)^2/4)*SQRT(2*9.81*(O613/100-fi_h/2/1000))*1000)),"",IF(O613&lt;fi_h/20,0,(OFFSET('Base de dados'!$A$5,IF(O613&lt;20,1,IF(O613&gt;1000,10,MATCH(O613,Cargas,1))),Coluna_fih,1,1))*(PI()*(fi_h/1000)^2/4)*SQRT(2*9.81*(O613/100-fi_h/2/1000))*1000))</f>
        <v>32.67013791912683</v>
      </c>
      <c r="Q613" s="19">
        <f ca="1">IF(O613="","",IF(Tipo_Vertedor="Retangular",IF(O613&lt;=cota_s*100,0,IF(Tipo_Vertedor="Retangular",Cd_sr*Lef_sr*((O613/100-cota_s)^(3/2))*1000)),IF(O613&lt;=cota_s*100+fi_s/20,0,(OFFSET('Base de dados'!$A$4,IF(O613&lt;20,1,IF(O613&gt;1000,10,MATCH(O613,Cargas,1))),Coluna_fis,1,1))*(PI()*(fi_s/1000)^2/4)*(2*9.81*(O613/100-cota_s-fi_s/2/1000))^0.5*1000)))</f>
        <v>984.75175380803466</v>
      </c>
      <c r="R613" s="19">
        <f t="shared" ca="1" si="127"/>
        <v>1017.4218917271614</v>
      </c>
      <c r="S613" s="19">
        <f t="shared" ca="1" si="129"/>
        <v>3260.0671414507742</v>
      </c>
    </row>
    <row r="614" spans="13:19">
      <c r="M614" s="81">
        <f t="shared" ca="1" si="128"/>
        <v>4287.4812877629665</v>
      </c>
      <c r="N614" s="19">
        <f t="shared" si="130"/>
        <v>97.981747631448201</v>
      </c>
      <c r="O614" s="17">
        <f t="shared" si="131"/>
        <v>153.25</v>
      </c>
      <c r="P614" s="19">
        <f ca="1">IF(ISERROR(IF(O614&lt;fi_h/20,0,(OFFSET('Base de dados'!$A$5,IF(O614&lt;20,1,IF(O614&gt;1000,10,MATCH(O614,Cargas,1))),Coluna_fih,1,1))*(1+0.13*0.25)*(PI()*(fi_h/1000)^2/4)*SQRT(2*9.81*(O614/100-fi_h/2/1000))*1000)),"",IF(O614&lt;fi_h/20,0,(OFFSET('Base de dados'!$A$5,IF(O614&lt;20,1,IF(O614&gt;1000,10,MATCH(O614,Cargas,1))),Coluna_fih,1,1))*(PI()*(fi_h/1000)^2/4)*SQRT(2*9.81*(O614/100-fi_h/2/1000))*1000))</f>
        <v>32.697839036483913</v>
      </c>
      <c r="Q614" s="19">
        <f ca="1">IF(O614="","",IF(Tipo_Vertedor="Retangular",IF(O614&lt;=cota_s*100,0,IF(Tipo_Vertedor="Retangular",Cd_sr*Lef_sr*((O614/100-cota_s)^(3/2))*1000)),IF(O614&lt;=cota_s*100+fi_s/20,0,(OFFSET('Base de dados'!$A$4,IF(O614&lt;20,1,IF(O614&gt;1000,10,MATCH(O614,Cargas,1))),Coluna_fis,1,1))*(PI()*(fi_s/1000)^2/4)*(2*9.81*(O614/100-cota_s-fi_s/2/1000))^0.5*1000)))</f>
        <v>988.72519434487594</v>
      </c>
      <c r="R614" s="19">
        <f t="shared" ca="1" si="127"/>
        <v>1021.4230333813598</v>
      </c>
      <c r="S614" s="19">
        <f t="shared" ca="1" si="129"/>
        <v>3266.0582543816067</v>
      </c>
    </row>
    <row r="615" spans="13:19">
      <c r="M615" s="81">
        <f t="shared" ca="1" si="128"/>
        <v>4297.4800664477989</v>
      </c>
      <c r="N615" s="19">
        <f t="shared" si="130"/>
        <v>98.161517548687314</v>
      </c>
      <c r="O615" s="17">
        <f t="shared" si="131"/>
        <v>153.5</v>
      </c>
      <c r="P615" s="19">
        <f ca="1">IF(ISERROR(IF(O615&lt;fi_h/20,0,(OFFSET('Base de dados'!$A$5,IF(O615&lt;20,1,IF(O615&gt;1000,10,MATCH(O615,Cargas,1))),Coluna_fih,1,1))*(1+0.13*0.25)*(PI()*(fi_h/1000)^2/4)*SQRT(2*9.81*(O615/100-fi_h/2/1000))*1000)),"",IF(O615&lt;fi_h/20,0,(OFFSET('Base de dados'!$A$5,IF(O615&lt;20,1,IF(O615&gt;1000,10,MATCH(O615,Cargas,1))),Coluna_fih,1,1))*(PI()*(fi_h/1000)^2/4)*SQRT(2*9.81*(O615/100-fi_h/2/1000))*1000))</f>
        <v>32.725516705727571</v>
      </c>
      <c r="Q615" s="19">
        <f ca="1">IF(O615="","",IF(Tipo_Vertedor="Retangular",IF(O615&lt;=cota_s*100,0,IF(Tipo_Vertedor="Retangular",Cd_sr*Lef_sr*((O615/100-cota_s)^(3/2))*1000)),IF(O615&lt;=cota_s*100+fi_s/20,0,(OFFSET('Base de dados'!$A$4,IF(O615&lt;20,1,IF(O615&gt;1000,10,MATCH(O615,Cargas,1))),Coluna_fis,1,1))*(PI()*(fi_s/1000)^2/4)*(2*9.81*(O615/100-cota_s-fi_s/2/1000))^0.5*1000)))</f>
        <v>992.70396478582677</v>
      </c>
      <c r="R615" s="19">
        <f t="shared" ca="1" si="127"/>
        <v>1025.4294814915543</v>
      </c>
      <c r="S615" s="19">
        <f t="shared" ca="1" si="129"/>
        <v>3272.0505849562442</v>
      </c>
    </row>
    <row r="616" spans="13:19">
      <c r="M616" s="81">
        <f t="shared" ca="1" si="128"/>
        <v>4307.4853604252903</v>
      </c>
      <c r="N616" s="19">
        <f t="shared" si="130"/>
        <v>98.341323943152702</v>
      </c>
      <c r="O616" s="17">
        <f t="shared" si="131"/>
        <v>153.75</v>
      </c>
      <c r="P616" s="19">
        <f ca="1">IF(ISERROR(IF(O616&lt;fi_h/20,0,(OFFSET('Base de dados'!$A$5,IF(O616&lt;20,1,IF(O616&gt;1000,10,MATCH(O616,Cargas,1))),Coluna_fih,1,1))*(1+0.13*0.25)*(PI()*(fi_h/1000)^2/4)*SQRT(2*9.81*(O616/100-fi_h/2/1000))*1000)),"",IF(O616&lt;fi_h/20,0,(OFFSET('Base de dados'!$A$5,IF(O616&lt;20,1,IF(O616&gt;1000,10,MATCH(O616,Cargas,1))),Coluna_fih,1,1))*(PI()*(fi_h/1000)^2/4)*SQRT(2*9.81*(O616/100-fi_h/2/1000))*1000))</f>
        <v>32.753170986301427</v>
      </c>
      <c r="Q616" s="19">
        <f ca="1">IF(O616="","",IF(Tipo_Vertedor="Retangular",IF(O616&lt;=cota_s*100,0,IF(Tipo_Vertedor="Retangular",Cd_sr*Lef_sr*((O616/100-cota_s)^(3/2))*1000)),IF(O616&lt;=cota_s*100+fi_s/20,0,(OFFSET('Base de dados'!$A$4,IF(O616&lt;20,1,IF(O616&gt;1000,10,MATCH(O616,Cargas,1))),Coluna_fis,1,1))*(PI()*(fi_s/1000)^2/4)*(2*9.81*(O616/100-cota_s-fi_s/2/1000))^0.5*1000)))</f>
        <v>996.68805800056521</v>
      </c>
      <c r="R616" s="19">
        <f t="shared" ca="1" si="127"/>
        <v>1029.4412289868667</v>
      </c>
      <c r="S616" s="19">
        <f t="shared" ca="1" si="129"/>
        <v>3278.0441314384234</v>
      </c>
    </row>
    <row r="617" spans="13:19">
      <c r="M617" s="81">
        <f t="shared" ca="1" si="128"/>
        <v>4317.4971609218828</v>
      </c>
      <c r="N617" s="19">
        <f t="shared" si="130"/>
        <v>98.521166762915286</v>
      </c>
      <c r="O617" s="17">
        <f t="shared" si="131"/>
        <v>154</v>
      </c>
      <c r="P617" s="19">
        <f ca="1">IF(ISERROR(IF(O617&lt;fi_h/20,0,(OFFSET('Base de dados'!$A$5,IF(O617&lt;20,1,IF(O617&gt;1000,10,MATCH(O617,Cargas,1))),Coluna_fih,1,1))*(1+0.13*0.25)*(PI()*(fi_h/1000)^2/4)*SQRT(2*9.81*(O617/100-fi_h/2/1000))*1000)),"",IF(O617&lt;fi_h/20,0,(OFFSET('Base de dados'!$A$5,IF(O617&lt;20,1,IF(O617&gt;1000,10,MATCH(O617,Cargas,1))),Coluna_fih,1,1))*(PI()*(fi_h/1000)^2/4)*SQRT(2*9.81*(O617/100-fi_h/2/1000))*1000))</f>
        <v>32.780801937398365</v>
      </c>
      <c r="Q617" s="19">
        <f ca="1">IF(O617="","",IF(Tipo_Vertedor="Retangular",IF(O617&lt;=cota_s*100,0,IF(Tipo_Vertedor="Retangular",Cd_sr*Lef_sr*((O617/100-cota_s)^(3/2))*1000)),IF(O617&lt;=cota_s*100+fi_s/20,0,(OFFSET('Base de dados'!$A$4,IF(O617&lt;20,1,IF(O617&gt;1000,10,MATCH(O617,Cargas,1))),Coluna_fis,1,1))*(PI()*(fi_s/1000)^2/4)*(2*9.81*(O617/100-cota_s-fi_s/2/1000))^0.5*1000)))</f>
        <v>1000.6774668873084</v>
      </c>
      <c r="R617" s="19">
        <f t="shared" ca="1" si="127"/>
        <v>1033.4582688247067</v>
      </c>
      <c r="S617" s="19">
        <f t="shared" ca="1" si="129"/>
        <v>3284.0388920971759</v>
      </c>
    </row>
    <row r="618" spans="13:19">
      <c r="M618" s="81">
        <f t="shared" ca="1" si="128"/>
        <v>4327.5154591973933</v>
      </c>
      <c r="N618" s="19">
        <f t="shared" si="130"/>
        <v>98.701045956204169</v>
      </c>
      <c r="O618" s="17">
        <f t="shared" si="131"/>
        <v>154.25</v>
      </c>
      <c r="P618" s="19">
        <f ca="1">IF(ISERROR(IF(O618&lt;fi_h/20,0,(OFFSET('Base de dados'!$A$5,IF(O618&lt;20,1,IF(O618&gt;1000,10,MATCH(O618,Cargas,1))),Coluna_fih,1,1))*(1+0.13*0.25)*(PI()*(fi_h/1000)^2/4)*SQRT(2*9.81*(O618/100-fi_h/2/1000))*1000)),"",IF(O618&lt;fi_h/20,0,(OFFSET('Base de dados'!$A$5,IF(O618&lt;20,1,IF(O618&gt;1000,10,MATCH(O618,Cargas,1))),Coluna_fih,1,1))*(PI()*(fi_h/1000)^2/4)*SQRT(2*9.81*(O618/100-fi_h/2/1000))*1000))</f>
        <v>32.808409617962035</v>
      </c>
      <c r="Q618" s="19">
        <f ca="1">IF(O618="","",IF(Tipo_Vertedor="Retangular",IF(O618&lt;=cota_s*100,0,IF(Tipo_Vertedor="Retangular",Cd_sr*Lef_sr*((O618/100-cota_s)^(3/2))*1000)),IF(O618&lt;=cota_s*100+fi_s/20,0,(OFFSET('Base de dados'!$A$4,IF(O618&lt;20,1,IF(O618&gt;1000,10,MATCH(O618,Cargas,1))),Coluna_fis,1,1))*(PI()*(fi_s/1000)^2/4)*(2*9.81*(O618/100-cota_s-fi_s/2/1000))^0.5*1000)))</f>
        <v>1004.6721843726255</v>
      </c>
      <c r="R618" s="19">
        <f t="shared" ca="1" si="127"/>
        <v>1037.4805939905875</v>
      </c>
      <c r="S618" s="19">
        <f t="shared" ca="1" si="129"/>
        <v>3290.0348652068055</v>
      </c>
    </row>
    <row r="619" spans="13:19">
      <c r="M619" s="81">
        <f t="shared" ca="1" si="128"/>
        <v>4337.5402465447951</v>
      </c>
      <c r="N619" s="19">
        <f t="shared" si="130"/>
        <v>98.880961471405811</v>
      </c>
      <c r="O619" s="17">
        <f t="shared" si="131"/>
        <v>154.5</v>
      </c>
      <c r="P619" s="19">
        <f ca="1">IF(ISERROR(IF(O619&lt;fi_h/20,0,(OFFSET('Base de dados'!$A$5,IF(O619&lt;20,1,IF(O619&gt;1000,10,MATCH(O619,Cargas,1))),Coluna_fih,1,1))*(1+0.13*0.25)*(PI()*(fi_h/1000)^2/4)*SQRT(2*9.81*(O619/100-fi_h/2/1000))*1000)),"",IF(O619&lt;fi_h/20,0,(OFFSET('Base de dados'!$A$5,IF(O619&lt;20,1,IF(O619&gt;1000,10,MATCH(O619,Cargas,1))),Coluna_fih,1,1))*(PI()*(fi_h/1000)^2/4)*SQRT(2*9.81*(O619/100-fi_h/2/1000))*1000))</f>
        <v>32.83599408668826</v>
      </c>
      <c r="Q619" s="19">
        <f ca="1">IF(O619="","",IF(Tipo_Vertedor="Retangular",IF(O619&lt;=cota_s*100,0,IF(Tipo_Vertedor="Retangular",Cd_sr*Lef_sr*((O619/100-cota_s)^(3/2))*1000)),IF(O619&lt;=cota_s*100+fi_s/20,0,(OFFSET('Base de dados'!$A$4,IF(O619&lt;20,1,IF(O619&gt;1000,10,MATCH(O619,Cargas,1))),Coluna_fis,1,1))*(PI()*(fi_s/1000)^2/4)*(2*9.81*(O619/100-cota_s-fi_s/2/1000))^0.5*1000)))</f>
        <v>1008.672203411247</v>
      </c>
      <c r="R619" s="19">
        <f t="shared" ca="1" si="127"/>
        <v>1041.5081974979353</v>
      </c>
      <c r="S619" s="19">
        <f t="shared" ca="1" si="129"/>
        <v>3296.0320490468603</v>
      </c>
    </row>
    <row r="620" spans="13:19">
      <c r="M620" s="81">
        <f t="shared" ca="1" si="128"/>
        <v>4347.5715142900171</v>
      </c>
      <c r="N620" s="19">
        <f t="shared" si="130"/>
        <v>99.060913257063305</v>
      </c>
      <c r="O620" s="17">
        <f t="shared" si="131"/>
        <v>154.75</v>
      </c>
      <c r="P620" s="19">
        <f ca="1">IF(ISERROR(IF(O620&lt;fi_h/20,0,(OFFSET('Base de dados'!$A$5,IF(O620&lt;20,1,IF(O620&gt;1000,10,MATCH(O620,Cargas,1))),Coluna_fih,1,1))*(1+0.13*0.25)*(PI()*(fi_h/1000)^2/4)*SQRT(2*9.81*(O620/100-fi_h/2/1000))*1000)),"",IF(O620&lt;fi_h/20,0,(OFFSET('Base de dados'!$A$5,IF(O620&lt;20,1,IF(O620&gt;1000,10,MATCH(O620,Cargas,1))),Coluna_fih,1,1))*(PI()*(fi_h/1000)^2/4)*SQRT(2*9.81*(O620/100-fi_h/2/1000))*1000))</f>
        <v>32.863555402026563</v>
      </c>
      <c r="Q620" s="19">
        <f ca="1">IF(O620="","",IF(Tipo_Vertedor="Retangular",IF(O620&lt;=cota_s*100,0,IF(Tipo_Vertedor="Retangular",Cd_sr*Lef_sr*((O620/100-cota_s)^(3/2))*1000)),IF(O620&lt;=cota_s*100+fi_s/20,0,(OFFSET('Base de dados'!$A$4,IF(O620&lt;20,1,IF(O620&gt;1000,10,MATCH(O620,Cargas,1))),Coluna_fis,1,1))*(PI()*(fi_s/1000)^2/4)*(2*9.81*(O620/100-cota_s-fi_s/2/1000))^0.5*1000)))</f>
        <v>1012.6775169858804</v>
      </c>
      <c r="R620" s="19">
        <f t="shared" ca="1" si="127"/>
        <v>1045.541072387907</v>
      </c>
      <c r="S620" s="19">
        <f t="shared" ca="1" si="129"/>
        <v>3302.0304419021104</v>
      </c>
    </row>
    <row r="621" spans="13:19">
      <c r="M621" s="81">
        <f t="shared" ca="1" si="128"/>
        <v>4357.6092537917266</v>
      </c>
      <c r="N621" s="19">
        <f t="shared" si="130"/>
        <v>99.240901261875663</v>
      </c>
      <c r="O621" s="17">
        <f t="shared" si="131"/>
        <v>155</v>
      </c>
      <c r="P621" s="19">
        <f ca="1">IF(ISERROR(IF(O621&lt;fi_h/20,0,(OFFSET('Base de dados'!$A$5,IF(O621&lt;20,1,IF(O621&gt;1000,10,MATCH(O621,Cargas,1))),Coluna_fih,1,1))*(1+0.13*0.25)*(PI()*(fi_h/1000)^2/4)*SQRT(2*9.81*(O621/100-fi_h/2/1000))*1000)),"",IF(O621&lt;fi_h/20,0,(OFFSET('Base de dados'!$A$5,IF(O621&lt;20,1,IF(O621&gt;1000,10,MATCH(O621,Cargas,1))),Coluna_fih,1,1))*(PI()*(fi_h/1000)^2/4)*SQRT(2*9.81*(O621/100-fi_h/2/1000))*1000))</f>
        <v>32.891093622181558</v>
      </c>
      <c r="Q621" s="19">
        <f ca="1">IF(O621="","",IF(Tipo_Vertedor="Retangular",IF(O621&lt;=cota_s*100,0,IF(Tipo_Vertedor="Retangular",Cd_sr*Lef_sr*((O621/100-cota_s)^(3/2))*1000)),IF(O621&lt;=cota_s*100+fi_s/20,0,(OFFSET('Base de dados'!$A$4,IF(O621&lt;20,1,IF(O621&gt;1000,10,MATCH(O621,Cargas,1))),Coluna_fis,1,1))*(PI()*(fi_s/1000)^2/4)*(2*9.81*(O621/100-cota_s-fi_s/2/1000))^0.5*1000)))</f>
        <v>1016.6881181070231</v>
      </c>
      <c r="R621" s="19">
        <f t="shared" ca="1" si="127"/>
        <v>1049.5792117292046</v>
      </c>
      <c r="S621" s="19">
        <f t="shared" ca="1" si="129"/>
        <v>3308.0300420625222</v>
      </c>
    </row>
    <row r="622" spans="13:19">
      <c r="M622" s="81">
        <f t="shared" ca="1" si="128"/>
        <v>4367.653456441134</v>
      </c>
      <c r="N622" s="19">
        <f t="shared" si="130"/>
        <v>99.420925434697111</v>
      </c>
      <c r="O622" s="17">
        <f t="shared" si="131"/>
        <v>155.25</v>
      </c>
      <c r="P622" s="19">
        <f ca="1">IF(ISERROR(IF(O622&lt;fi_h/20,0,(OFFSET('Base de dados'!$A$5,IF(O622&lt;20,1,IF(O622&gt;1000,10,MATCH(O622,Cargas,1))),Coluna_fih,1,1))*(1+0.13*0.25)*(PI()*(fi_h/1000)^2/4)*SQRT(2*9.81*(O622/100-fi_h/2/1000))*1000)),"",IF(O622&lt;fi_h/20,0,(OFFSET('Base de dados'!$A$5,IF(O622&lt;20,1,IF(O622&gt;1000,10,MATCH(O622,Cargas,1))),Coluna_fih,1,1))*(PI()*(fi_h/1000)^2/4)*SQRT(2*9.81*(O622/100-fi_h/2/1000))*1000))</f>
        <v>32.918608805114403</v>
      </c>
      <c r="Q622" s="19">
        <f ca="1">IF(O622="","",IF(Tipo_Vertedor="Retangular",IF(O622&lt;=cota_s*100,0,IF(Tipo_Vertedor="Retangular",Cd_sr*Lef_sr*((O622/100-cota_s)^(3/2))*1000)),IF(O622&lt;=cota_s*100+fi_s/20,0,(OFFSET('Base de dados'!$A$4,IF(O622&lt;20,1,IF(O622&gt;1000,10,MATCH(O622,Cargas,1))),Coluna_fis,1,1))*(PI()*(fi_s/1000)^2/4)*(2*9.81*(O622/100-cota_s-fi_s/2/1000))^0.5*1000)))</f>
        <v>1020.7039998127825</v>
      </c>
      <c r="R622" s="19">
        <f t="shared" ca="1" si="127"/>
        <v>1053.622608617897</v>
      </c>
      <c r="S622" s="19">
        <f t="shared" ca="1" si="129"/>
        <v>3314.0308478232373</v>
      </c>
    </row>
    <row r="623" spans="13:19">
      <c r="M623" s="81">
        <f t="shared" ca="1" si="128"/>
        <v>4377.70411366178</v>
      </c>
      <c r="N623" s="19">
        <f t="shared" si="130"/>
        <v>99.600985724536315</v>
      </c>
      <c r="O623" s="17">
        <f t="shared" si="131"/>
        <v>155.5</v>
      </c>
      <c r="P623" s="19">
        <f ca="1">IF(ISERROR(IF(O623&lt;fi_h/20,0,(OFFSET('Base de dados'!$A$5,IF(O623&lt;20,1,IF(O623&gt;1000,10,MATCH(O623,Cargas,1))),Coluna_fih,1,1))*(1+0.13*0.25)*(PI()*(fi_h/1000)^2/4)*SQRT(2*9.81*(O623/100-fi_h/2/1000))*1000)),"",IF(O623&lt;fi_h/20,0,(OFFSET('Base de dados'!$A$5,IF(O623&lt;20,1,IF(O623&gt;1000,10,MATCH(O623,Cargas,1))),Coluna_fih,1,1))*(PI()*(fi_h/1000)^2/4)*SQRT(2*9.81*(O623/100-fi_h/2/1000))*1000))</f>
        <v>32.946101008544211</v>
      </c>
      <c r="Q623" s="19">
        <f ca="1">IF(O623="","",IF(Tipo_Vertedor="Retangular",IF(O623&lt;=cota_s*100,0,IF(Tipo_Vertedor="Retangular",Cd_sr*Lef_sr*((O623/100-cota_s)^(3/2))*1000)),IF(O623&lt;=cota_s*100+fi_s/20,0,(OFFSET('Base de dados'!$A$4,IF(O623&lt;20,1,IF(O623&gt;1000,10,MATCH(O623,Cargas,1))),Coluna_fis,1,1))*(PI()*(fi_s/1000)^2/4)*(2*9.81*(O623/100-cota_s-fi_s/2/1000))^0.5*1000)))</f>
        <v>1024.725155168692</v>
      </c>
      <c r="R623" s="19">
        <f t="shared" ca="1" si="127"/>
        <v>1057.6712561772363</v>
      </c>
      <c r="S623" s="19">
        <f t="shared" ca="1" si="129"/>
        <v>3320.0328574845435</v>
      </c>
    </row>
    <row r="624" spans="13:19">
      <c r="M624" s="81">
        <f t="shared" ca="1" si="128"/>
        <v>4387.7612169093418</v>
      </c>
      <c r="N624" s="19">
        <f t="shared" si="130"/>
        <v>99.781082080555763</v>
      </c>
      <c r="O624" s="17">
        <f t="shared" si="131"/>
        <v>155.75</v>
      </c>
      <c r="P624" s="19">
        <f ca="1">IF(ISERROR(IF(O624&lt;fi_h/20,0,(OFFSET('Base de dados'!$A$5,IF(O624&lt;20,1,IF(O624&gt;1000,10,MATCH(O624,Cargas,1))),Coluna_fih,1,1))*(1+0.13*0.25)*(PI()*(fi_h/1000)^2/4)*SQRT(2*9.81*(O624/100-fi_h/2/1000))*1000)),"",IF(O624&lt;fi_h/20,0,(OFFSET('Base de dados'!$A$5,IF(O624&lt;20,1,IF(O624&gt;1000,10,MATCH(O624,Cargas,1))),Coluna_fih,1,1))*(PI()*(fi_h/1000)^2/4)*SQRT(2*9.81*(O624/100-fi_h/2/1000))*1000))</f>
        <v>32.973570289949514</v>
      </c>
      <c r="Q624" s="19">
        <f ca="1">IF(O624="","",IF(Tipo_Vertedor="Retangular",IF(O624&lt;=cota_s*100,0,IF(Tipo_Vertedor="Retangular",Cd_sr*Lef_sr*((O624/100-cota_s)^(3/2))*1000)),IF(O624&lt;=cota_s*100+fi_s/20,0,(OFFSET('Base de dados'!$A$4,IF(O624&lt;20,1,IF(O624&gt;1000,10,MATCH(O624,Cargas,1))),Coluna_fis,1,1))*(PI()*(fi_s/1000)^2/4)*(2*9.81*(O624/100-cota_s-fi_s/2/1000))^0.5*1000)))</f>
        <v>1028.7515772675335</v>
      </c>
      <c r="R624" s="19">
        <f t="shared" ca="1" si="127"/>
        <v>1061.7251475574831</v>
      </c>
      <c r="S624" s="19">
        <f t="shared" ca="1" si="129"/>
        <v>3326.0360693518587</v>
      </c>
    </row>
    <row r="625" spans="13:19">
      <c r="M625" s="81">
        <f t="shared" ca="1" si="128"/>
        <v>4397.8247576714248</v>
      </c>
      <c r="N625" s="19">
        <f t="shared" si="130"/>
        <v>99.961214452070948</v>
      </c>
      <c r="O625" s="17">
        <f t="shared" si="131"/>
        <v>156</v>
      </c>
      <c r="P625" s="19">
        <f ca="1">IF(ISERROR(IF(O625&lt;fi_h/20,0,(OFFSET('Base de dados'!$A$5,IF(O625&lt;20,1,IF(O625&gt;1000,10,MATCH(O625,Cargas,1))),Coluna_fih,1,1))*(1+0.13*0.25)*(PI()*(fi_h/1000)^2/4)*SQRT(2*9.81*(O625/100-fi_h/2/1000))*1000)),"",IF(O625&lt;fi_h/20,0,(OFFSET('Base de dados'!$A$5,IF(O625&lt;20,1,IF(O625&gt;1000,10,MATCH(O625,Cargas,1))),Coluna_fih,1,1))*(PI()*(fi_h/1000)^2/4)*SQRT(2*9.81*(O625/100-fi_h/2/1000))*1000))</f>
        <v>33.001016706569573</v>
      </c>
      <c r="Q625" s="19">
        <f ca="1">IF(O625="","",IF(Tipo_Vertedor="Retangular",IF(O625&lt;=cota_s*100,0,IF(Tipo_Vertedor="Retangular",Cd_sr*Lef_sr*((O625/100-cota_s)^(3/2))*1000)),IF(O625&lt;=cota_s*100+fi_s/20,0,(OFFSET('Base de dados'!$A$4,IF(O625&lt;20,1,IF(O625&gt;1000,10,MATCH(O625,Cargas,1))),Coluna_fis,1,1))*(PI()*(fi_s/1000)^2/4)*(2*9.81*(O625/100-cota_s-fi_s/2/1000))^0.5*1000)))</f>
        <v>1032.7832592291572</v>
      </c>
      <c r="R625" s="19">
        <f t="shared" ca="1" si="127"/>
        <v>1065.7842759357268</v>
      </c>
      <c r="S625" s="19">
        <f t="shared" ca="1" si="129"/>
        <v>3332.040481735698</v>
      </c>
    </row>
    <row r="626" spans="13:19">
      <c r="M626" s="81">
        <f t="shared" ca="1" si="128"/>
        <v>4407.8947274673692</v>
      </c>
      <c r="N626" s="19">
        <f t="shared" si="130"/>
        <v>100.14138278854969</v>
      </c>
      <c r="O626" s="17">
        <f t="shared" si="131"/>
        <v>156.25</v>
      </c>
      <c r="P626" s="19">
        <f ca="1">IF(ISERROR(IF(O626&lt;fi_h/20,0,(OFFSET('Base de dados'!$A$5,IF(O626&lt;20,1,IF(O626&gt;1000,10,MATCH(O626,Cargas,1))),Coluna_fih,1,1))*(1+0.13*0.25)*(PI()*(fi_h/1000)^2/4)*SQRT(2*9.81*(O626/100-fi_h/2/1000))*1000)),"",IF(O626&lt;fi_h/20,0,(OFFSET('Base de dados'!$A$5,IF(O626&lt;20,1,IF(O626&gt;1000,10,MATCH(O626,Cargas,1))),Coluna_fih,1,1))*(PI()*(fi_h/1000)^2/4)*SQRT(2*9.81*(O626/100-fi_h/2/1000))*1000))</f>
        <v>33.028440315405859</v>
      </c>
      <c r="Q626" s="19">
        <f ca="1">IF(O626="","",IF(Tipo_Vertedor="Retangular",IF(O626&lt;=cota_s*100,0,IF(Tipo_Vertedor="Retangular",Cd_sr*Lef_sr*((O626/100-cota_s)^(3/2))*1000)),IF(O626&lt;=cota_s*100+fi_s/20,0,(OFFSET('Base de dados'!$A$4,IF(O626&lt;20,1,IF(O626&gt;1000,10,MATCH(O626,Cargas,1))),Coluna_fis,1,1))*(PI()*(fi_s/1000)^2/4)*(2*9.81*(O626/100-cota_s-fi_s/2/1000))^0.5*1000)))</f>
        <v>1036.8201942003072</v>
      </c>
      <c r="R626" s="19">
        <f t="shared" ca="1" si="127"/>
        <v>1069.848634515713</v>
      </c>
      <c r="S626" s="19">
        <f t="shared" ca="1" si="129"/>
        <v>3338.0460929516562</v>
      </c>
    </row>
    <row r="627" spans="13:19">
      <c r="M627" s="81">
        <f t="shared" ca="1" si="128"/>
        <v>4417.9711178480538</v>
      </c>
      <c r="N627" s="19">
        <f t="shared" si="130"/>
        <v>100.32158703961153</v>
      </c>
      <c r="O627" s="17">
        <f t="shared" si="131"/>
        <v>156.5</v>
      </c>
      <c r="P627" s="19">
        <f ca="1">IF(ISERROR(IF(O627&lt;fi_h/20,0,(OFFSET('Base de dados'!$A$5,IF(O627&lt;20,1,IF(O627&gt;1000,10,MATCH(O627,Cargas,1))),Coluna_fih,1,1))*(1+0.13*0.25)*(PI()*(fi_h/1000)^2/4)*SQRT(2*9.81*(O627/100-fi_h/2/1000))*1000)),"",IF(O627&lt;fi_h/20,0,(OFFSET('Base de dados'!$A$5,IF(O627&lt;20,1,IF(O627&gt;1000,10,MATCH(O627,Cargas,1))),Coluna_fih,1,1))*(PI()*(fi_h/1000)^2/4)*SQRT(2*9.81*(O627/100-fi_h/2/1000))*1000))</f>
        <v>33.055841173223385</v>
      </c>
      <c r="Q627" s="19">
        <f ca="1">IF(O627="","",IF(Tipo_Vertedor="Retangular",IF(O627&lt;=cota_s*100,0,IF(Tipo_Vertedor="Retangular",Cd_sr*Lef_sr*((O627/100-cota_s)^(3/2))*1000)),IF(O627&lt;=cota_s*100+fi_s/20,0,(OFFSET('Base de dados'!$A$4,IF(O627&lt;20,1,IF(O627&gt;1000,10,MATCH(O627,Cargas,1))),Coluna_fis,1,1))*(PI()*(fi_s/1000)^2/4)*(2*9.81*(O627/100-cota_s-fi_s/2/1000))^0.5*1000)))</f>
        <v>1040.8623753544462</v>
      </c>
      <c r="R627" s="19">
        <f t="shared" ca="1" si="127"/>
        <v>1073.9182165276695</v>
      </c>
      <c r="S627" s="19">
        <f t="shared" ca="1" si="129"/>
        <v>3344.0529013203845</v>
      </c>
    </row>
    <row r="628" spans="13:19">
      <c r="M628" s="81">
        <f t="shared" ca="1" si="128"/>
        <v>4428.053920395696</v>
      </c>
      <c r="N628" s="19">
        <f t="shared" si="130"/>
        <v>100.50182715502687</v>
      </c>
      <c r="O628" s="17">
        <f t="shared" si="131"/>
        <v>156.75</v>
      </c>
      <c r="P628" s="19">
        <f ca="1">IF(ISERROR(IF(O628&lt;fi_h/20,0,(OFFSET('Base de dados'!$A$5,IF(O628&lt;20,1,IF(O628&gt;1000,10,MATCH(O628,Cargas,1))),Coluna_fih,1,1))*(1+0.13*0.25)*(PI()*(fi_h/1000)^2/4)*SQRT(2*9.81*(O628/100-fi_h/2/1000))*1000)),"",IF(O628&lt;fi_h/20,0,(OFFSET('Base de dados'!$A$5,IF(O628&lt;20,1,IF(O628&gt;1000,10,MATCH(O628,Cargas,1))),Coluna_fih,1,1))*(PI()*(fi_h/1000)^2/4)*SQRT(2*9.81*(O628/100-fi_h/2/1000))*1000))</f>
        <v>33.083219336552077</v>
      </c>
      <c r="Q628" s="19">
        <f ca="1">IF(O628="","",IF(Tipo_Vertedor="Retangular",IF(O628&lt;=cota_s*100,0,IF(Tipo_Vertedor="Retangular",Cd_sr*Lef_sr*((O628/100-cota_s)^(3/2))*1000)),IF(O628&lt;=cota_s*100+fi_s/20,0,(OFFSET('Base de dados'!$A$4,IF(O628&lt;20,1,IF(O628&gt;1000,10,MATCH(O628,Cargas,1))),Coluna_fis,1,1))*(PI()*(fi_s/1000)^2/4)*(2*9.81*(O628/100-cota_s-fi_s/2/1000))^0.5*1000)))</f>
        <v>1044.9097958915818</v>
      </c>
      <c r="R628" s="19">
        <f t="shared" ca="1" si="127"/>
        <v>1077.9930152281338</v>
      </c>
      <c r="S628" s="19">
        <f t="shared" ca="1" si="129"/>
        <v>3350.0609051675624</v>
      </c>
    </row>
    <row r="629" spans="13:19">
      <c r="M629" s="81">
        <f t="shared" ca="1" si="128"/>
        <v>4438.1431267236676</v>
      </c>
      <c r="N629" s="19">
        <f t="shared" si="130"/>
        <v>100.68210308471649</v>
      </c>
      <c r="O629" s="17">
        <f t="shared" si="131"/>
        <v>157</v>
      </c>
      <c r="P629" s="19">
        <f ca="1">IF(ISERROR(IF(O629&lt;fi_h/20,0,(OFFSET('Base de dados'!$A$5,IF(O629&lt;20,1,IF(O629&gt;1000,10,MATCH(O629,Cargas,1))),Coluna_fih,1,1))*(1+0.13*0.25)*(PI()*(fi_h/1000)^2/4)*SQRT(2*9.81*(O629/100-fi_h/2/1000))*1000)),"",IF(O629&lt;fi_h/20,0,(OFFSET('Base de dados'!$A$5,IF(O629&lt;20,1,IF(O629&gt;1000,10,MATCH(O629,Cargas,1))),Coluna_fih,1,1))*(PI()*(fi_h/1000)^2/4)*SQRT(2*9.81*(O629/100-fi_h/2/1000))*1000))</f>
        <v>33.110574861688171</v>
      </c>
      <c r="Q629" s="19">
        <f ca="1">IF(O629="","",IF(Tipo_Vertedor="Retangular",IF(O629&lt;=cota_s*100,0,IF(Tipo_Vertedor="Retangular",Cd_sr*Lef_sr*((O629/100-cota_s)^(3/2))*1000)),IF(O629&lt;=cota_s*100+fi_s/20,0,(OFFSET('Base de dados'!$A$4,IF(O629&lt;20,1,IF(O629&gt;1000,10,MATCH(O629,Cargas,1))),Coluna_fis,1,1))*(PI()*(fi_s/1000)^2/4)*(2*9.81*(O629/100-cota_s-fi_s/2/1000))^0.5*1000)))</f>
        <v>1048.9624490380959</v>
      </c>
      <c r="R629" s="19">
        <f t="shared" ca="1" si="127"/>
        <v>1082.0730238997839</v>
      </c>
      <c r="S629" s="19">
        <f t="shared" ca="1" si="129"/>
        <v>3356.0701028238832</v>
      </c>
    </row>
    <row r="630" spans="13:19">
      <c r="M630" s="81">
        <f t="shared" ca="1" si="128"/>
        <v>4448.238728476289</v>
      </c>
      <c r="N630" s="19">
        <f t="shared" si="130"/>
        <v>100.8624147787506</v>
      </c>
      <c r="O630" s="17">
        <f t="shared" si="131"/>
        <v>157.25</v>
      </c>
      <c r="P630" s="19">
        <f ca="1">IF(ISERROR(IF(O630&lt;fi_h/20,0,(OFFSET('Base de dados'!$A$5,IF(O630&lt;20,1,IF(O630&gt;1000,10,MATCH(O630,Cargas,1))),Coluna_fih,1,1))*(1+0.13*0.25)*(PI()*(fi_h/1000)^2/4)*SQRT(2*9.81*(O630/100-fi_h/2/1000))*1000)),"",IF(O630&lt;fi_h/20,0,(OFFSET('Base de dados'!$A$5,IF(O630&lt;20,1,IF(O630&gt;1000,10,MATCH(O630,Cargas,1))),Coluna_fih,1,1))*(PI()*(fi_h/1000)^2/4)*SQRT(2*9.81*(O630/100-fi_h/2/1000))*1000))</f>
        <v>33.137907804695502</v>
      </c>
      <c r="Q630" s="19">
        <f ca="1">IF(O630="","",IF(Tipo_Vertedor="Retangular",IF(O630&lt;=cota_s*100,0,IF(Tipo_Vertedor="Retangular",Cd_sr*Lef_sr*((O630/100-cota_s)^(3/2))*1000)),IF(O630&lt;=cota_s*100+fi_s/20,0,(OFFSET('Base de dados'!$A$4,IF(O630&lt;20,1,IF(O630&gt;1000,10,MATCH(O630,Cargas,1))),Coluna_fis,1,1))*(PI()*(fi_s/1000)^2/4)*(2*9.81*(O630/100-cota_s-fi_s/2/1000))^0.5*1000)))</f>
        <v>1053.0203280465732</v>
      </c>
      <c r="R630" s="19">
        <f t="shared" ref="R630:R658" ca="1" si="132">IF(O630="","",Q630+P630)</f>
        <v>1086.1582358512687</v>
      </c>
      <c r="S630" s="19">
        <f t="shared" ca="1" si="129"/>
        <v>3362.0804926250203</v>
      </c>
    </row>
    <row r="631" spans="13:19">
      <c r="M631" s="81">
        <f t="shared" ca="1" si="128"/>
        <v>4458.3407173286532</v>
      </c>
      <c r="N631" s="19">
        <f t="shared" si="130"/>
        <v>101.04276218734837</v>
      </c>
      <c r="O631" s="17">
        <f t="shared" si="131"/>
        <v>157.5</v>
      </c>
      <c r="P631" s="19">
        <f ca="1">IF(ISERROR(IF(O631&lt;fi_h/20,0,(OFFSET('Base de dados'!$A$5,IF(O631&lt;20,1,IF(O631&gt;1000,10,MATCH(O631,Cargas,1))),Coluna_fih,1,1))*(1+0.13*0.25)*(PI()*(fi_h/1000)^2/4)*SQRT(2*9.81*(O631/100-fi_h/2/1000))*1000)),"",IF(O631&lt;fi_h/20,0,(OFFSET('Base de dados'!$A$5,IF(O631&lt;20,1,IF(O631&gt;1000,10,MATCH(O631,Cargas,1))),Coluna_fih,1,1))*(PI()*(fi_h/1000)^2/4)*SQRT(2*9.81*(O631/100-fi_h/2/1000))*1000))</f>
        <v>33.165218221406924</v>
      </c>
      <c r="Q631" s="19">
        <f ca="1">IF(O631="","",IF(Tipo_Vertedor="Retangular",IF(O631&lt;=cota_s*100,0,IF(Tipo_Vertedor="Retangular",Cd_sr*Lef_sr*((O631/100-cota_s)^(3/2))*1000)),IF(O631&lt;=cota_s*100+fi_s/20,0,(OFFSET('Base de dados'!$A$4,IF(O631&lt;20,1,IF(O631&gt;1000,10,MATCH(O631,Cargas,1))),Coluna_fis,1,1))*(PI()*(fi_s/1000)^2/4)*(2*9.81*(O631/100-cota_s-fi_s/2/1000))^0.5*1000)))</f>
        <v>1057.0834261956338</v>
      </c>
      <c r="R631" s="19">
        <f t="shared" ca="1" si="132"/>
        <v>1090.2486444170409</v>
      </c>
      <c r="S631" s="19">
        <f t="shared" ca="1" si="129"/>
        <v>3368.0920729116124</v>
      </c>
    </row>
    <row r="632" spans="13:19">
      <c r="M632" s="81">
        <f t="shared" ca="1" si="128"/>
        <v>4468.4490849864324</v>
      </c>
      <c r="N632" s="19">
        <f t="shared" si="130"/>
        <v>101.22314526087719</v>
      </c>
      <c r="O632" s="17">
        <f t="shared" si="131"/>
        <v>157.75</v>
      </c>
      <c r="P632" s="19">
        <f ca="1">IF(ISERROR(IF(O632&lt;fi_h/20,0,(OFFSET('Base de dados'!$A$5,IF(O632&lt;20,1,IF(O632&gt;1000,10,MATCH(O632,Cargas,1))),Coluna_fih,1,1))*(1+0.13*0.25)*(PI()*(fi_h/1000)^2/4)*SQRT(2*9.81*(O632/100-fi_h/2/1000))*1000)),"",IF(O632&lt;fi_h/20,0,(OFFSET('Base de dados'!$A$5,IF(O632&lt;20,1,IF(O632&gt;1000,10,MATCH(O632,Cargas,1))),Coluna_fih,1,1))*(PI()*(fi_h/1000)^2/4)*SQRT(2*9.81*(O632/100-fi_h/2/1000))*1000))</f>
        <v>33.192506167425577</v>
      </c>
      <c r="Q632" s="19">
        <f ca="1">IF(O632="","",IF(Tipo_Vertedor="Retangular",IF(O632&lt;=cota_s*100,0,IF(Tipo_Vertedor="Retangular",Cd_sr*Lef_sr*((O632/100-cota_s)^(3/2))*1000)),IF(O632&lt;=cota_s*100+fi_s/20,0,(OFFSET('Base de dados'!$A$4,IF(O632&lt;20,1,IF(O632&gt;1000,10,MATCH(O632,Cargas,1))),Coluna_fis,1,1))*(PI()*(fi_s/1000)^2/4)*(2*9.81*(O632/100-cota_s-fi_s/2/1000))^0.5*1000)))</f>
        <v>1061.1517367897663</v>
      </c>
      <c r="R632" s="19">
        <f t="shared" ca="1" si="132"/>
        <v>1094.3442429571919</v>
      </c>
      <c r="S632" s="19">
        <f t="shared" ca="1" si="129"/>
        <v>3374.10484202924</v>
      </c>
    </row>
    <row r="633" spans="13:19">
      <c r="M633" s="81">
        <f t="shared" ca="1" si="128"/>
        <v>4478.5638231856865</v>
      </c>
      <c r="N633" s="19">
        <f t="shared" si="130"/>
        <v>101.40356394985196</v>
      </c>
      <c r="O633" s="17">
        <f t="shared" si="131"/>
        <v>158</v>
      </c>
      <c r="P633" s="19">
        <f ca="1">IF(ISERROR(IF(O633&lt;fi_h/20,0,(OFFSET('Base de dados'!$A$5,IF(O633&lt;20,1,IF(O633&gt;1000,10,MATCH(O633,Cargas,1))),Coluna_fih,1,1))*(1+0.13*0.25)*(PI()*(fi_h/1000)^2/4)*SQRT(2*9.81*(O633/100-fi_h/2/1000))*1000)),"",IF(O633&lt;fi_h/20,0,(OFFSET('Base de dados'!$A$5,IF(O633&lt;20,1,IF(O633&gt;1000,10,MATCH(O633,Cargas,1))),Coluna_fih,1,1))*(PI()*(fi_h/1000)^2/4)*SQRT(2*9.81*(O633/100-fi_h/2/1000))*1000))</f>
        <v>33.219771698126216</v>
      </c>
      <c r="Q633" s="19">
        <f ca="1">IF(O633="","",IF(Tipo_Vertedor="Retangular",IF(O633&lt;=cota_s*100,0,IF(Tipo_Vertedor="Retangular",Cd_sr*Lef_sr*((O633/100-cota_s)^(3/2))*1000)),IF(O633&lt;=cota_s*100+fi_s/20,0,(OFFSET('Base de dados'!$A$4,IF(O633&lt;20,1,IF(O633&gt;1000,10,MATCH(O633,Cargas,1))),Coluna_fis,1,1))*(PI()*(fi_s/1000)^2/4)*(2*9.81*(O633/100-cota_s-fi_s/2/1000))^0.5*1000)))</f>
        <v>1065.2252531591619</v>
      </c>
      <c r="R633" s="19">
        <f t="shared" ca="1" si="132"/>
        <v>1098.445024857288</v>
      </c>
      <c r="S633" s="19">
        <f t="shared" ca="1" si="129"/>
        <v>3380.1187983283985</v>
      </c>
    </row>
    <row r="634" spans="13:19">
      <c r="M634" s="81">
        <f t="shared" ca="1" si="128"/>
        <v>4488.6849236926855</v>
      </c>
      <c r="N634" s="19">
        <f t="shared" si="130"/>
        <v>101.58401820493438</v>
      </c>
      <c r="O634" s="17">
        <f t="shared" si="131"/>
        <v>158.25</v>
      </c>
      <c r="P634" s="19">
        <f ca="1">IF(ISERROR(IF(O634&lt;fi_h/20,0,(OFFSET('Base de dados'!$A$5,IF(O634&lt;20,1,IF(O634&gt;1000,10,MATCH(O634,Cargas,1))),Coluna_fih,1,1))*(1+0.13*0.25)*(PI()*(fi_h/1000)^2/4)*SQRT(2*9.81*(O634/100-fi_h/2/1000))*1000)),"",IF(O634&lt;fi_h/20,0,(OFFSET('Base de dados'!$A$5,IF(O634&lt;20,1,IF(O634&gt;1000,10,MATCH(O634,Cargas,1))),Coluna_fih,1,1))*(PI()*(fi_h/1000)^2/4)*SQRT(2*9.81*(O634/100-fi_h/2/1000))*1000))</f>
        <v>33.247014868656571</v>
      </c>
      <c r="Q634" s="19">
        <f ca="1">IF(O634="","",IF(Tipo_Vertedor="Retangular",IF(O634&lt;=cota_s*100,0,IF(Tipo_Vertedor="Retangular",Cd_sr*Lef_sr*((O634/100-cota_s)^(3/2))*1000)),IF(O634&lt;=cota_s*100+fi_s/20,0,(OFFSET('Base de dados'!$A$4,IF(O634&lt;20,1,IF(O634&gt;1000,10,MATCH(O634,Cargas,1))),Coluna_fis,1,1))*(PI()*(fi_s/1000)^2/4)*(2*9.81*(O634/100-cota_s-fi_s/2/1000))^0.5*1000)))</f>
        <v>1069.3039686595494</v>
      </c>
      <c r="R634" s="19">
        <f t="shared" ca="1" si="132"/>
        <v>1102.550983528206</v>
      </c>
      <c r="S634" s="19">
        <f t="shared" ca="1" si="129"/>
        <v>3386.1339401644796</v>
      </c>
    </row>
    <row r="635" spans="13:19">
      <c r="M635" s="81">
        <f t="shared" ca="1" si="128"/>
        <v>4498.8123783037217</v>
      </c>
      <c r="N635" s="19">
        <f t="shared" si="130"/>
        <v>101.76450797693244</v>
      </c>
      <c r="O635" s="17">
        <f t="shared" si="131"/>
        <v>158.5</v>
      </c>
      <c r="P635" s="19">
        <f ca="1">IF(ISERROR(IF(O635&lt;fi_h/20,0,(OFFSET('Base de dados'!$A$5,IF(O635&lt;20,1,IF(O635&gt;1000,10,MATCH(O635,Cargas,1))),Coluna_fih,1,1))*(1+0.13*0.25)*(PI()*(fi_h/1000)^2/4)*SQRT(2*9.81*(O635/100-fi_h/2/1000))*1000)),"",IF(O635&lt;fi_h/20,0,(OFFSET('Base de dados'!$A$5,IF(O635&lt;20,1,IF(O635&gt;1000,10,MATCH(O635,Cargas,1))),Coluna_fih,1,1))*(PI()*(fi_h/1000)^2/4)*SQRT(2*9.81*(O635/100-fi_h/2/1000))*1000))</f>
        <v>33.274235733938561</v>
      </c>
      <c r="Q635" s="19">
        <f ca="1">IF(O635="","",IF(Tipo_Vertedor="Retangular",IF(O635&lt;=cota_s*100,0,IF(Tipo_Vertedor="Retangular",Cd_sr*Lef_sr*((O635/100-cota_s)^(3/2))*1000)),IF(O635&lt;=cota_s*100+fi_s/20,0,(OFFSET('Base de dados'!$A$4,IF(O635&lt;20,1,IF(O635&gt;1000,10,MATCH(O635,Cargas,1))),Coluna_fis,1,1))*(PI()*(fi_s/1000)^2/4)*(2*9.81*(O635/100-cota_s-fi_s/2/1000))^0.5*1000)))</f>
        <v>1073.3878766720352</v>
      </c>
      <c r="R635" s="19">
        <f t="shared" ca="1" si="132"/>
        <v>1106.6621124059739</v>
      </c>
      <c r="S635" s="19">
        <f t="shared" ca="1" si="129"/>
        <v>3392.1502658977479</v>
      </c>
    </row>
    <row r="636" spans="13:19">
      <c r="M636" s="81">
        <f t="shared" ca="1" si="128"/>
        <v>4508.9461788449289</v>
      </c>
      <c r="N636" s="19">
        <f t="shared" si="130"/>
        <v>101.9450332167996</v>
      </c>
      <c r="O636" s="17">
        <f t="shared" si="131"/>
        <v>158.75</v>
      </c>
      <c r="P636" s="19">
        <f ca="1">IF(ISERROR(IF(O636&lt;fi_h/20,0,(OFFSET('Base de dados'!$A$5,IF(O636&lt;20,1,IF(O636&gt;1000,10,MATCH(O636,Cargas,1))),Coluna_fih,1,1))*(1+0.13*0.25)*(PI()*(fi_h/1000)^2/4)*SQRT(2*9.81*(O636/100-fi_h/2/1000))*1000)),"",IF(O636&lt;fi_h/20,0,(OFFSET('Base de dados'!$A$5,IF(O636&lt;20,1,IF(O636&gt;1000,10,MATCH(O636,Cargas,1))),Coluna_fih,1,1))*(PI()*(fi_h/1000)^2/4)*SQRT(2*9.81*(O636/100-fi_h/2/1000))*1000))</f>
        <v>33.30143434866968</v>
      </c>
      <c r="Q636" s="19">
        <f ca="1">IF(O636="","",IF(Tipo_Vertedor="Retangular",IF(O636&lt;=cota_s*100,0,IF(Tipo_Vertedor="Retangular",Cd_sr*Lef_sr*((O636/100-cota_s)^(3/2))*1000)),IF(O636&lt;=cota_s*100+fi_s/20,0,(OFFSET('Base de dados'!$A$4,IF(O636&lt;20,1,IF(O636&gt;1000,10,MATCH(O636,Cargas,1))),Coluna_fis,1,1))*(PI()*(fi_s/1000)^2/4)*(2*9.81*(O636/100-cota_s-fi_s/2/1000))^0.5*1000)))</f>
        <v>1077.4769706029394</v>
      </c>
      <c r="R636" s="19">
        <f t="shared" ca="1" si="132"/>
        <v>1110.7784049516092</v>
      </c>
      <c r="S636" s="19">
        <f t="shared" ca="1" si="129"/>
        <v>3398.1677738933199</v>
      </c>
    </row>
    <row r="637" spans="13:19">
      <c r="M637" s="81">
        <f t="shared" ca="1" si="128"/>
        <v>4519.086317172103</v>
      </c>
      <c r="N637" s="19">
        <f t="shared" si="130"/>
        <v>102.12559387563422</v>
      </c>
      <c r="O637" s="17">
        <f t="shared" si="131"/>
        <v>159</v>
      </c>
      <c r="P637" s="19">
        <f ca="1">IF(ISERROR(IF(O637&lt;fi_h/20,0,(OFFSET('Base de dados'!$A$5,IF(O637&lt;20,1,IF(O637&gt;1000,10,MATCH(O637,Cargas,1))),Coluna_fih,1,1))*(1+0.13*0.25)*(PI()*(fi_h/1000)^2/4)*SQRT(2*9.81*(O637/100-fi_h/2/1000))*1000)),"",IF(O637&lt;fi_h/20,0,(OFFSET('Base de dados'!$A$5,IF(O637&lt;20,1,IF(O637&gt;1000,10,MATCH(O637,Cargas,1))),Coluna_fih,1,1))*(PI()*(fi_h/1000)^2/4)*SQRT(2*9.81*(O637/100-fi_h/2/1000))*1000))</f>
        <v>33.328610767324221</v>
      </c>
      <c r="Q637" s="19">
        <f ca="1">IF(O637="","",IF(Tipo_Vertedor="Retangular",IF(O637&lt;=cota_s*100,0,IF(Tipo_Vertedor="Retangular",Cd_sr*Lef_sr*((O637/100-cota_s)^(3/2))*1000)),IF(O637&lt;=cota_s*100+fi_s/20,0,(OFFSET('Base de dados'!$A$4,IF(O637&lt;20,1,IF(O637&gt;1000,10,MATCH(O637,Cargas,1))),Coluna_fis,1,1))*(PI()*(fi_s/1000)^2/4)*(2*9.81*(O637/100-cota_s-fi_s/2/1000))^0.5*1000)))</f>
        <v>1081.5712438836383</v>
      </c>
      <c r="R637" s="19">
        <f t="shared" ca="1" si="132"/>
        <v>1114.8998546509624</v>
      </c>
      <c r="S637" s="19">
        <f t="shared" ca="1" si="129"/>
        <v>3404.1864625211406</v>
      </c>
    </row>
    <row r="638" spans="13:19">
      <c r="M638" s="81">
        <f t="shared" ca="1" si="128"/>
        <v>4529.2327851705204</v>
      </c>
      <c r="N638" s="19">
        <f t="shared" si="130"/>
        <v>102.30618990467886</v>
      </c>
      <c r="O638" s="17">
        <f t="shared" si="131"/>
        <v>159.25</v>
      </c>
      <c r="P638" s="19">
        <f ca="1">IF(ISERROR(IF(O638&lt;fi_h/20,0,(OFFSET('Base de dados'!$A$5,IF(O638&lt;20,1,IF(O638&gt;1000,10,MATCH(O638,Cargas,1))),Coluna_fih,1,1))*(1+0.13*0.25)*(PI()*(fi_h/1000)^2/4)*SQRT(2*9.81*(O638/100-fi_h/2/1000))*1000)),"",IF(O638&lt;fi_h/20,0,(OFFSET('Base de dados'!$A$5,IF(O638&lt;20,1,IF(O638&gt;1000,10,MATCH(O638,Cargas,1))),Coluna_fih,1,1))*(PI()*(fi_h/1000)^2/4)*SQRT(2*9.81*(O638/100-fi_h/2/1000))*1000))</f>
        <v>33.355765044154552</v>
      </c>
      <c r="Q638" s="19">
        <f ca="1">IF(O638="","",IF(Tipo_Vertedor="Retangular",IF(O638&lt;=cota_s*100,0,IF(Tipo_Vertedor="Retangular",Cd_sr*Lef_sr*((O638/100-cota_s)^(3/2))*1000)),IF(O638&lt;=cota_s*100+fi_s/20,0,(OFFSET('Base de dados'!$A$4,IF(O638&lt;20,1,IF(O638&gt;1000,10,MATCH(O638,Cargas,1))),Coluna_fis,1,1))*(PI()*(fi_s/1000)^2/4)*(2*9.81*(O638/100-cota_s-fi_s/2/1000))^0.5*1000)))</f>
        <v>1085.6706899704038</v>
      </c>
      <c r="R638" s="19">
        <f t="shared" ca="1" si="132"/>
        <v>1119.0264550145585</v>
      </c>
      <c r="S638" s="19">
        <f t="shared" ca="1" si="129"/>
        <v>3410.206330155962</v>
      </c>
    </row>
    <row r="639" spans="13:19">
      <c r="M639" s="81">
        <f t="shared" ca="1" si="128"/>
        <v>4539.3855747547623</v>
      </c>
      <c r="N639" s="19">
        <f t="shared" si="130"/>
        <v>102.48682125531963</v>
      </c>
      <c r="O639" s="17">
        <f t="shared" si="131"/>
        <v>159.5</v>
      </c>
      <c r="P639" s="19">
        <f ca="1">IF(ISERROR(IF(O639&lt;fi_h/20,0,(OFFSET('Base de dados'!$A$5,IF(O639&lt;20,1,IF(O639&gt;1000,10,MATCH(O639,Cargas,1))),Coluna_fih,1,1))*(1+0.13*0.25)*(PI()*(fi_h/1000)^2/4)*SQRT(2*9.81*(O639/100-fi_h/2/1000))*1000)),"",IF(O639&lt;fi_h/20,0,(OFFSET('Base de dados'!$A$5,IF(O639&lt;20,1,IF(O639&gt;1000,10,MATCH(O639,Cargas,1))),Coluna_fih,1,1))*(PI()*(fi_h/1000)^2/4)*SQRT(2*9.81*(O639/100-fi_h/2/1000))*1000))</f>
        <v>33.382897233192409</v>
      </c>
      <c r="Q639" s="19">
        <f ca="1">IF(O639="","",IF(Tipo_Vertedor="Retangular",IF(O639&lt;=cota_s*100,0,IF(Tipo_Vertedor="Retangular",Cd_sr*Lef_sr*((O639/100-cota_s)^(3/2))*1000)),IF(O639&lt;=cota_s*100+fi_s/20,0,(OFFSET('Base de dados'!$A$4,IF(O639&lt;20,1,IF(O639&gt;1000,10,MATCH(O639,Cargas,1))),Coluna_fis,1,1))*(PI()*(fi_s/1000)^2/4)*(2*9.81*(O639/100-cota_s-fi_s/2/1000))^0.5*1000)))</f>
        <v>1089.7753023442494</v>
      </c>
      <c r="R639" s="19">
        <f t="shared" ca="1" si="132"/>
        <v>1123.1581995774418</v>
      </c>
      <c r="S639" s="19">
        <f t="shared" ca="1" si="129"/>
        <v>3416.2273751773205</v>
      </c>
    </row>
    <row r="640" spans="13:19">
      <c r="M640" s="81">
        <f t="shared" ca="1" si="128"/>
        <v>4549.54467786854</v>
      </c>
      <c r="N640" s="19">
        <f t="shared" si="130"/>
        <v>102.66748787908556</v>
      </c>
      <c r="O640" s="17">
        <f t="shared" si="131"/>
        <v>159.75</v>
      </c>
      <c r="P640" s="19">
        <f ca="1">IF(ISERROR(IF(O640&lt;fi_h/20,0,(OFFSET('Base de dados'!$A$5,IF(O640&lt;20,1,IF(O640&gt;1000,10,MATCH(O640,Cargas,1))),Coluna_fih,1,1))*(1+0.13*0.25)*(PI()*(fi_h/1000)^2/4)*SQRT(2*9.81*(O640/100-fi_h/2/1000))*1000)),"",IF(O640&lt;fi_h/20,0,(OFFSET('Base de dados'!$A$5,IF(O640&lt;20,1,IF(O640&gt;1000,10,MATCH(O640,Cargas,1))),Coluna_fih,1,1))*(PI()*(fi_h/1000)^2/4)*SQRT(2*9.81*(O640/100-fi_h/2/1000))*1000))</f>
        <v>33.410007388250129</v>
      </c>
      <c r="Q640" s="19">
        <f ca="1">IF(O640="","",IF(Tipo_Vertedor="Retangular",IF(O640&lt;=cota_s*100,0,IF(Tipo_Vertedor="Retangular",Cd_sr*Lef_sr*((O640/100-cota_s)^(3/2))*1000)),IF(O640&lt;=cota_s*100+fi_s/20,0,(OFFSET('Base de dados'!$A$4,IF(O640&lt;20,1,IF(O640&gt;1000,10,MATCH(O640,Cargas,1))),Coluna_fis,1,1))*(PI()*(fi_s/1000)^2/4)*(2*9.81*(O640/100-cota_s-fi_s/2/1000))^0.5*1000)))</f>
        <v>1093.885074510772</v>
      </c>
      <c r="R640" s="19">
        <f t="shared" ca="1" si="132"/>
        <v>1127.2950818990221</v>
      </c>
      <c r="S640" s="19">
        <f t="shared" ca="1" si="129"/>
        <v>3422.2495959695184</v>
      </c>
    </row>
    <row r="641" spans="13:19">
      <c r="M641" s="81">
        <f t="shared" ca="1" si="128"/>
        <v>4559.7100864845215</v>
      </c>
      <c r="N641" s="19">
        <f t="shared" si="130"/>
        <v>102.84818972764801</v>
      </c>
      <c r="O641" s="17">
        <f t="shared" si="131"/>
        <v>160</v>
      </c>
      <c r="P641" s="19">
        <f ca="1">IF(ISERROR(IF(O641&lt;fi_h/20,0,(OFFSET('Base de dados'!$A$5,IF(O641&lt;20,1,IF(O641&gt;1000,10,MATCH(O641,Cargas,1))),Coluna_fih,1,1))*(1+0.13*0.25)*(PI()*(fi_h/1000)^2/4)*SQRT(2*9.81*(O641/100-fi_h/2/1000))*1000)),"",IF(O641&lt;fi_h/20,0,(OFFSET('Base de dados'!$A$5,IF(O641&lt;20,1,IF(O641&gt;1000,10,MATCH(O641,Cargas,1))),Coluna_fih,1,1))*(PI()*(fi_h/1000)^2/4)*SQRT(2*9.81*(O641/100-fi_h/2/1000))*1000))</f>
        <v>33.437095562921904</v>
      </c>
      <c r="Q641" s="19">
        <f ca="1">IF(O641="","",IF(Tipo_Vertedor="Retangular",IF(O641&lt;=cota_s*100,0,IF(Tipo_Vertedor="Retangular",Cd_sr*Lef_sr*((O641/100-cota_s)^(3/2))*1000)),IF(O641&lt;=cota_s*100+fi_s/20,0,(OFFSET('Base de dados'!$A$4,IF(O641&lt;20,1,IF(O641&gt;1000,10,MATCH(O641,Cargas,1))),Coluna_fis,1,1))*(PI()*(fi_s/1000)^2/4)*(2*9.81*(O641/100-cota_s-fi_s/2/1000))^0.5*1000)))</f>
        <v>1098</v>
      </c>
      <c r="R641" s="19">
        <f t="shared" ca="1" si="132"/>
        <v>1131.437095562922</v>
      </c>
      <c r="S641" s="19">
        <f t="shared" ca="1" si="129"/>
        <v>3428.2729909216</v>
      </c>
    </row>
    <row r="642" spans="13:19">
      <c r="M642" s="81">
        <f t="shared" ca="1" si="128"/>
        <v>4569.881792604152</v>
      </c>
      <c r="N642" s="19">
        <f t="shared" si="130"/>
        <v>103.02892675281986</v>
      </c>
      <c r="O642" s="17">
        <f t="shared" si="131"/>
        <v>160.25</v>
      </c>
      <c r="P642" s="19">
        <f ca="1">IF(ISERROR(IF(O642&lt;fi_h/20,0,(OFFSET('Base de dados'!$A$5,IF(O642&lt;20,1,IF(O642&gt;1000,10,MATCH(O642,Cargas,1))),Coluna_fih,1,1))*(1+0.13*0.25)*(PI()*(fi_h/1000)^2/4)*SQRT(2*9.81*(O642/100-fi_h/2/1000))*1000)),"",IF(O642&lt;fi_h/20,0,(OFFSET('Base de dados'!$A$5,IF(O642&lt;20,1,IF(O642&gt;1000,10,MATCH(O642,Cargas,1))),Coluna_fih,1,1))*(PI()*(fi_h/1000)^2/4)*SQRT(2*9.81*(O642/100-fi_h/2/1000))*1000))</f>
        <v>33.46416181058499</v>
      </c>
      <c r="Q642" s="19">
        <f ca="1">IF(O642="","",IF(Tipo_Vertedor="Retangular",IF(O642&lt;=cota_s*100,0,IF(Tipo_Vertedor="Retangular",Cd_sr*Lef_sr*((O642/100-cota_s)^(3/2))*1000)),IF(O642&lt;=cota_s*100+fi_s/20,0,(OFFSET('Base de dados'!$A$4,IF(O642&lt;20,1,IF(O642&gt;1000,10,MATCH(O642,Cargas,1))),Coluna_fis,1,1))*(PI()*(fi_s/1000)^2/4)*(2*9.81*(O642/100-cota_s-fi_s/2/1000))^0.5*1000)))</f>
        <v>1102.1200723662382</v>
      </c>
      <c r="R642" s="19">
        <f t="shared" ca="1" si="132"/>
        <v>1135.5842341768232</v>
      </c>
      <c r="S642" s="19">
        <f t="shared" ca="1" si="129"/>
        <v>3434.2975584273286</v>
      </c>
    </row>
    <row r="643" spans="13:19">
      <c r="M643" s="81">
        <f t="shared" ca="1" si="128"/>
        <v>4580.0597882574903</v>
      </c>
      <c r="N643" s="19">
        <f t="shared" si="130"/>
        <v>103.2096989065551</v>
      </c>
      <c r="O643" s="17">
        <f t="shared" si="131"/>
        <v>160.5</v>
      </c>
      <c r="P643" s="19">
        <f ca="1">IF(ISERROR(IF(O643&lt;fi_h/20,0,(OFFSET('Base de dados'!$A$5,IF(O643&lt;20,1,IF(O643&gt;1000,10,MATCH(O643,Cargas,1))),Coluna_fih,1,1))*(1+0.13*0.25)*(PI()*(fi_h/1000)^2/4)*SQRT(2*9.81*(O643/100-fi_h/2/1000))*1000)),"",IF(O643&lt;fi_h/20,0,(OFFSET('Base de dados'!$A$5,IF(O643&lt;20,1,IF(O643&gt;1000,10,MATCH(O643,Cargas,1))),Coluna_fih,1,1))*(PI()*(fi_h/1000)^2/4)*SQRT(2*9.81*(O643/100-fi_h/2/1000))*1000))</f>
        <v>33.491206184400973</v>
      </c>
      <c r="Q643" s="19">
        <f ca="1">IF(O643="","",IF(Tipo_Vertedor="Retangular",IF(O643&lt;=cota_s*100,0,IF(Tipo_Vertedor="Retangular",Cd_sr*Lef_sr*((O643/100-cota_s)^(3/2))*1000)),IF(O643&lt;=cota_s*100+fi_s/20,0,(OFFSET('Base de dados'!$A$4,IF(O643&lt;20,1,IF(O643&gt;1000,10,MATCH(O643,Cargas,1))),Coluna_fis,1,1))*(PI()*(fi_s/1000)^2/4)*(2*9.81*(O643/100-cota_s-fi_s/2/1000))^0.5*1000)))</f>
        <v>1106.2452851879189</v>
      </c>
      <c r="R643" s="19">
        <f t="shared" ca="1" si="132"/>
        <v>1139.7364913723197</v>
      </c>
      <c r="S643" s="19">
        <f t="shared" ca="1" si="129"/>
        <v>3440.3232968851703</v>
      </c>
    </row>
    <row r="644" spans="13:19">
      <c r="M644" s="81">
        <f t="shared" ca="1" si="128"/>
        <v>4590.2440655030341</v>
      </c>
      <c r="N644" s="19">
        <f t="shared" si="130"/>
        <v>103.39050614094803</v>
      </c>
      <c r="O644" s="17">
        <f t="shared" si="131"/>
        <v>160.75</v>
      </c>
      <c r="P644" s="19">
        <f ca="1">IF(ISERROR(IF(O644&lt;fi_h/20,0,(OFFSET('Base de dados'!$A$5,IF(O644&lt;20,1,IF(O644&gt;1000,10,MATCH(O644,Cargas,1))),Coluna_fih,1,1))*(1+0.13*0.25)*(PI()*(fi_h/1000)^2/4)*SQRT(2*9.81*(O644/100-fi_h/2/1000))*1000)),"",IF(O644&lt;fi_h/20,0,(OFFSET('Base de dados'!$A$5,IF(O644&lt;20,1,IF(O644&gt;1000,10,MATCH(O644,Cargas,1))),Coluna_fih,1,1))*(PI()*(fi_h/1000)^2/4)*SQRT(2*9.81*(O644/100-fi_h/2/1000))*1000))</f>
        <v>33.51822873731696</v>
      </c>
      <c r="Q644" s="19">
        <f ca="1">IF(O644="","",IF(Tipo_Vertedor="Retangular",IF(O644&lt;=cota_s*100,0,IF(Tipo_Vertedor="Retangular",Cd_sr*Lef_sr*((O644/100-cota_s)^(3/2))*1000)),IF(O644&lt;=cota_s*100+fi_s/20,0,(OFFSET('Base de dados'!$A$4,IF(O644&lt;20,1,IF(O644&gt;1000,10,MATCH(O644,Cargas,1))),Coluna_fis,1,1))*(PI()*(fi_s/1000)^2/4)*(2*9.81*(O644/100-cota_s-fi_s/2/1000))^0.5*1000)))</f>
        <v>1110.3756320674493</v>
      </c>
      <c r="R644" s="19">
        <f t="shared" ca="1" si="132"/>
        <v>1143.8938608047663</v>
      </c>
      <c r="S644" s="19">
        <f t="shared" ca="1" si="129"/>
        <v>3446.350204698268</v>
      </c>
    </row>
    <row r="645" spans="13:19">
      <c r="M645" s="81">
        <f t="shared" ref="M645:M708" ca="1" si="133">IF(O645="","",2*N645*1000/(Passo*60)+R645)</f>
        <v>4600.4346164275566</v>
      </c>
      <c r="N645" s="19">
        <f t="shared" si="130"/>
        <v>103.57134840823274</v>
      </c>
      <c r="O645" s="17">
        <f t="shared" si="131"/>
        <v>161</v>
      </c>
      <c r="P645" s="19">
        <f ca="1">IF(ISERROR(IF(O645&lt;fi_h/20,0,(OFFSET('Base de dados'!$A$5,IF(O645&lt;20,1,IF(O645&gt;1000,10,MATCH(O645,Cargas,1))),Coluna_fih,1,1))*(1+0.13*0.25)*(PI()*(fi_h/1000)^2/4)*SQRT(2*9.81*(O645/100-fi_h/2/1000))*1000)),"",IF(O645&lt;fi_h/20,0,(OFFSET('Base de dados'!$A$5,IF(O645&lt;20,1,IF(O645&gt;1000,10,MATCH(O645,Cargas,1))),Coluna_fih,1,1))*(PI()*(fi_h/1000)^2/4)*SQRT(2*9.81*(O645/100-fi_h/2/1000))*1000))</f>
        <v>33.545229522066833</v>
      </c>
      <c r="Q645" s="19">
        <f ca="1">IF(O645="","",IF(Tipo_Vertedor="Retangular",IF(O645&lt;=cota_s*100,0,IF(Tipo_Vertedor="Retangular",Cd_sr*Lef_sr*((O645/100-cota_s)^(3/2))*1000)),IF(O645&lt;=cota_s*100+fi_s/20,0,(OFFSET('Base de dados'!$A$4,IF(O645&lt;20,1,IF(O645&gt;1000,10,MATCH(O645,Cargas,1))),Coluna_fis,1,1))*(PI()*(fi_s/1000)^2/4)*(2*9.81*(O645/100-cota_s-fi_s/2/1000))^0.5*1000)))</f>
        <v>1114.5111066310651</v>
      </c>
      <c r="R645" s="19">
        <f t="shared" ca="1" si="132"/>
        <v>1148.056336153132</v>
      </c>
      <c r="S645" s="19">
        <f t="shared" ref="S645:S708" ca="1" si="134">IF(M645="","",2*N645*1000/(Passo*60))</f>
        <v>3452.3782802744245</v>
      </c>
    </row>
    <row r="646" spans="13:19">
      <c r="M646" s="81">
        <f t="shared" ca="1" si="133"/>
        <v>4610.6314331459289</v>
      </c>
      <c r="N646" s="19">
        <f t="shared" ref="N646:N709" si="135">IF(O646="","",b_0*(O646/100)^c_0)</f>
        <v>103.75222566078232</v>
      </c>
      <c r="O646" s="17">
        <f t="shared" ref="O646:O658" si="136">IF(ISERROR(IF(O645+passo_altura&gt;h_max_puls*100,"",O645+passo_altura)),"",IF(O645+passo_altura&gt;h_max_puls*100,"",O645+passo_altura))</f>
        <v>161.25</v>
      </c>
      <c r="P646" s="19">
        <f ca="1">IF(ISERROR(IF(O646&lt;fi_h/20,0,(OFFSET('Base de dados'!$A$5,IF(O646&lt;20,1,IF(O646&gt;1000,10,MATCH(O646,Cargas,1))),Coluna_fih,1,1))*(1+0.13*0.25)*(PI()*(fi_h/1000)^2/4)*SQRT(2*9.81*(O646/100-fi_h/2/1000))*1000)),"",IF(O646&lt;fi_h/20,0,(OFFSET('Base de dados'!$A$5,IF(O646&lt;20,1,IF(O646&gt;1000,10,MATCH(O646,Cargas,1))),Coluna_fih,1,1))*(PI()*(fi_h/1000)^2/4)*SQRT(2*9.81*(O646/100-fi_h/2/1000))*1000))</f>
        <v>33.572208591172348</v>
      </c>
      <c r="Q646" s="19">
        <f ca="1">IF(O646="","",IF(Tipo_Vertedor="Retangular",IF(O646&lt;=cota_s*100,0,IF(Tipo_Vertedor="Retangular",Cd_sr*Lef_sr*((O646/100-cota_s)^(3/2))*1000)),IF(O646&lt;=cota_s*100+fi_s/20,0,(OFFSET('Base de dados'!$A$4,IF(O646&lt;20,1,IF(O646&gt;1000,10,MATCH(O646,Cargas,1))),Coluna_fis,1,1))*(PI()*(fi_s/1000)^2/4)*(2*9.81*(O646/100-cota_s-fi_s/2/1000))^0.5*1000)))</f>
        <v>1118.6517025286796</v>
      </c>
      <c r="R646" s="19">
        <f t="shared" ca="1" si="132"/>
        <v>1152.2239111198519</v>
      </c>
      <c r="S646" s="19">
        <f t="shared" ca="1" si="134"/>
        <v>3458.4075220260775</v>
      </c>
    </row>
    <row r="647" spans="13:19">
      <c r="M647" s="81">
        <f t="shared" ca="1" si="133"/>
        <v>4620.8345078009688</v>
      </c>
      <c r="N647" s="19">
        <f t="shared" si="135"/>
        <v>103.93313785110848</v>
      </c>
      <c r="O647" s="17">
        <f t="shared" si="136"/>
        <v>161.5</v>
      </c>
      <c r="P647" s="19">
        <f ca="1">IF(ISERROR(IF(O647&lt;fi_h/20,0,(OFFSET('Base de dados'!$A$5,IF(O647&lt;20,1,IF(O647&gt;1000,10,MATCH(O647,Cargas,1))),Coluna_fih,1,1))*(1+0.13*0.25)*(PI()*(fi_h/1000)^2/4)*SQRT(2*9.81*(O647/100-fi_h/2/1000))*1000)),"",IF(O647&lt;fi_h/20,0,(OFFSET('Base de dados'!$A$5,IF(O647&lt;20,1,IF(O647&gt;1000,10,MATCH(O647,Cargas,1))),Coluna_fih,1,1))*(PI()*(fi_h/1000)^2/4)*SQRT(2*9.81*(O647/100-fi_h/2/1000))*1000))</f>
        <v>33.599165996944471</v>
      </c>
      <c r="Q647" s="19">
        <f ca="1">IF(O647="","",IF(Tipo_Vertedor="Retangular",IF(O647&lt;=cota_s*100,0,IF(Tipo_Vertedor="Retangular",Cd_sr*Lef_sr*((O647/100-cota_s)^(3/2))*1000)),IF(O647&lt;=cota_s*100+fi_s/20,0,(OFFSET('Base de dados'!$A$4,IF(O647&lt;20,1,IF(O647&gt;1000,10,MATCH(O647,Cargas,1))),Coluna_fis,1,1))*(PI()*(fi_s/1000)^2/4)*(2*9.81*(O647/100-cota_s-fi_s/2/1000))^0.5*1000)))</f>
        <v>1122.7974134337417</v>
      </c>
      <c r="R647" s="19">
        <f t="shared" ca="1" si="132"/>
        <v>1156.3965794306862</v>
      </c>
      <c r="S647" s="19">
        <f t="shared" ca="1" si="134"/>
        <v>3464.4379283702824</v>
      </c>
    </row>
    <row r="648" spans="13:19">
      <c r="M648" s="81">
        <f t="shared" ca="1" si="133"/>
        <v>4631.0438325632649</v>
      </c>
      <c r="N648" s="19">
        <f t="shared" si="135"/>
        <v>104.11408493186077</v>
      </c>
      <c r="O648" s="17">
        <f t="shared" si="136"/>
        <v>161.75</v>
      </c>
      <c r="P648" s="19">
        <f ca="1">IF(ISERROR(IF(O648&lt;fi_h/20,0,(OFFSET('Base de dados'!$A$5,IF(O648&lt;20,1,IF(O648&gt;1000,10,MATCH(O648,Cargas,1))),Coluna_fih,1,1))*(1+0.13*0.25)*(PI()*(fi_h/1000)^2/4)*SQRT(2*9.81*(O648/100-fi_h/2/1000))*1000)),"",IF(O648&lt;fi_h/20,0,(OFFSET('Base de dados'!$A$5,IF(O648&lt;20,1,IF(O648&gt;1000,10,MATCH(O648,Cargas,1))),Coluna_fih,1,1))*(PI()*(fi_h/1000)^2/4)*SQRT(2*9.81*(O648/100-fi_h/2/1000))*1000))</f>
        <v>33.62610179148443</v>
      </c>
      <c r="Q648" s="19">
        <f ca="1">IF(O648="","",IF(Tipo_Vertedor="Retangular",IF(O648&lt;=cota_s*100,0,IF(Tipo_Vertedor="Retangular",Cd_sr*Lef_sr*((O648/100-cota_s)^(3/2))*1000)),IF(O648&lt;=cota_s*100+fi_s/20,0,(OFFSET('Base de dados'!$A$4,IF(O648&lt;20,1,IF(O648&gt;1000,10,MATCH(O648,Cargas,1))),Coluna_fis,1,1))*(PI()*(fi_s/1000)^2/4)*(2*9.81*(O648/100-cota_s-fi_s/2/1000))^0.5*1000)))</f>
        <v>1126.9482330430878</v>
      </c>
      <c r="R648" s="19">
        <f t="shared" ca="1" si="132"/>
        <v>1160.5743348345723</v>
      </c>
      <c r="S648" s="19">
        <f t="shared" ca="1" si="134"/>
        <v>3470.4694977286927</v>
      </c>
    </row>
    <row r="649" spans="13:19">
      <c r="M649" s="81">
        <f t="shared" ca="1" si="133"/>
        <v>4641.2593996310179</v>
      </c>
      <c r="N649" s="19">
        <f t="shared" si="135"/>
        <v>104.29506685582599</v>
      </c>
      <c r="O649" s="17">
        <f t="shared" si="136"/>
        <v>162</v>
      </c>
      <c r="P649" s="19">
        <f ca="1">IF(ISERROR(IF(O649&lt;fi_h/20,0,(OFFSET('Base de dados'!$A$5,IF(O649&lt;20,1,IF(O649&gt;1000,10,MATCH(O649,Cargas,1))),Coluna_fih,1,1))*(1+0.13*0.25)*(PI()*(fi_h/1000)^2/4)*SQRT(2*9.81*(O649/100-fi_h/2/1000))*1000)),"",IF(O649&lt;fi_h/20,0,(OFFSET('Base de dados'!$A$5,IF(O649&lt;20,1,IF(O649&gt;1000,10,MATCH(O649,Cargas,1))),Coluna_fih,1,1))*(PI()*(fi_h/1000)^2/4)*SQRT(2*9.81*(O649/100-fi_h/2/1000))*1000))</f>
        <v>33.653016026684966</v>
      </c>
      <c r="Q649" s="19">
        <f ca="1">IF(O649="","",IF(Tipo_Vertedor="Retangular",IF(O649&lt;=cota_s*100,0,IF(Tipo_Vertedor="Retangular",Cd_sr*Lef_sr*((O649/100-cota_s)^(3/2))*1000)),IF(O649&lt;=cota_s*100+fi_s/20,0,(OFFSET('Base de dados'!$A$4,IF(O649&lt;20,1,IF(O649&gt;1000,10,MATCH(O649,Cargas,1))),Coluna_fis,1,1))*(PI()*(fi_s/1000)^2/4)*(2*9.81*(O649/100-cota_s-fi_s/2/1000))^0.5*1000)))</f>
        <v>1131.1041550767995</v>
      </c>
      <c r="R649" s="19">
        <f t="shared" ca="1" si="132"/>
        <v>1164.7571711034846</v>
      </c>
      <c r="S649" s="19">
        <f t="shared" ca="1" si="134"/>
        <v>3476.5022285275331</v>
      </c>
    </row>
    <row r="650" spans="13:19">
      <c r="M650" s="81">
        <f t="shared" ca="1" si="133"/>
        <v>4651.4812012298771</v>
      </c>
      <c r="N650" s="19">
        <f t="shared" si="135"/>
        <v>104.47608357592757</v>
      </c>
      <c r="O650" s="17">
        <f t="shared" si="136"/>
        <v>162.25</v>
      </c>
      <c r="P650" s="19">
        <f ca="1">IF(ISERROR(IF(O650&lt;fi_h/20,0,(OFFSET('Base de dados'!$A$5,IF(O650&lt;20,1,IF(O650&gt;1000,10,MATCH(O650,Cargas,1))),Coluna_fih,1,1))*(1+0.13*0.25)*(PI()*(fi_h/1000)^2/4)*SQRT(2*9.81*(O650/100-fi_h/2/1000))*1000)),"",IF(O650&lt;fi_h/20,0,(OFFSET('Base de dados'!$A$5,IF(O650&lt;20,1,IF(O650&gt;1000,10,MATCH(O650,Cargas,1))),Coluna_fih,1,1))*(PI()*(fi_h/1000)^2/4)*SQRT(2*9.81*(O650/100-fi_h/2/1000))*1000))</f>
        <v>33.679908754231484</v>
      </c>
      <c r="Q650" s="19">
        <f ca="1">IF(O650="","",IF(Tipo_Vertedor="Retangular",IF(O650&lt;=cota_s*100,0,IF(Tipo_Vertedor="Retangular",Cd_sr*Lef_sr*((O650/100-cota_s)^(3/2))*1000)),IF(O650&lt;=cota_s*100+fi_s/20,0,(OFFSET('Base de dados'!$A$4,IF(O650&lt;20,1,IF(O650&gt;1000,10,MATCH(O650,Cargas,1))),Coluna_fis,1,1))*(PI()*(fi_s/1000)^2/4)*(2*9.81*(O650/100-cota_s-fi_s/2/1000))^0.5*1000)))</f>
        <v>1135.2651732780596</v>
      </c>
      <c r="R650" s="19">
        <f t="shared" ca="1" si="132"/>
        <v>1168.9450820322911</v>
      </c>
      <c r="S650" s="19">
        <f t="shared" ca="1" si="134"/>
        <v>3482.5361191975858</v>
      </c>
    </row>
    <row r="651" spans="13:19">
      <c r="M651" s="81">
        <f t="shared" ca="1" si="133"/>
        <v>4661.7092296127848</v>
      </c>
      <c r="N651" s="19">
        <f t="shared" si="135"/>
        <v>104.65713504522506</v>
      </c>
      <c r="O651" s="17">
        <f t="shared" si="136"/>
        <v>162.5</v>
      </c>
      <c r="P651" s="19">
        <f ca="1">IF(ISERROR(IF(O651&lt;fi_h/20,0,(OFFSET('Base de dados'!$A$5,IF(O651&lt;20,1,IF(O651&gt;1000,10,MATCH(O651,Cargas,1))),Coluna_fih,1,1))*(1+0.13*0.25)*(PI()*(fi_h/1000)^2/4)*SQRT(2*9.81*(O651/100-fi_h/2/1000))*1000)),"",IF(O651&lt;fi_h/20,0,(OFFSET('Base de dados'!$A$5,IF(O651&lt;20,1,IF(O651&gt;1000,10,MATCH(O651,Cargas,1))),Coluna_fih,1,1))*(PI()*(fi_h/1000)^2/4)*SQRT(2*9.81*(O651/100-fi_h/2/1000))*1000))</f>
        <v>33.70678002560318</v>
      </c>
      <c r="Q651" s="19">
        <f ca="1">IF(O651="","",IF(Tipo_Vertedor="Retangular",IF(O651&lt;=cota_s*100,0,IF(Tipo_Vertedor="Retangular",Cd_sr*Lef_sr*((O651/100-cota_s)^(3/2))*1000)),IF(O651&lt;=cota_s*100+fi_s/20,0,(OFFSET('Base de dados'!$A$4,IF(O651&lt;20,1,IF(O651&gt;1000,10,MATCH(O651,Cargas,1))),Coluna_fis,1,1))*(PI()*(fi_s/1000)^2/4)*(2*9.81*(O651/100-cota_s-fi_s/2/1000))^0.5*1000)))</f>
        <v>1139.4312814130126</v>
      </c>
      <c r="R651" s="19">
        <f t="shared" ca="1" si="132"/>
        <v>1173.1380614386158</v>
      </c>
      <c r="S651" s="19">
        <f t="shared" ca="1" si="134"/>
        <v>3488.5711681741686</v>
      </c>
    </row>
    <row r="652" spans="13:19">
      <c r="M652" s="81">
        <f t="shared" ca="1" si="133"/>
        <v>4671.9434770598127</v>
      </c>
      <c r="N652" s="19">
        <f t="shared" si="135"/>
        <v>104.83822121691342</v>
      </c>
      <c r="O652" s="17">
        <f t="shared" si="136"/>
        <v>162.75</v>
      </c>
      <c r="P652" s="19">
        <f ca="1">IF(ISERROR(IF(O652&lt;fi_h/20,0,(OFFSET('Base de dados'!$A$5,IF(O652&lt;20,1,IF(O652&gt;1000,10,MATCH(O652,Cargas,1))),Coluna_fih,1,1))*(1+0.13*0.25)*(PI()*(fi_h/1000)^2/4)*SQRT(2*9.81*(O652/100-fi_h/2/1000))*1000)),"",IF(O652&lt;fi_h/20,0,(OFFSET('Base de dados'!$A$5,IF(O652&lt;20,1,IF(O652&gt;1000,10,MATCH(O652,Cargas,1))),Coluna_fih,1,1))*(PI()*(fi_h/1000)^2/4)*SQRT(2*9.81*(O652/100-fi_h/2/1000))*1000))</f>
        <v>33.733629892074234</v>
      </c>
      <c r="Q652" s="19">
        <f ca="1">IF(O652="","",IF(Tipo_Vertedor="Retangular",IF(O652&lt;=cota_s*100,0,IF(Tipo_Vertedor="Retangular",Cd_sr*Lef_sr*((O652/100-cota_s)^(3/2))*1000)),IF(O652&lt;=cota_s*100+fi_s/20,0,(OFFSET('Base de dados'!$A$4,IF(O652&lt;20,1,IF(O652&gt;1000,10,MATCH(O652,Cargas,1))),Coluna_fis,1,1))*(PI()*(fi_s/1000)^2/4)*(2*9.81*(O652/100-cota_s-fi_s/2/1000))^0.5*1000)))</f>
        <v>1143.6024732706235</v>
      </c>
      <c r="R652" s="19">
        <f t="shared" ca="1" si="132"/>
        <v>1177.3361031626978</v>
      </c>
      <c r="S652" s="19">
        <f t="shared" ca="1" si="134"/>
        <v>3494.6073738971145</v>
      </c>
    </row>
    <row r="653" spans="13:19">
      <c r="M653" s="81">
        <f t="shared" ca="1" si="133"/>
        <v>4682.1839358780035</v>
      </c>
      <c r="N653" s="19">
        <f t="shared" si="135"/>
        <v>105.01934204432247</v>
      </c>
      <c r="O653" s="17">
        <f t="shared" si="136"/>
        <v>163</v>
      </c>
      <c r="P653" s="19">
        <f ca="1">IF(ISERROR(IF(O653&lt;fi_h/20,0,(OFFSET('Base de dados'!$A$5,IF(O653&lt;20,1,IF(O653&gt;1000,10,MATCH(O653,Cargas,1))),Coluna_fih,1,1))*(1+0.13*0.25)*(PI()*(fi_h/1000)^2/4)*SQRT(2*9.81*(O653/100-fi_h/2/1000))*1000)),"",IF(O653&lt;fi_h/20,0,(OFFSET('Base de dados'!$A$5,IF(O653&lt;20,1,IF(O653&gt;1000,10,MATCH(O653,Cargas,1))),Coluna_fih,1,1))*(PI()*(fi_h/1000)^2/4)*SQRT(2*9.81*(O653/100-fi_h/2/1000))*1000))</f>
        <v>33.760458404714939</v>
      </c>
      <c r="Q653" s="19">
        <f ca="1">IF(O653="","",IF(Tipo_Vertedor="Retangular",IF(O653&lt;=cota_s*100,0,IF(Tipo_Vertedor="Retangular",Cd_sr*Lef_sr*((O653/100-cota_s)^(3/2))*1000)),IF(O653&lt;=cota_s*100+fi_s/20,0,(OFFSET('Base de dados'!$A$4,IF(O653&lt;20,1,IF(O653&gt;1000,10,MATCH(O653,Cargas,1))),Coluna_fis,1,1))*(PI()*(fi_s/1000)^2/4)*(2*9.81*(O653/100-cota_s-fi_s/2/1000))^0.5*1000)))</f>
        <v>1147.7787426625391</v>
      </c>
      <c r="R653" s="19">
        <f t="shared" ca="1" si="132"/>
        <v>1181.539201067254</v>
      </c>
      <c r="S653" s="19">
        <f t="shared" ca="1" si="134"/>
        <v>3500.644734810749</v>
      </c>
    </row>
    <row r="654" spans="13:19">
      <c r="M654" s="81">
        <f t="shared" ca="1" si="133"/>
        <v>4692.430598401219</v>
      </c>
      <c r="N654" s="19">
        <f t="shared" si="135"/>
        <v>105.20049748091624</v>
      </c>
      <c r="O654" s="17">
        <f t="shared" si="136"/>
        <v>163.25</v>
      </c>
      <c r="P654" s="19">
        <f ca="1">IF(ISERROR(IF(O654&lt;fi_h/20,0,(OFFSET('Base de dados'!$A$5,IF(O654&lt;20,1,IF(O654&gt;1000,10,MATCH(O654,Cargas,1))),Coluna_fih,1,1))*(1+0.13*0.25)*(PI()*(fi_h/1000)^2/4)*SQRT(2*9.81*(O654/100-fi_h/2/1000))*1000)),"",IF(O654&lt;fi_h/20,0,(OFFSET('Base de dados'!$A$5,IF(O654&lt;20,1,IF(O654&gt;1000,10,MATCH(O654,Cargas,1))),Coluna_fih,1,1))*(PI()*(fi_h/1000)^2/4)*SQRT(2*9.81*(O654/100-fi_h/2/1000))*1000))</f>
        <v>33.787265614392801</v>
      </c>
      <c r="Q654" s="19">
        <f ca="1">IF(O654="","",IF(Tipo_Vertedor="Retangular",IF(O654&lt;=cota_s*100,0,IF(Tipo_Vertedor="Retangular",Cd_sr*Lef_sr*((O654/100-cota_s)^(3/2))*1000)),IF(O654&lt;=cota_s*100+fi_s/20,0,(OFFSET('Base de dados'!$A$4,IF(O654&lt;20,1,IF(O654&gt;1000,10,MATCH(O654,Cargas,1))),Coluna_fis,1,1))*(PI()*(fi_s/1000)^2/4)*(2*9.81*(O654/100-cota_s-fi_s/2/1000))^0.5*1000)))</f>
        <v>1151.9600834229516</v>
      </c>
      <c r="R654" s="19">
        <f t="shared" ca="1" si="132"/>
        <v>1185.7473490373443</v>
      </c>
      <c r="S654" s="19">
        <f t="shared" ca="1" si="134"/>
        <v>3506.6832493638744</v>
      </c>
    </row>
    <row r="655" spans="13:19">
      <c r="M655" s="81">
        <f t="shared" ca="1" si="133"/>
        <v>4702.683456989982</v>
      </c>
      <c r="N655" s="19">
        <f t="shared" si="135"/>
        <v>105.38168748029251</v>
      </c>
      <c r="O655" s="17">
        <f t="shared" si="136"/>
        <v>163.5</v>
      </c>
      <c r="P655" s="19">
        <f ca="1">IF(ISERROR(IF(O655&lt;fi_h/20,0,(OFFSET('Base de dados'!$A$5,IF(O655&lt;20,1,IF(O655&gt;1000,10,MATCH(O655,Cargas,1))),Coluna_fih,1,1))*(1+0.13*0.25)*(PI()*(fi_h/1000)^2/4)*SQRT(2*9.81*(O655/100-fi_h/2/1000))*1000)),"",IF(O655&lt;fi_h/20,0,(OFFSET('Base de dados'!$A$5,IF(O655&lt;20,1,IF(O655&gt;1000,10,MATCH(O655,Cargas,1))),Coluna_fih,1,1))*(PI()*(fi_h/1000)^2/4)*SQRT(2*9.81*(O655/100-fi_h/2/1000))*1000))</f>
        <v>33.814051571773732</v>
      </c>
      <c r="Q655" s="19">
        <f ca="1">IF(O655="","",IF(Tipo_Vertedor="Retangular",IF(O655&lt;=cota_s*100,0,IF(Tipo_Vertedor="Retangular",Cd_sr*Lef_sr*((O655/100-cota_s)^(3/2))*1000)),IF(O655&lt;=cota_s*100+fi_s/20,0,(OFFSET('Base de dados'!$A$4,IF(O655&lt;20,1,IF(O655&gt;1000,10,MATCH(O655,Cargas,1))),Coluna_fis,1,1))*(PI()*(fi_s/1000)^2/4)*(2*9.81*(O655/100-cota_s-fi_s/2/1000))^0.5*1000)))</f>
        <v>1156.1464894084577</v>
      </c>
      <c r="R655" s="19">
        <f t="shared" ca="1" si="132"/>
        <v>1189.9605409802314</v>
      </c>
      <c r="S655" s="19">
        <f t="shared" ca="1" si="134"/>
        <v>3512.7229160097504</v>
      </c>
    </row>
    <row r="656" spans="13:19">
      <c r="M656" s="81">
        <f t="shared" ca="1" si="133"/>
        <v>4712.9425040313217</v>
      </c>
      <c r="N656" s="19">
        <f t="shared" si="135"/>
        <v>105.56291199618208</v>
      </c>
      <c r="O656" s="17">
        <f t="shared" si="136"/>
        <v>163.75</v>
      </c>
      <c r="P656" s="19">
        <f ca="1">IF(ISERROR(IF(O656&lt;fi_h/20,0,(OFFSET('Base de dados'!$A$5,IF(O656&lt;20,1,IF(O656&gt;1000,10,MATCH(O656,Cargas,1))),Coluna_fih,1,1))*(1+0.13*0.25)*(PI()*(fi_h/1000)^2/4)*SQRT(2*9.81*(O656/100-fi_h/2/1000))*1000)),"",IF(O656&lt;fi_h/20,0,(OFFSET('Base de dados'!$A$5,IF(O656&lt;20,1,IF(O656&gt;1000,10,MATCH(O656,Cargas,1))),Coluna_fih,1,1))*(PI()*(fi_h/1000)^2/4)*SQRT(2*9.81*(O656/100-fi_h/2/1000))*1000))</f>
        <v>33.840816327323083</v>
      </c>
      <c r="Q656" s="19">
        <f ca="1">IF(O656="","",IF(Tipo_Vertedor="Retangular",IF(O656&lt;=cota_s*100,0,IF(Tipo_Vertedor="Retangular",Cd_sr*Lef_sr*((O656/100-cota_s)^(3/2))*1000)),IF(O656&lt;=cota_s*100+fi_s/20,0,(OFFSET('Base de dados'!$A$4,IF(O656&lt;20,1,IF(O656&gt;1000,10,MATCH(O656,Cargas,1))),Coluna_fis,1,1))*(PI()*(fi_s/1000)^2/4)*(2*9.81*(O656/100-cota_s-fi_s/2/1000))^0.5*1000)))</f>
        <v>1160.3379544979291</v>
      </c>
      <c r="R656" s="19">
        <f t="shared" ca="1" si="132"/>
        <v>1194.1787708252523</v>
      </c>
      <c r="S656" s="19">
        <f t="shared" ca="1" si="134"/>
        <v>3518.7637332060694</v>
      </c>
    </row>
    <row r="657" spans="13:19">
      <c r="M657" s="81">
        <f t="shared" ca="1" si="133"/>
        <v>4723.2077319386226</v>
      </c>
      <c r="N657" s="19">
        <f t="shared" si="135"/>
        <v>105.74417098244824</v>
      </c>
      <c r="O657" s="17">
        <f t="shared" si="136"/>
        <v>164</v>
      </c>
      <c r="P657" s="19">
        <f ca="1">IF(ISERROR(IF(O657&lt;fi_h/20,0,(OFFSET('Base de dados'!$A$5,IF(O657&lt;20,1,IF(O657&gt;1000,10,MATCH(O657,Cargas,1))),Coluna_fih,1,1))*(1+0.13*0.25)*(PI()*(fi_h/1000)^2/4)*SQRT(2*9.81*(O657/100-fi_h/2/1000))*1000)),"",IF(O657&lt;fi_h/20,0,(OFFSET('Base de dados'!$A$5,IF(O657&lt;20,1,IF(O657&gt;1000,10,MATCH(O657,Cargas,1))),Coluna_fih,1,1))*(PI()*(fi_h/1000)^2/4)*SQRT(2*9.81*(O657/100-fi_h/2/1000))*1000))</f>
        <v>33.867559931306822</v>
      </c>
      <c r="Q657" s="19">
        <f ca="1">IF(O657="","",IF(Tipo_Vertedor="Retangular",IF(O657&lt;=cota_s*100,0,IF(Tipo_Vertedor="Retangular",Cd_sr*Lef_sr*((O657/100-cota_s)^(3/2))*1000)),IF(O657&lt;=cota_s*100+fi_s/20,0,(OFFSET('Base de dados'!$A$4,IF(O657&lt;20,1,IF(O657&gt;1000,10,MATCH(O657,Cargas,1))),Coluna_fis,1,1))*(PI()*(fi_s/1000)^2/4)*(2*9.81*(O657/100-cota_s-fi_s/2/1000))^0.5*1000)))</f>
        <v>1164.5344725923746</v>
      </c>
      <c r="R657" s="19">
        <f t="shared" ca="1" si="132"/>
        <v>1198.4020325236816</v>
      </c>
      <c r="S657" s="19">
        <f t="shared" ca="1" si="134"/>
        <v>3524.8056994149415</v>
      </c>
    </row>
    <row r="658" spans="13:19">
      <c r="M658" s="81">
        <f t="shared" ca="1" si="133"/>
        <v>4733.4791331514753</v>
      </c>
      <c r="N658" s="19">
        <f t="shared" si="135"/>
        <v>105.92546439308623</v>
      </c>
      <c r="O658" s="17">
        <f t="shared" si="136"/>
        <v>164.25</v>
      </c>
      <c r="P658" s="19">
        <f ca="1">IF(ISERROR(IF(O658&lt;fi_h/20,0,(OFFSET('Base de dados'!$A$5,IF(O658&lt;20,1,IF(O658&gt;1000,10,MATCH(O658,Cargas,1))),Coluna_fih,1,1))*(1+0.13*0.25)*(PI()*(fi_h/1000)^2/4)*SQRT(2*9.81*(O658/100-fi_h/2/1000))*1000)),"",IF(O658&lt;fi_h/20,0,(OFFSET('Base de dados'!$A$5,IF(O658&lt;20,1,IF(O658&gt;1000,10,MATCH(O658,Cargas,1))),Coluna_fih,1,1))*(PI()*(fi_h/1000)^2/4)*SQRT(2*9.81*(O658/100-fi_h/2/1000))*1000))</f>
        <v>33.894282433792604</v>
      </c>
      <c r="Q658" s="19">
        <f ca="1">IF(O658="","",IF(Tipo_Vertedor="Retangular",IF(O658&lt;=cota_s*100,0,IF(Tipo_Vertedor="Retangular",Cd_sr*Lef_sr*((O658/100-cota_s)^(3/2))*1000)),IF(O658&lt;=cota_s*100+fi_s/20,0,(OFFSET('Base de dados'!$A$4,IF(O658&lt;20,1,IF(O658&gt;1000,10,MATCH(O658,Cargas,1))),Coluna_fis,1,1))*(PI()*(fi_s/1000)^2/4)*(2*9.81*(O658/100-cota_s-fi_s/2/1000))^0.5*1000)))</f>
        <v>1168.7360376148083</v>
      </c>
      <c r="R658" s="19">
        <f t="shared" ca="1" si="132"/>
        <v>1202.6303200486009</v>
      </c>
      <c r="S658" s="19">
        <f t="shared" ca="1" si="134"/>
        <v>3530.8488131028744</v>
      </c>
    </row>
    <row r="659" spans="13:19">
      <c r="M659" s="81">
        <f t="shared" ca="1" si="133"/>
        <v>4743.7567001355201</v>
      </c>
      <c r="N659" s="19">
        <f t="shared" si="135"/>
        <v>106.10679218222258</v>
      </c>
      <c r="O659" s="17">
        <f t="shared" ref="O659:O722" si="137">IF(ISERROR(IF(O658+passo_altura&gt;h_max_puls*100,"",O658+passo_altura)),"",IF(O658+passo_altura&gt;h_max_puls*100,"",O658+passo_altura))</f>
        <v>164.5</v>
      </c>
      <c r="P659" s="19">
        <f ca="1">IF(ISERROR(IF(O659&lt;fi_h/20,0,(OFFSET('Base de dados'!$A$5,IF(O659&lt;20,1,IF(O659&gt;1000,10,MATCH(O659,Cargas,1))),Coluna_fih,1,1))*(1+0.13*0.25)*(PI()*(fi_h/1000)^2/4)*SQRT(2*9.81*(O659/100-fi_h/2/1000))*1000)),"",IF(O659&lt;fi_h/20,0,(OFFSET('Base de dados'!$A$5,IF(O659&lt;20,1,IF(O659&gt;1000,10,MATCH(O659,Cargas,1))),Coluna_fih,1,1))*(PI()*(fi_h/1000)^2/4)*SQRT(2*9.81*(O659/100-fi_h/2/1000))*1000))</f>
        <v>33.920983884650887</v>
      </c>
      <c r="Q659" s="19">
        <f ca="1">IF(O659="","",IF(Tipo_Vertedor="Retangular",IF(O659&lt;=cota_s*100,0,IF(Tipo_Vertedor="Retangular",Cd_sr*Lef_sr*((O659/100-cota_s)^(3/2))*1000)),IF(O659&lt;=cota_s*100+fi_s/20,0,(OFFSET('Base de dados'!$A$4,IF(O659&lt;20,1,IF(O659&gt;1000,10,MATCH(O659,Cargas,1))),Coluna_fis,1,1))*(PI()*(fi_s/1000)^2/4)*(2*9.81*(O659/100-cota_s-fi_s/2/1000))^0.5*1000)))</f>
        <v>1172.9426435101163</v>
      </c>
      <c r="R659" s="19">
        <f t="shared" ref="R659:R722" ca="1" si="138">IF(O659="","",Q659+P659)</f>
        <v>1206.8636273947673</v>
      </c>
      <c r="S659" s="19">
        <f t="shared" ca="1" si="134"/>
        <v>3536.8930727407524</v>
      </c>
    </row>
    <row r="660" spans="13:19">
      <c r="M660" s="81">
        <f t="shared" ca="1" si="133"/>
        <v>4754.0404253823026</v>
      </c>
      <c r="N660" s="19">
        <f t="shared" si="135"/>
        <v>106.28815430411458</v>
      </c>
      <c r="O660" s="17">
        <f t="shared" si="137"/>
        <v>164.75</v>
      </c>
      <c r="P660" s="19">
        <f ca="1">IF(ISERROR(IF(O660&lt;fi_h/20,0,(OFFSET('Base de dados'!$A$5,IF(O660&lt;20,1,IF(O660&gt;1000,10,MATCH(O660,Cargas,1))),Coluna_fih,1,1))*(1+0.13*0.25)*(PI()*(fi_h/1000)^2/4)*SQRT(2*9.81*(O660/100-fi_h/2/1000))*1000)),"",IF(O660&lt;fi_h/20,0,(OFFSET('Base de dados'!$A$5,IF(O660&lt;20,1,IF(O660&gt;1000,10,MATCH(O660,Cargas,1))),Coluna_fih,1,1))*(PI()*(fi_h/1000)^2/4)*SQRT(2*9.81*(O660/100-fi_h/2/1000))*1000))</f>
        <v>33.94766433355597</v>
      </c>
      <c r="Q660" s="19">
        <f ca="1">IF(O660="","",IF(Tipo_Vertedor="Retangular",IF(O660&lt;=cota_s*100,0,IF(Tipo_Vertedor="Retangular",Cd_sr*Lef_sr*((O660/100-cota_s)^(3/2))*1000)),IF(O660&lt;=cota_s*100+fi_s/20,0,(OFFSET('Base de dados'!$A$4,IF(O660&lt;20,1,IF(O660&gt;1000,10,MATCH(O660,Cargas,1))),Coluna_fis,1,1))*(PI()*(fi_s/1000)^2/4)*(2*9.81*(O660/100-cota_s-fi_s/2/1000))^0.5*1000)))</f>
        <v>1177.1542842449273</v>
      </c>
      <c r="R660" s="19">
        <f t="shared" ca="1" si="138"/>
        <v>1211.1019485784834</v>
      </c>
      <c r="S660" s="19">
        <f t="shared" ca="1" si="134"/>
        <v>3542.9384768038194</v>
      </c>
    </row>
    <row r="661" spans="13:19">
      <c r="M661" s="81">
        <f t="shared" ca="1" si="133"/>
        <v>4764.3303014091289</v>
      </c>
      <c r="N661" s="19">
        <f t="shared" si="135"/>
        <v>106.46955071314979</v>
      </c>
      <c r="O661" s="17">
        <f t="shared" si="137"/>
        <v>165</v>
      </c>
      <c r="P661" s="19">
        <f ca="1">IF(ISERROR(IF(O661&lt;fi_h/20,0,(OFFSET('Base de dados'!$A$5,IF(O661&lt;20,1,IF(O661&gt;1000,10,MATCH(O661,Cargas,1))),Coluna_fih,1,1))*(1+0.13*0.25)*(PI()*(fi_h/1000)^2/4)*SQRT(2*9.81*(O661/100-fi_h/2/1000))*1000)),"",IF(O661&lt;fi_h/20,0,(OFFSET('Base de dados'!$A$5,IF(O661&lt;20,1,IF(O661&gt;1000,10,MATCH(O661,Cargas,1))),Coluna_fih,1,1))*(PI()*(fi_h/1000)^2/4)*SQRT(2*9.81*(O661/100-fi_h/2/1000))*1000))</f>
        <v>33.974323829987128</v>
      </c>
      <c r="Q661" s="19">
        <f ca="1">IF(O661="","",IF(Tipo_Vertedor="Retangular",IF(O661&lt;=cota_s*100,0,IF(Tipo_Vertedor="Retangular",Cd_sr*Lef_sr*((O661/100-cota_s)^(3/2))*1000)),IF(O661&lt;=cota_s*100+fi_s/20,0,(OFFSET('Base de dados'!$A$4,IF(O661&lt;20,1,IF(O661&gt;1000,10,MATCH(O661,Cargas,1))),Coluna_fis,1,1))*(PI()*(fi_s/1000)^2/4)*(2*9.81*(O661/100-cota_s-fi_s/2/1000))^0.5*1000)))</f>
        <v>1181.370953807482</v>
      </c>
      <c r="R661" s="19">
        <f t="shared" ca="1" si="138"/>
        <v>1215.3452776374691</v>
      </c>
      <c r="S661" s="19">
        <f t="shared" ca="1" si="134"/>
        <v>3548.9850237716596</v>
      </c>
    </row>
    <row r="662" spans="13:19">
      <c r="M662" s="81">
        <f t="shared" ca="1" si="133"/>
        <v>4774.6263207589118</v>
      </c>
      <c r="N662" s="19">
        <f t="shared" si="135"/>
        <v>106.65098136384532</v>
      </c>
      <c r="O662" s="17">
        <f t="shared" si="137"/>
        <v>165.25</v>
      </c>
      <c r="P662" s="19">
        <f ca="1">IF(ISERROR(IF(O662&lt;fi_h/20,0,(OFFSET('Base de dados'!$A$5,IF(O662&lt;20,1,IF(O662&gt;1000,10,MATCH(O662,Cargas,1))),Coluna_fih,1,1))*(1+0.13*0.25)*(PI()*(fi_h/1000)^2/4)*SQRT(2*9.81*(O662/100-fi_h/2/1000))*1000)),"",IF(O662&lt;fi_h/20,0,(OFFSET('Base de dados'!$A$5,IF(O662&lt;20,1,IF(O662&gt;1000,10,MATCH(O662,Cargas,1))),Coluna_fih,1,1))*(PI()*(fi_h/1000)^2/4)*SQRT(2*9.81*(O662/100-fi_h/2/1000))*1000))</f>
        <v>34.000962423229645</v>
      </c>
      <c r="Q662" s="19">
        <f ca="1">IF(O662="","",IF(Tipo_Vertedor="Retangular",IF(O662&lt;=cota_s*100,0,IF(Tipo_Vertedor="Retangular",Cd_sr*Lef_sr*((O662/100-cota_s)^(3/2))*1000)),IF(O662&lt;=cota_s*100+fi_s/20,0,(OFFSET('Base de dados'!$A$4,IF(O662&lt;20,1,IF(O662&gt;1000,10,MATCH(O662,Cargas,1))),Coluna_fis,1,1))*(PI()*(fi_s/1000)^2/4)*(2*9.81*(O662/100-cota_s-fi_s/2/1000))^0.5*1000)))</f>
        <v>1185.5926462075049</v>
      </c>
      <c r="R662" s="19">
        <f t="shared" ca="1" si="138"/>
        <v>1219.5936086307345</v>
      </c>
      <c r="S662" s="19">
        <f t="shared" ca="1" si="134"/>
        <v>3555.0327121281775</v>
      </c>
    </row>
    <row r="663" spans="13:19">
      <c r="M663" s="81">
        <f t="shared" ca="1" si="133"/>
        <v>4784.9284760000282</v>
      </c>
      <c r="N663" s="19">
        <f t="shared" si="135"/>
        <v>106.83244621084732</v>
      </c>
      <c r="O663" s="17">
        <f t="shared" si="137"/>
        <v>165.5</v>
      </c>
      <c r="P663" s="19">
        <f ca="1">IF(ISERROR(IF(O663&lt;fi_h/20,0,(OFFSET('Base de dados'!$A$5,IF(O663&lt;20,1,IF(O663&gt;1000,10,MATCH(O663,Cargas,1))),Coluna_fih,1,1))*(1+0.13*0.25)*(PI()*(fi_h/1000)^2/4)*SQRT(2*9.81*(O663/100-fi_h/2/1000))*1000)),"",IF(O663&lt;fi_h/20,0,(OFFSET('Base de dados'!$A$5,IF(O663&lt;20,1,IF(O663&gt;1000,10,MATCH(O663,Cargas,1))),Coluna_fih,1,1))*(PI()*(fi_h/1000)^2/4)*SQRT(2*9.81*(O663/100-fi_h/2/1000))*1000))</f>
        <v>34.027580162375884</v>
      </c>
      <c r="Q663" s="19">
        <f ca="1">IF(O663="","",IF(Tipo_Vertedor="Retangular",IF(O663&lt;=cota_s*100,0,IF(Tipo_Vertedor="Retangular",Cd_sr*Lef_sr*((O663/100-cota_s)^(3/2))*1000)),IF(O663&lt;=cota_s*100+fi_s/20,0,(OFFSET('Base de dados'!$A$4,IF(O663&lt;20,1,IF(O663&gt;1000,10,MATCH(O663,Cargas,1))),Coluna_fis,1,1))*(PI()*(fi_s/1000)^2/4)*(2*9.81*(O663/100-cota_s-fi_s/2/1000))^0.5*1000)))</f>
        <v>1189.8193554760744</v>
      </c>
      <c r="R663" s="19">
        <f t="shared" ca="1" si="138"/>
        <v>1223.8469356384503</v>
      </c>
      <c r="S663" s="19">
        <f t="shared" ca="1" si="134"/>
        <v>3561.0815403615775</v>
      </c>
    </row>
    <row r="664" spans="13:19">
      <c r="M664" s="81">
        <f t="shared" ca="1" si="133"/>
        <v>4795.2367597261773</v>
      </c>
      <c r="N664" s="19">
        <f t="shared" si="135"/>
        <v>107.01394520893051</v>
      </c>
      <c r="O664" s="17">
        <f t="shared" si="137"/>
        <v>165.75</v>
      </c>
      <c r="P664" s="19">
        <f ca="1">IF(ISERROR(IF(O664&lt;fi_h/20,0,(OFFSET('Base de dados'!$A$5,IF(O664&lt;20,1,IF(O664&gt;1000,10,MATCH(O664,Cargas,1))),Coluna_fih,1,1))*(1+0.13*0.25)*(PI()*(fi_h/1000)^2/4)*SQRT(2*9.81*(O664/100-fi_h/2/1000))*1000)),"",IF(O664&lt;fi_h/20,0,(OFFSET('Base de dados'!$A$5,IF(O664&lt;20,1,IF(O664&gt;1000,10,MATCH(O664,Cargas,1))),Coluna_fih,1,1))*(PI()*(fi_h/1000)^2/4)*SQRT(2*9.81*(O664/100-fi_h/2/1000))*1000))</f>
        <v>34.054177096326377</v>
      </c>
      <c r="Q664" s="19">
        <f ca="1">IF(O664="","",IF(Tipo_Vertedor="Retangular",IF(O664&lt;=cota_s*100,0,IF(Tipo_Vertedor="Retangular",Cd_sr*Lef_sr*((O664/100-cota_s)^(3/2))*1000)),IF(O664&lt;=cota_s*100+fi_s/20,0,(OFFSET('Base de dados'!$A$4,IF(O664&lt;20,1,IF(O664&gt;1000,10,MATCH(O664,Cargas,1))),Coluna_fis,1,1))*(PI()*(fi_s/1000)^2/4)*(2*9.81*(O664/100-cota_s-fi_s/2/1000))^0.5*1000)))</f>
        <v>1194.0510756655003</v>
      </c>
      <c r="R664" s="19">
        <f t="shared" ca="1" si="138"/>
        <v>1228.1052527618267</v>
      </c>
      <c r="S664" s="19">
        <f t="shared" ca="1" si="134"/>
        <v>3567.1315069643506</v>
      </c>
    </row>
    <row r="665" spans="13:19">
      <c r="M665" s="81">
        <f t="shared" ca="1" si="133"/>
        <v>4805.5511645562356</v>
      </c>
      <c r="N665" s="19">
        <f t="shared" si="135"/>
        <v>107.19547831299748</v>
      </c>
      <c r="O665" s="17">
        <f t="shared" si="137"/>
        <v>166</v>
      </c>
      <c r="P665" s="19">
        <f ca="1">IF(ISERROR(IF(O665&lt;fi_h/20,0,(OFFSET('Base de dados'!$A$5,IF(O665&lt;20,1,IF(O665&gt;1000,10,MATCH(O665,Cargas,1))),Coluna_fih,1,1))*(1+0.13*0.25)*(PI()*(fi_h/1000)^2/4)*SQRT(2*9.81*(O665/100-fi_h/2/1000))*1000)),"",IF(O665&lt;fi_h/20,0,(OFFSET('Base de dados'!$A$5,IF(O665&lt;20,1,IF(O665&gt;1000,10,MATCH(O665,Cargas,1))),Coluna_fih,1,1))*(PI()*(fi_h/1000)^2/4)*SQRT(2*9.81*(O665/100-fi_h/2/1000))*1000))</f>
        <v>34.080753273790805</v>
      </c>
      <c r="Q665" s="19">
        <f ca="1">IF(O665="","",IF(Tipo_Vertedor="Retangular",IF(O665&lt;=cota_s*100,0,IF(Tipo_Vertedor="Retangular",Cd_sr*Lef_sr*((O665/100-cota_s)^(3/2))*1000)),IF(O665&lt;=cota_s*100+fi_s/20,0,(OFFSET('Base de dados'!$A$4,IF(O665&lt;20,1,IF(O665&gt;1000,10,MATCH(O665,Cargas,1))),Coluna_fis,1,1))*(PI()*(fi_s/1000)^2/4)*(2*9.81*(O665/100-cota_s-fi_s/2/1000))^0.5*1000)))</f>
        <v>1198.2878008491953</v>
      </c>
      <c r="R665" s="19">
        <f t="shared" ca="1" si="138"/>
        <v>1232.3685541229861</v>
      </c>
      <c r="S665" s="19">
        <f t="shared" ca="1" si="134"/>
        <v>3573.1826104332495</v>
      </c>
    </row>
    <row r="666" spans="13:19">
      <c r="M666" s="81">
        <f t="shared" ca="1" si="133"/>
        <v>4815.8716831341162</v>
      </c>
      <c r="N666" s="19">
        <f t="shared" si="135"/>
        <v>107.37704547807827</v>
      </c>
      <c r="O666" s="17">
        <f t="shared" si="137"/>
        <v>166.25</v>
      </c>
      <c r="P666" s="19">
        <f ca="1">IF(ISERROR(IF(O666&lt;fi_h/20,0,(OFFSET('Base de dados'!$A$5,IF(O666&lt;20,1,IF(O666&gt;1000,10,MATCH(O666,Cargas,1))),Coluna_fih,1,1))*(1+0.13*0.25)*(PI()*(fi_h/1000)^2/4)*SQRT(2*9.81*(O666/100-fi_h/2/1000))*1000)),"",IF(O666&lt;fi_h/20,0,(OFFSET('Base de dados'!$A$5,IF(O666&lt;20,1,IF(O666&gt;1000,10,MATCH(O666,Cargas,1))),Coluna_fih,1,1))*(PI()*(fi_h/1000)^2/4)*SQRT(2*9.81*(O666/100-fi_h/2/1000))*1000))</f>
        <v>34.107308743289117</v>
      </c>
      <c r="Q666" s="19">
        <f ca="1">IF(O666="","",IF(Tipo_Vertedor="Retangular",IF(O666&lt;=cota_s*100,0,IF(Tipo_Vertedor="Retangular",Cd_sr*Lef_sr*((O666/100-cota_s)^(3/2))*1000)),IF(O666&lt;=cota_s*100+fi_s/20,0,(OFFSET('Base de dados'!$A$4,IF(O666&lt;20,1,IF(O666&gt;1000,10,MATCH(O666,Cargas,1))),Coluna_fis,1,1))*(PI()*(fi_s/1000)^2/4)*(2*9.81*(O666/100-cota_s-fi_s/2/1000))^0.5*1000)))</f>
        <v>1202.5295251215509</v>
      </c>
      <c r="R666" s="19">
        <f t="shared" ca="1" si="138"/>
        <v>1236.6368338648401</v>
      </c>
      <c r="S666" s="19">
        <f t="shared" ca="1" si="134"/>
        <v>3579.2348492692759</v>
      </c>
    </row>
    <row r="667" spans="13:19">
      <c r="M667" s="81">
        <f t="shared" ca="1" si="133"/>
        <v>4826.1983081286235</v>
      </c>
      <c r="N667" s="19">
        <f t="shared" si="135"/>
        <v>107.55864665932968</v>
      </c>
      <c r="O667" s="17">
        <f t="shared" si="137"/>
        <v>166.5</v>
      </c>
      <c r="P667" s="19">
        <f ca="1">IF(ISERROR(IF(O667&lt;fi_h/20,0,(OFFSET('Base de dados'!$A$5,IF(O667&lt;20,1,IF(O667&gt;1000,10,MATCH(O667,Cargas,1))),Coluna_fih,1,1))*(1+0.13*0.25)*(PI()*(fi_h/1000)^2/4)*SQRT(2*9.81*(O667/100-fi_h/2/1000))*1000)),"",IF(O667&lt;fi_h/20,0,(OFFSET('Base de dados'!$A$5,IF(O667&lt;20,1,IF(O667&gt;1000,10,MATCH(O667,Cargas,1))),Coluna_fih,1,1))*(PI()*(fi_h/1000)^2/4)*SQRT(2*9.81*(O667/100-fi_h/2/1000))*1000))</f>
        <v>34.133843553152481</v>
      </c>
      <c r="Q667" s="19">
        <f ca="1">IF(O667="","",IF(Tipo_Vertedor="Retangular",IF(O667&lt;=cota_s*100,0,IF(Tipo_Vertedor="Retangular",Cd_sr*Lef_sr*((O667/100-cota_s)^(3/2))*1000)),IF(O667&lt;=cota_s*100+fi_s/20,0,(OFFSET('Base de dados'!$A$4,IF(O667&lt;20,1,IF(O667&gt;1000,10,MATCH(O667,Cargas,1))),Coluna_fis,1,1))*(PI()*(fi_s/1000)^2/4)*(2*9.81*(O667/100-cota_s-fi_s/2/1000))^0.5*1000)))</f>
        <v>1206.7762425978149</v>
      </c>
      <c r="R667" s="19">
        <f t="shared" ca="1" si="138"/>
        <v>1240.9100861509673</v>
      </c>
      <c r="S667" s="19">
        <f t="shared" ca="1" si="134"/>
        <v>3585.2882219776561</v>
      </c>
    </row>
    <row r="668" spans="13:19">
      <c r="M668" s="81">
        <f t="shared" ca="1" si="133"/>
        <v>4836.5310322333216</v>
      </c>
      <c r="N668" s="19">
        <f t="shared" si="135"/>
        <v>107.74028181203489</v>
      </c>
      <c r="O668" s="17">
        <f t="shared" si="137"/>
        <v>166.75</v>
      </c>
      <c r="P668" s="19">
        <f ca="1">IF(ISERROR(IF(O668&lt;fi_h/20,0,(OFFSET('Base de dados'!$A$5,IF(O668&lt;20,1,IF(O668&gt;1000,10,MATCH(O668,Cargas,1))),Coluna_fih,1,1))*(1+0.13*0.25)*(PI()*(fi_h/1000)^2/4)*SQRT(2*9.81*(O668/100-fi_h/2/1000))*1000)),"",IF(O668&lt;fi_h/20,0,(OFFSET('Base de dados'!$A$5,IF(O668&lt;20,1,IF(O668&gt;1000,10,MATCH(O668,Cargas,1))),Coluna_fih,1,1))*(PI()*(fi_h/1000)^2/4)*SQRT(2*9.81*(O668/100-fi_h/2/1000))*1000))</f>
        <v>34.16035775152438</v>
      </c>
      <c r="Q668" s="19">
        <f ca="1">IF(O668="","",IF(Tipo_Vertedor="Retangular",IF(O668&lt;=cota_s*100,0,IF(Tipo_Vertedor="Retangular",Cd_sr*Lef_sr*((O668/100-cota_s)^(3/2))*1000)),IF(O668&lt;=cota_s*100+fi_s/20,0,(OFFSET('Base de dados'!$A$4,IF(O668&lt;20,1,IF(O668&gt;1000,10,MATCH(O668,Cargas,1))),Coluna_fis,1,1))*(PI()*(fi_s/1000)^2/4)*(2*9.81*(O668/100-cota_s-fi_s/2/1000))^0.5*1000)))</f>
        <v>1211.0279474139675</v>
      </c>
      <c r="R668" s="19">
        <f t="shared" ca="1" si="138"/>
        <v>1245.1883051654918</v>
      </c>
      <c r="S668" s="19">
        <f t="shared" ca="1" si="134"/>
        <v>3591.3427270678299</v>
      </c>
    </row>
    <row r="669" spans="13:19">
      <c r="M669" s="81">
        <f t="shared" ca="1" si="133"/>
        <v>4846.8698481663887</v>
      </c>
      <c r="N669" s="19">
        <f t="shared" si="135"/>
        <v>107.92195089160278</v>
      </c>
      <c r="O669" s="17">
        <f t="shared" si="137"/>
        <v>167</v>
      </c>
      <c r="P669" s="19">
        <f ca="1">IF(ISERROR(IF(O669&lt;fi_h/20,0,(OFFSET('Base de dados'!$A$5,IF(O669&lt;20,1,IF(O669&gt;1000,10,MATCH(O669,Cargas,1))),Coluna_fih,1,1))*(1+0.13*0.25)*(PI()*(fi_h/1000)^2/4)*SQRT(2*9.81*(O669/100-fi_h/2/1000))*1000)),"",IF(O669&lt;fi_h/20,0,(OFFSET('Base de dados'!$A$5,IF(O669&lt;20,1,IF(O669&gt;1000,10,MATCH(O669,Cargas,1))),Coluna_fih,1,1))*(PI()*(fi_h/1000)^2/4)*SQRT(2*9.81*(O669/100-fi_h/2/1000))*1000))</f>
        <v>34.18685138636161</v>
      </c>
      <c r="Q669" s="19">
        <f ca="1">IF(O669="","",IF(Tipo_Vertedor="Retangular",IF(O669&lt;=cota_s*100,0,IF(Tipo_Vertedor="Retangular",Cd_sr*Lef_sr*((O669/100-cota_s)^(3/2))*1000)),IF(O669&lt;=cota_s*100+fi_s/20,0,(OFFSET('Base de dados'!$A$4,IF(O669&lt;20,1,IF(O669&gt;1000,10,MATCH(O669,Cargas,1))),Coluna_fis,1,1))*(PI()*(fi_s/1000)^2/4)*(2*9.81*(O669/100-cota_s-fi_s/2/1000))^0.5*1000)))</f>
        <v>1215.2846337266012</v>
      </c>
      <c r="R669" s="19">
        <f t="shared" ca="1" si="138"/>
        <v>1249.4714851129629</v>
      </c>
      <c r="S669" s="19">
        <f t="shared" ca="1" si="134"/>
        <v>3597.3983630534258</v>
      </c>
    </row>
    <row r="670" spans="13:19">
      <c r="M670" s="81">
        <f t="shared" ca="1" si="133"/>
        <v>4857.2147486704816</v>
      </c>
      <c r="N670" s="19">
        <f t="shared" si="135"/>
        <v>108.10365385356738</v>
      </c>
      <c r="O670" s="17">
        <f t="shared" si="137"/>
        <v>167.25</v>
      </c>
      <c r="P670" s="19">
        <f ca="1">IF(ISERROR(IF(O670&lt;fi_h/20,0,(OFFSET('Base de dados'!$A$5,IF(O670&lt;20,1,IF(O670&gt;1000,10,MATCH(O670,Cargas,1))),Coluna_fih,1,1))*(1+0.13*0.25)*(PI()*(fi_h/1000)^2/4)*SQRT(2*9.81*(O670/100-fi_h/2/1000))*1000)),"",IF(O670&lt;fi_h/20,0,(OFFSET('Base de dados'!$A$5,IF(O670&lt;20,1,IF(O670&gt;1000,10,MATCH(O670,Cargas,1))),Coluna_fih,1,1))*(PI()*(fi_h/1000)^2/4)*SQRT(2*9.81*(O670/100-fi_h/2/1000))*1000))</f>
        <v>34.213324505435281</v>
      </c>
      <c r="Q670" s="19">
        <f ca="1">IF(O670="","",IF(Tipo_Vertedor="Retangular",IF(O670&lt;=cota_s*100,0,IF(Tipo_Vertedor="Retangular",Cd_sr*Lef_sr*((O670/100-cota_s)^(3/2))*1000)),IF(O670&lt;=cota_s*100+fi_s/20,0,(OFFSET('Base de dados'!$A$4,IF(O670&lt;20,1,IF(O670&gt;1000,10,MATCH(O670,Cargas,1))),Coluna_fis,1,1))*(PI()*(fi_s/1000)^2/4)*(2*9.81*(O670/100-cota_s-fi_s/2/1000))^0.5*1000)))</f>
        <v>1219.5462957128007</v>
      </c>
      <c r="R670" s="19">
        <f t="shared" ca="1" si="138"/>
        <v>1253.759620218236</v>
      </c>
      <c r="S670" s="19">
        <f t="shared" ca="1" si="134"/>
        <v>3603.4551284522458</v>
      </c>
    </row>
    <row r="671" spans="13:19">
      <c r="M671" s="81">
        <f t="shared" ca="1" si="133"/>
        <v>4867.565726512601</v>
      </c>
      <c r="N671" s="19">
        <f t="shared" si="135"/>
        <v>108.2853906535875</v>
      </c>
      <c r="O671" s="17">
        <f t="shared" si="137"/>
        <v>167.5</v>
      </c>
      <c r="P671" s="19">
        <f ca="1">IF(ISERROR(IF(O671&lt;fi_h/20,0,(OFFSET('Base de dados'!$A$5,IF(O671&lt;20,1,IF(O671&gt;1000,10,MATCH(O671,Cargas,1))),Coluna_fih,1,1))*(1+0.13*0.25)*(PI()*(fi_h/1000)^2/4)*SQRT(2*9.81*(O671/100-fi_h/2/1000))*1000)),"",IF(O671&lt;fi_h/20,0,(OFFSET('Base de dados'!$A$5,IF(O671&lt;20,1,IF(O671&gt;1000,10,MATCH(O671,Cargas,1))),Coluna_fih,1,1))*(PI()*(fi_h/1000)^2/4)*SQRT(2*9.81*(O671/100-fi_h/2/1000))*1000))</f>
        <v>34.23977715633179</v>
      </c>
      <c r="Q671" s="19">
        <f ca="1">IF(O671="","",IF(Tipo_Vertedor="Retangular",IF(O671&lt;=cota_s*100,0,IF(Tipo_Vertedor="Retangular",Cd_sr*Lef_sr*((O671/100-cota_s)^(3/2))*1000)),IF(O671&lt;=cota_s*100+fi_s/20,0,(OFFSET('Base de dados'!$A$4,IF(O671&lt;20,1,IF(O671&gt;1000,10,MATCH(O671,Cargas,1))),Coluna_fis,1,1))*(PI()*(fi_s/1000)^2/4)*(2*9.81*(O671/100-cota_s-fi_s/2/1000))^0.5*1000)))</f>
        <v>1223.8129275700192</v>
      </c>
      <c r="R671" s="19">
        <f t="shared" ca="1" si="138"/>
        <v>1258.0527047263508</v>
      </c>
      <c r="S671" s="19">
        <f t="shared" ca="1" si="134"/>
        <v>3609.5130217862502</v>
      </c>
    </row>
    <row r="672" spans="13:19">
      <c r="M672" s="81">
        <f t="shared" ca="1" si="133"/>
        <v>4877.9227744839518</v>
      </c>
      <c r="N672" s="19">
        <f t="shared" si="135"/>
        <v>108.46716124744594</v>
      </c>
      <c r="O672" s="17">
        <f t="shared" si="137"/>
        <v>167.75</v>
      </c>
      <c r="P672" s="19">
        <f ca="1">IF(ISERROR(IF(O672&lt;fi_h/20,0,(OFFSET('Base de dados'!$A$5,IF(O672&lt;20,1,IF(O672&gt;1000,10,MATCH(O672,Cargas,1))),Coluna_fih,1,1))*(1+0.13*0.25)*(PI()*(fi_h/1000)^2/4)*SQRT(2*9.81*(O672/100-fi_h/2/1000))*1000)),"",IF(O672&lt;fi_h/20,0,(OFFSET('Base de dados'!$A$5,IF(O672&lt;20,1,IF(O672&gt;1000,10,MATCH(O672,Cargas,1))),Coluna_fih,1,1))*(PI()*(fi_h/1000)^2/4)*SQRT(2*9.81*(O672/100-fi_h/2/1000))*1000))</f>
        <v>34.26620938645393</v>
      </c>
      <c r="Q672" s="19">
        <f ca="1">IF(O672="","",IF(Tipo_Vertedor="Retangular",IF(O672&lt;=cota_s*100,0,IF(Tipo_Vertedor="Retangular",Cd_sr*Lef_sr*((O672/100-cota_s)^(3/2))*1000)),IF(O672&lt;=cota_s*100+fi_s/20,0,(OFFSET('Base de dados'!$A$4,IF(O672&lt;20,1,IF(O672&gt;1000,10,MATCH(O672,Cargas,1))),Coluna_fis,1,1))*(PI()*(fi_s/1000)^2/4)*(2*9.81*(O672/100-cota_s-fi_s/2/1000))^0.5*1000)))</f>
        <v>1228.0845235159663</v>
      </c>
      <c r="R672" s="19">
        <f t="shared" ca="1" si="138"/>
        <v>1262.3507329024203</v>
      </c>
      <c r="S672" s="19">
        <f t="shared" ca="1" si="134"/>
        <v>3615.5720415815313</v>
      </c>
    </row>
    <row r="673" spans="13:19">
      <c r="M673" s="81">
        <f t="shared" ca="1" si="133"/>
        <v>4888.285885399815</v>
      </c>
      <c r="N673" s="19">
        <f t="shared" si="135"/>
        <v>108.64896559104922</v>
      </c>
      <c r="O673" s="17">
        <f t="shared" si="137"/>
        <v>168</v>
      </c>
      <c r="P673" s="19">
        <f ca="1">IF(ISERROR(IF(O673&lt;fi_h/20,0,(OFFSET('Base de dados'!$A$5,IF(O673&lt;20,1,IF(O673&gt;1000,10,MATCH(O673,Cargas,1))),Coluna_fih,1,1))*(1+0.13*0.25)*(PI()*(fi_h/1000)^2/4)*SQRT(2*9.81*(O673/100-fi_h/2/1000))*1000)),"",IF(O673&lt;fi_h/20,0,(OFFSET('Base de dados'!$A$5,IF(O673&lt;20,1,IF(O673&gt;1000,10,MATCH(O673,Cargas,1))),Coluna_fih,1,1))*(PI()*(fi_h/1000)^2/4)*SQRT(2*9.81*(O673/100-fi_h/2/1000))*1000))</f>
        <v>34.292621243021749</v>
      </c>
      <c r="Q673" s="19">
        <f ca="1">IF(O673="","",IF(Tipo_Vertedor="Retangular",IF(O673&lt;=cota_s*100,0,IF(Tipo_Vertedor="Retangular",Cd_sr*Lef_sr*((O673/100-cota_s)^(3/2))*1000)),IF(O673&lt;=cota_s*100+fi_s/20,0,(OFFSET('Base de dados'!$A$4,IF(O673&lt;20,1,IF(O673&gt;1000,10,MATCH(O673,Cargas,1))),Coluna_fis,1,1))*(PI()*(fi_s/1000)^2/4)*(2*9.81*(O673/100-cota_s-fi_s/2/1000))^0.5*1000)))</f>
        <v>1232.3610777884867</v>
      </c>
      <c r="R673" s="19">
        <f t="shared" ca="1" si="138"/>
        <v>1266.6536990315085</v>
      </c>
      <c r="S673" s="19">
        <f t="shared" ca="1" si="134"/>
        <v>3621.632186368307</v>
      </c>
    </row>
    <row r="674" spans="13:19">
      <c r="M674" s="81">
        <f t="shared" ca="1" si="133"/>
        <v>4898.6550520994133</v>
      </c>
      <c r="N674" s="19">
        <f t="shared" si="135"/>
        <v>108.83080364042689</v>
      </c>
      <c r="O674" s="17">
        <f t="shared" si="137"/>
        <v>168.25</v>
      </c>
      <c r="P674" s="19">
        <f ca="1">IF(ISERROR(IF(O674&lt;fi_h/20,0,(OFFSET('Base de dados'!$A$5,IF(O674&lt;20,1,IF(O674&gt;1000,10,MATCH(O674,Cargas,1))),Coluna_fih,1,1))*(1+0.13*0.25)*(PI()*(fi_h/1000)^2/4)*SQRT(2*9.81*(O674/100-fi_h/2/1000))*1000)),"",IF(O674&lt;fi_h/20,0,(OFFSET('Base de dados'!$A$5,IF(O674&lt;20,1,IF(O674&gt;1000,10,MATCH(O674,Cargas,1))),Coluna_fih,1,1))*(PI()*(fi_h/1000)^2/4)*SQRT(2*9.81*(O674/100-fi_h/2/1000))*1000))</f>
        <v>34.319012773073617</v>
      </c>
      <c r="Q674" s="19">
        <f ca="1">IF(O674="","",IF(Tipo_Vertedor="Retangular",IF(O674&lt;=cota_s*100,0,IF(Tipo_Vertedor="Retangular",Cd_sr*Lef_sr*((O674/100-cota_s)^(3/2))*1000)),IF(O674&lt;=cota_s*100+fi_s/20,0,(OFFSET('Base de dados'!$A$4,IF(O674&lt;20,1,IF(O674&gt;1000,10,MATCH(O674,Cargas,1))),Coluna_fis,1,1))*(PI()*(fi_s/1000)^2/4)*(2*9.81*(O674/100-cota_s-fi_s/2/1000))^0.5*1000)))</f>
        <v>1236.6425846454433</v>
      </c>
      <c r="R674" s="19">
        <f t="shared" ca="1" si="138"/>
        <v>1270.9615974185169</v>
      </c>
      <c r="S674" s="19">
        <f t="shared" ca="1" si="134"/>
        <v>3627.6934546808966</v>
      </c>
    </row>
    <row r="675" spans="13:19">
      <c r="M675" s="81">
        <f t="shared" ca="1" si="133"/>
        <v>4909.0302674457698</v>
      </c>
      <c r="N675" s="19">
        <f t="shared" si="135"/>
        <v>109.01267535173098</v>
      </c>
      <c r="O675" s="17">
        <f t="shared" si="137"/>
        <v>168.5</v>
      </c>
      <c r="P675" s="19">
        <f ca="1">IF(ISERROR(IF(O675&lt;fi_h/20,0,(OFFSET('Base de dados'!$A$5,IF(O675&lt;20,1,IF(O675&gt;1000,10,MATCH(O675,Cargas,1))),Coluna_fih,1,1))*(1+0.13*0.25)*(PI()*(fi_h/1000)^2/4)*SQRT(2*9.81*(O675/100-fi_h/2/1000))*1000)),"",IF(O675&lt;fi_h/20,0,(OFFSET('Base de dados'!$A$5,IF(O675&lt;20,1,IF(O675&gt;1000,10,MATCH(O675,Cargas,1))),Coluna_fih,1,1))*(PI()*(fi_h/1000)^2/4)*SQRT(2*9.81*(O675/100-fi_h/2/1000))*1000))</f>
        <v>34.345384023467155</v>
      </c>
      <c r="Q675" s="19">
        <f ca="1">IF(O675="","",IF(Tipo_Vertedor="Retangular",IF(O675&lt;=cota_s*100,0,IF(Tipo_Vertedor="Retangular",Cd_sr*Lef_sr*((O675/100-cota_s)^(3/2))*1000)),IF(O675&lt;=cota_s*100+fi_s/20,0,(OFFSET('Base de dados'!$A$4,IF(O675&lt;20,1,IF(O675&gt;1000,10,MATCH(O675,Cargas,1))),Coluna_fis,1,1))*(PI()*(fi_s/1000)^2/4)*(2*9.81*(O675/100-cota_s-fi_s/2/1000))^0.5*1000)))</f>
        <v>1240.9290383646037</v>
      </c>
      <c r="R675" s="19">
        <f t="shared" ca="1" si="138"/>
        <v>1275.2744223880709</v>
      </c>
      <c r="S675" s="19">
        <f t="shared" ca="1" si="134"/>
        <v>3633.7558450576989</v>
      </c>
    </row>
    <row r="676" spans="13:19">
      <c r="M676" s="81">
        <f t="shared" ca="1" si="133"/>
        <v>4919.411524325591</v>
      </c>
      <c r="N676" s="19">
        <f t="shared" si="135"/>
        <v>109.19458068123564</v>
      </c>
      <c r="O676" s="17">
        <f t="shared" si="137"/>
        <v>168.75</v>
      </c>
      <c r="P676" s="19">
        <f ca="1">IF(ISERROR(IF(O676&lt;fi_h/20,0,(OFFSET('Base de dados'!$A$5,IF(O676&lt;20,1,IF(O676&gt;1000,10,MATCH(O676,Cargas,1))),Coluna_fih,1,1))*(1+0.13*0.25)*(PI()*(fi_h/1000)^2/4)*SQRT(2*9.81*(O676/100-fi_h/2/1000))*1000)),"",IF(O676&lt;fi_h/20,0,(OFFSET('Base de dados'!$A$5,IF(O676&lt;20,1,IF(O676&gt;1000,10,MATCH(O676,Cargas,1))),Coluna_fih,1,1))*(PI()*(fi_h/1000)^2/4)*SQRT(2*9.81*(O676/100-fi_h/2/1000))*1000))</f>
        <v>34.37173504088026</v>
      </c>
      <c r="Q676" s="19">
        <f ca="1">IF(O676="","",IF(Tipo_Vertedor="Retangular",IF(O676&lt;=cota_s*100,0,IF(Tipo_Vertedor="Retangular",Cd_sr*Lef_sr*((O676/100-cota_s)^(3/2))*1000)),IF(O676&lt;=cota_s*100+fi_s/20,0,(OFFSET('Base de dados'!$A$4,IF(O676&lt;20,1,IF(O676&gt;1000,10,MATCH(O676,Cargas,1))),Coluna_fis,1,1))*(PI()*(fi_s/1000)^2/4)*(2*9.81*(O676/100-cota_s-fi_s/2/1000))^0.5*1000)))</f>
        <v>1245.2204332435231</v>
      </c>
      <c r="R676" s="19">
        <f t="shared" ca="1" si="138"/>
        <v>1279.5921682844034</v>
      </c>
      <c r="S676" s="19">
        <f t="shared" ca="1" si="134"/>
        <v>3639.8193560411878</v>
      </c>
    </row>
    <row r="677" spans="13:19">
      <c r="M677" s="81">
        <f t="shared" ca="1" si="133"/>
        <v>4929.7988156491256</v>
      </c>
      <c r="N677" s="19">
        <f t="shared" si="135"/>
        <v>109.37651958533642</v>
      </c>
      <c r="O677" s="17">
        <f t="shared" si="137"/>
        <v>169</v>
      </c>
      <c r="P677" s="19">
        <f ca="1">IF(ISERROR(IF(O677&lt;fi_h/20,0,(OFFSET('Base de dados'!$A$5,IF(O677&lt;20,1,IF(O677&gt;1000,10,MATCH(O677,Cargas,1))),Coluna_fih,1,1))*(1+0.13*0.25)*(PI()*(fi_h/1000)^2/4)*SQRT(2*9.81*(O677/100-fi_h/2/1000))*1000)),"",IF(O677&lt;fi_h/20,0,(OFFSET('Base de dados'!$A$5,IF(O677&lt;20,1,IF(O677&gt;1000,10,MATCH(O677,Cargas,1))),Coluna_fih,1,1))*(PI()*(fi_h/1000)^2/4)*SQRT(2*9.81*(O677/100-fi_h/2/1000))*1000))</f>
        <v>34.398065871812015</v>
      </c>
      <c r="Q677" s="19">
        <f ca="1">IF(O677="","",IF(Tipo_Vertedor="Retangular",IF(O677&lt;=cota_s*100,0,IF(Tipo_Vertedor="Retangular",Cd_sr*Lef_sr*((O677/100-cota_s)^(3/2))*1000)),IF(O677&lt;=cota_s*100+fi_s/20,0,(OFFSET('Base de dados'!$A$4,IF(O677&lt;20,1,IF(O677&gt;1000,10,MATCH(O677,Cargas,1))),Coluna_fis,1,1))*(PI()*(fi_s/1000)^2/4)*(2*9.81*(O677/100-cota_s-fi_s/2/1000))^0.5*1000)))</f>
        <v>1249.5167635994324</v>
      </c>
      <c r="R677" s="19">
        <f t="shared" ca="1" si="138"/>
        <v>1283.9148294712443</v>
      </c>
      <c r="S677" s="19">
        <f t="shared" ca="1" si="134"/>
        <v>3645.8839861778811</v>
      </c>
    </row>
    <row r="678" spans="13:19">
      <c r="M678" s="81">
        <f t="shared" ca="1" si="133"/>
        <v>4940.1921343500399</v>
      </c>
      <c r="N678" s="19">
        <f t="shared" si="135"/>
        <v>109.55849202054995</v>
      </c>
      <c r="O678" s="17">
        <f t="shared" si="137"/>
        <v>169.25</v>
      </c>
      <c r="P678" s="19">
        <f ca="1">IF(ISERROR(IF(O678&lt;fi_h/20,0,(OFFSET('Base de dados'!$A$5,IF(O678&lt;20,1,IF(O678&gt;1000,10,MATCH(O678,Cargas,1))),Coluna_fih,1,1))*(1+0.13*0.25)*(PI()*(fi_h/1000)^2/4)*SQRT(2*9.81*(O678/100-fi_h/2/1000))*1000)),"",IF(O678&lt;fi_h/20,0,(OFFSET('Base de dados'!$A$5,IF(O678&lt;20,1,IF(O678&gt;1000,10,MATCH(O678,Cargas,1))),Coluna_fih,1,1))*(PI()*(fi_h/1000)^2/4)*SQRT(2*9.81*(O678/100-fi_h/2/1000))*1000))</f>
        <v>34.424376562583696</v>
      </c>
      <c r="Q678" s="19">
        <f ca="1">IF(O678="","",IF(Tipo_Vertedor="Retangular",IF(O678&lt;=cota_s*100,0,IF(Tipo_Vertedor="Retangular",Cd_sr*Lef_sr*((O678/100-cota_s)^(3/2))*1000)),IF(O678&lt;=cota_s*100+fi_s/20,0,(OFFSET('Base de dados'!$A$4,IF(O678&lt;20,1,IF(O678&gt;1000,10,MATCH(O678,Cargas,1))),Coluna_fis,1,1))*(PI()*(fi_s/1000)^2/4)*(2*9.81*(O678/100-cota_s-fi_s/2/1000))^0.5*1000)))</f>
        <v>1253.818023769124</v>
      </c>
      <c r="R678" s="19">
        <f t="shared" ca="1" si="138"/>
        <v>1288.2424003317078</v>
      </c>
      <c r="S678" s="19">
        <f t="shared" ca="1" si="134"/>
        <v>3651.9497340183316</v>
      </c>
    </row>
    <row r="679" spans="13:19">
      <c r="M679" s="81">
        <f t="shared" ca="1" si="133"/>
        <v>4950.5914733852906</v>
      </c>
      <c r="N679" s="19">
        <f t="shared" si="135"/>
        <v>109.74049794351328</v>
      </c>
      <c r="O679" s="17">
        <f t="shared" si="137"/>
        <v>169.5</v>
      </c>
      <c r="P679" s="19">
        <f ca="1">IF(ISERROR(IF(O679&lt;fi_h/20,0,(OFFSET('Base de dados'!$A$5,IF(O679&lt;20,1,IF(O679&gt;1000,10,MATCH(O679,Cargas,1))),Coluna_fih,1,1))*(1+0.13*0.25)*(PI()*(fi_h/1000)^2/4)*SQRT(2*9.81*(O679/100-fi_h/2/1000))*1000)),"",IF(O679&lt;fi_h/20,0,(OFFSET('Base de dados'!$A$5,IF(O679&lt;20,1,IF(O679&gt;1000,10,MATCH(O679,Cargas,1))),Coluna_fih,1,1))*(PI()*(fi_h/1000)^2/4)*SQRT(2*9.81*(O679/100-fi_h/2/1000))*1000))</f>
        <v>34.450667159339673</v>
      </c>
      <c r="Q679" s="19">
        <f ca="1">IF(O679="","",IF(Tipo_Vertedor="Retangular",IF(O679&lt;=cota_s*100,0,IF(Tipo_Vertedor="Retangular",Cd_sr*Lef_sr*((O679/100-cota_s)^(3/2))*1000)),IF(O679&lt;=cota_s*100+fi_s/20,0,(OFFSET('Base de dados'!$A$4,IF(O679&lt;20,1,IF(O679&gt;1000,10,MATCH(O679,Cargas,1))),Coluna_fis,1,1))*(PI()*(fi_s/1000)^2/4)*(2*9.81*(O679/100-cota_s-fi_s/2/1000))^0.5*1000)))</f>
        <v>1258.1242081088421</v>
      </c>
      <c r="R679" s="19">
        <f t="shared" ca="1" si="138"/>
        <v>1292.5748752681818</v>
      </c>
      <c r="S679" s="19">
        <f t="shared" ca="1" si="134"/>
        <v>3658.016598117109</v>
      </c>
    </row>
    <row r="680" spans="13:19">
      <c r="M680" s="81">
        <f t="shared" ca="1" si="133"/>
        <v>4960.9968257349947</v>
      </c>
      <c r="N680" s="19">
        <f t="shared" si="135"/>
        <v>109.92253731098339</v>
      </c>
      <c r="O680" s="17">
        <f t="shared" si="137"/>
        <v>169.75</v>
      </c>
      <c r="P680" s="19">
        <f ca="1">IF(ISERROR(IF(O680&lt;fi_h/20,0,(OFFSET('Base de dados'!$A$5,IF(O680&lt;20,1,IF(O680&gt;1000,10,MATCH(O680,Cargas,1))),Coluna_fih,1,1))*(1+0.13*0.25)*(PI()*(fi_h/1000)^2/4)*SQRT(2*9.81*(O680/100-fi_h/2/1000))*1000)),"",IF(O680&lt;fi_h/20,0,(OFFSET('Base de dados'!$A$5,IF(O680&lt;20,1,IF(O680&gt;1000,10,MATCH(O680,Cargas,1))),Coluna_fih,1,1))*(PI()*(fi_h/1000)^2/4)*SQRT(2*9.81*(O680/100-fi_h/2/1000))*1000))</f>
        <v>34.476937708048368</v>
      </c>
      <c r="Q680" s="19">
        <f ca="1">IF(O680="","",IF(Tipo_Vertedor="Retangular",IF(O680&lt;=cota_s*100,0,IF(Tipo_Vertedor="Retangular",Cd_sr*Lef_sr*((O680/100-cota_s)^(3/2))*1000)),IF(O680&lt;=cota_s*100+fi_s/20,0,(OFFSET('Base de dados'!$A$4,IF(O680&lt;20,1,IF(O680&gt;1000,10,MATCH(O680,Cargas,1))),Coluna_fis,1,1))*(PI()*(fi_s/1000)^2/4)*(2*9.81*(O680/100-cota_s-fi_s/2/1000))^0.5*1000)))</f>
        <v>1262.4353109941667</v>
      </c>
      <c r="R680" s="19">
        <f t="shared" ca="1" si="138"/>
        <v>1296.912248702215</v>
      </c>
      <c r="S680" s="19">
        <f t="shared" ca="1" si="134"/>
        <v>3664.0845770327796</v>
      </c>
    </row>
    <row r="681" spans="13:19">
      <c r="M681" s="81">
        <f t="shared" ca="1" si="133"/>
        <v>4971.408184402304</v>
      </c>
      <c r="N681" s="19">
        <f t="shared" si="135"/>
        <v>110.10461007983673</v>
      </c>
      <c r="O681" s="17">
        <f t="shared" si="137"/>
        <v>170</v>
      </c>
      <c r="P681" s="19">
        <f ca="1">IF(ISERROR(IF(O681&lt;fi_h/20,0,(OFFSET('Base de dados'!$A$5,IF(O681&lt;20,1,IF(O681&gt;1000,10,MATCH(O681,Cargas,1))),Coluna_fih,1,1))*(1+0.13*0.25)*(PI()*(fi_h/1000)^2/4)*SQRT(2*9.81*(O681/100-fi_h/2/1000))*1000)),"",IF(O681&lt;fi_h/20,0,(OFFSET('Base de dados'!$A$5,IF(O681&lt;20,1,IF(O681&gt;1000,10,MATCH(O681,Cargas,1))),Coluna_fih,1,1))*(PI()*(fi_h/1000)^2/4)*SQRT(2*9.81*(O681/100-fi_h/2/1000))*1000))</f>
        <v>34.503188254503243</v>
      </c>
      <c r="Q681" s="19">
        <f ca="1">IF(O681="","",IF(Tipo_Vertedor="Retangular",IF(O681&lt;=cota_s*100,0,IF(Tipo_Vertedor="Retangular",Cd_sr*Lef_sr*((O681/100-cota_s)^(3/2))*1000)),IF(O681&lt;=cota_s*100+fi_s/20,0,(OFFSET('Base de dados'!$A$4,IF(O681&lt;20,1,IF(O681&gt;1000,10,MATCH(O681,Cargas,1))),Coluna_fis,1,1))*(PI()*(fi_s/1000)^2/4)*(2*9.81*(O681/100-cota_s-fi_s/2/1000))^0.5*1000)))</f>
        <v>1266.7513268199093</v>
      </c>
      <c r="R681" s="19">
        <f t="shared" ca="1" si="138"/>
        <v>1301.2545150744127</v>
      </c>
      <c r="S681" s="19">
        <f t="shared" ca="1" si="134"/>
        <v>3670.1536693278908</v>
      </c>
    </row>
    <row r="682" spans="13:19">
      <c r="M682" s="81">
        <f t="shared" ca="1" si="133"/>
        <v>4981.8255424132822</v>
      </c>
      <c r="N682" s="19">
        <f t="shared" si="135"/>
        <v>110.28671620706876</v>
      </c>
      <c r="O682" s="17">
        <f t="shared" si="137"/>
        <v>170.25</v>
      </c>
      <c r="P682" s="19">
        <f ca="1">IF(ISERROR(IF(O682&lt;fi_h/20,0,(OFFSET('Base de dados'!$A$5,IF(O682&lt;20,1,IF(O682&gt;1000,10,MATCH(O682,Cargas,1))),Coluna_fih,1,1))*(1+0.13*0.25)*(PI()*(fi_h/1000)^2/4)*SQRT(2*9.81*(O682/100-fi_h/2/1000))*1000)),"",IF(O682&lt;fi_h/20,0,(OFFSET('Base de dados'!$A$5,IF(O682&lt;20,1,IF(O682&gt;1000,10,MATCH(O682,Cargas,1))),Coluna_fih,1,1))*(PI()*(fi_h/1000)^2/4)*SQRT(2*9.81*(O682/100-fi_h/2/1000))*1000))</f>
        <v>34.529418844323651</v>
      </c>
      <c r="Q682" s="19">
        <f ca="1">IF(O682="","",IF(Tipo_Vertedor="Retangular",IF(O682&lt;=cota_s*100,0,IF(Tipo_Vertedor="Retangular",Cd_sr*Lef_sr*((O682/100-cota_s)^(3/2))*1000)),IF(O682&lt;=cota_s*100+fi_s/20,0,(OFFSET('Base de dados'!$A$4,IF(O682&lt;20,1,IF(O682&gt;1000,10,MATCH(O682,Cargas,1))),Coluna_fis,1,1))*(PI()*(fi_s/1000)^2/4)*(2*9.81*(O682/100-cota_s-fi_s/2/1000))^0.5*1000)))</f>
        <v>1271.0722500000002</v>
      </c>
      <c r="R682" s="19">
        <f t="shared" ca="1" si="138"/>
        <v>1305.6016688443237</v>
      </c>
      <c r="S682" s="19">
        <f t="shared" ca="1" si="134"/>
        <v>3676.2238735689589</v>
      </c>
    </row>
    <row r="683" spans="13:19">
      <c r="M683" s="81">
        <f t="shared" ca="1" si="133"/>
        <v>4992.2488928167804</v>
      </c>
      <c r="N683" s="19">
        <f t="shared" si="135"/>
        <v>110.46885564979331</v>
      </c>
      <c r="O683" s="17">
        <f t="shared" si="137"/>
        <v>170.5</v>
      </c>
      <c r="P683" s="19">
        <f ca="1">IF(ISERROR(IF(O683&lt;fi_h/20,0,(OFFSET('Base de dados'!$A$5,IF(O683&lt;20,1,IF(O683&gt;1000,10,MATCH(O683,Cargas,1))),Coluna_fih,1,1))*(1+0.13*0.25)*(PI()*(fi_h/1000)^2/4)*SQRT(2*9.81*(O683/100-fi_h/2/1000))*1000)),"",IF(O683&lt;fi_h/20,0,(OFFSET('Base de dados'!$A$5,IF(O683&lt;20,1,IF(O683&gt;1000,10,MATCH(O683,Cargas,1))),Coluna_fih,1,1))*(PI()*(fi_h/1000)^2/4)*SQRT(2*9.81*(O683/100-fi_h/2/1000))*1000))</f>
        <v>34.555629522955826</v>
      </c>
      <c r="Q683" s="19">
        <f ca="1">IF(O683="","",IF(Tipo_Vertedor="Retangular",IF(O683&lt;=cota_s*100,0,IF(Tipo_Vertedor="Retangular",Cd_sr*Lef_sr*((O683/100-cota_s)^(3/2))*1000)),IF(O683&lt;=cota_s*100+fi_s/20,0,(OFFSET('Base de dados'!$A$4,IF(O683&lt;20,1,IF(O683&gt;1000,10,MATCH(O683,Cargas,1))),Coluna_fis,1,1))*(PI()*(fi_s/1000)^2/4)*(2*9.81*(O683/100-cota_s-fi_s/2/1000))^0.5*1000)))</f>
        <v>1275.3980749673806</v>
      </c>
      <c r="R683" s="19">
        <f t="shared" ca="1" si="138"/>
        <v>1309.9537044903363</v>
      </c>
      <c r="S683" s="19">
        <f t="shared" ca="1" si="134"/>
        <v>3682.2951883264441</v>
      </c>
    </row>
    <row r="684" spans="13:19">
      <c r="M684" s="81">
        <f t="shared" ca="1" si="133"/>
        <v>5002.6782286843063</v>
      </c>
      <c r="N684" s="19">
        <f t="shared" si="135"/>
        <v>110.65102836524213</v>
      </c>
      <c r="O684" s="17">
        <f t="shared" si="137"/>
        <v>170.75</v>
      </c>
      <c r="P684" s="19">
        <f ca="1">IF(ISERROR(IF(O684&lt;fi_h/20,0,(OFFSET('Base de dados'!$A$5,IF(O684&lt;20,1,IF(O684&gt;1000,10,MATCH(O684,Cargas,1))),Coluna_fih,1,1))*(1+0.13*0.25)*(PI()*(fi_h/1000)^2/4)*SQRT(2*9.81*(O684/100-fi_h/2/1000))*1000)),"",IF(O684&lt;fi_h/20,0,(OFFSET('Base de dados'!$A$5,IF(O684&lt;20,1,IF(O684&gt;1000,10,MATCH(O684,Cargas,1))),Coluna_fih,1,1))*(PI()*(fi_h/1000)^2/4)*SQRT(2*9.81*(O684/100-fi_h/2/1000))*1000))</f>
        <v>34.581820335673768</v>
      </c>
      <c r="Q684" s="19">
        <f ca="1">IF(O684="","",IF(Tipo_Vertedor="Retangular",IF(O684&lt;=cota_s*100,0,IF(Tipo_Vertedor="Retangular",Cd_sr*Lef_sr*((O684/100-cota_s)^(3/2))*1000)),IF(O684&lt;=cota_s*100+fi_s/20,0,(OFFSET('Base de dados'!$A$4,IF(O684&lt;20,1,IF(O684&gt;1000,10,MATCH(O684,Cargas,1))),Coluna_fis,1,1))*(PI()*(fi_s/1000)^2/4)*(2*9.81*(O684/100-cota_s-fi_s/2/1000))^0.5*1000)))</f>
        <v>1279.7287961738955</v>
      </c>
      <c r="R684" s="19">
        <f t="shared" ca="1" si="138"/>
        <v>1314.3106165095692</v>
      </c>
      <c r="S684" s="19">
        <f t="shared" ca="1" si="134"/>
        <v>3688.3676121747371</v>
      </c>
    </row>
    <row r="685" spans="13:19">
      <c r="M685" s="81">
        <f t="shared" ca="1" si="133"/>
        <v>5013.1135431099156</v>
      </c>
      <c r="N685" s="19">
        <f t="shared" si="135"/>
        <v>110.8332343107645</v>
      </c>
      <c r="O685" s="17">
        <f t="shared" si="137"/>
        <v>171</v>
      </c>
      <c r="P685" s="19">
        <f ca="1">IF(ISERROR(IF(O685&lt;fi_h/20,0,(OFFSET('Base de dados'!$A$5,IF(O685&lt;20,1,IF(O685&gt;1000,10,MATCH(O685,Cargas,1))),Coluna_fih,1,1))*(1+0.13*0.25)*(PI()*(fi_h/1000)^2/4)*SQRT(2*9.81*(O685/100-fi_h/2/1000))*1000)),"",IF(O685&lt;fi_h/20,0,(OFFSET('Base de dados'!$A$5,IF(O685&lt;20,1,IF(O685&gt;1000,10,MATCH(O685,Cargas,1))),Coluna_fih,1,1))*(PI()*(fi_h/1000)^2/4)*SQRT(2*9.81*(O685/100-fi_h/2/1000))*1000))</f>
        <v>34.607991327580145</v>
      </c>
      <c r="Q685" s="19">
        <f ca="1">IF(O685="","",IF(Tipo_Vertedor="Retangular",IF(O685&lt;=cota_s*100,0,IF(Tipo_Vertedor="Retangular",Cd_sr*Lef_sr*((O685/100-cota_s)^(3/2))*1000)),IF(O685&lt;=cota_s*100+fi_s/20,0,(OFFSET('Base de dados'!$A$4,IF(O685&lt;20,1,IF(O685&gt;1000,10,MATCH(O685,Cargas,1))),Coluna_fis,1,1))*(PI()*(fi_s/1000)^2/4)*(2*9.81*(O685/100-cota_s-fi_s/2/1000))^0.5*1000)))</f>
        <v>1284.0644080901859</v>
      </c>
      <c r="R685" s="19">
        <f t="shared" ca="1" si="138"/>
        <v>1318.672399417766</v>
      </c>
      <c r="S685" s="19">
        <f t="shared" ca="1" si="134"/>
        <v>3694.44114369215</v>
      </c>
    </row>
    <row r="686" spans="13:19">
      <c r="M686" s="81">
        <f t="shared" ca="1" si="133"/>
        <v>5023.5548292100775</v>
      </c>
      <c r="N686" s="19">
        <f t="shared" si="135"/>
        <v>111.01547344382658</v>
      </c>
      <c r="O686" s="17">
        <f t="shared" si="137"/>
        <v>171.25</v>
      </c>
      <c r="P686" s="19">
        <f ca="1">IF(ISERROR(IF(O686&lt;fi_h/20,0,(OFFSET('Base de dados'!$A$5,IF(O686&lt;20,1,IF(O686&gt;1000,10,MATCH(O686,Cargas,1))),Coluna_fih,1,1))*(1+0.13*0.25)*(PI()*(fi_h/1000)^2/4)*SQRT(2*9.81*(O686/100-fi_h/2/1000))*1000)),"",IF(O686&lt;fi_h/20,0,(OFFSET('Base de dados'!$A$5,IF(O686&lt;20,1,IF(O686&gt;1000,10,MATCH(O686,Cargas,1))),Coluna_fih,1,1))*(PI()*(fi_h/1000)^2/4)*SQRT(2*9.81*(O686/100-fi_h/2/1000))*1000))</f>
        <v>34.634142543607247</v>
      </c>
      <c r="Q686" s="19">
        <f ca="1">IF(O686="","",IF(Tipo_Vertedor="Retangular",IF(O686&lt;=cota_s*100,0,IF(Tipo_Vertedor="Retangular",Cd_sr*Lef_sr*((O686/100-cota_s)^(3/2))*1000)),IF(O686&lt;=cota_s*100+fi_s/20,0,(OFFSET('Base de dados'!$A$4,IF(O686&lt;20,1,IF(O686&gt;1000,10,MATCH(O686,Cargas,1))),Coluna_fis,1,1))*(PI()*(fi_s/1000)^2/4)*(2*9.81*(O686/100-cota_s-fi_s/2/1000))^0.5*1000)))</f>
        <v>1288.4049052055846</v>
      </c>
      <c r="R686" s="19">
        <f t="shared" ca="1" si="138"/>
        <v>1323.0390477491917</v>
      </c>
      <c r="S686" s="19">
        <f t="shared" ca="1" si="134"/>
        <v>3700.5157814608856</v>
      </c>
    </row>
    <row r="687" spans="13:19">
      <c r="M687" s="81">
        <f t="shared" ca="1" si="133"/>
        <v>5034.0020801235642</v>
      </c>
      <c r="N687" s="19">
        <f t="shared" si="135"/>
        <v>111.19774572201108</v>
      </c>
      <c r="O687" s="17">
        <f t="shared" si="137"/>
        <v>171.5</v>
      </c>
      <c r="P687" s="19">
        <f ca="1">IF(ISERROR(IF(O687&lt;fi_h/20,0,(OFFSET('Base de dados'!$A$5,IF(O687&lt;20,1,IF(O687&gt;1000,10,MATCH(O687,Cargas,1))),Coluna_fih,1,1))*(1+0.13*0.25)*(PI()*(fi_h/1000)^2/4)*SQRT(2*9.81*(O687/100-fi_h/2/1000))*1000)),"",IF(O687&lt;fi_h/20,0,(OFFSET('Base de dados'!$A$5,IF(O687&lt;20,1,IF(O687&gt;1000,10,MATCH(O687,Cargas,1))),Coluna_fih,1,1))*(PI()*(fi_h/1000)^2/4)*SQRT(2*9.81*(O687/100-fi_h/2/1000))*1000))</f>
        <v>34.660274028517847</v>
      </c>
      <c r="Q687" s="19">
        <f ca="1">IF(O687="","",IF(Tipo_Vertedor="Retangular",IF(O687&lt;=cota_s*100,0,IF(Tipo_Vertedor="Retangular",Cd_sr*Lef_sr*((O687/100-cota_s)^(3/2))*1000)),IF(O687&lt;=cota_s*100+fi_s/20,0,(OFFSET('Base de dados'!$A$4,IF(O687&lt;20,1,IF(O687&gt;1000,10,MATCH(O687,Cargas,1))),Coluna_fis,1,1))*(PI()*(fi_s/1000)^2/4)*(2*9.81*(O687/100-cota_s-fi_s/2/1000))^0.5*1000)))</f>
        <v>1292.7502820280108</v>
      </c>
      <c r="R687" s="19">
        <f t="shared" ca="1" si="138"/>
        <v>1327.4105560565285</v>
      </c>
      <c r="S687" s="19">
        <f t="shared" ca="1" si="134"/>
        <v>3706.5915240670361</v>
      </c>
    </row>
    <row r="688" spans="13:19">
      <c r="M688" s="81">
        <f t="shared" ca="1" si="133"/>
        <v>5044.4552890113191</v>
      </c>
      <c r="N688" s="19">
        <f t="shared" si="135"/>
        <v>111.38005110301656</v>
      </c>
      <c r="O688" s="17">
        <f t="shared" si="137"/>
        <v>171.75</v>
      </c>
      <c r="P688" s="19">
        <f ca="1">IF(ISERROR(IF(O688&lt;fi_h/20,0,(OFFSET('Base de dados'!$A$5,IF(O688&lt;20,1,IF(O688&gt;1000,10,MATCH(O688,Cargas,1))),Coluna_fih,1,1))*(1+0.13*0.25)*(PI()*(fi_h/1000)^2/4)*SQRT(2*9.81*(O688/100-fi_h/2/1000))*1000)),"",IF(O688&lt;fi_h/20,0,(OFFSET('Base de dados'!$A$5,IF(O688&lt;20,1,IF(O688&gt;1000,10,MATCH(O688,Cargas,1))),Coluna_fih,1,1))*(PI()*(fi_h/1000)^2/4)*SQRT(2*9.81*(O688/100-fi_h/2/1000))*1000))</f>
        <v>34.686385826906083</v>
      </c>
      <c r="Q688" s="19">
        <f ca="1">IF(O688="","",IF(Tipo_Vertedor="Retangular",IF(O688&lt;=cota_s*100,0,IF(Tipo_Vertedor="Retangular",Cd_sr*Lef_sr*((O688/100-cota_s)^(3/2))*1000)),IF(O688&lt;=cota_s*100+fi_s/20,0,(OFFSET('Base de dados'!$A$4,IF(O688&lt;20,1,IF(O688&gt;1000,10,MATCH(O688,Cargas,1))),Coluna_fis,1,1))*(PI()*(fi_s/1000)^2/4)*(2*9.81*(O688/100-cota_s-fi_s/2/1000))^0.5*1000)))</f>
        <v>1297.1005330838616</v>
      </c>
      <c r="R688" s="19">
        <f t="shared" ca="1" si="138"/>
        <v>1331.7869189107678</v>
      </c>
      <c r="S688" s="19">
        <f t="shared" ca="1" si="134"/>
        <v>3712.6683701005518</v>
      </c>
    </row>
    <row r="689" spans="13:19">
      <c r="M689" s="81">
        <f t="shared" ca="1" si="133"/>
        <v>5054.9144490563531</v>
      </c>
      <c r="N689" s="19">
        <f t="shared" si="135"/>
        <v>111.56238954465714</v>
      </c>
      <c r="O689" s="17">
        <f t="shared" si="137"/>
        <v>172</v>
      </c>
      <c r="P689" s="19">
        <f ca="1">IF(ISERROR(IF(O689&lt;fi_h/20,0,(OFFSET('Base de dados'!$A$5,IF(O689&lt;20,1,IF(O689&gt;1000,10,MATCH(O689,Cargas,1))),Coluna_fih,1,1))*(1+0.13*0.25)*(PI()*(fi_h/1000)^2/4)*SQRT(2*9.81*(O689/100-fi_h/2/1000))*1000)),"",IF(O689&lt;fi_h/20,0,(OFFSET('Base de dados'!$A$5,IF(O689&lt;20,1,IF(O689&gt;1000,10,MATCH(O689,Cargas,1))),Coluna_fih,1,1))*(PI()*(fi_h/1000)^2/4)*SQRT(2*9.81*(O689/100-fi_h/2/1000))*1000))</f>
        <v>34.712477983198404</v>
      </c>
      <c r="Q689" s="19">
        <f ca="1">IF(O689="","",IF(Tipo_Vertedor="Retangular",IF(O689&lt;=cota_s*100,0,IF(Tipo_Vertedor="Retangular",Cd_sr*Lef_sr*((O689/100-cota_s)^(3/2))*1000)),IF(O689&lt;=cota_s*100+fi_s/20,0,(OFFSET('Base de dados'!$A$4,IF(O689&lt;20,1,IF(O689&gt;1000,10,MATCH(O689,Cargas,1))),Coluna_fis,1,1))*(PI()*(fi_s/1000)^2/4)*(2*9.81*(O689/100-cota_s-fi_s/2/1000))^0.5*1000)))</f>
        <v>1301.4556529179167</v>
      </c>
      <c r="R689" s="19">
        <f t="shared" ca="1" si="138"/>
        <v>1336.1681309011151</v>
      </c>
      <c r="S689" s="19">
        <f t="shared" ca="1" si="134"/>
        <v>3718.746318155238</v>
      </c>
    </row>
    <row r="690" spans="13:19">
      <c r="M690" s="81">
        <f t="shared" ca="1" si="133"/>
        <v>5065.3795534636147</v>
      </c>
      <c r="N690" s="19">
        <f t="shared" si="135"/>
        <v>111.74476100486197</v>
      </c>
      <c r="O690" s="17">
        <f t="shared" si="137"/>
        <v>172.25</v>
      </c>
      <c r="P690" s="19">
        <f ca="1">IF(ISERROR(IF(O690&lt;fi_h/20,0,(OFFSET('Base de dados'!$A$5,IF(O690&lt;20,1,IF(O690&gt;1000,10,MATCH(O690,Cargas,1))),Coluna_fih,1,1))*(1+0.13*0.25)*(PI()*(fi_h/1000)^2/4)*SQRT(2*9.81*(O690/100-fi_h/2/1000))*1000)),"",IF(O690&lt;fi_h/20,0,(OFFSET('Base de dados'!$A$5,IF(O690&lt;20,1,IF(O690&gt;1000,10,MATCH(O690,Cargas,1))),Coluna_fih,1,1))*(PI()*(fi_h/1000)^2/4)*SQRT(2*9.81*(O690/100-fi_h/2/1000))*1000))</f>
        <v>34.738550541654405</v>
      </c>
      <c r="Q690" s="19">
        <f ca="1">IF(O690="","",IF(Tipo_Vertedor="Retangular",IF(O690&lt;=cota_s*100,0,IF(Tipo_Vertedor="Retangular",Cd_sr*Lef_sr*((O690/100-cota_s)^(3/2))*1000)),IF(O690&lt;=cota_s*100+fi_s/20,0,(OFFSET('Base de dados'!$A$4,IF(O690&lt;20,1,IF(O690&gt;1000,10,MATCH(O690,Cargas,1))),Coluna_fis,1,1))*(PI()*(fi_s/1000)^2/4)*(2*9.81*(O690/100-cota_s-fi_s/2/1000))^0.5*1000)))</f>
        <v>1305.8156360932285</v>
      </c>
      <c r="R690" s="19">
        <f t="shared" ca="1" si="138"/>
        <v>1340.5541866348829</v>
      </c>
      <c r="S690" s="19">
        <f t="shared" ca="1" si="134"/>
        <v>3724.8253668287321</v>
      </c>
    </row>
    <row r="691" spans="13:19">
      <c r="M691" s="81">
        <f t="shared" ca="1" si="133"/>
        <v>5075.8505954598813</v>
      </c>
      <c r="N691" s="19">
        <f t="shared" si="135"/>
        <v>111.92716544167467</v>
      </c>
      <c r="O691" s="17">
        <f t="shared" si="137"/>
        <v>172.5</v>
      </c>
      <c r="P691" s="19">
        <f ca="1">IF(ISERROR(IF(O691&lt;fi_h/20,0,(OFFSET('Base de dados'!$A$5,IF(O691&lt;20,1,IF(O691&gt;1000,10,MATCH(O691,Cargas,1))),Coluna_fih,1,1))*(1+0.13*0.25)*(PI()*(fi_h/1000)^2/4)*SQRT(2*9.81*(O691/100-fi_h/2/1000))*1000)),"",IF(O691&lt;fi_h/20,0,(OFFSET('Base de dados'!$A$5,IF(O691&lt;20,1,IF(O691&gt;1000,10,MATCH(O691,Cargas,1))),Coluna_fih,1,1))*(PI()*(fi_h/1000)^2/4)*SQRT(2*9.81*(O691/100-fi_h/2/1000))*1000))</f>
        <v>34.764603546367681</v>
      </c>
      <c r="Q691" s="19">
        <f ca="1">IF(O691="","",IF(Tipo_Vertedor="Retangular",IF(O691&lt;=cota_s*100,0,IF(Tipo_Vertedor="Retangular",Cd_sr*Lef_sr*((O691/100-cota_s)^(3/2))*1000)),IF(O691&lt;=cota_s*100+fi_s/20,0,(OFFSET('Base de dados'!$A$4,IF(O691&lt;20,1,IF(O691&gt;1000,10,MATCH(O691,Cargas,1))),Coluna_fis,1,1))*(PI()*(fi_s/1000)^2/4)*(2*9.81*(O691/100-cota_s-fi_s/2/1000))^0.5*1000)))</f>
        <v>1310.1804771910245</v>
      </c>
      <c r="R691" s="19">
        <f t="shared" ca="1" si="138"/>
        <v>1344.9450807373921</v>
      </c>
      <c r="S691" s="19">
        <f t="shared" ca="1" si="134"/>
        <v>3730.905514722489</v>
      </c>
    </row>
    <row r="692" spans="13:19">
      <c r="M692" s="81">
        <f t="shared" ca="1" si="133"/>
        <v>5086.3275682936364</v>
      </c>
      <c r="N692" s="19">
        <f t="shared" si="135"/>
        <v>112.10960281325298</v>
      </c>
      <c r="O692" s="17">
        <f t="shared" si="137"/>
        <v>172.75</v>
      </c>
      <c r="P692" s="19">
        <f ca="1">IF(ISERROR(IF(O692&lt;fi_h/20,0,(OFFSET('Base de dados'!$A$5,IF(O692&lt;20,1,IF(O692&gt;1000,10,MATCH(O692,Cargas,1))),Coluna_fih,1,1))*(1+0.13*0.25)*(PI()*(fi_h/1000)^2/4)*SQRT(2*9.81*(O692/100-fi_h/2/1000))*1000)),"",IF(O692&lt;fi_h/20,0,(OFFSET('Base de dados'!$A$5,IF(O692&lt;20,1,IF(O692&gt;1000,10,MATCH(O692,Cargas,1))),Coluna_fih,1,1))*(PI()*(fi_h/1000)^2/4)*SQRT(2*9.81*(O692/100-fi_h/2/1000))*1000))</f>
        <v>34.79063704126677</v>
      </c>
      <c r="Q692" s="19">
        <f ca="1">IF(O692="","",IF(Tipo_Vertedor="Retangular",IF(O692&lt;=cota_s*100,0,IF(Tipo_Vertedor="Retangular",Cd_sr*Lef_sr*((O692/100-cota_s)^(3/2))*1000)),IF(O692&lt;=cota_s*100+fi_s/20,0,(OFFSET('Base de dados'!$A$4,IF(O692&lt;20,1,IF(O692&gt;1000,10,MATCH(O692,Cargas,1))),Coluna_fis,1,1))*(PI()*(fi_s/1000)^2/4)*(2*9.81*(O692/100-cota_s-fi_s/2/1000))^0.5*1000)))</f>
        <v>1314.5501708106037</v>
      </c>
      <c r="R692" s="19">
        <f t="shared" ca="1" si="138"/>
        <v>1349.3408078518705</v>
      </c>
      <c r="S692" s="19">
        <f t="shared" ca="1" si="134"/>
        <v>3736.9867604417659</v>
      </c>
    </row>
    <row r="693" spans="13:19">
      <c r="M693" s="81">
        <f t="shared" ca="1" si="133"/>
        <v>5096.8104652349584</v>
      </c>
      <c r="N693" s="19">
        <f t="shared" si="135"/>
        <v>112.2920730778681</v>
      </c>
      <c r="O693" s="17">
        <f t="shared" si="137"/>
        <v>173</v>
      </c>
      <c r="P693" s="19">
        <f ca="1">IF(ISERROR(IF(O693&lt;fi_h/20,0,(OFFSET('Base de dados'!$A$5,IF(O693&lt;20,1,IF(O693&gt;1000,10,MATCH(O693,Cargas,1))),Coluna_fih,1,1))*(1+0.13*0.25)*(PI()*(fi_h/1000)^2/4)*SQRT(2*9.81*(O693/100-fi_h/2/1000))*1000)),"",IF(O693&lt;fi_h/20,0,(OFFSET('Base de dados'!$A$5,IF(O693&lt;20,1,IF(O693&gt;1000,10,MATCH(O693,Cargas,1))),Coluna_fih,1,1))*(PI()*(fi_h/1000)^2/4)*SQRT(2*9.81*(O693/100-fi_h/2/1000))*1000))</f>
        <v>34.816651070115952</v>
      </c>
      <c r="Q693" s="19">
        <f ca="1">IF(O693="","",IF(Tipo_Vertedor="Retangular",IF(O693&lt;=cota_s*100,0,IF(Tipo_Vertedor="Retangular",Cd_sr*Lef_sr*((O693/100-cota_s)^(3/2))*1000)),IF(O693&lt;=cota_s*100+fi_s/20,0,(OFFSET('Base de dados'!$A$4,IF(O693&lt;20,1,IF(O693&gt;1000,10,MATCH(O693,Cargas,1))),Coluna_fis,1,1))*(PI()*(fi_s/1000)^2/4)*(2*9.81*(O693/100-cota_s-fi_s/2/1000))^0.5*1000)))</f>
        <v>1318.9247115692388</v>
      </c>
      <c r="R693" s="19">
        <f t="shared" ca="1" si="138"/>
        <v>1353.7413626393547</v>
      </c>
      <c r="S693" s="19">
        <f t="shared" ca="1" si="134"/>
        <v>3743.0691025956035</v>
      </c>
    </row>
    <row r="694" spans="13:19">
      <c r="M694" s="81">
        <f t="shared" ca="1" si="133"/>
        <v>5107.2992795754053</v>
      </c>
      <c r="N694" s="19">
        <f t="shared" si="135"/>
        <v>112.47457619390443</v>
      </c>
      <c r="O694" s="17">
        <f t="shared" si="137"/>
        <v>173.25</v>
      </c>
      <c r="P694" s="19">
        <f ca="1">IF(ISERROR(IF(O694&lt;fi_h/20,0,(OFFSET('Base de dados'!$A$5,IF(O694&lt;20,1,IF(O694&gt;1000,10,MATCH(O694,Cargas,1))),Coluna_fih,1,1))*(1+0.13*0.25)*(PI()*(fi_h/1000)^2/4)*SQRT(2*9.81*(O694/100-fi_h/2/1000))*1000)),"",IF(O694&lt;fi_h/20,0,(OFFSET('Base de dados'!$A$5,IF(O694&lt;20,1,IF(O694&gt;1000,10,MATCH(O694,Cargas,1))),Coluna_fih,1,1))*(PI()*(fi_h/1000)^2/4)*SQRT(2*9.81*(O694/100-fi_h/2/1000))*1000))</f>
        <v>34.842645676516142</v>
      </c>
      <c r="Q694" s="19">
        <f ca="1">IF(O694="","",IF(Tipo_Vertedor="Retangular",IF(O694&lt;=cota_s*100,0,IF(Tipo_Vertedor="Retangular",Cd_sr*Lef_sr*((O694/100-cota_s)^(3/2))*1000)),IF(O694&lt;=cota_s*100+fi_s/20,0,(OFFSET('Base de dados'!$A$4,IF(O694&lt;20,1,IF(O694&gt;1000,10,MATCH(O694,Cargas,1))),Coluna_fis,1,1))*(PI()*(fi_s/1000)^2/4)*(2*9.81*(O694/100-cota_s-fi_s/2/1000))^0.5*1000)))</f>
        <v>1323.3040941020745</v>
      </c>
      <c r="R694" s="19">
        <f t="shared" ca="1" si="138"/>
        <v>1358.1467397785907</v>
      </c>
      <c r="S694" s="19">
        <f t="shared" ca="1" si="134"/>
        <v>3749.1525397968144</v>
      </c>
    </row>
    <row r="695" spans="13:19">
      <c r="M695" s="81">
        <f t="shared" ca="1" si="133"/>
        <v>5117.7940046279036</v>
      </c>
      <c r="N695" s="19">
        <f t="shared" si="135"/>
        <v>112.65711211985899</v>
      </c>
      <c r="O695" s="17">
        <f t="shared" si="137"/>
        <v>173.5</v>
      </c>
      <c r="P695" s="19">
        <f ca="1">IF(ISERROR(IF(O695&lt;fi_h/20,0,(OFFSET('Base de dados'!$A$5,IF(O695&lt;20,1,IF(O695&gt;1000,10,MATCH(O695,Cargas,1))),Coluna_fih,1,1))*(1+0.13*0.25)*(PI()*(fi_h/1000)^2/4)*SQRT(2*9.81*(O695/100-fi_h/2/1000))*1000)),"",IF(O695&lt;fi_h/20,0,(OFFSET('Base de dados'!$A$5,IF(O695&lt;20,1,IF(O695&gt;1000,10,MATCH(O695,Cargas,1))),Coluna_fih,1,1))*(PI()*(fi_h/1000)^2/4)*SQRT(2*9.81*(O695/100-fi_h/2/1000))*1000))</f>
        <v>34.868620903905736</v>
      </c>
      <c r="Q695" s="19">
        <f ca="1">IF(O695="","",IF(Tipo_Vertedor="Retangular",IF(O695&lt;=cota_s*100,0,IF(Tipo_Vertedor="Retangular",Cd_sr*Lef_sr*((O695/100-cota_s)^(3/2))*1000)),IF(O695&lt;=cota_s*100+fi_s/20,0,(OFFSET('Base de dados'!$A$4,IF(O695&lt;20,1,IF(O695&gt;1000,10,MATCH(O695,Cargas,1))),Coluna_fis,1,1))*(PI()*(fi_s/1000)^2/4)*(2*9.81*(O695/100-cota_s-fi_s/2/1000))^0.5*1000)))</f>
        <v>1327.6883130620311</v>
      </c>
      <c r="R695" s="19">
        <f t="shared" ca="1" si="138"/>
        <v>1362.5569339659369</v>
      </c>
      <c r="S695" s="19">
        <f t="shared" ca="1" si="134"/>
        <v>3755.2370706619668</v>
      </c>
    </row>
    <row r="696" spans="13:19">
      <c r="M696" s="81">
        <f t="shared" ca="1" si="133"/>
        <v>5128.2946337266276</v>
      </c>
      <c r="N696" s="19">
        <f t="shared" si="135"/>
        <v>112.83968081434089</v>
      </c>
      <c r="O696" s="17">
        <f t="shared" si="137"/>
        <v>173.75</v>
      </c>
      <c r="P696" s="19">
        <f ca="1">IF(ISERROR(IF(O696&lt;fi_h/20,0,(OFFSET('Base de dados'!$A$5,IF(O696&lt;20,1,IF(O696&gt;1000,10,MATCH(O696,Cargas,1))),Coluna_fih,1,1))*(1+0.13*0.25)*(PI()*(fi_h/1000)^2/4)*SQRT(2*9.81*(O696/100-fi_h/2/1000))*1000)),"",IF(O696&lt;fi_h/20,0,(OFFSET('Base de dados'!$A$5,IF(O696&lt;20,1,IF(O696&gt;1000,10,MATCH(O696,Cargas,1))),Coluna_fih,1,1))*(PI()*(fi_h/1000)^2/4)*SQRT(2*9.81*(O696/100-fi_h/2/1000))*1000))</f>
        <v>34.894576795561441</v>
      </c>
      <c r="Q696" s="19">
        <f ca="1">IF(O696="","",IF(Tipo_Vertedor="Retangular",IF(O696&lt;=cota_s*100,0,IF(Tipo_Vertedor="Retangular",Cd_sr*Lef_sr*((O696/100-cota_s)^(3/2))*1000)),IF(O696&lt;=cota_s*100+fi_s/20,0,(OFFSET('Base de dados'!$A$4,IF(O696&lt;20,1,IF(O696&gt;1000,10,MATCH(O696,Cargas,1))),Coluna_fis,1,1))*(PI()*(fi_s/1000)^2/4)*(2*9.81*(O696/100-cota_s-fi_s/2/1000))^0.5*1000)))</f>
        <v>1332.0773631197023</v>
      </c>
      <c r="R696" s="19">
        <f t="shared" ca="1" si="138"/>
        <v>1366.9719399152639</v>
      </c>
      <c r="S696" s="19">
        <f t="shared" ca="1" si="134"/>
        <v>3761.3226938113635</v>
      </c>
    </row>
    <row r="697" spans="13:19">
      <c r="M697" s="81">
        <f t="shared" ca="1" si="133"/>
        <v>5138.801160226898</v>
      </c>
      <c r="N697" s="19">
        <f t="shared" si="135"/>
        <v>113.02228223607106</v>
      </c>
      <c r="O697" s="17">
        <f t="shared" si="137"/>
        <v>174</v>
      </c>
      <c r="P697" s="19">
        <f ca="1">IF(ISERROR(IF(O697&lt;fi_h/20,0,(OFFSET('Base de dados'!$A$5,IF(O697&lt;20,1,IF(O697&gt;1000,10,MATCH(O697,Cargas,1))),Coluna_fih,1,1))*(1+0.13*0.25)*(PI()*(fi_h/1000)^2/4)*SQRT(2*9.81*(O697/100-fi_h/2/1000))*1000)),"",IF(O697&lt;fi_h/20,0,(OFFSET('Base de dados'!$A$5,IF(O697&lt;20,1,IF(O697&gt;1000,10,MATCH(O697,Cargas,1))),Coluna_fih,1,1))*(PI()*(fi_h/1000)^2/4)*SQRT(2*9.81*(O697/100-fi_h/2/1000))*1000))</f>
        <v>34.920513394599148</v>
      </c>
      <c r="Q697" s="19">
        <f ca="1">IF(O697="","",IF(Tipo_Vertedor="Retangular",IF(O697&lt;=cota_s*100,0,IF(Tipo_Vertedor="Retangular",Cd_sr*Lef_sr*((O697/100-cota_s)^(3/2))*1000)),IF(O697&lt;=cota_s*100+fi_s/20,0,(OFFSET('Base de dados'!$A$4,IF(O697&lt;20,1,IF(O697&gt;1000,10,MATCH(O697,Cargas,1))),Coluna_fis,1,1))*(PI()*(fi_s/1000)^2/4)*(2*9.81*(O697/100-cota_s-fi_s/2/1000))^0.5*1000)))</f>
        <v>1336.4712389632637</v>
      </c>
      <c r="R697" s="19">
        <f t="shared" ca="1" si="138"/>
        <v>1371.3917523578627</v>
      </c>
      <c r="S697" s="19">
        <f t="shared" ca="1" si="134"/>
        <v>3767.4094078690355</v>
      </c>
    </row>
    <row r="698" spans="13:19">
      <c r="M698" s="81">
        <f t="shared" ca="1" si="133"/>
        <v>5149.313577505066</v>
      </c>
      <c r="N698" s="19">
        <f t="shared" si="135"/>
        <v>113.20491634388155</v>
      </c>
      <c r="O698" s="17">
        <f t="shared" si="137"/>
        <v>174.25</v>
      </c>
      <c r="P698" s="19">
        <f ca="1">IF(ISERROR(IF(O698&lt;fi_h/20,0,(OFFSET('Base de dados'!$A$5,IF(O698&lt;20,1,IF(O698&gt;1000,10,MATCH(O698,Cargas,1))),Coluna_fih,1,1))*(1+0.13*0.25)*(PI()*(fi_h/1000)^2/4)*SQRT(2*9.81*(O698/100-fi_h/2/1000))*1000)),"",IF(O698&lt;fi_h/20,0,(OFFSET('Base de dados'!$A$5,IF(O698&lt;20,1,IF(O698&gt;1000,10,MATCH(O698,Cargas,1))),Coluna_fih,1,1))*(PI()*(fi_h/1000)^2/4)*SQRT(2*9.81*(O698/100-fi_h/2/1000))*1000))</f>
        <v>34.946430743974716</v>
      </c>
      <c r="Q698" s="19">
        <f ca="1">IF(O698="","",IF(Tipo_Vertedor="Retangular",IF(O698&lt;=cota_s*100,0,IF(Tipo_Vertedor="Retangular",Cd_sr*Lef_sr*((O698/100-cota_s)^(3/2))*1000)),IF(O698&lt;=cota_s*100+fi_s/20,0,(OFFSET('Base de dados'!$A$4,IF(O698&lt;20,1,IF(O698&gt;1000,10,MATCH(O698,Cargas,1))),Coluna_fis,1,1))*(PI()*(fi_s/1000)^2/4)*(2*9.81*(O698/100-cota_s-fi_s/2/1000))^0.5*1000)))</f>
        <v>1340.8699352983731</v>
      </c>
      <c r="R698" s="19">
        <f t="shared" ca="1" si="138"/>
        <v>1375.8163660423479</v>
      </c>
      <c r="S698" s="19">
        <f t="shared" ca="1" si="134"/>
        <v>3773.497211462718</v>
      </c>
    </row>
    <row r="699" spans="13:19">
      <c r="M699" s="81">
        <f t="shared" ca="1" si="133"/>
        <v>5159.8318789584046</v>
      </c>
      <c r="N699" s="19">
        <f t="shared" si="135"/>
        <v>113.38758309671533</v>
      </c>
      <c r="O699" s="17">
        <f t="shared" si="137"/>
        <v>174.5</v>
      </c>
      <c r="P699" s="19">
        <f ca="1">IF(ISERROR(IF(O699&lt;fi_h/20,0,(OFFSET('Base de dados'!$A$5,IF(O699&lt;20,1,IF(O699&gt;1000,10,MATCH(O699,Cargas,1))),Coluna_fih,1,1))*(1+0.13*0.25)*(PI()*(fi_h/1000)^2/4)*SQRT(2*9.81*(O699/100-fi_h/2/1000))*1000)),"",IF(O699&lt;fi_h/20,0,(OFFSET('Base de dados'!$A$5,IF(O699&lt;20,1,IF(O699&gt;1000,10,MATCH(O699,Cargas,1))),Coluna_fih,1,1))*(PI()*(fi_h/1000)^2/4)*SQRT(2*9.81*(O699/100-fi_h/2/1000))*1000))</f>
        <v>34.972328886484867</v>
      </c>
      <c r="Q699" s="19">
        <f ca="1">IF(O699="","",IF(Tipo_Vertedor="Retangular",IF(O699&lt;=cota_s*100,0,IF(Tipo_Vertedor="Retangular",Cd_sr*Lef_sr*((O699/100-cota_s)^(3/2))*1000)),IF(O699&lt;=cota_s*100+fi_s/20,0,(OFFSET('Base de dados'!$A$4,IF(O699&lt;20,1,IF(O699&gt;1000,10,MATCH(O699,Cargas,1))),Coluna_fis,1,1))*(PI()*(fi_s/1000)^2/4)*(2*9.81*(O699/100-cota_s-fi_s/2/1000))^0.5*1000)))</f>
        <v>1345.2734468480749</v>
      </c>
      <c r="R699" s="19">
        <f t="shared" ca="1" si="138"/>
        <v>1380.2457757345596</v>
      </c>
      <c r="S699" s="19">
        <f t="shared" ca="1" si="134"/>
        <v>3779.5861032238445</v>
      </c>
    </row>
    <row r="700" spans="13:19">
      <c r="M700" s="81">
        <f t="shared" ca="1" si="133"/>
        <v>5170.3560580049907</v>
      </c>
      <c r="N700" s="19">
        <f t="shared" si="135"/>
        <v>113.5702824536255</v>
      </c>
      <c r="O700" s="17">
        <f t="shared" si="137"/>
        <v>174.75</v>
      </c>
      <c r="P700" s="19">
        <f ca="1">IF(ISERROR(IF(O700&lt;fi_h/20,0,(OFFSET('Base de dados'!$A$5,IF(O700&lt;20,1,IF(O700&gt;1000,10,MATCH(O700,Cargas,1))),Coluna_fih,1,1))*(1+0.13*0.25)*(PI()*(fi_h/1000)^2/4)*SQRT(2*9.81*(O700/100-fi_h/2/1000))*1000)),"",IF(O700&lt;fi_h/20,0,(OFFSET('Base de dados'!$A$5,IF(O700&lt;20,1,IF(O700&gt;1000,10,MATCH(O700,Cargas,1))),Coluna_fih,1,1))*(PI()*(fi_h/1000)^2/4)*SQRT(2*9.81*(O700/100-fi_h/2/1000))*1000))</f>
        <v>34.998207864767977</v>
      </c>
      <c r="Q700" s="19">
        <f ca="1">IF(O700="","",IF(Tipo_Vertedor="Retangular",IF(O700&lt;=cota_s*100,0,IF(Tipo_Vertedor="Retangular",Cd_sr*Lef_sr*((O700/100-cota_s)^(3/2))*1000)),IF(O700&lt;=cota_s*100+fi_s/20,0,(OFFSET('Base de dados'!$A$4,IF(O700&lt;20,1,IF(O700&gt;1000,10,MATCH(O700,Cargas,1))),Coluna_fis,1,1))*(PI()*(fi_s/1000)^2/4)*(2*9.81*(O700/100-cota_s-fi_s/2/1000))^0.5*1000)))</f>
        <v>1349.6817683527061</v>
      </c>
      <c r="R700" s="19">
        <f t="shared" ca="1" si="138"/>
        <v>1384.6799762174739</v>
      </c>
      <c r="S700" s="19">
        <f t="shared" ca="1" si="134"/>
        <v>3785.6760817875165</v>
      </c>
    </row>
    <row r="701" spans="13:19">
      <c r="M701" s="81">
        <f t="shared" ca="1" si="133"/>
        <v>5180.8861080836123</v>
      </c>
      <c r="N701" s="19">
        <f t="shared" si="135"/>
        <v>113.7530143737752</v>
      </c>
      <c r="O701" s="17">
        <f t="shared" si="137"/>
        <v>175</v>
      </c>
      <c r="P701" s="19">
        <f ca="1">IF(ISERROR(IF(O701&lt;fi_h/20,0,(OFFSET('Base de dados'!$A$5,IF(O701&lt;20,1,IF(O701&gt;1000,10,MATCH(O701,Cargas,1))),Coluna_fih,1,1))*(1+0.13*0.25)*(PI()*(fi_h/1000)^2/4)*SQRT(2*9.81*(O701/100-fi_h/2/1000))*1000)),"",IF(O701&lt;fi_h/20,0,(OFFSET('Base de dados'!$A$5,IF(O701&lt;20,1,IF(O701&gt;1000,10,MATCH(O701,Cargas,1))),Coluna_fih,1,1))*(PI()*(fi_h/1000)^2/4)*SQRT(2*9.81*(O701/100-fi_h/2/1000))*1000))</f>
        <v>35.024067721304874</v>
      </c>
      <c r="Q701" s="19">
        <f ca="1">IF(O701="","",IF(Tipo_Vertedor="Retangular",IF(O701&lt;=cota_s*100,0,IF(Tipo_Vertedor="Retangular",Cd_sr*Lef_sr*((O701/100-cota_s)^(3/2))*1000)),IF(O701&lt;=cota_s*100+fi_s/20,0,(OFFSET('Base de dados'!$A$4,IF(O701&lt;20,1,IF(O701&gt;1000,10,MATCH(O701,Cargas,1))),Coluna_fis,1,1))*(PI()*(fi_s/1000)^2/4)*(2*9.81*(O701/100-cota_s-fi_s/2/1000))^0.5*1000)))</f>
        <v>1354.0948945698008</v>
      </c>
      <c r="R701" s="19">
        <f t="shared" ca="1" si="138"/>
        <v>1389.1189622911056</v>
      </c>
      <c r="S701" s="19">
        <f t="shared" ca="1" si="134"/>
        <v>3791.7671457925071</v>
      </c>
    </row>
    <row r="702" spans="13:19">
      <c r="M702" s="81">
        <f t="shared" ca="1" si="133"/>
        <v>5191.422022653649</v>
      </c>
      <c r="N702" s="19">
        <f t="shared" si="135"/>
        <v>113.93577881643695</v>
      </c>
      <c r="O702" s="17">
        <f t="shared" si="137"/>
        <v>175.25</v>
      </c>
      <c r="P702" s="19">
        <f ca="1">IF(ISERROR(IF(O702&lt;fi_h/20,0,(OFFSET('Base de dados'!$A$5,IF(O702&lt;20,1,IF(O702&gt;1000,10,MATCH(O702,Cargas,1))),Coluna_fih,1,1))*(1+0.13*0.25)*(PI()*(fi_h/1000)^2/4)*SQRT(2*9.81*(O702/100-fi_h/2/1000))*1000)),"",IF(O702&lt;fi_h/20,0,(OFFSET('Base de dados'!$A$5,IF(O702&lt;20,1,IF(O702&gt;1000,10,MATCH(O702,Cargas,1))),Coluna_fih,1,1))*(PI()*(fi_h/1000)^2/4)*SQRT(2*9.81*(O702/100-fi_h/2/1000))*1000))</f>
        <v>35.04990849841969</v>
      </c>
      <c r="Q702" s="19">
        <f ca="1">IF(O702="","",IF(Tipo_Vertedor="Retangular",IF(O702&lt;=cota_s*100,0,IF(Tipo_Vertedor="Retangular",Cd_sr*Lef_sr*((O702/100-cota_s)^(3/2))*1000)),IF(O702&lt;=cota_s*100+fi_s/20,0,(OFFSET('Base de dados'!$A$4,IF(O702&lt;20,1,IF(O702&gt;1000,10,MATCH(O702,Cargas,1))),Coluna_fis,1,1))*(PI()*(fi_s/1000)^2/4)*(2*9.81*(O702/100-cota_s-fi_s/2/1000))^0.5*1000)))</f>
        <v>1358.5128202739979</v>
      </c>
      <c r="R702" s="19">
        <f t="shared" ca="1" si="138"/>
        <v>1393.5627287724176</v>
      </c>
      <c r="S702" s="19">
        <f t="shared" ca="1" si="134"/>
        <v>3797.8592938812317</v>
      </c>
    </row>
    <row r="703" spans="13:19">
      <c r="M703" s="81">
        <f t="shared" ca="1" si="133"/>
        <v>5201.9637951949699</v>
      </c>
      <c r="N703" s="19">
        <f t="shared" si="135"/>
        <v>114.11857574099221</v>
      </c>
      <c r="O703" s="17">
        <f t="shared" si="137"/>
        <v>175.5</v>
      </c>
      <c r="P703" s="19">
        <f ca="1">IF(ISERROR(IF(O703&lt;fi_h/20,0,(OFFSET('Base de dados'!$A$5,IF(O703&lt;20,1,IF(O703&gt;1000,10,MATCH(O703,Cargas,1))),Coluna_fih,1,1))*(1+0.13*0.25)*(PI()*(fi_h/1000)^2/4)*SQRT(2*9.81*(O703/100-fi_h/2/1000))*1000)),"",IF(O703&lt;fi_h/20,0,(OFFSET('Base de dados'!$A$5,IF(O703&lt;20,1,IF(O703&gt;1000,10,MATCH(O703,Cargas,1))),Coluna_fih,1,1))*(PI()*(fi_h/1000)^2/4)*SQRT(2*9.81*(O703/100-fi_h/2/1000))*1000))</f>
        <v>35.075730238280649</v>
      </c>
      <c r="Q703" s="19">
        <f ca="1">IF(O703="","",IF(Tipo_Vertedor="Retangular",IF(O703&lt;=cota_s*100,0,IF(Tipo_Vertedor="Retangular",Cd_sr*Lef_sr*((O703/100-cota_s)^(3/2))*1000)),IF(O703&lt;=cota_s*100+fi_s/20,0,(OFFSET('Base de dados'!$A$4,IF(O703&lt;20,1,IF(O703&gt;1000,10,MATCH(O703,Cargas,1))),Coluna_fis,1,1))*(PI()*(fi_s/1000)^2/4)*(2*9.81*(O703/100-cota_s-fi_s/2/1000))^0.5*1000)))</f>
        <v>1362.9355402569483</v>
      </c>
      <c r="R703" s="19">
        <f t="shared" ca="1" si="138"/>
        <v>1398.0112704952289</v>
      </c>
      <c r="S703" s="19">
        <f t="shared" ca="1" si="134"/>
        <v>3803.9525246997405</v>
      </c>
    </row>
    <row r="704" spans="13:19">
      <c r="M704" s="81">
        <f t="shared" ca="1" si="133"/>
        <v>5212.5114192078217</v>
      </c>
      <c r="N704" s="19">
        <f t="shared" si="135"/>
        <v>114.30140510693097</v>
      </c>
      <c r="O704" s="17">
        <f t="shared" si="137"/>
        <v>175.75</v>
      </c>
      <c r="P704" s="19">
        <f ca="1">IF(ISERROR(IF(O704&lt;fi_h/20,0,(OFFSET('Base de dados'!$A$5,IF(O704&lt;20,1,IF(O704&gt;1000,10,MATCH(O704,Cargas,1))),Coluna_fih,1,1))*(1+0.13*0.25)*(PI()*(fi_h/1000)^2/4)*SQRT(2*9.81*(O704/100-fi_h/2/1000))*1000)),"",IF(O704&lt;fi_h/20,0,(OFFSET('Base de dados'!$A$5,IF(O704&lt;20,1,IF(O704&gt;1000,10,MATCH(O704,Cargas,1))),Coluna_fih,1,1))*(PI()*(fi_h/1000)^2/4)*SQRT(2*9.81*(O704/100-fi_h/2/1000))*1000))</f>
        <v>35.101532982900892</v>
      </c>
      <c r="Q704" s="19">
        <f ca="1">IF(O704="","",IF(Tipo_Vertedor="Retangular",IF(O704&lt;=cota_s*100,0,IF(Tipo_Vertedor="Retangular",Cd_sr*Lef_sr*((O704/100-cota_s)^(3/2))*1000)),IF(O704&lt;=cota_s*100+fi_s/20,0,(OFFSET('Base de dados'!$A$4,IF(O704&lt;20,1,IF(O704&gt;1000,10,MATCH(O704,Cargas,1))),Coluna_fis,1,1))*(PI()*(fi_s/1000)^2/4)*(2*9.81*(O704/100-cota_s-fi_s/2/1000))^0.5*1000)))</f>
        <v>1367.3630493272219</v>
      </c>
      <c r="R704" s="19">
        <f t="shared" ca="1" si="138"/>
        <v>1402.4645823101228</v>
      </c>
      <c r="S704" s="19">
        <f t="shared" ca="1" si="134"/>
        <v>3810.046836897699</v>
      </c>
    </row>
    <row r="705" spans="13:19">
      <c r="M705" s="81">
        <f t="shared" ca="1" si="133"/>
        <v>5223.0648882127316</v>
      </c>
      <c r="N705" s="19">
        <f t="shared" si="135"/>
        <v>114.48426687385131</v>
      </c>
      <c r="O705" s="17">
        <f t="shared" si="137"/>
        <v>176</v>
      </c>
      <c r="P705" s="19">
        <f ca="1">IF(ISERROR(IF(O705&lt;fi_h/20,0,(OFFSET('Base de dados'!$A$5,IF(O705&lt;20,1,IF(O705&gt;1000,10,MATCH(O705,Cargas,1))),Coluna_fih,1,1))*(1+0.13*0.25)*(PI()*(fi_h/1000)^2/4)*SQRT(2*9.81*(O705/100-fi_h/2/1000))*1000)),"",IF(O705&lt;fi_h/20,0,(OFFSET('Base de dados'!$A$5,IF(O705&lt;20,1,IF(O705&gt;1000,10,MATCH(O705,Cargas,1))),Coluna_fih,1,1))*(PI()*(fi_h/1000)^2/4)*SQRT(2*9.81*(O705/100-fi_h/2/1000))*1000))</f>
        <v>35.12731677413921</v>
      </c>
      <c r="Q705" s="19">
        <f ca="1">IF(O705="","",IF(Tipo_Vertedor="Retangular",IF(O705&lt;=cota_s*100,0,IF(Tipo_Vertedor="Retangular",Cd_sr*Lef_sr*((O705/100-cota_s)^(3/2))*1000)),IF(O705&lt;=cota_s*100+fi_s/20,0,(OFFSET('Base de dados'!$A$4,IF(O705&lt;20,1,IF(O705&gt;1000,10,MATCH(O705,Cargas,1))),Coluna_fis,1,1))*(PI()*(fi_s/1000)^2/4)*(2*9.81*(O705/100-cota_s-fi_s/2/1000))^0.5*1000)))</f>
        <v>1371.7953423102156</v>
      </c>
      <c r="R705" s="19">
        <f t="shared" ca="1" si="138"/>
        <v>1406.9226590843548</v>
      </c>
      <c r="S705" s="19">
        <f t="shared" ca="1" si="134"/>
        <v>3816.142229128377</v>
      </c>
    </row>
    <row r="706" spans="13:19">
      <c r="M706" s="81">
        <f t="shared" ca="1" si="133"/>
        <v>5233.6241957503971</v>
      </c>
      <c r="N706" s="19">
        <f t="shared" si="135"/>
        <v>114.66716100145894</v>
      </c>
      <c r="O706" s="17">
        <f t="shared" si="137"/>
        <v>176.25</v>
      </c>
      <c r="P706" s="19">
        <f ca="1">IF(ISERROR(IF(O706&lt;fi_h/20,0,(OFFSET('Base de dados'!$A$5,IF(O706&lt;20,1,IF(O706&gt;1000,10,MATCH(O706,Cargas,1))),Coluna_fih,1,1))*(1+0.13*0.25)*(PI()*(fi_h/1000)^2/4)*SQRT(2*9.81*(O706/100-fi_h/2/1000))*1000)),"",IF(O706&lt;fi_h/20,0,(OFFSET('Base de dados'!$A$5,IF(O706&lt;20,1,IF(O706&gt;1000,10,MATCH(O706,Cargas,1))),Coluna_fih,1,1))*(PI()*(fi_h/1000)^2/4)*SQRT(2*9.81*(O706/100-fi_h/2/1000))*1000))</f>
        <v>35.15308165370093</v>
      </c>
      <c r="Q706" s="19">
        <f ca="1">IF(O706="","",IF(Tipo_Vertedor="Retangular",IF(O706&lt;=cota_s*100,0,IF(Tipo_Vertedor="Retangular",Cd_sr*Lef_sr*((O706/100-cota_s)^(3/2))*1000)),IF(O706&lt;=cota_s*100+fi_s/20,0,(OFFSET('Base de dados'!$A$4,IF(O706&lt;20,1,IF(O706&gt;1000,10,MATCH(O706,Cargas,1))),Coluna_fis,1,1))*(PI()*(fi_s/1000)^2/4)*(2*9.81*(O706/100-cota_s-fi_s/2/1000))^0.5*1000)))</f>
        <v>1376.2324140480646</v>
      </c>
      <c r="R706" s="19">
        <f t="shared" ca="1" si="138"/>
        <v>1411.3854957017654</v>
      </c>
      <c r="S706" s="19">
        <f t="shared" ca="1" si="134"/>
        <v>3822.2387000486315</v>
      </c>
    </row>
    <row r="707" spans="13:19">
      <c r="M707" s="81">
        <f t="shared" ca="1" si="133"/>
        <v>5244.1893353815813</v>
      </c>
      <c r="N707" s="19">
        <f t="shared" si="135"/>
        <v>114.85008744956674</v>
      </c>
      <c r="O707" s="17">
        <f t="shared" si="137"/>
        <v>176.5</v>
      </c>
      <c r="P707" s="19">
        <f ca="1">IF(ISERROR(IF(O707&lt;fi_h/20,0,(OFFSET('Base de dados'!$A$5,IF(O707&lt;20,1,IF(O707&gt;1000,10,MATCH(O707,Cargas,1))),Coluna_fih,1,1))*(1+0.13*0.25)*(PI()*(fi_h/1000)^2/4)*SQRT(2*9.81*(O707/100-fi_h/2/1000))*1000)),"",IF(O707&lt;fi_h/20,0,(OFFSET('Base de dados'!$A$5,IF(O707&lt;20,1,IF(O707&gt;1000,10,MATCH(O707,Cargas,1))),Coluna_fih,1,1))*(PI()*(fi_h/1000)^2/4)*SQRT(2*9.81*(O707/100-fi_h/2/1000))*1000))</f>
        <v>35.17882766313862</v>
      </c>
      <c r="Q707" s="19">
        <f ca="1">IF(O707="","",IF(Tipo_Vertedor="Retangular",IF(O707&lt;=cota_s*100,0,IF(Tipo_Vertedor="Retangular",Cd_sr*Lef_sr*((O707/100-cota_s)^(3/2))*1000)),IF(O707&lt;=cota_s*100+fi_s/20,0,(OFFSET('Base de dados'!$A$4,IF(O707&lt;20,1,IF(O707&gt;1000,10,MATCH(O707,Cargas,1))),Coluna_fis,1,1))*(PI()*(fi_s/1000)^2/4)*(2*9.81*(O707/100-cota_s-fi_s/2/1000))^0.5*1000)))</f>
        <v>1380.6742593995518</v>
      </c>
      <c r="R707" s="19">
        <f t="shared" ca="1" si="138"/>
        <v>1415.8530870626905</v>
      </c>
      <c r="S707" s="19">
        <f t="shared" ca="1" si="134"/>
        <v>3828.3362483188912</v>
      </c>
    </row>
    <row r="708" spans="13:19">
      <c r="M708" s="81">
        <f t="shared" ca="1" si="133"/>
        <v>5254.7603006870195</v>
      </c>
      <c r="N708" s="19">
        <f t="shared" si="135"/>
        <v>115.03304617809448</v>
      </c>
      <c r="O708" s="17">
        <f t="shared" si="137"/>
        <v>176.75</v>
      </c>
      <c r="P708" s="19">
        <f ca="1">IF(ISERROR(IF(O708&lt;fi_h/20,0,(OFFSET('Base de dados'!$A$5,IF(O708&lt;20,1,IF(O708&gt;1000,10,MATCH(O708,Cargas,1))),Coluna_fih,1,1))*(1+0.13*0.25)*(PI()*(fi_h/1000)^2/4)*SQRT(2*9.81*(O708/100-fi_h/2/1000))*1000)),"",IF(O708&lt;fi_h/20,0,(OFFSET('Base de dados'!$A$5,IF(O708&lt;20,1,IF(O708&gt;1000,10,MATCH(O708,Cargas,1))),Coluna_fih,1,1))*(PI()*(fi_h/1000)^2/4)*SQRT(2*9.81*(O708/100-fi_h/2/1000))*1000))</f>
        <v>35.204554843852961</v>
      </c>
      <c r="Q708" s="19">
        <f ca="1">IF(O708="","",IF(Tipo_Vertedor="Retangular",IF(O708&lt;=cota_s*100,0,IF(Tipo_Vertedor="Retangular",Cd_sr*Lef_sr*((O708/100-cota_s)^(3/2))*1000)),IF(O708&lt;=cota_s*100+fi_s/20,0,(OFFSET('Base de dados'!$A$4,IF(O708&lt;20,1,IF(O708&gt;1000,10,MATCH(O708,Cargas,1))),Coluna_fis,1,1))*(PI()*(fi_s/1000)^2/4)*(2*9.81*(O708/100-cota_s-fi_s/2/1000))^0.5*1000)))</f>
        <v>1385.1208732400171</v>
      </c>
      <c r="R708" s="19">
        <f t="shared" ca="1" si="138"/>
        <v>1420.3254280838701</v>
      </c>
      <c r="S708" s="19">
        <f t="shared" ca="1" si="134"/>
        <v>3834.434872603149</v>
      </c>
    </row>
    <row r="709" spans="13:19">
      <c r="M709" s="81">
        <f t="shared" ref="M709:M772" ca="1" si="139">IF(O709="","",2*N709*1000/(Passo*60)+R709)</f>
        <v>5265.3370852673015</v>
      </c>
      <c r="N709" s="19">
        <f t="shared" si="135"/>
        <v>115.21603714706811</v>
      </c>
      <c r="O709" s="17">
        <f t="shared" si="137"/>
        <v>177</v>
      </c>
      <c r="P709" s="19">
        <f ca="1">IF(ISERROR(IF(O709&lt;fi_h/20,0,(OFFSET('Base de dados'!$A$5,IF(O709&lt;20,1,IF(O709&gt;1000,10,MATCH(O709,Cargas,1))),Coluna_fih,1,1))*(1+0.13*0.25)*(PI()*(fi_h/1000)^2/4)*SQRT(2*9.81*(O709/100-fi_h/2/1000))*1000)),"",IF(O709&lt;fi_h/20,0,(OFFSET('Base de dados'!$A$5,IF(O709&lt;20,1,IF(O709&gt;1000,10,MATCH(O709,Cargas,1))),Coluna_fih,1,1))*(PI()*(fi_h/1000)^2/4)*SQRT(2*9.81*(O709/100-fi_h/2/1000))*1000))</f>
        <v>35.230263237093382</v>
      </c>
      <c r="Q709" s="19">
        <f ca="1">IF(O709="","",IF(Tipo_Vertedor="Retangular",IF(O709&lt;=cota_s*100,0,IF(Tipo_Vertedor="Retangular",Cd_sr*Lef_sr*((O709/100-cota_s)^(3/2))*1000)),IF(O709&lt;=cota_s*100+fi_s/20,0,(OFFSET('Base de dados'!$A$4,IF(O709&lt;20,1,IF(O709&gt;1000,10,MATCH(O709,Cargas,1))),Coluna_fis,1,1))*(PI()*(fi_s/1000)^2/4)*(2*9.81*(O709/100-cota_s-fi_s/2/1000))^0.5*1000)))</f>
        <v>1389.5722504612706</v>
      </c>
      <c r="R709" s="19">
        <f t="shared" ca="1" si="138"/>
        <v>1424.802513698364</v>
      </c>
      <c r="S709" s="19">
        <f t="shared" ref="S709:S772" ca="1" si="140">IF(M709="","",2*N709*1000/(Passo*60))</f>
        <v>3840.5345715689373</v>
      </c>
    </row>
    <row r="710" spans="13:19">
      <c r="M710" s="81">
        <f t="shared" ca="1" si="139"/>
        <v>5275.9196827427786</v>
      </c>
      <c r="N710" s="19">
        <f t="shared" ref="N710:N773" si="141">IF(O710="","",b_0*(O710/100)^c_0)</f>
        <v>115.3990603166195</v>
      </c>
      <c r="O710" s="17">
        <f t="shared" si="137"/>
        <v>177.25</v>
      </c>
      <c r="P710" s="19">
        <f ca="1">IF(ISERROR(IF(O710&lt;fi_h/20,0,(OFFSET('Base de dados'!$A$5,IF(O710&lt;20,1,IF(O710&gt;1000,10,MATCH(O710,Cargas,1))),Coluna_fih,1,1))*(1+0.13*0.25)*(PI()*(fi_h/1000)^2/4)*SQRT(2*9.81*(O710/100-fi_h/2/1000))*1000)),"",IF(O710&lt;fi_h/20,0,(OFFSET('Base de dados'!$A$5,IF(O710&lt;20,1,IF(O710&gt;1000,10,MATCH(O710,Cargas,1))),Coluna_fih,1,1))*(PI()*(fi_h/1000)^2/4)*SQRT(2*9.81*(O710/100-fi_h/2/1000))*1000))</f>
        <v>35.255952883958997</v>
      </c>
      <c r="Q710" s="19">
        <f ca="1">IF(O710="","",IF(Tipo_Vertedor="Retangular",IF(O710&lt;=cota_s*100,0,IF(Tipo_Vertedor="Retangular",Cd_sr*Lef_sr*((O710/100-cota_s)^(3/2))*1000)),IF(O710&lt;=cota_s*100+fi_s/20,0,(OFFSET('Base de dados'!$A$4,IF(O710&lt;20,1,IF(O710&gt;1000,10,MATCH(O710,Cargas,1))),Coluna_fis,1,1))*(PI()*(fi_s/1000)^2/4)*(2*9.81*(O710/100-cota_s-fi_s/2/1000))^0.5*1000)))</f>
        <v>1394.0283859715025</v>
      </c>
      <c r="R710" s="19">
        <f t="shared" ca="1" si="138"/>
        <v>1429.2843388554616</v>
      </c>
      <c r="S710" s="19">
        <f t="shared" ca="1" si="140"/>
        <v>3846.6353438873166</v>
      </c>
    </row>
    <row r="711" spans="13:19">
      <c r="M711" s="81">
        <f t="shared" ca="1" si="139"/>
        <v>5286.5080867534662</v>
      </c>
      <c r="N711" s="19">
        <f t="shared" si="141"/>
        <v>115.58211564698608</v>
      </c>
      <c r="O711" s="17">
        <f t="shared" si="137"/>
        <v>177.5</v>
      </c>
      <c r="P711" s="19">
        <f ca="1">IF(ISERROR(IF(O711&lt;fi_h/20,0,(OFFSET('Base de dados'!$A$5,IF(O711&lt;20,1,IF(O711&gt;1000,10,MATCH(O711,Cargas,1))),Coluna_fih,1,1))*(1+0.13*0.25)*(PI()*(fi_h/1000)^2/4)*SQRT(2*9.81*(O711/100-fi_h/2/1000))*1000)),"",IF(O711&lt;fi_h/20,0,(OFFSET('Base de dados'!$A$5,IF(O711&lt;20,1,IF(O711&gt;1000,10,MATCH(O711,Cargas,1))),Coluna_fih,1,1))*(PI()*(fi_h/1000)^2/4)*SQRT(2*9.81*(O711/100-fi_h/2/1000))*1000))</f>
        <v>35.281623825399237</v>
      </c>
      <c r="Q711" s="19">
        <f ca="1">IF(O711="","",IF(Tipo_Vertedor="Retangular",IF(O711&lt;=cota_s*100,0,IF(Tipo_Vertedor="Retangular",Cd_sr*Lef_sr*((O711/100-cota_s)^(3/2))*1000)),IF(O711&lt;=cota_s*100+fi_s/20,0,(OFFSET('Base de dados'!$A$4,IF(O711&lt;20,1,IF(O711&gt;1000,10,MATCH(O711,Cargas,1))),Coluna_fis,1,1))*(PI()*(fi_s/1000)^2/4)*(2*9.81*(O711/100-cota_s-fi_s/2/1000))^0.5*1000)))</f>
        <v>1398.4892746951973</v>
      </c>
      <c r="R711" s="19">
        <f t="shared" ca="1" si="138"/>
        <v>1433.7708985205966</v>
      </c>
      <c r="S711" s="19">
        <f t="shared" ca="1" si="140"/>
        <v>3852.7371882328694</v>
      </c>
    </row>
    <row r="712" spans="13:19">
      <c r="M712" s="81">
        <f t="shared" ca="1" si="139"/>
        <v>5297.1022909589374</v>
      </c>
      <c r="N712" s="19">
        <f t="shared" si="141"/>
        <v>115.76520309851023</v>
      </c>
      <c r="O712" s="17">
        <f t="shared" si="137"/>
        <v>177.75</v>
      </c>
      <c r="P712" s="19">
        <f ca="1">IF(ISERROR(IF(O712&lt;fi_h/20,0,(OFFSET('Base de dados'!$A$5,IF(O712&lt;20,1,IF(O712&gt;1000,10,MATCH(O712,Cargas,1))),Coluna_fih,1,1))*(1+0.13*0.25)*(PI()*(fi_h/1000)^2/4)*SQRT(2*9.81*(O712/100-fi_h/2/1000))*1000)),"",IF(O712&lt;fi_h/20,0,(OFFSET('Base de dados'!$A$5,IF(O712&lt;20,1,IF(O712&gt;1000,10,MATCH(O712,Cargas,1))),Coluna_fih,1,1))*(PI()*(fi_h/1000)^2/4)*SQRT(2*9.81*(O712/100-fi_h/2/1000))*1000))</f>
        <v>35.307276102214722</v>
      </c>
      <c r="Q712" s="19">
        <f ca="1">IF(O712="","",IF(Tipo_Vertedor="Retangular",IF(O712&lt;=cota_s*100,0,IF(Tipo_Vertedor="Retangular",Cd_sr*Lef_sr*((O712/100-cota_s)^(3/2))*1000)),IF(O712&lt;=cota_s*100+fi_s/20,0,(OFFSET('Base de dados'!$A$4,IF(O712&lt;20,1,IF(O712&gt;1000,10,MATCH(O712,Cargas,1))),Coluna_fis,1,1))*(PI()*(fi_s/1000)^2/4)*(2*9.81*(O712/100-cota_s-fi_s/2/1000))^0.5*1000)))</f>
        <v>1402.9549115730479</v>
      </c>
      <c r="R712" s="19">
        <f t="shared" ca="1" si="138"/>
        <v>1438.2621876752626</v>
      </c>
      <c r="S712" s="19">
        <f t="shared" ca="1" si="140"/>
        <v>3858.8401032836746</v>
      </c>
    </row>
    <row r="713" spans="13:19">
      <c r="M713" s="81">
        <f t="shared" ca="1" si="139"/>
        <v>5307.7022890382214</v>
      </c>
      <c r="N713" s="19">
        <f t="shared" si="141"/>
        <v>115.94832263163896</v>
      </c>
      <c r="O713" s="17">
        <f t="shared" si="137"/>
        <v>178</v>
      </c>
      <c r="P713" s="19">
        <f ca="1">IF(ISERROR(IF(O713&lt;fi_h/20,0,(OFFSET('Base de dados'!$A$5,IF(O713&lt;20,1,IF(O713&gt;1000,10,MATCH(O713,Cargas,1))),Coluna_fih,1,1))*(1+0.13*0.25)*(PI()*(fi_h/1000)^2/4)*SQRT(2*9.81*(O713/100-fi_h/2/1000))*1000)),"",IF(O713&lt;fi_h/20,0,(OFFSET('Base de dados'!$A$5,IF(O713&lt;20,1,IF(O713&gt;1000,10,MATCH(O713,Cargas,1))),Coluna_fih,1,1))*(PI()*(fi_h/1000)^2/4)*SQRT(2*9.81*(O713/100-fi_h/2/1000))*1000))</f>
        <v>35.332909755057898</v>
      </c>
      <c r="Q713" s="19">
        <f ca="1">IF(O713="","",IF(Tipo_Vertedor="Retangular",IF(O713&lt;=cota_s*100,0,IF(Tipo_Vertedor="Retangular",Cd_sr*Lef_sr*((O713/100-cota_s)^(3/2))*1000)),IF(O713&lt;=cota_s*100+fi_s/20,0,(OFFSET('Base de dados'!$A$4,IF(O713&lt;20,1,IF(O713&gt;1000,10,MATCH(O713,Cargas,1))),Coluna_fis,1,1))*(PI()*(fi_s/1000)^2/4)*(2*9.81*(O713/100-cota_s-fi_s/2/1000))^0.5*1000)))</f>
        <v>1407.4252915618652</v>
      </c>
      <c r="R713" s="19">
        <f t="shared" ca="1" si="138"/>
        <v>1442.7582013169231</v>
      </c>
      <c r="S713" s="19">
        <f t="shared" ca="1" si="140"/>
        <v>3864.9440877212987</v>
      </c>
    </row>
    <row r="714" spans="13:19">
      <c r="M714" s="81">
        <f t="shared" ca="1" si="139"/>
        <v>5318.3080746897158</v>
      </c>
      <c r="N714" s="19">
        <f t="shared" si="141"/>
        <v>116.13147420692353</v>
      </c>
      <c r="O714" s="17">
        <f t="shared" si="137"/>
        <v>178.25</v>
      </c>
      <c r="P714" s="19">
        <f ca="1">IF(ISERROR(IF(O714&lt;fi_h/20,0,(OFFSET('Base de dados'!$A$5,IF(O714&lt;20,1,IF(O714&gt;1000,10,MATCH(O714,Cargas,1))),Coluna_fih,1,1))*(1+0.13*0.25)*(PI()*(fi_h/1000)^2/4)*SQRT(2*9.81*(O714/100-fi_h/2/1000))*1000)),"",IF(O714&lt;fi_h/20,0,(OFFSET('Base de dados'!$A$5,IF(O714&lt;20,1,IF(O714&gt;1000,10,MATCH(O714,Cargas,1))),Coluna_fih,1,1))*(PI()*(fi_h/1000)^2/4)*SQRT(2*9.81*(O714/100-fi_h/2/1000))*1000))</f>
        <v>35.3585248244339</v>
      </c>
      <c r="Q714" s="19">
        <f ca="1">IF(O714="","",IF(Tipo_Vertedor="Retangular",IF(O714&lt;=cota_s*100,0,IF(Tipo_Vertedor="Retangular",Cd_sr*Lef_sr*((O714/100-cota_s)^(3/2))*1000)),IF(O714&lt;=cota_s*100+fi_s/20,0,(OFFSET('Base de dados'!$A$4,IF(O714&lt;20,1,IF(O714&gt;1000,10,MATCH(O714,Cargas,1))),Coluna_fis,1,1))*(PI()*(fi_s/1000)^2/4)*(2*9.81*(O714/100-cota_s-fi_s/2/1000))^0.5*1000)))</f>
        <v>1411.9004096344979</v>
      </c>
      <c r="R714" s="19">
        <f t="shared" ca="1" si="138"/>
        <v>1447.2589344589319</v>
      </c>
      <c r="S714" s="19">
        <f t="shared" ca="1" si="140"/>
        <v>3871.0491402307839</v>
      </c>
    </row>
    <row r="715" spans="13:19">
      <c r="M715" s="81">
        <f t="shared" ca="1" si="139"/>
        <v>5328.919641631077</v>
      </c>
      <c r="N715" s="19">
        <f t="shared" si="141"/>
        <v>116.31465778501889</v>
      </c>
      <c r="O715" s="17">
        <f t="shared" si="137"/>
        <v>178.5</v>
      </c>
      <c r="P715" s="19">
        <f ca="1">IF(ISERROR(IF(O715&lt;fi_h/20,0,(OFFSET('Base de dados'!$A$5,IF(O715&lt;20,1,IF(O715&gt;1000,10,MATCH(O715,Cargas,1))),Coluna_fih,1,1))*(1+0.13*0.25)*(PI()*(fi_h/1000)^2/4)*SQRT(2*9.81*(O715/100-fi_h/2/1000))*1000)),"",IF(O715&lt;fi_h/20,0,(OFFSET('Base de dados'!$A$5,IF(O715&lt;20,1,IF(O715&gt;1000,10,MATCH(O715,Cargas,1))),Coluna_fih,1,1))*(PI()*(fi_h/1000)^2/4)*SQRT(2*9.81*(O715/100-fi_h/2/1000))*1000))</f>
        <v>35.384121350701243</v>
      </c>
      <c r="Q715" s="19">
        <f ca="1">IF(O715="","",IF(Tipo_Vertedor="Retangular",IF(O715&lt;=cota_s*100,0,IF(Tipo_Vertedor="Retangular",Cd_sr*Lef_sr*((O715/100-cota_s)^(3/2))*1000)),IF(O715&lt;=cota_s*100+fi_s/20,0,(OFFSET('Base de dados'!$A$4,IF(O715&lt;20,1,IF(O715&gt;1000,10,MATCH(O715,Cargas,1))),Coluna_fis,1,1))*(PI()*(fi_s/1000)^2/4)*(2*9.81*(O715/100-cota_s-fi_s/2/1000))^0.5*1000)))</f>
        <v>1416.3802607797459</v>
      </c>
      <c r="R715" s="19">
        <f t="shared" ca="1" si="138"/>
        <v>1451.7643821304471</v>
      </c>
      <c r="S715" s="19">
        <f t="shared" ca="1" si="140"/>
        <v>3877.1552595006297</v>
      </c>
    </row>
    <row r="716" spans="13:19">
      <c r="M716" s="81">
        <f t="shared" ca="1" si="139"/>
        <v>5339.5369835991296</v>
      </c>
      <c r="N716" s="19">
        <f t="shared" si="141"/>
        <v>116.49787332668348</v>
      </c>
      <c r="O716" s="17">
        <f t="shared" si="137"/>
        <v>178.75</v>
      </c>
      <c r="P716" s="19">
        <f ca="1">IF(ISERROR(IF(O716&lt;fi_h/20,0,(OFFSET('Base de dados'!$A$5,IF(O716&lt;20,1,IF(O716&gt;1000,10,MATCH(O716,Cargas,1))),Coluna_fih,1,1))*(1+0.13*0.25)*(PI()*(fi_h/1000)^2/4)*SQRT(2*9.81*(O716/100-fi_h/2/1000))*1000)),"",IF(O716&lt;fi_h/20,0,(OFFSET('Base de dados'!$A$5,IF(O716&lt;20,1,IF(O716&gt;1000,10,MATCH(O716,Cargas,1))),Coluna_fih,1,1))*(PI()*(fi_h/1000)^2/4)*SQRT(2*9.81*(O716/100-fi_h/2/1000))*1000))</f>
        <v>35.409699374072552</v>
      </c>
      <c r="Q716" s="19">
        <f ca="1">IF(O716="","",IF(Tipo_Vertedor="Retangular",IF(O716&lt;=cota_s*100,0,IF(Tipo_Vertedor="Retangular",Cd_sr*Lef_sr*((O716/100-cota_s)^(3/2))*1000)),IF(O716&lt;=cota_s*100+fi_s/20,0,(OFFSET('Base de dados'!$A$4,IF(O716&lt;20,1,IF(O716&gt;1000,10,MATCH(O716,Cargas,1))),Coluna_fis,1,1))*(PI()*(fi_s/1000)^2/4)*(2*9.81*(O716/100-cota_s-fi_s/2/1000))^0.5*1000)))</f>
        <v>1420.8648400022741</v>
      </c>
      <c r="R716" s="19">
        <f t="shared" ca="1" si="138"/>
        <v>1456.2745393763466</v>
      </c>
      <c r="S716" s="19">
        <f t="shared" ca="1" si="140"/>
        <v>3883.2624442227825</v>
      </c>
    </row>
    <row r="717" spans="13:19">
      <c r="M717" s="81">
        <f t="shared" ca="1" si="139"/>
        <v>5350.1600943497615</v>
      </c>
      <c r="N717" s="19">
        <f t="shared" si="141"/>
        <v>116.68112079277844</v>
      </c>
      <c r="O717" s="17">
        <f t="shared" si="137"/>
        <v>179</v>
      </c>
      <c r="P717" s="19">
        <f ca="1">IF(ISERROR(IF(O717&lt;fi_h/20,0,(OFFSET('Base de dados'!$A$5,IF(O717&lt;20,1,IF(O717&gt;1000,10,MATCH(O717,Cargas,1))),Coluna_fih,1,1))*(1+0.13*0.25)*(PI()*(fi_h/1000)^2/4)*SQRT(2*9.81*(O717/100-fi_h/2/1000))*1000)),"",IF(O717&lt;fi_h/20,0,(OFFSET('Base de dados'!$A$5,IF(O717&lt;20,1,IF(O717&gt;1000,10,MATCH(O717,Cargas,1))),Coluna_fih,1,1))*(PI()*(fi_h/1000)^2/4)*SQRT(2*9.81*(O717/100-fi_h/2/1000))*1000))</f>
        <v>35.435258934615355</v>
      </c>
      <c r="Q717" s="19">
        <f ca="1">IF(O717="","",IF(Tipo_Vertedor="Retangular",IF(O717&lt;=cota_s*100,0,IF(Tipo_Vertedor="Retangular",Cd_sr*Lef_sr*((O717/100-cota_s)^(3/2))*1000)),IF(O717&lt;=cota_s*100+fi_s/20,0,(OFFSET('Base de dados'!$A$4,IF(O717&lt;20,1,IF(O717&gt;1000,10,MATCH(O717,Cargas,1))),Coluna_fis,1,1))*(PI()*(fi_s/1000)^2/4)*(2*9.81*(O717/100-cota_s-fi_s/2/1000))^0.5*1000)))</f>
        <v>1425.3541423225315</v>
      </c>
      <c r="R717" s="19">
        <f t="shared" ca="1" si="138"/>
        <v>1460.7894012571469</v>
      </c>
      <c r="S717" s="19">
        <f t="shared" ca="1" si="140"/>
        <v>3889.3706930926146</v>
      </c>
    </row>
    <row r="718" spans="13:19">
      <c r="M718" s="81">
        <f t="shared" ca="1" si="139"/>
        <v>5360.7889676578425</v>
      </c>
      <c r="N718" s="19">
        <f t="shared" si="141"/>
        <v>116.86440014426765</v>
      </c>
      <c r="O718" s="17">
        <f t="shared" si="137"/>
        <v>179.25</v>
      </c>
      <c r="P718" s="19">
        <f ca="1">IF(ISERROR(IF(O718&lt;fi_h/20,0,(OFFSET('Base de dados'!$A$5,IF(O718&lt;20,1,IF(O718&gt;1000,10,MATCH(O718,Cargas,1))),Coluna_fih,1,1))*(1+0.13*0.25)*(PI()*(fi_h/1000)^2/4)*SQRT(2*9.81*(O718/100-fi_h/2/1000))*1000)),"",IF(O718&lt;fi_h/20,0,(OFFSET('Base de dados'!$A$5,IF(O718&lt;20,1,IF(O718&gt;1000,10,MATCH(O718,Cargas,1))),Coluna_fih,1,1))*(PI()*(fi_h/1000)^2/4)*SQRT(2*9.81*(O718/100-fi_h/2/1000))*1000))</f>
        <v>35.460800072252745</v>
      </c>
      <c r="Q718" s="19">
        <f ca="1">IF(O718="","",IF(Tipo_Vertedor="Retangular",IF(O718&lt;=cota_s*100,0,IF(Tipo_Vertedor="Retangular",Cd_sr*Lef_sr*((O718/100-cota_s)^(3/2))*1000)),IF(O718&lt;=cota_s*100+fi_s/20,0,(OFFSET('Base de dados'!$A$4,IF(O718&lt;20,1,IF(O718&gt;1000,10,MATCH(O718,Cargas,1))),Coluna_fis,1,1))*(PI()*(fi_s/1000)^2/4)*(2*9.81*(O718/100-cota_s-fi_s/2/1000))^0.5*1000)))</f>
        <v>1429.8481627766678</v>
      </c>
      <c r="R718" s="19">
        <f t="shared" ca="1" si="138"/>
        <v>1465.3089628489206</v>
      </c>
      <c r="S718" s="19">
        <f t="shared" ca="1" si="140"/>
        <v>3895.4800048089219</v>
      </c>
    </row>
    <row r="719" spans="13:19">
      <c r="M719" s="81">
        <f t="shared" ca="1" si="139"/>
        <v>5371.4235973171144</v>
      </c>
      <c r="N719" s="19">
        <f t="shared" si="141"/>
        <v>117.04771134221706</v>
      </c>
      <c r="O719" s="17">
        <f t="shared" si="137"/>
        <v>179.5</v>
      </c>
      <c r="P719" s="19">
        <f ca="1">IF(ISERROR(IF(O719&lt;fi_h/20,0,(OFFSET('Base de dados'!$A$5,IF(O719&lt;20,1,IF(O719&gt;1000,10,MATCH(O719,Cargas,1))),Coluna_fih,1,1))*(1+0.13*0.25)*(PI()*(fi_h/1000)^2/4)*SQRT(2*9.81*(O719/100-fi_h/2/1000))*1000)),"",IF(O719&lt;fi_h/20,0,(OFFSET('Base de dados'!$A$5,IF(O719&lt;20,1,IF(O719&gt;1000,10,MATCH(O719,Cargas,1))),Coluna_fih,1,1))*(PI()*(fi_h/1000)^2/4)*SQRT(2*9.81*(O719/100-fi_h/2/1000))*1000))</f>
        <v>35.486322826764166</v>
      </c>
      <c r="Q719" s="19">
        <f ca="1">IF(O719="","",IF(Tipo_Vertedor="Retangular",IF(O719&lt;=cota_s*100,0,IF(Tipo_Vertedor="Retangular",Cd_sr*Lef_sr*((O719/100-cota_s)^(3/2))*1000)),IF(O719&lt;=cota_s*100+fi_s/20,0,(OFFSET('Base de dados'!$A$4,IF(O719&lt;20,1,IF(O719&gt;1000,10,MATCH(O719,Cargas,1))),Coluna_fis,1,1))*(PI()*(fi_s/1000)^2/4)*(2*9.81*(O719/100-cota_s-fi_s/2/1000))^0.5*1000)))</f>
        <v>1434.346896416449</v>
      </c>
      <c r="R719" s="19">
        <f t="shared" ca="1" si="138"/>
        <v>1469.8332192432131</v>
      </c>
      <c r="S719" s="19">
        <f t="shared" ca="1" si="140"/>
        <v>3901.5903780739018</v>
      </c>
    </row>
    <row r="720" spans="13:19">
      <c r="M720" s="81">
        <f t="shared" ca="1" si="139"/>
        <v>5382.0639771401075</v>
      </c>
      <c r="N720" s="19">
        <f t="shared" si="141"/>
        <v>117.23105434779427</v>
      </c>
      <c r="O720" s="17">
        <f t="shared" si="137"/>
        <v>179.75</v>
      </c>
      <c r="P720" s="19">
        <f ca="1">IF(ISERROR(IF(O720&lt;fi_h/20,0,(OFFSET('Base de dados'!$A$5,IF(O720&lt;20,1,IF(O720&gt;1000,10,MATCH(O720,Cargas,1))),Coluna_fih,1,1))*(1+0.13*0.25)*(PI()*(fi_h/1000)^2/4)*SQRT(2*9.81*(O720/100-fi_h/2/1000))*1000)),"",IF(O720&lt;fi_h/20,0,(OFFSET('Base de dados'!$A$5,IF(O720&lt;20,1,IF(O720&gt;1000,10,MATCH(O720,Cargas,1))),Coluna_fih,1,1))*(PI()*(fi_h/1000)^2/4)*SQRT(2*9.81*(O720/100-fi_h/2/1000))*1000))</f>
        <v>35.5118272377861</v>
      </c>
      <c r="Q720" s="19">
        <f ca="1">IF(O720="","",IF(Tipo_Vertedor="Retangular",IF(O720&lt;=cota_s*100,0,IF(Tipo_Vertedor="Retangular",Cd_sr*Lef_sr*((O720/100-cota_s)^(3/2))*1000)),IF(O720&lt;=cota_s*100+fi_s/20,0,(OFFSET('Base de dados'!$A$4,IF(O720&lt;20,1,IF(O720&gt;1000,10,MATCH(O720,Cargas,1))),Coluna_fis,1,1))*(PI()*(fi_s/1000)^2/4)*(2*9.81*(O720/100-cota_s-fi_s/2/1000))^0.5*1000)))</f>
        <v>1438.8503383091791</v>
      </c>
      <c r="R720" s="19">
        <f t="shared" ca="1" si="138"/>
        <v>1474.3621655469651</v>
      </c>
      <c r="S720" s="19">
        <f t="shared" ca="1" si="140"/>
        <v>3907.7018115931423</v>
      </c>
    </row>
    <row r="721" spans="13:19">
      <c r="M721" s="81">
        <f t="shared" ca="1" si="139"/>
        <v>5392.7101009580347</v>
      </c>
      <c r="N721" s="19">
        <f t="shared" si="141"/>
        <v>117.41442912226822</v>
      </c>
      <c r="O721" s="17">
        <f t="shared" si="137"/>
        <v>180</v>
      </c>
      <c r="P721" s="19">
        <f ca="1">IF(ISERROR(IF(O721&lt;fi_h/20,0,(OFFSET('Base de dados'!$A$5,IF(O721&lt;20,1,IF(O721&gt;1000,10,MATCH(O721,Cargas,1))),Coluna_fih,1,1))*(1+0.13*0.25)*(PI()*(fi_h/1000)^2/4)*SQRT(2*9.81*(O721/100-fi_h/2/1000))*1000)),"",IF(O721&lt;fi_h/20,0,(OFFSET('Base de dados'!$A$5,IF(O721&lt;20,1,IF(O721&gt;1000,10,MATCH(O721,Cargas,1))),Coluna_fih,1,1))*(PI()*(fi_h/1000)^2/4)*SQRT(2*9.81*(O721/100-fi_h/2/1000))*1000))</f>
        <v>35.537313344812787</v>
      </c>
      <c r="Q721" s="19">
        <f ca="1">IF(O721="","",IF(Tipo_Vertedor="Retangular",IF(O721&lt;=cota_s*100,0,IF(Tipo_Vertedor="Retangular",Cd_sr*Lef_sr*((O721/100-cota_s)^(3/2))*1000)),IF(O721&lt;=cota_s*100+fi_s/20,0,(OFFSET('Base de dados'!$A$4,IF(O721&lt;20,1,IF(O721&gt;1000,10,MATCH(O721,Cargas,1))),Coluna_fis,1,1))*(PI()*(fi_s/1000)^2/4)*(2*9.81*(O721/100-cota_s-fi_s/2/1000))^0.5*1000)))</f>
        <v>1443.3584835376141</v>
      </c>
      <c r="R721" s="19">
        <f t="shared" ca="1" si="138"/>
        <v>1478.895796882427</v>
      </c>
      <c r="S721" s="19">
        <f t="shared" ca="1" si="140"/>
        <v>3913.8143040756072</v>
      </c>
    </row>
    <row r="722" spans="13:19">
      <c r="M722" s="81">
        <f t="shared" ca="1" si="139"/>
        <v>5403.3619626207073</v>
      </c>
      <c r="N722" s="19">
        <f t="shared" si="141"/>
        <v>117.59783562700869</v>
      </c>
      <c r="O722" s="17">
        <f t="shared" si="137"/>
        <v>180.25</v>
      </c>
      <c r="P722" s="19">
        <f ca="1">IF(ISERROR(IF(O722&lt;fi_h/20,0,(OFFSET('Base de dados'!$A$5,IF(O722&lt;20,1,IF(O722&gt;1000,10,MATCH(O722,Cargas,1))),Coluna_fih,1,1))*(1+0.13*0.25)*(PI()*(fi_h/1000)^2/4)*SQRT(2*9.81*(O722/100-fi_h/2/1000))*1000)),"",IF(O722&lt;fi_h/20,0,(OFFSET('Base de dados'!$A$5,IF(O722&lt;20,1,IF(O722&gt;1000,10,MATCH(O722,Cargas,1))),Coluna_fih,1,1))*(PI()*(fi_h/1000)^2/4)*SQRT(2*9.81*(O722/100-fi_h/2/1000))*1000))</f>
        <v>35.562781187196997</v>
      </c>
      <c r="Q722" s="19">
        <f ca="1">IF(O722="","",IF(Tipo_Vertedor="Retangular",IF(O722&lt;=cota_s*100,0,IF(Tipo_Vertedor="Retangular",Cd_sr*Lef_sr*((O722/100-cota_s)^(3/2))*1000)),IF(O722&lt;=cota_s*100+fi_s/20,0,(OFFSET('Base de dados'!$A$4,IF(O722&lt;20,1,IF(O722&gt;1000,10,MATCH(O722,Cargas,1))),Coluna_fis,1,1))*(PI()*(fi_s/1000)^2/4)*(2*9.81*(O722/100-cota_s-fi_s/2/1000))^0.5*1000)))</f>
        <v>1447.8713271998874</v>
      </c>
      <c r="R722" s="19">
        <f t="shared" ca="1" si="138"/>
        <v>1483.4341083870845</v>
      </c>
      <c r="S722" s="19">
        <f t="shared" ca="1" si="140"/>
        <v>3919.9278542336233</v>
      </c>
    </row>
    <row r="723" spans="13:19">
      <c r="M723" s="81">
        <f t="shared" ca="1" si="139"/>
        <v>5414.019555996445</v>
      </c>
      <c r="N723" s="19">
        <f t="shared" si="141"/>
        <v>117.78127382348606</v>
      </c>
      <c r="O723" s="17">
        <f t="shared" ref="O723:O786" si="142">IF(ISERROR(IF(O722+passo_altura&gt;h_max_puls*100,"",O722+passo_altura)),"",IF(O722+passo_altura&gt;h_max_puls*100,"",O722+passo_altura))</f>
        <v>180.5</v>
      </c>
      <c r="P723" s="19">
        <f ca="1">IF(ISERROR(IF(O723&lt;fi_h/20,0,(OFFSET('Base de dados'!$A$5,IF(O723&lt;20,1,IF(O723&gt;1000,10,MATCH(O723,Cargas,1))),Coluna_fih,1,1))*(1+0.13*0.25)*(PI()*(fi_h/1000)^2/4)*SQRT(2*9.81*(O723/100-fi_h/2/1000))*1000)),"",IF(O723&lt;fi_h/20,0,(OFFSET('Base de dados'!$A$5,IF(O723&lt;20,1,IF(O723&gt;1000,10,MATCH(O723,Cargas,1))),Coluna_fih,1,1))*(PI()*(fi_h/1000)^2/4)*SQRT(2*9.81*(O723/100-fi_h/2/1000))*1000))</f>
        <v>35.588230804150626</v>
      </c>
      <c r="Q723" s="19">
        <f ca="1">IF(O723="","",IF(Tipo_Vertedor="Retangular",IF(O723&lt;=cota_s*100,0,IF(Tipo_Vertedor="Retangular",Cd_sr*Lef_sr*((O723/100-cota_s)^(3/2))*1000)),IF(O723&lt;=cota_s*100+fi_s/20,0,(OFFSET('Base de dados'!$A$4,IF(O723&lt;20,1,IF(O723&gt;1000,10,MATCH(O723,Cargas,1))),Coluna_fis,1,1))*(PI()*(fi_s/1000)^2/4)*(2*9.81*(O723/100-cota_s-fi_s/2/1000))^0.5*1000)))</f>
        <v>1452.3888644094257</v>
      </c>
      <c r="R723" s="19">
        <f t="shared" ref="R723:R786" ca="1" si="143">IF(O723="","",Q723+P723)</f>
        <v>1487.9770952135764</v>
      </c>
      <c r="S723" s="19">
        <f t="shared" ca="1" si="140"/>
        <v>3926.0424607828686</v>
      </c>
    </row>
    <row r="724" spans="13:19">
      <c r="M724" s="81">
        <f t="shared" ca="1" si="139"/>
        <v>5424.6828749719725</v>
      </c>
      <c r="N724" s="19">
        <f t="shared" si="141"/>
        <v>117.9647436732707</v>
      </c>
      <c r="O724" s="17">
        <f t="shared" si="142"/>
        <v>180.75</v>
      </c>
      <c r="P724" s="19">
        <f ca="1">IF(ISERROR(IF(O724&lt;fi_h/20,0,(OFFSET('Base de dados'!$A$5,IF(O724&lt;20,1,IF(O724&gt;1000,10,MATCH(O724,Cargas,1))),Coluna_fih,1,1))*(1+0.13*0.25)*(PI()*(fi_h/1000)^2/4)*SQRT(2*9.81*(O724/100-fi_h/2/1000))*1000)),"",IF(O724&lt;fi_h/20,0,(OFFSET('Base de dados'!$A$5,IF(O724&lt;20,1,IF(O724&gt;1000,10,MATCH(O724,Cargas,1))),Coluna_fih,1,1))*(PI()*(fi_h/1000)^2/4)*SQRT(2*9.81*(O724/100-fi_h/2/1000))*1000))</f>
        <v>35.613662234745505</v>
      </c>
      <c r="Q724" s="19">
        <f ca="1">IF(O724="","",IF(Tipo_Vertedor="Retangular",IF(O724&lt;=cota_s*100,0,IF(Tipo_Vertedor="Retangular",Cd_sr*Lef_sr*((O724/100-cota_s)^(3/2))*1000)),IF(O724&lt;=cota_s*100+fi_s/20,0,(OFFSET('Base de dados'!$A$4,IF(O724&lt;20,1,IF(O724&gt;1000,10,MATCH(O724,Cargas,1))),Coluna_fis,1,1))*(PI()*(fi_s/1000)^2/4)*(2*9.81*(O724/100-cota_s-fi_s/2/1000))^0.5*1000)))</f>
        <v>1456.9110902948703</v>
      </c>
      <c r="R724" s="19">
        <f t="shared" ca="1" si="143"/>
        <v>1492.5247525296159</v>
      </c>
      <c r="S724" s="19">
        <f t="shared" ca="1" si="140"/>
        <v>3932.1581224423567</v>
      </c>
    </row>
    <row r="725" spans="13:19">
      <c r="M725" s="81">
        <f t="shared" ca="1" si="139"/>
        <v>5435.3519134523376</v>
      </c>
      <c r="N725" s="19">
        <f t="shared" si="141"/>
        <v>118.14824513803269</v>
      </c>
      <c r="O725" s="17">
        <f t="shared" si="142"/>
        <v>181</v>
      </c>
      <c r="P725" s="19">
        <f ca="1">IF(ISERROR(IF(O725&lt;fi_h/20,0,(OFFSET('Base de dados'!$A$5,IF(O725&lt;20,1,IF(O725&gt;1000,10,MATCH(O725,Cargas,1))),Coluna_fih,1,1))*(1+0.13*0.25)*(PI()*(fi_h/1000)^2/4)*SQRT(2*9.81*(O725/100-fi_h/2/1000))*1000)),"",IF(O725&lt;fi_h/20,0,(OFFSET('Base de dados'!$A$5,IF(O725&lt;20,1,IF(O725&gt;1000,10,MATCH(O725,Cargas,1))),Coluna_fih,1,1))*(PI()*(fi_h/1000)^2/4)*SQRT(2*9.81*(O725/100-fi_h/2/1000))*1000))</f>
        <v>35.639075517914065</v>
      </c>
      <c r="Q725" s="19">
        <f ca="1">IF(O725="","",IF(Tipo_Vertedor="Retangular",IF(O725&lt;=cota_s*100,0,IF(Tipo_Vertedor="Retangular",Cd_sr*Lef_sr*((O725/100-cota_s)^(3/2))*1000)),IF(O725&lt;=cota_s*100+fi_s/20,0,(OFFSET('Base de dados'!$A$4,IF(O725&lt;20,1,IF(O725&gt;1000,10,MATCH(O725,Cargas,1))),Coluna_fis,1,1))*(PI()*(fi_s/1000)^2/4)*(2*9.81*(O725/100-cota_s-fi_s/2/1000))^0.5*1000)))</f>
        <v>1461.4380000000001</v>
      </c>
      <c r="R725" s="19">
        <f t="shared" ca="1" si="143"/>
        <v>1497.0770755179142</v>
      </c>
      <c r="S725" s="19">
        <f t="shared" ca="1" si="140"/>
        <v>3938.2748379344234</v>
      </c>
    </row>
    <row r="726" spans="13:19">
      <c r="M726" s="81">
        <f t="shared" ca="1" si="139"/>
        <v>5446.026665360816</v>
      </c>
      <c r="N726" s="19">
        <f t="shared" si="141"/>
        <v>118.33177817954144</v>
      </c>
      <c r="O726" s="17">
        <f t="shared" si="142"/>
        <v>181.25</v>
      </c>
      <c r="P726" s="19">
        <f ca="1">IF(ISERROR(IF(O726&lt;fi_h/20,0,(OFFSET('Base de dados'!$A$5,IF(O726&lt;20,1,IF(O726&gt;1000,10,MATCH(O726,Cargas,1))),Coluna_fih,1,1))*(1+0.13*0.25)*(PI()*(fi_h/1000)^2/4)*SQRT(2*9.81*(O726/100-fi_h/2/1000))*1000)),"",IF(O726&lt;fi_h/20,0,(OFFSET('Base de dados'!$A$5,IF(O726&lt;20,1,IF(O726&gt;1000,10,MATCH(O726,Cargas,1))),Coluna_fih,1,1))*(PI()*(fi_h/1000)^2/4)*SQRT(2*9.81*(O726/100-fi_h/2/1000))*1000))</f>
        <v>35.664470692449989</v>
      </c>
      <c r="Q726" s="19">
        <f ca="1">IF(O726="","",IF(Tipo_Vertedor="Retangular",IF(O726&lt;=cota_s*100,0,IF(Tipo_Vertedor="Retangular",Cd_sr*Lef_sr*((O726/100-cota_s)^(3/2))*1000)),IF(O726&lt;=cota_s*100+fi_s/20,0,(OFFSET('Base de dados'!$A$4,IF(O726&lt;20,1,IF(O726&gt;1000,10,MATCH(O726,Cargas,1))),Coluna_fis,1,1))*(PI()*(fi_s/1000)^2/4)*(2*9.81*(O726/100-cota_s-fi_s/2/1000))^0.5*1000)))</f>
        <v>1465.9695886836507</v>
      </c>
      <c r="R726" s="19">
        <f t="shared" ca="1" si="143"/>
        <v>1501.6340593761008</v>
      </c>
      <c r="S726" s="19">
        <f t="shared" ca="1" si="140"/>
        <v>3944.3926059847149</v>
      </c>
    </row>
    <row r="727" spans="13:19">
      <c r="M727" s="81">
        <f t="shared" ca="1" si="139"/>
        <v>5456.7071246388241</v>
      </c>
      <c r="N727" s="19">
        <f t="shared" si="141"/>
        <v>118.51534275966527</v>
      </c>
      <c r="O727" s="17">
        <f t="shared" si="142"/>
        <v>181.5</v>
      </c>
      <c r="P727" s="19">
        <f ca="1">IF(ISERROR(IF(O727&lt;fi_h/20,0,(OFFSET('Base de dados'!$A$5,IF(O727&lt;20,1,IF(O727&gt;1000,10,MATCH(O727,Cargas,1))),Coluna_fih,1,1))*(1+0.13*0.25)*(PI()*(fi_h/1000)^2/4)*SQRT(2*9.81*(O727/100-fi_h/2/1000))*1000)),"",IF(O727&lt;fi_h/20,0,(OFFSET('Base de dados'!$A$5,IF(O727&lt;20,1,IF(O727&gt;1000,10,MATCH(O727,Cargas,1))),Coluna_fih,1,1))*(PI()*(fi_h/1000)^2/4)*SQRT(2*9.81*(O727/100-fi_h/2/1000))*1000))</f>
        <v>35.68984779700898</v>
      </c>
      <c r="Q727" s="19">
        <f ca="1">IF(O727="","",IF(Tipo_Vertedor="Retangular",IF(O727&lt;=cota_s*100,0,IF(Tipo_Vertedor="Retangular",Cd_sr*Lef_sr*((O727/100-cota_s)^(3/2))*1000)),IF(O727&lt;=cota_s*100+fi_s/20,0,(OFFSET('Base de dados'!$A$4,IF(O727&lt;20,1,IF(O727&gt;1000,10,MATCH(O727,Cargas,1))),Coluna_fis,1,1))*(PI()*(fi_s/1000)^2/4)*(2*9.81*(O727/100-cota_s-fi_s/2/1000))^0.5*1000)))</f>
        <v>1470.5058515196395</v>
      </c>
      <c r="R727" s="19">
        <f t="shared" ca="1" si="143"/>
        <v>1506.1956993166484</v>
      </c>
      <c r="S727" s="19">
        <f t="shared" ca="1" si="140"/>
        <v>3950.5114253221759</v>
      </c>
    </row>
    <row r="728" spans="13:19">
      <c r="M728" s="81">
        <f t="shared" ca="1" si="139"/>
        <v>5467.3932852458274</v>
      </c>
      <c r="N728" s="19">
        <f t="shared" si="141"/>
        <v>118.69893884037096</v>
      </c>
      <c r="O728" s="17">
        <f t="shared" si="142"/>
        <v>181.75</v>
      </c>
      <c r="P728" s="19">
        <f ca="1">IF(ISERROR(IF(O728&lt;fi_h/20,0,(OFFSET('Base de dados'!$A$5,IF(O728&lt;20,1,IF(O728&gt;1000,10,MATCH(O728,Cargas,1))),Coluna_fih,1,1))*(1+0.13*0.25)*(PI()*(fi_h/1000)^2/4)*SQRT(2*9.81*(O728/100-fi_h/2/1000))*1000)),"",IF(O728&lt;fi_h/20,0,(OFFSET('Base de dados'!$A$5,IF(O728&lt;20,1,IF(O728&gt;1000,10,MATCH(O728,Cargas,1))),Coluna_fih,1,1))*(PI()*(fi_h/1000)^2/4)*SQRT(2*9.81*(O728/100-fi_h/2/1000))*1000))</f>
        <v>35.715206870109405</v>
      </c>
      <c r="Q728" s="19">
        <f ca="1">IF(O728="","",IF(Tipo_Vertedor="Retangular",IF(O728&lt;=cota_s*100,0,IF(Tipo_Vertedor="Retangular",Cd_sr*Lef_sr*((O728/100-cota_s)^(3/2))*1000)),IF(O728&lt;=cota_s*100+fi_s/20,0,(OFFSET('Base de dados'!$A$4,IF(O728&lt;20,1,IF(O728&gt;1000,10,MATCH(O728,Cargas,1))),Coluna_fis,1,1))*(PI()*(fi_s/1000)^2/4)*(2*9.81*(O728/100-cota_s-fi_s/2/1000))^0.5*1000)))</f>
        <v>1475.0467836966857</v>
      </c>
      <c r="R728" s="19">
        <f t="shared" ca="1" si="143"/>
        <v>1510.761990566795</v>
      </c>
      <c r="S728" s="19">
        <f t="shared" ca="1" si="140"/>
        <v>3956.6312946790322</v>
      </c>
    </row>
    <row r="729" spans="13:19">
      <c r="M729" s="81">
        <f t="shared" ca="1" si="139"/>
        <v>5478.0851411592521</v>
      </c>
      <c r="N729" s="19">
        <f t="shared" si="141"/>
        <v>118.88256638372347</v>
      </c>
      <c r="O729" s="17">
        <f t="shared" si="142"/>
        <v>182</v>
      </c>
      <c r="P729" s="19">
        <f ca="1">IF(ISERROR(IF(O729&lt;fi_h/20,0,(OFFSET('Base de dados'!$A$5,IF(O729&lt;20,1,IF(O729&gt;1000,10,MATCH(O729,Cargas,1))),Coluna_fih,1,1))*(1+0.13*0.25)*(PI()*(fi_h/1000)^2/4)*SQRT(2*9.81*(O729/100-fi_h/2/1000))*1000)),"",IF(O729&lt;fi_h/20,0,(OFFSET('Base de dados'!$A$5,IF(O729&lt;20,1,IF(O729&gt;1000,10,MATCH(O729,Cargas,1))),Coluna_fih,1,1))*(PI()*(fi_h/1000)^2/4)*SQRT(2*9.81*(O729/100-fi_h/2/1000))*1000))</f>
        <v>35.740547950132957</v>
      </c>
      <c r="Q729" s="19">
        <f ca="1">IF(O729="","",IF(Tipo_Vertedor="Retangular",IF(O729&lt;=cota_s*100,0,IF(Tipo_Vertedor="Retangular",Cd_sr*Lef_sr*((O729/100-cota_s)^(3/2))*1000)),IF(O729&lt;=cota_s*100+fi_s/20,0,(OFFSET('Base de dados'!$A$4,IF(O729&lt;20,1,IF(O729&gt;1000,10,MATCH(O729,Cargas,1))),Coluna_fis,1,1))*(PI()*(fi_s/1000)^2/4)*(2*9.81*(O729/100-cota_s-fi_s/2/1000))^0.5*1000)))</f>
        <v>1479.5923804183374</v>
      </c>
      <c r="R729" s="19">
        <f t="shared" ca="1" si="143"/>
        <v>1515.3329283684702</v>
      </c>
      <c r="S729" s="19">
        <f t="shared" ca="1" si="140"/>
        <v>3962.7522127907823</v>
      </c>
    </row>
    <row r="730" spans="13:19">
      <c r="M730" s="81">
        <f t="shared" ca="1" si="139"/>
        <v>5488.7826863743967</v>
      </c>
      <c r="N730" s="19">
        <f t="shared" si="141"/>
        <v>119.06622535188544</v>
      </c>
      <c r="O730" s="17">
        <f t="shared" si="142"/>
        <v>182.25</v>
      </c>
      <c r="P730" s="19">
        <f ca="1">IF(ISERROR(IF(O730&lt;fi_h/20,0,(OFFSET('Base de dados'!$A$5,IF(O730&lt;20,1,IF(O730&gt;1000,10,MATCH(O730,Cargas,1))),Coluna_fih,1,1))*(1+0.13*0.25)*(PI()*(fi_h/1000)^2/4)*SQRT(2*9.81*(O730/100-fi_h/2/1000))*1000)),"",IF(O730&lt;fi_h/20,0,(OFFSET('Base de dados'!$A$5,IF(O730&lt;20,1,IF(O730&gt;1000,10,MATCH(O730,Cargas,1))),Coluna_fih,1,1))*(PI()*(fi_h/1000)^2/4)*SQRT(2*9.81*(O730/100-fi_h/2/1000))*1000))</f>
        <v>35.765871075325379</v>
      </c>
      <c r="Q730" s="19">
        <f ca="1">IF(O730="","",IF(Tipo_Vertedor="Retangular",IF(O730&lt;=cota_s*100,0,IF(Tipo_Vertedor="Retangular",Cd_sr*Lef_sr*((O730/100-cota_s)^(3/2))*1000)),IF(O730&lt;=cota_s*100+fi_s/20,0,(OFFSET('Base de dados'!$A$4,IF(O730&lt;20,1,IF(O730&gt;1000,10,MATCH(O730,Cargas,1))),Coluna_fis,1,1))*(PI()*(fi_s/1000)^2/4)*(2*9.81*(O730/100-cota_s-fi_s/2/1000))^0.5*1000)))</f>
        <v>1484.14263690289</v>
      </c>
      <c r="R730" s="19">
        <f t="shared" ca="1" si="143"/>
        <v>1519.9085079782153</v>
      </c>
      <c r="S730" s="19">
        <f t="shared" ca="1" si="140"/>
        <v>3968.8741783961814</v>
      </c>
    </row>
    <row r="731" spans="13:19">
      <c r="M731" s="81">
        <f t="shared" ca="1" si="139"/>
        <v>5499.4859149043441</v>
      </c>
      <c r="N731" s="19">
        <f t="shared" si="141"/>
        <v>119.24991570711687</v>
      </c>
      <c r="O731" s="17">
        <f t="shared" si="142"/>
        <v>182.5</v>
      </c>
      <c r="P731" s="19">
        <f ca="1">IF(ISERROR(IF(O731&lt;fi_h/20,0,(OFFSET('Base de dados'!$A$5,IF(O731&lt;20,1,IF(O731&gt;1000,10,MATCH(O731,Cargas,1))),Coluna_fih,1,1))*(1+0.13*0.25)*(PI()*(fi_h/1000)^2/4)*SQRT(2*9.81*(O731/100-fi_h/2/1000))*1000)),"",IF(O731&lt;fi_h/20,0,(OFFSET('Base de dados'!$A$5,IF(O731&lt;20,1,IF(O731&gt;1000,10,MATCH(O731,Cargas,1))),Coluna_fih,1,1))*(PI()*(fi_h/1000)^2/4)*SQRT(2*9.81*(O731/100-fi_h/2/1000))*1000))</f>
        <v>35.791176283797085</v>
      </c>
      <c r="Q731" s="19">
        <f ca="1">IF(O731="","",IF(Tipo_Vertedor="Retangular",IF(O731&lt;=cota_s*100,0,IF(Tipo_Vertedor="Retangular",Cd_sr*Lef_sr*((O731/100-cota_s)^(3/2))*1000)),IF(O731&lt;=cota_s*100+fi_s/20,0,(OFFSET('Base de dados'!$A$4,IF(O731&lt;20,1,IF(O731&gt;1000,10,MATCH(O731,Cargas,1))),Coluna_fis,1,1))*(PI()*(fi_s/1000)^2/4)*(2*9.81*(O731/100-cota_s-fi_s/2/1000))^0.5*1000)))</f>
        <v>1488.6975483833178</v>
      </c>
      <c r="R731" s="19">
        <f t="shared" ca="1" si="143"/>
        <v>1524.4887246671149</v>
      </c>
      <c r="S731" s="19">
        <f t="shared" ca="1" si="140"/>
        <v>3974.997190237229</v>
      </c>
    </row>
    <row r="732" spans="13:19">
      <c r="M732" s="81">
        <f t="shared" ca="1" si="139"/>
        <v>5510.1948207798769</v>
      </c>
      <c r="N732" s="19">
        <f t="shared" si="141"/>
        <v>119.43363741177478</v>
      </c>
      <c r="O732" s="17">
        <f t="shared" si="142"/>
        <v>182.75</v>
      </c>
      <c r="P732" s="19">
        <f ca="1">IF(ISERROR(IF(O732&lt;fi_h/20,0,(OFFSET('Base de dados'!$A$5,IF(O732&lt;20,1,IF(O732&gt;1000,10,MATCH(O732,Cargas,1))),Coluna_fih,1,1))*(1+0.13*0.25)*(PI()*(fi_h/1000)^2/4)*SQRT(2*9.81*(O732/100-fi_h/2/1000))*1000)),"",IF(O732&lt;fi_h/20,0,(OFFSET('Base de dados'!$A$5,IF(O732&lt;20,1,IF(O732&gt;1000,10,MATCH(O732,Cargas,1))),Coluna_fih,1,1))*(PI()*(fi_h/1000)^2/4)*SQRT(2*9.81*(O732/100-fi_h/2/1000))*1000))</f>
        <v>35.816463613523908</v>
      </c>
      <c r="Q732" s="19">
        <f ca="1">IF(O732="","",IF(Tipo_Vertedor="Retangular",IF(O732&lt;=cota_s*100,0,IF(Tipo_Vertedor="Retangular",Cd_sr*Lef_sr*((O732/100-cota_s)^(3/2))*1000)),IF(O732&lt;=cota_s*100+fi_s/20,0,(OFFSET('Base de dados'!$A$4,IF(O732&lt;20,1,IF(O732&gt;1000,10,MATCH(O732,Cargas,1))),Coluna_fis,1,1))*(PI()*(fi_s/1000)^2/4)*(2*9.81*(O732/100-cota_s-fi_s/2/1000))^0.5*1000)))</f>
        <v>1493.257110107194</v>
      </c>
      <c r="R732" s="19">
        <f t="shared" ca="1" si="143"/>
        <v>1529.0735737207178</v>
      </c>
      <c r="S732" s="19">
        <f t="shared" ca="1" si="140"/>
        <v>3981.121247059159</v>
      </c>
    </row>
    <row r="733" spans="13:19">
      <c r="M733" s="81">
        <f t="shared" ca="1" si="139"/>
        <v>5520.909398049389</v>
      </c>
      <c r="N733" s="19">
        <f t="shared" si="141"/>
        <v>119.6173904283127</v>
      </c>
      <c r="O733" s="17">
        <f t="shared" si="142"/>
        <v>183</v>
      </c>
      <c r="P733" s="19">
        <f ca="1">IF(ISERROR(IF(O733&lt;fi_h/20,0,(OFFSET('Base de dados'!$A$5,IF(O733&lt;20,1,IF(O733&gt;1000,10,MATCH(O733,Cargas,1))),Coluna_fih,1,1))*(1+0.13*0.25)*(PI()*(fi_h/1000)^2/4)*SQRT(2*9.81*(O733/100-fi_h/2/1000))*1000)),"",IF(O733&lt;fi_h/20,0,(OFFSET('Base de dados'!$A$5,IF(O733&lt;20,1,IF(O733&gt;1000,10,MATCH(O733,Cargas,1))),Coluna_fih,1,1))*(PI()*(fi_h/1000)^2/4)*SQRT(2*9.81*(O733/100-fi_h/2/1000))*1000))</f>
        <v>35.841733102347682</v>
      </c>
      <c r="Q733" s="19">
        <f ca="1">IF(O733="","",IF(Tipo_Vertedor="Retangular",IF(O733&lt;=cota_s*100,0,IF(Tipo_Vertedor="Retangular",Cd_sr*Lef_sr*((O733/100-cota_s)^(3/2))*1000)),IF(O733&lt;=cota_s*100+fi_s/20,0,(OFFSET('Base de dados'!$A$4,IF(O733&lt;20,1,IF(O733&gt;1000,10,MATCH(O733,Cargas,1))),Coluna_fis,1,1))*(PI()*(fi_s/1000)^2/4)*(2*9.81*(O733/100-cota_s-fi_s/2/1000))^0.5*1000)))</f>
        <v>1497.8213173366175</v>
      </c>
      <c r="R733" s="19">
        <f t="shared" ca="1" si="143"/>
        <v>1533.6630504389652</v>
      </c>
      <c r="S733" s="19">
        <f t="shared" ca="1" si="140"/>
        <v>3987.2463476104235</v>
      </c>
    </row>
    <row r="734" spans="13:19">
      <c r="M734" s="81">
        <f t="shared" ca="1" si="139"/>
        <v>5531.6296407787977</v>
      </c>
      <c r="N734" s="19">
        <f t="shared" si="141"/>
        <v>119.80117471928043</v>
      </c>
      <c r="O734" s="17">
        <f t="shared" si="142"/>
        <v>183.25</v>
      </c>
      <c r="P734" s="19">
        <f ca="1">IF(ISERROR(IF(O734&lt;fi_h/20,0,(OFFSET('Base de dados'!$A$5,IF(O734&lt;20,1,IF(O734&gt;1000,10,MATCH(O734,Cargas,1))),Coluna_fih,1,1))*(1+0.13*0.25)*(PI()*(fi_h/1000)^2/4)*SQRT(2*9.81*(O734/100-fi_h/2/1000))*1000)),"",IF(O734&lt;fi_h/20,0,(OFFSET('Base de dados'!$A$5,IF(O734&lt;20,1,IF(O734&gt;1000,10,MATCH(O734,Cargas,1))),Coluna_fih,1,1))*(PI()*(fi_h/1000)^2/4)*SQRT(2*9.81*(O734/100-fi_h/2/1000))*1000))</f>
        <v>35.866984787976918</v>
      </c>
      <c r="Q734" s="19">
        <f ca="1">IF(O734="","",IF(Tipo_Vertedor="Retangular",IF(O734&lt;=cota_s*100,0,IF(Tipo_Vertedor="Retangular",Cd_sr*Lef_sr*((O734/100-cota_s)^(3/2))*1000)),IF(O734&lt;=cota_s*100+fi_s/20,0,(OFFSET('Base de dados'!$A$4,IF(O734&lt;20,1,IF(O734&gt;1000,10,MATCH(O734,Cargas,1))),Coluna_fis,1,1))*(PI()*(fi_s/1000)^2/4)*(2*9.81*(O734/100-cota_s-fi_s/2/1000))^0.5*1000)))</f>
        <v>1502.3901653481405</v>
      </c>
      <c r="R734" s="19">
        <f t="shared" ca="1" si="143"/>
        <v>1538.2571501361174</v>
      </c>
      <c r="S734" s="19">
        <f t="shared" ca="1" si="140"/>
        <v>3993.3724906426805</v>
      </c>
    </row>
    <row r="735" spans="13:19">
      <c r="M735" s="81">
        <f t="shared" ca="1" si="139"/>
        <v>5542.3555430514643</v>
      </c>
      <c r="N735" s="19">
        <f t="shared" si="141"/>
        <v>119.98499024732354</v>
      </c>
      <c r="O735" s="17">
        <f t="shared" si="142"/>
        <v>183.5</v>
      </c>
      <c r="P735" s="19">
        <f ca="1">IF(ISERROR(IF(O735&lt;fi_h/20,0,(OFFSET('Base de dados'!$A$5,IF(O735&lt;20,1,IF(O735&gt;1000,10,MATCH(O735,Cargas,1))),Coluna_fih,1,1))*(1+0.13*0.25)*(PI()*(fi_h/1000)^2/4)*SQRT(2*9.81*(O735/100-fi_h/2/1000))*1000)),"",IF(O735&lt;fi_h/20,0,(OFFSET('Base de dados'!$A$5,IF(O735&lt;20,1,IF(O735&gt;1000,10,MATCH(O735,Cargas,1))),Coluna_fih,1,1))*(PI()*(fi_h/1000)^2/4)*SQRT(2*9.81*(O735/100-fi_h/2/1000))*1000))</f>
        <v>35.892218707987539</v>
      </c>
      <c r="Q735" s="19">
        <f ca="1">IF(O735="","",IF(Tipo_Vertedor="Retangular",IF(O735&lt;=cota_s*100,0,IF(Tipo_Vertedor="Retangular",Cd_sr*Lef_sr*((O735/100-cota_s)^(3/2))*1000)),IF(O735&lt;=cota_s*100+fi_s/20,0,(OFFSET('Base de dados'!$A$4,IF(O735&lt;20,1,IF(O735&gt;1000,10,MATCH(O735,Cargas,1))),Coluna_fis,1,1))*(PI()*(fi_s/1000)^2/4)*(2*9.81*(O735/100-cota_s-fi_s/2/1000))^0.5*1000)))</f>
        <v>1506.9636494326926</v>
      </c>
      <c r="R735" s="19">
        <f t="shared" ca="1" si="143"/>
        <v>1542.8558681406801</v>
      </c>
      <c r="S735" s="19">
        <f t="shared" ca="1" si="140"/>
        <v>3999.4996749107845</v>
      </c>
    </row>
    <row r="736" spans="13:19">
      <c r="M736" s="81">
        <f t="shared" ca="1" si="139"/>
        <v>5553.0870989681034</v>
      </c>
      <c r="N736" s="19">
        <f t="shared" si="141"/>
        <v>120.16883697518307</v>
      </c>
      <c r="O736" s="17">
        <f t="shared" si="142"/>
        <v>183.75</v>
      </c>
      <c r="P736" s="19">
        <f ca="1">IF(ISERROR(IF(O736&lt;fi_h/20,0,(OFFSET('Base de dados'!$A$5,IF(O736&lt;20,1,IF(O736&gt;1000,10,MATCH(O736,Cargas,1))),Coluna_fih,1,1))*(1+0.13*0.25)*(PI()*(fi_h/1000)^2/4)*SQRT(2*9.81*(O736/100-fi_h/2/1000))*1000)),"",IF(O736&lt;fi_h/20,0,(OFFSET('Base de dados'!$A$5,IF(O736&lt;20,1,IF(O736&gt;1000,10,MATCH(O736,Cargas,1))),Coluna_fih,1,1))*(PI()*(fi_h/1000)^2/4)*SQRT(2*9.81*(O736/100-fi_h/2/1000))*1000))</f>
        <v>35.917434899823427</v>
      </c>
      <c r="Q736" s="19">
        <f ca="1">IF(O736="","",IF(Tipo_Vertedor="Retangular",IF(O736&lt;=cota_s*100,0,IF(Tipo_Vertedor="Retangular",Cd_sr*Lef_sr*((O736/100-cota_s)^(3/2))*1000)),IF(O736&lt;=cota_s*100+fi_s/20,0,(OFFSET('Base de dados'!$A$4,IF(O736&lt;20,1,IF(O736&gt;1000,10,MATCH(O736,Cargas,1))),Coluna_fis,1,1))*(PI()*(fi_s/1000)^2/4)*(2*9.81*(O736/100-cota_s-fi_s/2/1000))^0.5*1000)))</f>
        <v>1511.5417648955113</v>
      </c>
      <c r="R736" s="19">
        <f t="shared" ca="1" si="143"/>
        <v>1547.4591997953346</v>
      </c>
      <c r="S736" s="19">
        <f t="shared" ca="1" si="140"/>
        <v>4005.627899172769</v>
      </c>
    </row>
    <row r="737" spans="13:19">
      <c r="M737" s="81">
        <f t="shared" ca="1" si="139"/>
        <v>5563.8243026467035</v>
      </c>
      <c r="N737" s="19">
        <f t="shared" si="141"/>
        <v>120.35271486569519</v>
      </c>
      <c r="O737" s="17">
        <f t="shared" si="142"/>
        <v>184</v>
      </c>
      <c r="P737" s="19">
        <f ca="1">IF(ISERROR(IF(O737&lt;fi_h/20,0,(OFFSET('Base de dados'!$A$5,IF(O737&lt;20,1,IF(O737&gt;1000,10,MATCH(O737,Cargas,1))),Coluna_fih,1,1))*(1+0.13*0.25)*(PI()*(fi_h/1000)^2/4)*SQRT(2*9.81*(O737/100-fi_h/2/1000))*1000)),"",IF(O737&lt;fi_h/20,0,(OFFSET('Base de dados'!$A$5,IF(O737&lt;20,1,IF(O737&gt;1000,10,MATCH(O737,Cargas,1))),Coluna_fih,1,1))*(PI()*(fi_h/1000)^2/4)*SQRT(2*9.81*(O737/100-fi_h/2/1000))*1000))</f>
        <v>35.942633400797128</v>
      </c>
      <c r="Q737" s="19">
        <f ca="1">IF(O737="","",IF(Tipo_Vertedor="Retangular",IF(O737&lt;=cota_s*100,0,IF(Tipo_Vertedor="Retangular",Cd_sr*Lef_sr*((O737/100-cota_s)^(3/2))*1000)),IF(O737&lt;=cota_s*100+fi_s/20,0,(OFFSET('Base de dados'!$A$4,IF(O737&lt;20,1,IF(O737&gt;1000,10,MATCH(O737,Cargas,1))),Coluna_fis,1,1))*(PI()*(fi_s/1000)^2/4)*(2*9.81*(O737/100-cota_s-fi_s/2/1000))^0.5*1000)))</f>
        <v>1516.1245070560667</v>
      </c>
      <c r="R737" s="19">
        <f t="shared" ca="1" si="143"/>
        <v>1552.0671404568639</v>
      </c>
      <c r="S737" s="19">
        <f t="shared" ca="1" si="140"/>
        <v>4011.7571621898396</v>
      </c>
    </row>
    <row r="738" spans="13:19">
      <c r="M738" s="81">
        <f t="shared" ca="1" si="139"/>
        <v>5574.567148222437</v>
      </c>
      <c r="N738" s="19">
        <f t="shared" si="141"/>
        <v>120.53662388179069</v>
      </c>
      <c r="O738" s="17">
        <f t="shared" si="142"/>
        <v>184.25</v>
      </c>
      <c r="P738" s="19">
        <f ca="1">IF(ISERROR(IF(O738&lt;fi_h/20,0,(OFFSET('Base de dados'!$A$5,IF(O738&lt;20,1,IF(O738&gt;1000,10,MATCH(O738,Cargas,1))),Coluna_fih,1,1))*(1+0.13*0.25)*(PI()*(fi_h/1000)^2/4)*SQRT(2*9.81*(O738/100-fi_h/2/1000))*1000)),"",IF(O738&lt;fi_h/20,0,(OFFSET('Base de dados'!$A$5,IF(O738&lt;20,1,IF(O738&gt;1000,10,MATCH(O738,Cargas,1))),Coluna_fih,1,1))*(PI()*(fi_h/1000)^2/4)*SQRT(2*9.81*(O738/100-fi_h/2/1000))*1000))</f>
        <v>35.96781424809047</v>
      </c>
      <c r="Q738" s="19">
        <f ca="1">IF(O738="","",IF(Tipo_Vertedor="Retangular",IF(O738&lt;=cota_s*100,0,IF(Tipo_Vertedor="Retangular",Cd_sr*Lef_sr*((O738/100-cota_s)^(3/2))*1000)),IF(O738&lt;=cota_s*100+fi_s/20,0,(OFFSET('Base de dados'!$A$4,IF(O738&lt;20,1,IF(O738&gt;1000,10,MATCH(O738,Cargas,1))),Coluna_fis,1,1))*(PI()*(fi_s/1000)^2/4)*(2*9.81*(O738/100-cota_s-fi_s/2/1000))^0.5*1000)))</f>
        <v>1520.7118712479901</v>
      </c>
      <c r="R738" s="19">
        <f t="shared" ca="1" si="143"/>
        <v>1556.6796854960805</v>
      </c>
      <c r="S738" s="19">
        <f t="shared" ca="1" si="140"/>
        <v>4017.8874627263563</v>
      </c>
    </row>
    <row r="739" spans="13:19">
      <c r="M739" s="81">
        <f t="shared" ca="1" si="139"/>
        <v>5585.3156298475842</v>
      </c>
      <c r="N739" s="19">
        <f t="shared" si="141"/>
        <v>120.72056398649472</v>
      </c>
      <c r="O739" s="17">
        <f t="shared" si="142"/>
        <v>184.5</v>
      </c>
      <c r="P739" s="19">
        <f ca="1">IF(ISERROR(IF(O739&lt;fi_h/20,0,(OFFSET('Base de dados'!$A$5,IF(O739&lt;20,1,IF(O739&gt;1000,10,MATCH(O739,Cargas,1))),Coluna_fih,1,1))*(1+0.13*0.25)*(PI()*(fi_h/1000)^2/4)*SQRT(2*9.81*(O739/100-fi_h/2/1000))*1000)),"",IF(O739&lt;fi_h/20,0,(OFFSET('Base de dados'!$A$5,IF(O739&lt;20,1,IF(O739&gt;1000,10,MATCH(O739,Cargas,1))),Coluna_fih,1,1))*(PI()*(fi_h/1000)^2/4)*SQRT(2*9.81*(O739/100-fi_h/2/1000))*1000))</f>
        <v>35.99297747875525</v>
      </c>
      <c r="Q739" s="19">
        <f ca="1">IF(O739="","",IF(Tipo_Vertedor="Retangular",IF(O739&lt;=cota_s*100,0,IF(Tipo_Vertedor="Retangular",Cd_sr*Lef_sr*((O739/100-cota_s)^(3/2))*1000)),IF(O739&lt;=cota_s*100+fi_s/20,0,(OFFSET('Base de dados'!$A$4,IF(O739&lt;20,1,IF(O739&gt;1000,10,MATCH(O739,Cargas,1))),Coluna_fis,1,1))*(PI()*(fi_s/1000)^2/4)*(2*9.81*(O739/100-cota_s-fi_s/2/1000))^0.5*1000)))</f>
        <v>1525.303852819005</v>
      </c>
      <c r="R739" s="19">
        <f t="shared" ca="1" si="143"/>
        <v>1561.2968302977602</v>
      </c>
      <c r="S739" s="19">
        <f t="shared" ca="1" si="140"/>
        <v>4024.0187995498245</v>
      </c>
    </row>
    <row r="740" spans="13:19">
      <c r="M740" s="81">
        <f t="shared" ca="1" si="139"/>
        <v>5596.06974169145</v>
      </c>
      <c r="N740" s="19">
        <f t="shared" si="141"/>
        <v>120.90453514292646</v>
      </c>
      <c r="O740" s="17">
        <f t="shared" si="142"/>
        <v>184.75</v>
      </c>
      <c r="P740" s="19">
        <f ca="1">IF(ISERROR(IF(O740&lt;fi_h/20,0,(OFFSET('Base de dados'!$A$5,IF(O740&lt;20,1,IF(O740&gt;1000,10,MATCH(O740,Cargas,1))),Coluna_fih,1,1))*(1+0.13*0.25)*(PI()*(fi_h/1000)^2/4)*SQRT(2*9.81*(O740/100-fi_h/2/1000))*1000)),"",IF(O740&lt;fi_h/20,0,(OFFSET('Base de dados'!$A$5,IF(O740&lt;20,1,IF(O740&gt;1000,10,MATCH(O740,Cargas,1))),Coluna_fih,1,1))*(PI()*(fi_h/1000)^2/4)*SQRT(2*9.81*(O740/100-fi_h/2/1000))*1000))</f>
        <v>36.018123129713814</v>
      </c>
      <c r="Q740" s="19">
        <f ca="1">IF(O740="","",IF(Tipo_Vertedor="Retangular",IF(O740&lt;=cota_s*100,0,IF(Tipo_Vertedor="Retangular",Cd_sr*Lef_sr*((O740/100-cota_s)^(3/2))*1000)),IF(O740&lt;=cota_s*100+fi_s/20,0,(OFFSET('Base de dados'!$A$4,IF(O740&lt;20,1,IF(O740&gt;1000,10,MATCH(O740,Cargas,1))),Coluna_fis,1,1))*(PI()*(fi_s/1000)^2/4)*(2*9.81*(O740/100-cota_s-fi_s/2/1000))^0.5*1000)))</f>
        <v>1529.9004471308544</v>
      </c>
      <c r="R740" s="19">
        <f t="shared" ca="1" si="143"/>
        <v>1565.9185702605682</v>
      </c>
      <c r="S740" s="19">
        <f t="shared" ca="1" si="140"/>
        <v>4030.1511714308817</v>
      </c>
    </row>
    <row r="741" spans="13:19">
      <c r="M741" s="81">
        <f t="shared" ca="1" si="139"/>
        <v>5606.8294779402795</v>
      </c>
      <c r="N741" s="19">
        <f t="shared" si="141"/>
        <v>121.08853731429865</v>
      </c>
      <c r="O741" s="17">
        <f t="shared" si="142"/>
        <v>185</v>
      </c>
      <c r="P741" s="19">
        <f ca="1">IF(ISERROR(IF(O741&lt;fi_h/20,0,(OFFSET('Base de dados'!$A$5,IF(O741&lt;20,1,IF(O741&gt;1000,10,MATCH(O741,Cargas,1))),Coluna_fih,1,1))*(1+0.13*0.25)*(PI()*(fi_h/1000)^2/4)*SQRT(2*9.81*(O741/100-fi_h/2/1000))*1000)),"",IF(O741&lt;fi_h/20,0,(OFFSET('Base de dados'!$A$5,IF(O741&lt;20,1,IF(O741&gt;1000,10,MATCH(O741,Cargas,1))),Coluna_fih,1,1))*(PI()*(fi_h/1000)^2/4)*SQRT(2*9.81*(O741/100-fi_h/2/1000))*1000))</f>
        <v>36.043251237759733</v>
      </c>
      <c r="Q741" s="19">
        <f ca="1">IF(O741="","",IF(Tipo_Vertedor="Retangular",IF(O741&lt;=cota_s*100,0,IF(Tipo_Vertedor="Retangular",Cd_sr*Lef_sr*((O741/100-cota_s)^(3/2))*1000)),IF(O741&lt;=cota_s*100+fi_s/20,0,(OFFSET('Base de dados'!$A$4,IF(O741&lt;20,1,IF(O741&gt;1000,10,MATCH(O741,Cargas,1))),Coluna_fis,1,1))*(PI()*(fi_s/1000)^2/4)*(2*9.81*(O741/100-cota_s-fi_s/2/1000))^0.5*1000)))</f>
        <v>1534.5016495592311</v>
      </c>
      <c r="R741" s="19">
        <f t="shared" ca="1" si="143"/>
        <v>1570.5449007969908</v>
      </c>
      <c r="S741" s="19">
        <f t="shared" ca="1" si="140"/>
        <v>4036.2845771432885</v>
      </c>
    </row>
    <row r="742" spans="13:19">
      <c r="M742" s="81">
        <f t="shared" ca="1" si="139"/>
        <v>5617.5948327971728</v>
      </c>
      <c r="N742" s="19">
        <f t="shared" si="141"/>
        <v>121.27257046391723</v>
      </c>
      <c r="O742" s="17">
        <f t="shared" si="142"/>
        <v>185.25</v>
      </c>
      <c r="P742" s="19">
        <f ca="1">IF(ISERROR(IF(O742&lt;fi_h/20,0,(OFFSET('Base de dados'!$A$5,IF(O742&lt;20,1,IF(O742&gt;1000,10,MATCH(O742,Cargas,1))),Coluna_fih,1,1))*(1+0.13*0.25)*(PI()*(fi_h/1000)^2/4)*SQRT(2*9.81*(O742/100-fi_h/2/1000))*1000)),"",IF(O742&lt;fi_h/20,0,(OFFSET('Base de dados'!$A$5,IF(O742&lt;20,1,IF(O742&gt;1000,10,MATCH(O742,Cargas,1))),Coluna_fih,1,1))*(PI()*(fi_h/1000)^2/4)*SQRT(2*9.81*(O742/100-fi_h/2/1000))*1000))</f>
        <v>36.068361839558385</v>
      </c>
      <c r="Q742" s="19">
        <f ca="1">IF(O742="","",IF(Tipo_Vertedor="Retangular",IF(O742&lt;=cota_s*100,0,IF(Tipo_Vertedor="Retangular",Cd_sr*Lef_sr*((O742/100-cota_s)^(3/2))*1000)),IF(O742&lt;=cota_s*100+fi_s/20,0,(OFFSET('Base de dados'!$A$4,IF(O742&lt;20,1,IF(O742&gt;1000,10,MATCH(O742,Cargas,1))),Coluna_fis,1,1))*(PI()*(fi_s/1000)^2/4)*(2*9.81*(O742/100-cota_s-fi_s/2/1000))^0.5*1000)))</f>
        <v>1539.107455493707</v>
      </c>
      <c r="R742" s="19">
        <f t="shared" ca="1" si="143"/>
        <v>1575.1758173332653</v>
      </c>
      <c r="S742" s="19">
        <f t="shared" ca="1" si="140"/>
        <v>4042.4190154639077</v>
      </c>
    </row>
    <row r="743" spans="13:19">
      <c r="M743" s="81">
        <f t="shared" ca="1" si="139"/>
        <v>5628.3658004820163</v>
      </c>
      <c r="N743" s="19">
        <f t="shared" si="141"/>
        <v>121.4566345551811</v>
      </c>
      <c r="O743" s="17">
        <f t="shared" si="142"/>
        <v>185.5</v>
      </c>
      <c r="P743" s="19">
        <f ca="1">IF(ISERROR(IF(O743&lt;fi_h/20,0,(OFFSET('Base de dados'!$A$5,IF(O743&lt;20,1,IF(O743&gt;1000,10,MATCH(O743,Cargas,1))),Coluna_fih,1,1))*(1+0.13*0.25)*(PI()*(fi_h/1000)^2/4)*SQRT(2*9.81*(O743/100-fi_h/2/1000))*1000)),"",IF(O743&lt;fi_h/20,0,(OFFSET('Base de dados'!$A$5,IF(O743&lt;20,1,IF(O743&gt;1000,10,MATCH(O743,Cargas,1))),Coluna_fih,1,1))*(PI()*(fi_h/1000)^2/4)*SQRT(2*9.81*(O743/100-fi_h/2/1000))*1000))</f>
        <v>36.093454971647624</v>
      </c>
      <c r="Q743" s="19">
        <f ca="1">IF(O743="","",IF(Tipo_Vertedor="Retangular",IF(O743&lt;=cota_s*100,0,IF(Tipo_Vertedor="Retangular",Cd_sr*Lef_sr*((O743/100-cota_s)^(3/2))*1000)),IF(O743&lt;=cota_s*100+fi_s/20,0,(OFFSET('Base de dados'!$A$4,IF(O743&lt;20,1,IF(O743&gt;1000,10,MATCH(O743,Cargas,1))),Coluna_fis,1,1))*(PI()*(fi_s/1000)^2/4)*(2*9.81*(O743/100-cota_s-fi_s/2/1000))^0.5*1000)))</f>
        <v>1543.7178603376653</v>
      </c>
      <c r="R743" s="19">
        <f t="shared" ca="1" si="143"/>
        <v>1579.8113153093129</v>
      </c>
      <c r="S743" s="19">
        <f t="shared" ca="1" si="140"/>
        <v>4048.5544851727032</v>
      </c>
    </row>
    <row r="744" spans="13:19">
      <c r="M744" s="81">
        <f t="shared" ca="1" si="139"/>
        <v>5639.1423752313913</v>
      </c>
      <c r="N744" s="19">
        <f t="shared" si="141"/>
        <v>121.64072955158164</v>
      </c>
      <c r="O744" s="17">
        <f t="shared" si="142"/>
        <v>185.75</v>
      </c>
      <c r="P744" s="19">
        <f ca="1">IF(ISERROR(IF(O744&lt;fi_h/20,0,(OFFSET('Base de dados'!$A$5,IF(O744&lt;20,1,IF(O744&gt;1000,10,MATCH(O744,Cargas,1))),Coluna_fih,1,1))*(1+0.13*0.25)*(PI()*(fi_h/1000)^2/4)*SQRT(2*9.81*(O744/100-fi_h/2/1000))*1000)),"",IF(O744&lt;fi_h/20,0,(OFFSET('Base de dados'!$A$5,IF(O744&lt;20,1,IF(O744&gt;1000,10,MATCH(O744,Cargas,1))),Coluna_fih,1,1))*(PI()*(fi_h/1000)^2/4)*SQRT(2*9.81*(O744/100-fi_h/2/1000))*1000))</f>
        <v>36.118530670438375</v>
      </c>
      <c r="Q744" s="19">
        <f ca="1">IF(O744="","",IF(Tipo_Vertedor="Retangular",IF(O744&lt;=cota_s*100,0,IF(Tipo_Vertedor="Retangular",Cd_sr*Lef_sr*((O744/100-cota_s)^(3/2))*1000)),IF(O744&lt;=cota_s*100+fi_s/20,0,(OFFSET('Base de dados'!$A$4,IF(O744&lt;20,1,IF(O744&gt;1000,10,MATCH(O744,Cargas,1))),Coluna_fis,1,1))*(PI()*(fi_s/1000)^2/4)*(2*9.81*(O744/100-cota_s-fi_s/2/1000))^0.5*1000)))</f>
        <v>1548.3328595082314</v>
      </c>
      <c r="R744" s="19">
        <f t="shared" ca="1" si="143"/>
        <v>1584.4513901786697</v>
      </c>
      <c r="S744" s="19">
        <f t="shared" ca="1" si="140"/>
        <v>4054.6909850527213</v>
      </c>
    </row>
    <row r="745" spans="13:19">
      <c r="M745" s="81">
        <f t="shared" ca="1" si="139"/>
        <v>5649.924551298499</v>
      </c>
      <c r="N745" s="19">
        <f t="shared" si="141"/>
        <v>121.82485541670238</v>
      </c>
      <c r="O745" s="17">
        <f t="shared" si="142"/>
        <v>186</v>
      </c>
      <c r="P745" s="19">
        <f ca="1">IF(ISERROR(IF(O745&lt;fi_h/20,0,(OFFSET('Base de dados'!$A$5,IF(O745&lt;20,1,IF(O745&gt;1000,10,MATCH(O745,Cargas,1))),Coluna_fih,1,1))*(1+0.13*0.25)*(PI()*(fi_h/1000)^2/4)*SQRT(2*9.81*(O745/100-fi_h/2/1000))*1000)),"",IF(O745&lt;fi_h/20,0,(OFFSET('Base de dados'!$A$5,IF(O745&lt;20,1,IF(O745&gt;1000,10,MATCH(O745,Cargas,1))),Coluna_fih,1,1))*(PI()*(fi_h/1000)^2/4)*SQRT(2*9.81*(O745/100-fi_h/2/1000))*1000))</f>
        <v>36.143588972215262</v>
      </c>
      <c r="Q745" s="19">
        <f ca="1">IF(O745="","",IF(Tipo_Vertedor="Retangular",IF(O745&lt;=cota_s*100,0,IF(Tipo_Vertedor="Retangular",Cd_sr*Lef_sr*((O745/100-cota_s)^(3/2))*1000)),IF(O745&lt;=cota_s*100+fi_s/20,0,(OFFSET('Base de dados'!$A$4,IF(O745&lt;20,1,IF(O745&gt;1000,10,MATCH(O745,Cargas,1))),Coluna_fis,1,1))*(PI()*(fi_s/1000)^2/4)*(2*9.81*(O745/100-cota_s-fi_s/2/1000))^0.5*1000)))</f>
        <v>1552.9524484362043</v>
      </c>
      <c r="R745" s="19">
        <f t="shared" ca="1" si="143"/>
        <v>1589.0960374084195</v>
      </c>
      <c r="S745" s="19">
        <f t="shared" ca="1" si="140"/>
        <v>4060.8285138900796</v>
      </c>
    </row>
    <row r="746" spans="13:19">
      <c r="M746" s="81">
        <f t="shared" ca="1" si="139"/>
        <v>5660.7123229530771</v>
      </c>
      <c r="N746" s="19">
        <f t="shared" si="141"/>
        <v>122.00901211421862</v>
      </c>
      <c r="O746" s="17">
        <f t="shared" si="142"/>
        <v>186.25</v>
      </c>
      <c r="P746" s="19">
        <f ca="1">IF(ISERROR(IF(O746&lt;fi_h/20,0,(OFFSET('Base de dados'!$A$5,IF(O746&lt;20,1,IF(O746&gt;1000,10,MATCH(O746,Cargas,1))),Coluna_fih,1,1))*(1+0.13*0.25)*(PI()*(fi_h/1000)^2/4)*SQRT(2*9.81*(O746/100-fi_h/2/1000))*1000)),"",IF(O746&lt;fi_h/20,0,(OFFSET('Base de dados'!$A$5,IF(O746&lt;20,1,IF(O746&gt;1000,10,MATCH(O746,Cargas,1))),Coluna_fih,1,1))*(PI()*(fi_h/1000)^2/4)*SQRT(2*9.81*(O746/100-fi_h/2/1000))*1000))</f>
        <v>36.168629913137202</v>
      </c>
      <c r="Q746" s="19">
        <f ca="1">IF(O746="","",IF(Tipo_Vertedor="Retangular",IF(O746&lt;=cota_s*100,0,IF(Tipo_Vertedor="Retangular",Cd_sr*Lef_sr*((O746/100-cota_s)^(3/2))*1000)),IF(O746&lt;=cota_s*100+fi_s/20,0,(OFFSET('Base de dados'!$A$4,IF(O746&lt;20,1,IF(O746&gt;1000,10,MATCH(O746,Cargas,1))),Coluna_fis,1,1))*(PI()*(fi_s/1000)^2/4)*(2*9.81*(O746/100-cota_s-fi_s/2/1000))^0.5*1000)))</f>
        <v>1557.5766225659859</v>
      </c>
      <c r="R746" s="19">
        <f t="shared" ca="1" si="143"/>
        <v>1593.7452524791231</v>
      </c>
      <c r="S746" s="19">
        <f t="shared" ca="1" si="140"/>
        <v>4066.9670704739542</v>
      </c>
    </row>
    <row r="747" spans="13:19">
      <c r="M747" s="81">
        <f t="shared" ca="1" si="139"/>
        <v>5671.5056844813298</v>
      </c>
      <c r="N747" s="19">
        <f t="shared" si="141"/>
        <v>122.19319960789717</v>
      </c>
      <c r="O747" s="17">
        <f t="shared" si="142"/>
        <v>186.5</v>
      </c>
      <c r="P747" s="19">
        <f ca="1">IF(ISERROR(IF(O747&lt;fi_h/20,0,(OFFSET('Base de dados'!$A$5,IF(O747&lt;20,1,IF(O747&gt;1000,10,MATCH(O747,Cargas,1))),Coluna_fih,1,1))*(1+0.13*0.25)*(PI()*(fi_h/1000)^2/4)*SQRT(2*9.81*(O747/100-fi_h/2/1000))*1000)),"",IF(O747&lt;fi_h/20,0,(OFFSET('Base de dados'!$A$5,IF(O747&lt;20,1,IF(O747&gt;1000,10,MATCH(O747,Cargas,1))),Coluna_fih,1,1))*(PI()*(fi_h/1000)^2/4)*SQRT(2*9.81*(O747/100-fi_h/2/1000))*1000))</f>
        <v>36.193653529238055</v>
      </c>
      <c r="Q747" s="19">
        <f ca="1">IF(O747="","",IF(Tipo_Vertedor="Retangular",IF(O747&lt;=cota_s*100,0,IF(Tipo_Vertedor="Retangular",Cd_sr*Lef_sr*((O747/100-cota_s)^(3/2))*1000)),IF(O747&lt;=cota_s*100+fi_s/20,0,(OFFSET('Base de dados'!$A$4,IF(O747&lt;20,1,IF(O747&gt;1000,10,MATCH(O747,Cargas,1))),Coluna_fis,1,1))*(PI()*(fi_s/1000)^2/4)*(2*9.81*(O747/100-cota_s-fi_s/2/1000))^0.5*1000)))</f>
        <v>1562.2053773555197</v>
      </c>
      <c r="R747" s="19">
        <f t="shared" ca="1" si="143"/>
        <v>1598.3990308847576</v>
      </c>
      <c r="S747" s="19">
        <f t="shared" ca="1" si="140"/>
        <v>4073.1066535965724</v>
      </c>
    </row>
    <row r="748" spans="13:19">
      <c r="M748" s="81">
        <f t="shared" ca="1" si="139"/>
        <v>5682.304630185844</v>
      </c>
      <c r="N748" s="19">
        <f t="shared" si="141"/>
        <v>122.37741786159596</v>
      </c>
      <c r="O748" s="17">
        <f t="shared" si="142"/>
        <v>186.75</v>
      </c>
      <c r="P748" s="19">
        <f ca="1">IF(ISERROR(IF(O748&lt;fi_h/20,0,(OFFSET('Base de dados'!$A$5,IF(O748&lt;20,1,IF(O748&gt;1000,10,MATCH(O748,Cargas,1))),Coluna_fih,1,1))*(1+0.13*0.25)*(PI()*(fi_h/1000)^2/4)*SQRT(2*9.81*(O748/100-fi_h/2/1000))*1000)),"",IF(O748&lt;fi_h/20,0,(OFFSET('Base de dados'!$A$5,IF(O748&lt;20,1,IF(O748&gt;1000,10,MATCH(O748,Cargas,1))),Coluna_fih,1,1))*(PI()*(fi_h/1000)^2/4)*SQRT(2*9.81*(O748/100-fi_h/2/1000))*1000))</f>
        <v>36.21865985642718</v>
      </c>
      <c r="Q748" s="19">
        <f ca="1">IF(O748="","",IF(Tipo_Vertedor="Retangular",IF(O748&lt;=cota_s*100,0,IF(Tipo_Vertedor="Retangular",Cd_sr*Lef_sr*((O748/100-cota_s)^(3/2))*1000)),IF(O748&lt;=cota_s*100+fi_s/20,0,(OFFSET('Base de dados'!$A$4,IF(O748&lt;20,1,IF(O748&gt;1000,10,MATCH(O748,Cargas,1))),Coluna_fis,1,1))*(PI()*(fi_s/1000)^2/4)*(2*9.81*(O748/100-cota_s-fi_s/2/1000))^0.5*1000)))</f>
        <v>1566.8387082762185</v>
      </c>
      <c r="R748" s="19">
        <f t="shared" ca="1" si="143"/>
        <v>1603.0573681326457</v>
      </c>
      <c r="S748" s="19">
        <f t="shared" ca="1" si="140"/>
        <v>4079.2472620531985</v>
      </c>
    </row>
    <row r="749" spans="13:19">
      <c r="M749" s="81">
        <f t="shared" ca="1" si="139"/>
        <v>5693.1091543855109</v>
      </c>
      <c r="N749" s="19">
        <f t="shared" si="141"/>
        <v>122.56166683926362</v>
      </c>
      <c r="O749" s="17">
        <f t="shared" si="142"/>
        <v>187</v>
      </c>
      <c r="P749" s="19">
        <f ca="1">IF(ISERROR(IF(O749&lt;fi_h/20,0,(OFFSET('Base de dados'!$A$5,IF(O749&lt;20,1,IF(O749&gt;1000,10,MATCH(O749,Cargas,1))),Coluna_fih,1,1))*(1+0.13*0.25)*(PI()*(fi_h/1000)^2/4)*SQRT(2*9.81*(O749/100-fi_h/2/1000))*1000)),"",IF(O749&lt;fi_h/20,0,(OFFSET('Base de dados'!$A$5,IF(O749&lt;20,1,IF(O749&gt;1000,10,MATCH(O749,Cargas,1))),Coluna_fih,1,1))*(PI()*(fi_h/1000)^2/4)*SQRT(2*9.81*(O749/100-fi_h/2/1000))*1000))</f>
        <v>36.243648930490046</v>
      </c>
      <c r="Q749" s="19">
        <f ca="1">IF(O749="","",IF(Tipo_Vertedor="Retangular",IF(O749&lt;=cota_s*100,0,IF(Tipo_Vertedor="Retangular",Cd_sr*Lef_sr*((O749/100-cota_s)^(3/2))*1000)),IF(O749&lt;=cota_s*100+fi_s/20,0,(OFFSET('Base de dados'!$A$4,IF(O749&lt;20,1,IF(O749&gt;1000,10,MATCH(O749,Cargas,1))),Coluna_fis,1,1))*(PI()*(fi_s/1000)^2/4)*(2*9.81*(O749/100-cota_s-fi_s/2/1000))^0.5*1000)))</f>
        <v>1571.4766108129006</v>
      </c>
      <c r="R749" s="19">
        <f t="shared" ca="1" si="143"/>
        <v>1607.7202597433907</v>
      </c>
      <c r="S749" s="19">
        <f t="shared" ca="1" si="140"/>
        <v>4085.3888946421207</v>
      </c>
    </row>
    <row r="750" spans="13:19">
      <c r="M750" s="81">
        <f t="shared" ca="1" si="139"/>
        <v>5703.9192514154502</v>
      </c>
      <c r="N750" s="19">
        <f t="shared" si="141"/>
        <v>122.74594650493914</v>
      </c>
      <c r="O750" s="17">
        <f t="shared" si="142"/>
        <v>187.25</v>
      </c>
      <c r="P750" s="19">
        <f ca="1">IF(ISERROR(IF(O750&lt;fi_h/20,0,(OFFSET('Base de dados'!$A$5,IF(O750&lt;20,1,IF(O750&gt;1000,10,MATCH(O750,Cargas,1))),Coluna_fih,1,1))*(1+0.13*0.25)*(PI()*(fi_h/1000)^2/4)*SQRT(2*9.81*(O750/100-fi_h/2/1000))*1000)),"",IF(O750&lt;fi_h/20,0,(OFFSET('Base de dados'!$A$5,IF(O750&lt;20,1,IF(O750&gt;1000,10,MATCH(O750,Cargas,1))),Coluna_fih,1,1))*(PI()*(fi_h/1000)^2/4)*SQRT(2*9.81*(O750/100-fi_h/2/1000))*1000))</f>
        <v>36.268620787088885</v>
      </c>
      <c r="Q750" s="19">
        <f ca="1">IF(O750="","",IF(Tipo_Vertedor="Retangular",IF(O750&lt;=cota_s*100,0,IF(Tipo_Vertedor="Retangular",Cd_sr*Lef_sr*((O750/100-cota_s)^(3/2))*1000)),IF(O750&lt;=cota_s*100+fi_s/20,0,(OFFSET('Base de dados'!$A$4,IF(O750&lt;20,1,IF(O750&gt;1000,10,MATCH(O750,Cargas,1))),Coluna_fis,1,1))*(PI()*(fi_s/1000)^2/4)*(2*9.81*(O750/100-cota_s-fi_s/2/1000))^0.5*1000)))</f>
        <v>1576.1190804637233</v>
      </c>
      <c r="R750" s="19">
        <f t="shared" ca="1" si="143"/>
        <v>1612.3877012508121</v>
      </c>
      <c r="S750" s="19">
        <f t="shared" ca="1" si="140"/>
        <v>4091.5315501646382</v>
      </c>
    </row>
    <row r="751" spans="13:19">
      <c r="M751" s="81">
        <f t="shared" ca="1" si="139"/>
        <v>5714.7349156269338</v>
      </c>
      <c r="N751" s="19">
        <f t="shared" si="141"/>
        <v>122.93025682275162</v>
      </c>
      <c r="O751" s="17">
        <f t="shared" si="142"/>
        <v>187.5</v>
      </c>
      <c r="P751" s="19">
        <f ca="1">IF(ISERROR(IF(O751&lt;fi_h/20,0,(OFFSET('Base de dados'!$A$5,IF(O751&lt;20,1,IF(O751&gt;1000,10,MATCH(O751,Cargas,1))),Coluna_fih,1,1))*(1+0.13*0.25)*(PI()*(fi_h/1000)^2/4)*SQRT(2*9.81*(O751/100-fi_h/2/1000))*1000)),"",IF(O751&lt;fi_h/20,0,(OFFSET('Base de dados'!$A$5,IF(O751&lt;20,1,IF(O751&gt;1000,10,MATCH(O751,Cargas,1))),Coluna_fih,1,1))*(PI()*(fi_h/1000)^2/4)*SQRT(2*9.81*(O751/100-fi_h/2/1000))*1000))</f>
        <v>36.293575461763176</v>
      </c>
      <c r="Q751" s="19">
        <f ca="1">IF(O751="","",IF(Tipo_Vertedor="Retangular",IF(O751&lt;=cota_s*100,0,IF(Tipo_Vertedor="Retangular",Cd_sr*Lef_sr*((O751/100-cota_s)^(3/2))*1000)),IF(O751&lt;=cota_s*100+fi_s/20,0,(OFFSET('Base de dados'!$A$4,IF(O751&lt;20,1,IF(O751&gt;1000,10,MATCH(O751,Cargas,1))),Coluna_fis,1,1))*(PI()*(fi_s/1000)^2/4)*(2*9.81*(O751/100-cota_s-fi_s/2/1000))^0.5*1000)))</f>
        <v>1580.766112740117</v>
      </c>
      <c r="R751" s="19">
        <f t="shared" ca="1" si="143"/>
        <v>1617.0596882018801</v>
      </c>
      <c r="S751" s="19">
        <f t="shared" ca="1" si="140"/>
        <v>4097.6752274250539</v>
      </c>
    </row>
    <row r="752" spans="13:19">
      <c r="M752" s="81">
        <f t="shared" ca="1" si="139"/>
        <v>5725.5561413873111</v>
      </c>
      <c r="N752" s="19">
        <f t="shared" si="141"/>
        <v>123.11459775691985</v>
      </c>
      <c r="O752" s="17">
        <f t="shared" si="142"/>
        <v>187.75</v>
      </c>
      <c r="P752" s="19">
        <f ca="1">IF(ISERROR(IF(O752&lt;fi_h/20,0,(OFFSET('Base de dados'!$A$5,IF(O752&lt;20,1,IF(O752&gt;1000,10,MATCH(O752,Cargas,1))),Coluna_fih,1,1))*(1+0.13*0.25)*(PI()*(fi_h/1000)^2/4)*SQRT(2*9.81*(O752/100-fi_h/2/1000))*1000)),"",IF(O752&lt;fi_h/20,0,(OFFSET('Base de dados'!$A$5,IF(O752&lt;20,1,IF(O752&gt;1000,10,MATCH(O752,Cargas,1))),Coluna_fih,1,1))*(PI()*(fi_h/1000)^2/4)*SQRT(2*9.81*(O752/100-fi_h/2/1000))*1000))</f>
        <v>36.318512989930369</v>
      </c>
      <c r="Q752" s="19">
        <f ca="1">IF(O752="","",IF(Tipo_Vertedor="Retangular",IF(O752&lt;=cota_s*100,0,IF(Tipo_Vertedor="Retangular",Cd_sr*Lef_sr*((O752/100-cota_s)^(3/2))*1000)),IF(O752&lt;=cota_s*100+fi_s/20,0,(OFFSET('Base de dados'!$A$4,IF(O752&lt;20,1,IF(O752&gt;1000,10,MATCH(O752,Cargas,1))),Coluna_fis,1,1))*(PI()*(fi_s/1000)^2/4)*(2*9.81*(O752/100-cota_s-fi_s/2/1000))^0.5*1000)))</f>
        <v>1585.4177031667198</v>
      </c>
      <c r="R752" s="19">
        <f t="shared" ca="1" si="143"/>
        <v>1621.7362161566502</v>
      </c>
      <c r="S752" s="19">
        <f t="shared" ca="1" si="140"/>
        <v>4103.8199252306613</v>
      </c>
    </row>
    <row r="753" spans="13:19">
      <c r="M753" s="81">
        <f t="shared" ca="1" si="139"/>
        <v>5736.3829230799338</v>
      </c>
      <c r="N753" s="19">
        <f t="shared" si="141"/>
        <v>123.298969271752</v>
      </c>
      <c r="O753" s="17">
        <f t="shared" si="142"/>
        <v>188</v>
      </c>
      <c r="P753" s="19">
        <f ca="1">IF(ISERROR(IF(O753&lt;fi_h/20,0,(OFFSET('Base de dados'!$A$5,IF(O753&lt;20,1,IF(O753&gt;1000,10,MATCH(O753,Cargas,1))),Coluna_fih,1,1))*(1+0.13*0.25)*(PI()*(fi_h/1000)^2/4)*SQRT(2*9.81*(O753/100-fi_h/2/1000))*1000)),"",IF(O753&lt;fi_h/20,0,(OFFSET('Base de dados'!$A$5,IF(O753&lt;20,1,IF(O753&gt;1000,10,MATCH(O753,Cargas,1))),Coluna_fih,1,1))*(PI()*(fi_h/1000)^2/4)*SQRT(2*9.81*(O753/100-fi_h/2/1000))*1000))</f>
        <v>36.343433406886376</v>
      </c>
      <c r="Q753" s="19">
        <f ca="1">IF(O753="","",IF(Tipo_Vertedor="Retangular",IF(O753&lt;=cota_s*100,0,IF(Tipo_Vertedor="Retangular",Cd_sr*Lef_sr*((O753/100-cota_s)^(3/2))*1000)),IF(O753&lt;=cota_s*100+fi_s/20,0,(OFFSET('Base de dados'!$A$4,IF(O753&lt;20,1,IF(O753&gt;1000,10,MATCH(O753,Cargas,1))),Coluna_fis,1,1))*(PI()*(fi_s/1000)^2/4)*(2*9.81*(O753/100-cota_s-fi_s/2/1000))^0.5*1000)))</f>
        <v>1590.0738472813141</v>
      </c>
      <c r="R753" s="19">
        <f t="shared" ca="1" si="143"/>
        <v>1626.4172806882004</v>
      </c>
      <c r="S753" s="19">
        <f t="shared" ca="1" si="140"/>
        <v>4109.9656423917331</v>
      </c>
    </row>
    <row r="754" spans="13:19">
      <c r="M754" s="81">
        <f t="shared" ca="1" si="139"/>
        <v>5747.2152551040763</v>
      </c>
      <c r="N754" s="19">
        <f t="shared" si="141"/>
        <v>123.48337133164523</v>
      </c>
      <c r="O754" s="17">
        <f t="shared" si="142"/>
        <v>188.25</v>
      </c>
      <c r="P754" s="19">
        <f ca="1">IF(ISERROR(IF(O754&lt;fi_h/20,0,(OFFSET('Base de dados'!$A$5,IF(O754&lt;20,1,IF(O754&gt;1000,10,MATCH(O754,Cargas,1))),Coluna_fih,1,1))*(1+0.13*0.25)*(PI()*(fi_h/1000)^2/4)*SQRT(2*9.81*(O754/100-fi_h/2/1000))*1000)),"",IF(O754&lt;fi_h/20,0,(OFFSET('Base de dados'!$A$5,IF(O754&lt;20,1,IF(O754&gt;1000,10,MATCH(O754,Cargas,1))),Coluna_fih,1,1))*(PI()*(fi_h/1000)^2/4)*SQRT(2*9.81*(O754/100-fi_h/2/1000))*1000))</f>
        <v>36.368336747806154</v>
      </c>
      <c r="Q754" s="19">
        <f ca="1">IF(O754="","",IF(Tipo_Vertedor="Retangular",IF(O754&lt;=cota_s*100,0,IF(Tipo_Vertedor="Retangular",Cd_sr*Lef_sr*((O754/100-cota_s)^(3/2))*1000)),IF(O754&lt;=cota_s*100+fi_s/20,0,(OFFSET('Base de dados'!$A$4,IF(O754&lt;20,1,IF(O754&gt;1000,10,MATCH(O754,Cargas,1))),Coluna_fis,1,1))*(PI()*(fi_s/1000)^2/4)*(2*9.81*(O754/100-cota_s-fi_s/2/1000))^0.5*1000)))</f>
        <v>1594.7345406347617</v>
      </c>
      <c r="R754" s="19">
        <f t="shared" ca="1" si="143"/>
        <v>1631.1028773825678</v>
      </c>
      <c r="S754" s="19">
        <f t="shared" ca="1" si="140"/>
        <v>4116.112377721508</v>
      </c>
    </row>
    <row r="755" spans="13:19">
      <c r="M755" s="81">
        <f t="shared" ca="1" si="139"/>
        <v>5758.0531318748608</v>
      </c>
      <c r="N755" s="19">
        <f t="shared" si="141"/>
        <v>123.66780390108535</v>
      </c>
      <c r="O755" s="17">
        <f t="shared" si="142"/>
        <v>188.5</v>
      </c>
      <c r="P755" s="19">
        <f ca="1">IF(ISERROR(IF(O755&lt;fi_h/20,0,(OFFSET('Base de dados'!$A$5,IF(O755&lt;20,1,IF(O755&gt;1000,10,MATCH(O755,Cargas,1))),Coluna_fih,1,1))*(1+0.13*0.25)*(PI()*(fi_h/1000)^2/4)*SQRT(2*9.81*(O755/100-fi_h/2/1000))*1000)),"",IF(O755&lt;fi_h/20,0,(OFFSET('Base de dados'!$A$5,IF(O755&lt;20,1,IF(O755&gt;1000,10,MATCH(O755,Cargas,1))),Coluna_fih,1,1))*(PI()*(fi_h/1000)^2/4)*SQRT(2*9.81*(O755/100-fi_h/2/1000))*1000))</f>
        <v>36.393223047744343</v>
      </c>
      <c r="Q755" s="19">
        <f ca="1">IF(O755="","",IF(Tipo_Vertedor="Retangular",IF(O755&lt;=cota_s*100,0,IF(Tipo_Vertedor="Retangular",Cd_sr*Lef_sr*((O755/100-cota_s)^(3/2))*1000)),IF(O755&lt;=cota_s*100+fi_s/20,0,(OFFSET('Base de dados'!$A$4,IF(O755&lt;20,1,IF(O755&gt;1000,10,MATCH(O755,Cargas,1))),Coluna_fis,1,1))*(PI()*(fi_s/1000)^2/4)*(2*9.81*(O755/100-cota_s-fi_s/2/1000))^0.5*1000)))</f>
        <v>1599.3997787909379</v>
      </c>
      <c r="R755" s="19">
        <f t="shared" ca="1" si="143"/>
        <v>1635.7930018386824</v>
      </c>
      <c r="S755" s="19">
        <f t="shared" ca="1" si="140"/>
        <v>4122.2601300361785</v>
      </c>
    </row>
    <row r="756" spans="13:19">
      <c r="M756" s="81">
        <f t="shared" ca="1" si="139"/>
        <v>5768.8965478231958</v>
      </c>
      <c r="N756" s="19">
        <f t="shared" si="141"/>
        <v>123.85226694464659</v>
      </c>
      <c r="O756" s="17">
        <f t="shared" si="142"/>
        <v>188.75</v>
      </c>
      <c r="P756" s="19">
        <f ca="1">IF(ISERROR(IF(O756&lt;fi_h/20,0,(OFFSET('Base de dados'!$A$5,IF(O756&lt;20,1,IF(O756&gt;1000,10,MATCH(O756,Cargas,1))),Coluna_fih,1,1))*(1+0.13*0.25)*(PI()*(fi_h/1000)^2/4)*SQRT(2*9.81*(O756/100-fi_h/2/1000))*1000)),"",IF(O756&lt;fi_h/20,0,(OFFSET('Base de dados'!$A$5,IF(O756&lt;20,1,IF(O756&gt;1000,10,MATCH(O756,Cargas,1))),Coluna_fih,1,1))*(PI()*(fi_h/1000)^2/4)*SQRT(2*9.81*(O756/100-fi_h/2/1000))*1000))</f>
        <v>36.418092341635813</v>
      </c>
      <c r="Q756" s="19">
        <f ca="1">IF(O756="","",IF(Tipo_Vertedor="Retangular",IF(O756&lt;=cota_s*100,0,IF(Tipo_Vertedor="Retangular",Cd_sr*Lef_sr*((O756/100-cota_s)^(3/2))*1000)),IF(O756&lt;=cota_s*100+fi_s/20,0,(OFFSET('Base de dados'!$A$4,IF(O756&lt;20,1,IF(O756&gt;1000,10,MATCH(O756,Cargas,1))),Coluna_fis,1,1))*(PI()*(fi_s/1000)^2/4)*(2*9.81*(O756/100-cota_s-fi_s/2/1000))^0.5*1000)))</f>
        <v>1604.069557326673</v>
      </c>
      <c r="R756" s="19">
        <f t="shared" ca="1" si="143"/>
        <v>1640.4876496683089</v>
      </c>
      <c r="S756" s="19">
        <f t="shared" ca="1" si="140"/>
        <v>4128.4088981548866</v>
      </c>
    </row>
    <row r="757" spans="13:19">
      <c r="M757" s="81">
        <f t="shared" ca="1" si="139"/>
        <v>5779.7454973956865</v>
      </c>
      <c r="N757" s="19">
        <f t="shared" si="141"/>
        <v>124.03676042699117</v>
      </c>
      <c r="O757" s="17">
        <f t="shared" si="142"/>
        <v>189</v>
      </c>
      <c r="P757" s="19">
        <f ca="1">IF(ISERROR(IF(O757&lt;fi_h/20,0,(OFFSET('Base de dados'!$A$5,IF(O757&lt;20,1,IF(O757&gt;1000,10,MATCH(O757,Cargas,1))),Coluna_fih,1,1))*(1+0.13*0.25)*(PI()*(fi_h/1000)^2/4)*SQRT(2*9.81*(O757/100-fi_h/2/1000))*1000)),"",IF(O757&lt;fi_h/20,0,(OFFSET('Base de dados'!$A$5,IF(O757&lt;20,1,IF(O757&gt;1000,10,MATCH(O757,Cargas,1))),Coluna_fih,1,1))*(PI()*(fi_h/1000)^2/4)*SQRT(2*9.81*(O757/100-fi_h/2/1000))*1000))</f>
        <v>36.442944664296213</v>
      </c>
      <c r="Q757" s="19">
        <f ca="1">IF(O757="","",IF(Tipo_Vertedor="Retangular",IF(O757&lt;=cota_s*100,0,IF(Tipo_Vertedor="Retangular",Cd_sr*Lef_sr*((O757/100-cota_s)^(3/2))*1000)),IF(O757&lt;=cota_s*100+fi_s/20,0,(OFFSET('Base de dados'!$A$4,IF(O757&lt;20,1,IF(O757&gt;1000,10,MATCH(O757,Cargas,1))),Coluna_fis,1,1))*(PI()*(fi_s/1000)^2/4)*(2*9.81*(O757/100-cota_s-fi_s/2/1000))^0.5*1000)))</f>
        <v>1608.7438718316846</v>
      </c>
      <c r="R757" s="19">
        <f t="shared" ca="1" si="143"/>
        <v>1645.1868164959808</v>
      </c>
      <c r="S757" s="19">
        <f t="shared" ca="1" si="140"/>
        <v>4134.5586808997059</v>
      </c>
    </row>
    <row r="758" spans="13:19">
      <c r="M758" s="81">
        <f t="shared" ca="1" si="139"/>
        <v>5790.5999750545716</v>
      </c>
      <c r="N758" s="19">
        <f t="shared" si="141"/>
        <v>124.2212843128689</v>
      </c>
      <c r="O758" s="17">
        <f t="shared" si="142"/>
        <v>189.25</v>
      </c>
      <c r="P758" s="19">
        <f ca="1">IF(ISERROR(IF(O758&lt;fi_h/20,0,(OFFSET('Base de dados'!$A$5,IF(O758&lt;20,1,IF(O758&gt;1000,10,MATCH(O758,Cargas,1))),Coluna_fih,1,1))*(1+0.13*0.25)*(PI()*(fi_h/1000)^2/4)*SQRT(2*9.81*(O758/100-fi_h/2/1000))*1000)),"",IF(O758&lt;fi_h/20,0,(OFFSET('Base de dados'!$A$5,IF(O758&lt;20,1,IF(O758&gt;1000,10,MATCH(O758,Cargas,1))),Coluna_fih,1,1))*(PI()*(fi_h/1000)^2/4)*SQRT(2*9.81*(O758/100-fi_h/2/1000))*1000))</f>
        <v>36.46778005042259</v>
      </c>
      <c r="Q758" s="19">
        <f ca="1">IF(O758="","",IF(Tipo_Vertedor="Retangular",IF(O758&lt;=cota_s*100,0,IF(Tipo_Vertedor="Retangular",Cd_sr*Lef_sr*((O758/100-cota_s)^(3/2))*1000)),IF(O758&lt;=cota_s*100+fi_s/20,0,(OFFSET('Base de dados'!$A$4,IF(O758&lt;20,1,IF(O758&gt;1000,10,MATCH(O758,Cargas,1))),Coluna_fis,1,1))*(PI()*(fi_s/1000)^2/4)*(2*9.81*(O758/100-cota_s-fi_s/2/1000))^0.5*1000)))</f>
        <v>1613.4227179085192</v>
      </c>
      <c r="R758" s="19">
        <f t="shared" ca="1" si="143"/>
        <v>1649.8904979589418</v>
      </c>
      <c r="S758" s="19">
        <f t="shared" ca="1" si="140"/>
        <v>4140.7094770956301</v>
      </c>
    </row>
    <row r="759" spans="13:19">
      <c r="M759" s="81">
        <f t="shared" ca="1" si="139"/>
        <v>5801.4599752776467</v>
      </c>
      <c r="N759" s="19">
        <f t="shared" si="141"/>
        <v>124.40583856711702</v>
      </c>
      <c r="O759" s="17">
        <f t="shared" si="142"/>
        <v>189.5</v>
      </c>
      <c r="P759" s="19">
        <f ca="1">IF(ISERROR(IF(O759&lt;fi_h/20,0,(OFFSET('Base de dados'!$A$5,IF(O759&lt;20,1,IF(O759&gt;1000,10,MATCH(O759,Cargas,1))),Coluna_fih,1,1))*(1+0.13*0.25)*(PI()*(fi_h/1000)^2/4)*SQRT(2*9.81*(O759/100-fi_h/2/1000))*1000)),"",IF(O759&lt;fi_h/20,0,(OFFSET('Base de dados'!$A$5,IF(O759&lt;20,1,IF(O759&gt;1000,10,MATCH(O759,Cargas,1))),Coluna_fih,1,1))*(PI()*(fi_h/1000)^2/4)*SQRT(2*9.81*(O759/100-fi_h/2/1000))*1000))</f>
        <v>36.49259853459386</v>
      </c>
      <c r="Q759" s="19">
        <f ca="1">IF(O759="","",IF(Tipo_Vertedor="Retangular",IF(O759&lt;=cota_s*100,0,IF(Tipo_Vertedor="Retangular",Cd_sr*Lef_sr*((O759/100-cota_s)^(3/2))*1000)),IF(O759&lt;=cota_s*100+fi_s/20,0,(OFFSET('Base de dados'!$A$4,IF(O759&lt;20,1,IF(O759&gt;1000,10,MATCH(O759,Cargas,1))),Coluna_fis,1,1))*(PI()*(fi_s/1000)^2/4)*(2*9.81*(O759/100-cota_s-fi_s/2/1000))^0.5*1000)))</f>
        <v>1618.1060911724855</v>
      </c>
      <c r="R759" s="19">
        <f t="shared" ca="1" si="143"/>
        <v>1654.5986897070793</v>
      </c>
      <c r="S759" s="19">
        <f t="shared" ca="1" si="140"/>
        <v>4146.8612855705669</v>
      </c>
    </row>
    <row r="760" spans="13:19">
      <c r="M760" s="81">
        <f t="shared" ca="1" si="139"/>
        <v>5812.3254925581932</v>
      </c>
      <c r="N760" s="19">
        <f t="shared" si="141"/>
        <v>124.59042315465975</v>
      </c>
      <c r="O760" s="17">
        <f t="shared" si="142"/>
        <v>189.75</v>
      </c>
      <c r="P760" s="19">
        <f ca="1">IF(ISERROR(IF(O760&lt;fi_h/20,0,(OFFSET('Base de dados'!$A$5,IF(O760&lt;20,1,IF(O760&gt;1000,10,MATCH(O760,Cargas,1))),Coluna_fih,1,1))*(1+0.13*0.25)*(PI()*(fi_h/1000)^2/4)*SQRT(2*9.81*(O760/100-fi_h/2/1000))*1000)),"",IF(O760&lt;fi_h/20,0,(OFFSET('Base de dados'!$A$5,IF(O760&lt;20,1,IF(O760&gt;1000,10,MATCH(O760,Cargas,1))),Coluna_fih,1,1))*(PI()*(fi_h/1000)^2/4)*SQRT(2*9.81*(O760/100-fi_h/2/1000))*1000))</f>
        <v>36.517400151271517</v>
      </c>
      <c r="Q760" s="19">
        <f ca="1">IF(O760="","",IF(Tipo_Vertedor="Retangular",IF(O760&lt;=cota_s*100,0,IF(Tipo_Vertedor="Retangular",Cd_sr*Lef_sr*((O760/100-cota_s)^(3/2))*1000)),IF(O760&lt;=cota_s*100+fi_s/20,0,(OFFSET('Base de dados'!$A$4,IF(O760&lt;20,1,IF(O760&gt;1000,10,MATCH(O760,Cargas,1))),Coluna_fis,1,1))*(PI()*(fi_s/1000)^2/4)*(2*9.81*(O760/100-cota_s-fi_s/2/1000))^0.5*1000)))</f>
        <v>1622.7939872515974</v>
      </c>
      <c r="R760" s="19">
        <f t="shared" ca="1" si="143"/>
        <v>1659.3113874028688</v>
      </c>
      <c r="S760" s="19">
        <f t="shared" ca="1" si="140"/>
        <v>4153.0141051553246</v>
      </c>
    </row>
    <row r="761" spans="13:19">
      <c r="M761" s="81">
        <f t="shared" ca="1" si="139"/>
        <v>5823.196521404906</v>
      </c>
      <c r="N761" s="19">
        <f t="shared" si="141"/>
        <v>124.77503804050789</v>
      </c>
      <c r="O761" s="17">
        <f t="shared" si="142"/>
        <v>190</v>
      </c>
      <c r="P761" s="19">
        <f ca="1">IF(ISERROR(IF(O761&lt;fi_h/20,0,(OFFSET('Base de dados'!$A$5,IF(O761&lt;20,1,IF(O761&gt;1000,10,MATCH(O761,Cargas,1))),Coluna_fih,1,1))*(1+0.13*0.25)*(PI()*(fi_h/1000)^2/4)*SQRT(2*9.81*(O761/100-fi_h/2/1000))*1000)),"",IF(O761&lt;fi_h/20,0,(OFFSET('Base de dados'!$A$5,IF(O761&lt;20,1,IF(O761&gt;1000,10,MATCH(O761,Cargas,1))),Coluna_fih,1,1))*(PI()*(fi_h/1000)^2/4)*SQRT(2*9.81*(O761/100-fi_h/2/1000))*1000))</f>
        <v>36.542184934800055</v>
      </c>
      <c r="Q761" s="19">
        <f ca="1">IF(O761="","",IF(Tipo_Vertedor="Retangular",IF(O761&lt;=cota_s*100,0,IF(Tipo_Vertedor="Retangular",Cd_sr*Lef_sr*((O761/100-cota_s)^(3/2))*1000)),IF(O761&lt;=cota_s*100+fi_s/20,0,(OFFSET('Base de dados'!$A$4,IF(O761&lt;20,1,IF(O761&gt;1000,10,MATCH(O761,Cargas,1))),Coluna_fis,1,1))*(PI()*(fi_s/1000)^2/4)*(2*9.81*(O761/100-cota_s-fi_s/2/1000))^0.5*1000)))</f>
        <v>1627.4864017865093</v>
      </c>
      <c r="R761" s="19">
        <f t="shared" ca="1" si="143"/>
        <v>1664.0285867213095</v>
      </c>
      <c r="S761" s="19">
        <f t="shared" ca="1" si="140"/>
        <v>4159.1679346835963</v>
      </c>
    </row>
    <row r="762" spans="13:19">
      <c r="M762" s="81">
        <f t="shared" ca="1" si="139"/>
        <v>5834.0730563418283</v>
      </c>
      <c r="N762" s="19">
        <f t="shared" si="141"/>
        <v>124.95968318975885</v>
      </c>
      <c r="O762" s="17">
        <f t="shared" si="142"/>
        <v>190.25</v>
      </c>
      <c r="P762" s="19">
        <f ca="1">IF(ISERROR(IF(O762&lt;fi_h/20,0,(OFFSET('Base de dados'!$A$5,IF(O762&lt;20,1,IF(O762&gt;1000,10,MATCH(O762,Cargas,1))),Coluna_fih,1,1))*(1+0.13*0.25)*(PI()*(fi_h/1000)^2/4)*SQRT(2*9.81*(O762/100-fi_h/2/1000))*1000)),"",IF(O762&lt;fi_h/20,0,(OFFSET('Base de dados'!$A$5,IF(O762&lt;20,1,IF(O762&gt;1000,10,MATCH(O762,Cargas,1))),Coluna_fih,1,1))*(PI()*(fi_h/1000)^2/4)*SQRT(2*9.81*(O762/100-fi_h/2/1000))*1000))</f>
        <v>36.566952919407591</v>
      </c>
      <c r="Q762" s="19">
        <f ca="1">IF(O762="","",IF(Tipo_Vertedor="Retangular",IF(O762&lt;=cota_s*100,0,IF(Tipo_Vertedor="Retangular",Cd_sr*Lef_sr*((O762/100-cota_s)^(3/2))*1000)),IF(O762&lt;=cota_s*100+fi_s/20,0,(OFFSET('Base de dados'!$A$4,IF(O762&lt;20,1,IF(O762&gt;1000,10,MATCH(O762,Cargas,1))),Coluna_fis,1,1))*(PI()*(fi_s/1000)^2/4)*(2*9.81*(O762/100-cota_s-fi_s/2/1000))^0.5*1000)))</f>
        <v>1632.1833304304587</v>
      </c>
      <c r="R762" s="19">
        <f t="shared" ca="1" si="143"/>
        <v>1668.7502833498663</v>
      </c>
      <c r="S762" s="19">
        <f t="shared" ca="1" si="140"/>
        <v>4165.3227729919618</v>
      </c>
    </row>
    <row r="763" spans="13:19">
      <c r="M763" s="81">
        <f t="shared" ca="1" si="139"/>
        <v>5844.9550919082649</v>
      </c>
      <c r="N763" s="19">
        <f t="shared" si="141"/>
        <v>125.14435856759573</v>
      </c>
      <c r="O763" s="17">
        <f t="shared" si="142"/>
        <v>190.5</v>
      </c>
      <c r="P763" s="19">
        <f ca="1">IF(ISERROR(IF(O763&lt;fi_h/20,0,(OFFSET('Base de dados'!$A$5,IF(O763&lt;20,1,IF(O763&gt;1000,10,MATCH(O763,Cargas,1))),Coluna_fih,1,1))*(1+0.13*0.25)*(PI()*(fi_h/1000)^2/4)*SQRT(2*9.81*(O763/100-fi_h/2/1000))*1000)),"",IF(O763&lt;fi_h/20,0,(OFFSET('Base de dados'!$A$5,IF(O763&lt;20,1,IF(O763&gt;1000,10,MATCH(O763,Cargas,1))),Coluna_fih,1,1))*(PI()*(fi_h/1000)^2/4)*SQRT(2*9.81*(O763/100-fi_h/2/1000))*1000))</f>
        <v>36.591704139206392</v>
      </c>
      <c r="Q763" s="19">
        <f ca="1">IF(O763="","",IF(Tipo_Vertedor="Retangular",IF(O763&lt;=cota_s*100,0,IF(Tipo_Vertedor="Retangular",Cd_sr*Lef_sr*((O763/100-cota_s)^(3/2))*1000)),IF(O763&lt;=cota_s*100+fi_s/20,0,(OFFSET('Base de dados'!$A$4,IF(O763&lt;20,1,IF(O763&gt;1000,10,MATCH(O763,Cargas,1))),Coluna_fis,1,1))*(PI()*(fi_s/1000)^2/4)*(2*9.81*(O763/100-cota_s-fi_s/2/1000))^0.5*1000)))</f>
        <v>1636.8847688492008</v>
      </c>
      <c r="R763" s="19">
        <f t="shared" ca="1" si="143"/>
        <v>1673.4764729884071</v>
      </c>
      <c r="S763" s="19">
        <f t="shared" ca="1" si="140"/>
        <v>4171.4786189198576</v>
      </c>
    </row>
    <row r="764" spans="13:19">
      <c r="M764" s="81">
        <f t="shared" ca="1" si="139"/>
        <v>5855.8426226587308</v>
      </c>
      <c r="N764" s="19">
        <f t="shared" si="141"/>
        <v>125.32906413928754</v>
      </c>
      <c r="O764" s="17">
        <f t="shared" si="142"/>
        <v>190.75</v>
      </c>
      <c r="P764" s="19">
        <f ca="1">IF(ISERROR(IF(O764&lt;fi_h/20,0,(OFFSET('Base de dados'!$A$5,IF(O764&lt;20,1,IF(O764&gt;1000,10,MATCH(O764,Cargas,1))),Coluna_fih,1,1))*(1+0.13*0.25)*(PI()*(fi_h/1000)^2/4)*SQRT(2*9.81*(O764/100-fi_h/2/1000))*1000)),"",IF(O764&lt;fi_h/20,0,(OFFSET('Base de dados'!$A$5,IF(O764&lt;20,1,IF(O764&gt;1000,10,MATCH(O764,Cargas,1))),Coluna_fih,1,1))*(PI()*(fi_h/1000)^2/4)*SQRT(2*9.81*(O764/100-fi_h/2/1000))*1000))</f>
        <v>36.616438628193443</v>
      </c>
      <c r="Q764" s="19">
        <f ca="1">IF(O764="","",IF(Tipo_Vertedor="Retangular",IF(O764&lt;=cota_s*100,0,IF(Tipo_Vertedor="Retangular",Cd_sr*Lef_sr*((O764/100-cota_s)^(3/2))*1000)),IF(O764&lt;=cota_s*100+fi_s/20,0,(OFFSET('Base de dados'!$A$4,IF(O764&lt;20,1,IF(O764&gt;1000,10,MATCH(O764,Cargas,1))),Coluna_fis,1,1))*(PI()*(fi_s/1000)^2/4)*(2*9.81*(O764/100-cota_s-fi_s/2/1000))^0.5*1000)))</f>
        <v>1641.5907127209534</v>
      </c>
      <c r="R764" s="19">
        <f t="shared" ca="1" si="143"/>
        <v>1678.2071513491469</v>
      </c>
      <c r="S764" s="19">
        <f t="shared" ca="1" si="140"/>
        <v>4177.6354713095843</v>
      </c>
    </row>
    <row r="765" spans="13:19">
      <c r="M765" s="81">
        <f t="shared" ca="1" si="139"/>
        <v>5866.7356431628741</v>
      </c>
      <c r="N765" s="19">
        <f t="shared" si="141"/>
        <v>125.51379987018861</v>
      </c>
      <c r="O765" s="17">
        <f t="shared" si="142"/>
        <v>191</v>
      </c>
      <c r="P765" s="19">
        <f ca="1">IF(ISERROR(IF(O765&lt;fi_h/20,0,(OFFSET('Base de dados'!$A$5,IF(O765&lt;20,1,IF(O765&gt;1000,10,MATCH(O765,Cargas,1))),Coluna_fih,1,1))*(1+0.13*0.25)*(PI()*(fi_h/1000)^2/4)*SQRT(2*9.81*(O765/100-fi_h/2/1000))*1000)),"",IF(O765&lt;fi_h/20,0,(OFFSET('Base de dados'!$A$5,IF(O765&lt;20,1,IF(O765&gt;1000,10,MATCH(O765,Cargas,1))),Coluna_fih,1,1))*(PI()*(fi_h/1000)^2/4)*SQRT(2*9.81*(O765/100-fi_h/2/1000))*1000))</f>
        <v>36.641156420250987</v>
      </c>
      <c r="Q765" s="19">
        <f ca="1">IF(O765="","",IF(Tipo_Vertedor="Retangular",IF(O765&lt;=cota_s*100,0,IF(Tipo_Vertedor="Retangular",Cd_sr*Lef_sr*((O765/100-cota_s)^(3/2))*1000)),IF(O765&lt;=cota_s*100+fi_s/20,0,(OFFSET('Base de dados'!$A$4,IF(O765&lt;20,1,IF(O765&gt;1000,10,MATCH(O765,Cargas,1))),Coluna_fis,1,1))*(PI()*(fi_s/1000)^2/4)*(2*9.81*(O765/100-cota_s-fi_s/2/1000))^0.5*1000)))</f>
        <v>1646.3011577363361</v>
      </c>
      <c r="R765" s="19">
        <f t="shared" ca="1" si="143"/>
        <v>1682.9423141565871</v>
      </c>
      <c r="S765" s="19">
        <f t="shared" ca="1" si="140"/>
        <v>4183.7933290062874</v>
      </c>
    </row>
    <row r="766" spans="13:19">
      <c r="M766" s="81">
        <f t="shared" ca="1" si="139"/>
        <v>5877.6341480054007</v>
      </c>
      <c r="N766" s="19">
        <f t="shared" si="141"/>
        <v>125.69856572573835</v>
      </c>
      <c r="O766" s="17">
        <f t="shared" si="142"/>
        <v>191.25</v>
      </c>
      <c r="P766" s="19">
        <f ca="1">IF(ISERROR(IF(O766&lt;fi_h/20,0,(OFFSET('Base de dados'!$A$5,IF(O766&lt;20,1,IF(O766&gt;1000,10,MATCH(O766,Cargas,1))),Coluna_fih,1,1))*(1+0.13*0.25)*(PI()*(fi_h/1000)^2/4)*SQRT(2*9.81*(O766/100-fi_h/2/1000))*1000)),"",IF(O766&lt;fi_h/20,0,(OFFSET('Base de dados'!$A$5,IF(O766&lt;20,1,IF(O766&gt;1000,10,MATCH(O766,Cargas,1))),Coluna_fih,1,1))*(PI()*(fi_h/1000)^2/4)*SQRT(2*9.81*(O766/100-fi_h/2/1000))*1000))</f>
        <v>36.665857549147042</v>
      </c>
      <c r="Q766" s="19">
        <f ca="1">IF(O766="","",IF(Tipo_Vertedor="Retangular",IF(O766&lt;=cota_s*100,0,IF(Tipo_Vertedor="Retangular",Cd_sr*Lef_sr*((O766/100-cota_s)^(3/2))*1000)),IF(O766&lt;=cota_s*100+fi_s/20,0,(OFFSET('Base de dados'!$A$4,IF(O766&lt;20,1,IF(O766&gt;1000,10,MATCH(O766,Cargas,1))),Coluna_fis,1,1))*(PI()*(fi_s/1000)^2/4)*(2*9.81*(O766/100-cota_s-fi_s/2/1000))^0.5*1000)))</f>
        <v>1651.016099598309</v>
      </c>
      <c r="R766" s="19">
        <f t="shared" ca="1" si="143"/>
        <v>1687.6819571474559</v>
      </c>
      <c r="S766" s="19">
        <f t="shared" ca="1" si="140"/>
        <v>4189.9521908579445</v>
      </c>
    </row>
    <row r="767" spans="13:19">
      <c r="M767" s="81">
        <f t="shared" ca="1" si="139"/>
        <v>5888.5381317860119</v>
      </c>
      <c r="N767" s="19">
        <f t="shared" si="141"/>
        <v>125.88336167146083</v>
      </c>
      <c r="O767" s="17">
        <f t="shared" si="142"/>
        <v>191.5</v>
      </c>
      <c r="P767" s="19">
        <f ca="1">IF(ISERROR(IF(O767&lt;fi_h/20,0,(OFFSET('Base de dados'!$A$5,IF(O767&lt;20,1,IF(O767&gt;1000,10,MATCH(O767,Cargas,1))),Coluna_fih,1,1))*(1+0.13*0.25)*(PI()*(fi_h/1000)^2/4)*SQRT(2*9.81*(O767/100-fi_h/2/1000))*1000)),"",IF(O767&lt;fi_h/20,0,(OFFSET('Base de dados'!$A$5,IF(O767&lt;20,1,IF(O767&gt;1000,10,MATCH(O767,Cargas,1))),Coluna_fih,1,1))*(PI()*(fi_h/1000)^2/4)*SQRT(2*9.81*(O767/100-fi_h/2/1000))*1000))</f>
        <v>36.690542048535967</v>
      </c>
      <c r="Q767" s="19">
        <f ca="1">IF(O767="","",IF(Tipo_Vertedor="Retangular",IF(O767&lt;=cota_s*100,0,IF(Tipo_Vertedor="Retangular",Cd_sr*Lef_sr*((O767/100-cota_s)^(3/2))*1000)),IF(O767&lt;=cota_s*100+fi_s/20,0,(OFFSET('Base de dados'!$A$4,IF(O767&lt;20,1,IF(O767&gt;1000,10,MATCH(O767,Cargas,1))),Coluna_fis,1,1))*(PI()*(fi_s/1000)^2/4)*(2*9.81*(O767/100-cota_s-fi_s/2/1000))^0.5*1000)))</f>
        <v>1655.7355340221156</v>
      </c>
      <c r="R767" s="19">
        <f t="shared" ca="1" si="143"/>
        <v>1692.4260760706516</v>
      </c>
      <c r="S767" s="19">
        <f t="shared" ca="1" si="140"/>
        <v>4196.1120557153608</v>
      </c>
    </row>
    <row r="768" spans="13:19">
      <c r="M768" s="81">
        <f t="shared" ca="1" si="139"/>
        <v>5899.4475891193379</v>
      </c>
      <c r="N768" s="19">
        <f t="shared" si="141"/>
        <v>126.06818767296463</v>
      </c>
      <c r="O768" s="17">
        <f t="shared" si="142"/>
        <v>191.75</v>
      </c>
      <c r="P768" s="19">
        <f ca="1">IF(ISERROR(IF(O768&lt;fi_h/20,0,(OFFSET('Base de dados'!$A$5,IF(O768&lt;20,1,IF(O768&gt;1000,10,MATCH(O768,Cargas,1))),Coluna_fih,1,1))*(1+0.13*0.25)*(PI()*(fi_h/1000)^2/4)*SQRT(2*9.81*(O768/100-fi_h/2/1000))*1000)),"",IF(O768&lt;fi_h/20,0,(OFFSET('Base de dados'!$A$5,IF(O768&lt;20,1,IF(O768&gt;1000,10,MATCH(O768,Cargas,1))),Coluna_fih,1,1))*(PI()*(fi_h/1000)^2/4)*SQRT(2*9.81*(O768/100-fi_h/2/1000))*1000))</f>
        <v>36.715209951958997</v>
      </c>
      <c r="Q768" s="19">
        <f ca="1">IF(O768="","",IF(Tipo_Vertedor="Retangular",IF(O768&lt;=cota_s*100,0,IF(Tipo_Vertedor="Retangular",Cd_sr*Lef_sr*((O768/100-cota_s)^(3/2))*1000)),IF(O768&lt;=cota_s*100+fi_s/20,0,(OFFSET('Base de dados'!$A$4,IF(O768&lt;20,1,IF(O768&gt;1000,10,MATCH(O768,Cargas,1))),Coluna_fis,1,1))*(PI()*(fi_s/1000)^2/4)*(2*9.81*(O768/100-cota_s-fi_s/2/1000))^0.5*1000)))</f>
        <v>1660.4594567352246</v>
      </c>
      <c r="R768" s="19">
        <f t="shared" ca="1" si="143"/>
        <v>1697.1746666871836</v>
      </c>
      <c r="S768" s="19">
        <f t="shared" ca="1" si="140"/>
        <v>4202.2729224321547</v>
      </c>
    </row>
    <row r="769" spans="13:19">
      <c r="M769" s="81">
        <f t="shared" ca="1" si="139"/>
        <v>5910.3625146348613</v>
      </c>
      <c r="N769" s="19">
        <f t="shared" si="141"/>
        <v>126.25304369594234</v>
      </c>
      <c r="O769" s="17">
        <f t="shared" si="142"/>
        <v>192</v>
      </c>
      <c r="P769" s="19">
        <f ca="1">IF(ISERROR(IF(O769&lt;fi_h/20,0,(OFFSET('Base de dados'!$A$5,IF(O769&lt;20,1,IF(O769&gt;1000,10,MATCH(O769,Cargas,1))),Coluna_fih,1,1))*(1+0.13*0.25)*(PI()*(fi_h/1000)^2/4)*SQRT(2*9.81*(O769/100-fi_h/2/1000))*1000)),"",IF(O769&lt;fi_h/20,0,(OFFSET('Base de dados'!$A$5,IF(O769&lt;20,1,IF(O769&gt;1000,10,MATCH(O769,Cargas,1))),Coluna_fih,1,1))*(PI()*(fi_h/1000)^2/4)*SQRT(2*9.81*(O769/100-fi_h/2/1000))*1000))</f>
        <v>36.739861292844751</v>
      </c>
      <c r="Q769" s="19">
        <f ca="1">IF(O769="","",IF(Tipo_Vertedor="Retangular",IF(O769&lt;=cota_s*100,0,IF(Tipo_Vertedor="Retangular",Cd_sr*Lef_sr*((O769/100-cota_s)^(3/2))*1000)),IF(O769&lt;=cota_s*100+fi_s/20,0,(OFFSET('Base de dados'!$A$4,IF(O769&lt;20,1,IF(O769&gt;1000,10,MATCH(O769,Cargas,1))),Coluna_fis,1,1))*(PI()*(fi_s/1000)^2/4)*(2*9.81*(O769/100-cota_s-fi_s/2/1000))^0.5*1000)))</f>
        <v>1665.1878634772715</v>
      </c>
      <c r="R769" s="19">
        <f t="shared" ca="1" si="143"/>
        <v>1701.9277247701164</v>
      </c>
      <c r="S769" s="19">
        <f t="shared" ca="1" si="140"/>
        <v>4208.4347898647447</v>
      </c>
    </row>
    <row r="770" spans="13:19">
      <c r="M770" s="81">
        <f t="shared" ca="1" si="139"/>
        <v>5921.2829029768582</v>
      </c>
      <c r="N770" s="19">
        <f t="shared" si="141"/>
        <v>126.43792970617042</v>
      </c>
      <c r="O770" s="17">
        <f t="shared" si="142"/>
        <v>192.25</v>
      </c>
      <c r="P770" s="19">
        <f ca="1">IF(ISERROR(IF(O770&lt;fi_h/20,0,(OFFSET('Base de dados'!$A$5,IF(O770&lt;20,1,IF(O770&gt;1000,10,MATCH(O770,Cargas,1))),Coluna_fih,1,1))*(1+0.13*0.25)*(PI()*(fi_h/1000)^2/4)*SQRT(2*9.81*(O770/100-fi_h/2/1000))*1000)),"",IF(O770&lt;fi_h/20,0,(OFFSET('Base de dados'!$A$5,IF(O770&lt;20,1,IF(O770&gt;1000,10,MATCH(O770,Cargas,1))),Coluna_fih,1,1))*(PI()*(fi_h/1000)^2/4)*SQRT(2*9.81*(O770/100-fi_h/2/1000))*1000))</f>
        <v>36.764496104509782</v>
      </c>
      <c r="Q770" s="19">
        <f ca="1">IF(O770="","",IF(Tipo_Vertedor="Retangular",IF(O770&lt;=cota_s*100,0,IF(Tipo_Vertedor="Retangular",Cd_sr*Lef_sr*((O770/100-cota_s)^(3/2))*1000)),IF(O770&lt;=cota_s*100+fi_s/20,0,(OFFSET('Base de dados'!$A$4,IF(O770&lt;20,1,IF(O770&gt;1000,10,MATCH(O770,Cargas,1))),Coluna_fis,1,1))*(PI()*(fi_s/1000)^2/4)*(2*9.81*(O770/100-cota_s-fi_s/2/1000))^0.5*1000)))</f>
        <v>1669.9207500000007</v>
      </c>
      <c r="R770" s="19">
        <f t="shared" ca="1" si="143"/>
        <v>1706.6852461045105</v>
      </c>
      <c r="S770" s="19">
        <f t="shared" ca="1" si="140"/>
        <v>4214.5976568723472</v>
      </c>
    </row>
    <row r="771" spans="13:19">
      <c r="M771" s="81">
        <f t="shared" ca="1" si="139"/>
        <v>5932.2087488043235</v>
      </c>
      <c r="N771" s="19">
        <f t="shared" si="141"/>
        <v>126.62284566950872</v>
      </c>
      <c r="O771" s="17">
        <f t="shared" si="142"/>
        <v>192.5</v>
      </c>
      <c r="P771" s="19">
        <f ca="1">IF(ISERROR(IF(O771&lt;fi_h/20,0,(OFFSET('Base de dados'!$A$5,IF(O771&lt;20,1,IF(O771&gt;1000,10,MATCH(O771,Cargas,1))),Coluna_fih,1,1))*(1+0.13*0.25)*(PI()*(fi_h/1000)^2/4)*SQRT(2*9.81*(O771/100-fi_h/2/1000))*1000)),"",IF(O771&lt;fi_h/20,0,(OFFSET('Base de dados'!$A$5,IF(O771&lt;20,1,IF(O771&gt;1000,10,MATCH(O771,Cargas,1))),Coluna_fih,1,1))*(PI()*(fi_h/1000)^2/4)*SQRT(2*9.81*(O771/100-fi_h/2/1000))*1000))</f>
        <v>36.789114420159095</v>
      </c>
      <c r="Q771" s="19">
        <f ca="1">IF(O771="","",IF(Tipo_Vertedor="Retangular",IF(O771&lt;=cota_s*100,0,IF(Tipo_Vertedor="Retangular",Cd_sr*Lef_sr*((O771/100-cota_s)^(3/2))*1000)),IF(O771&lt;=cota_s*100+fi_s/20,0,(OFFSET('Base de dados'!$A$4,IF(O771&lt;20,1,IF(O771&gt;1000,10,MATCH(O771,Cargas,1))),Coluna_fis,1,1))*(PI()*(fi_s/1000)^2/4)*(2*9.81*(O771/100-cota_s-fi_s/2/1000))^0.5*1000)))</f>
        <v>1674.6581120672067</v>
      </c>
      <c r="R771" s="19">
        <f t="shared" ca="1" si="143"/>
        <v>1711.4472264873659</v>
      </c>
      <c r="S771" s="19">
        <f t="shared" ca="1" si="140"/>
        <v>4220.7615223169578</v>
      </c>
    </row>
    <row r="772" spans="13:19">
      <c r="M772" s="81">
        <f t="shared" ca="1" si="139"/>
        <v>5943.1400467909134</v>
      </c>
      <c r="N772" s="19">
        <f t="shared" si="141"/>
        <v>126.80779155190031</v>
      </c>
      <c r="O772" s="17">
        <f t="shared" si="142"/>
        <v>192.75</v>
      </c>
      <c r="P772" s="19">
        <f ca="1">IF(ISERROR(IF(O772&lt;fi_h/20,0,(OFFSET('Base de dados'!$A$5,IF(O772&lt;20,1,IF(O772&gt;1000,10,MATCH(O772,Cargas,1))),Coluna_fih,1,1))*(1+0.13*0.25)*(PI()*(fi_h/1000)^2/4)*SQRT(2*9.81*(O772/100-fi_h/2/1000))*1000)),"",IF(O772&lt;fi_h/20,0,(OFFSET('Base de dados'!$A$5,IF(O772&lt;20,1,IF(O772&gt;1000,10,MATCH(O772,Cargas,1))),Coluna_fih,1,1))*(PI()*(fi_h/1000)^2/4)*SQRT(2*9.81*(O772/100-fi_h/2/1000))*1000))</f>
        <v>36.813716272886666</v>
      </c>
      <c r="Q772" s="19">
        <f ca="1">IF(O772="","",IF(Tipo_Vertedor="Retangular",IF(O772&lt;=cota_s*100,0,IF(Tipo_Vertedor="Retangular",Cd_sr*Lef_sr*((O772/100-cota_s)^(3/2))*1000)),IF(O772&lt;=cota_s*100+fi_s/20,0,(OFFSET('Base de dados'!$A$4,IF(O772&lt;20,1,IF(O772&gt;1000,10,MATCH(O772,Cargas,1))),Coluna_fis,1,1))*(PI()*(fi_s/1000)^2/4)*(2*9.81*(O772/100-cota_s-fi_s/2/1000))^0.5*1000)))</f>
        <v>1679.399945454682</v>
      </c>
      <c r="R772" s="19">
        <f t="shared" ca="1" si="143"/>
        <v>1716.2136617275687</v>
      </c>
      <c r="S772" s="19">
        <f t="shared" ca="1" si="140"/>
        <v>4226.9263850633442</v>
      </c>
    </row>
    <row r="773" spans="13:19">
      <c r="M773" s="81">
        <f t="shared" ref="M773:M836" ca="1" si="144">IF(O773="","",2*N773*1000/(Passo*60)+R773)</f>
        <v>5954.076791624866</v>
      </c>
      <c r="N773" s="19">
        <f t="shared" si="141"/>
        <v>126.99276731937104</v>
      </c>
      <c r="O773" s="17">
        <f t="shared" si="142"/>
        <v>193</v>
      </c>
      <c r="P773" s="19">
        <f ca="1">IF(ISERROR(IF(O773&lt;fi_h/20,0,(OFFSET('Base de dados'!$A$5,IF(O773&lt;20,1,IF(O773&gt;1000,10,MATCH(O773,Cargas,1))),Coluna_fih,1,1))*(1+0.13*0.25)*(PI()*(fi_h/1000)^2/4)*SQRT(2*9.81*(O773/100-fi_h/2/1000))*1000)),"",IF(O773&lt;fi_h/20,0,(OFFSET('Base de dados'!$A$5,IF(O773&lt;20,1,IF(O773&gt;1000,10,MATCH(O773,Cargas,1))),Coluna_fih,1,1))*(PI()*(fi_h/1000)^2/4)*SQRT(2*9.81*(O773/100-fi_h/2/1000))*1000))</f>
        <v>36.83830169567598</v>
      </c>
      <c r="Q773" s="19">
        <f ca="1">IF(O773="","",IF(Tipo_Vertedor="Retangular",IF(O773&lt;=cota_s*100,0,IF(Tipo_Vertedor="Retangular",Cd_sr*Lef_sr*((O773/100-cota_s)^(3/2))*1000)),IF(O773&lt;=cota_s*100+fi_s/20,0,(OFFSET('Base de dados'!$A$4,IF(O773&lt;20,1,IF(O773&gt;1000,10,MATCH(O773,Cargas,1))),Coluna_fis,1,1))*(PI()*(fi_s/1000)^2/4)*(2*9.81*(O773/100-cota_s-fi_s/2/1000))^0.5*1000)))</f>
        <v>1684.1462459501552</v>
      </c>
      <c r="R773" s="19">
        <f t="shared" ca="1" si="143"/>
        <v>1720.9845476458311</v>
      </c>
      <c r="S773" s="19">
        <f t="shared" ref="S773:S836" ca="1" si="145">IF(M773="","",2*N773*1000/(Passo*60))</f>
        <v>4233.0922439790347</v>
      </c>
    </row>
    <row r="774" spans="13:19">
      <c r="M774" s="81">
        <f t="shared" ca="1" si="144"/>
        <v>5965.0189780089522</v>
      </c>
      <c r="N774" s="19">
        <f t="shared" ref="N774:N837" si="146">IF(O774="","",b_0*(O774/100)^c_0)</f>
        <v>127.17777293802941</v>
      </c>
      <c r="O774" s="17">
        <f t="shared" si="142"/>
        <v>193.25</v>
      </c>
      <c r="P774" s="19">
        <f ca="1">IF(ISERROR(IF(O774&lt;fi_h/20,0,(OFFSET('Base de dados'!$A$5,IF(O774&lt;20,1,IF(O774&gt;1000,10,MATCH(O774,Cargas,1))),Coluna_fih,1,1))*(1+0.13*0.25)*(PI()*(fi_h/1000)^2/4)*SQRT(2*9.81*(O774/100-fi_h/2/1000))*1000)),"",IF(O774&lt;fi_h/20,0,(OFFSET('Base de dados'!$A$5,IF(O774&lt;20,1,IF(O774&gt;1000,10,MATCH(O774,Cargas,1))),Coluna_fih,1,1))*(PI()*(fi_h/1000)^2/4)*SQRT(2*9.81*(O774/100-fi_h/2/1000))*1000))</f>
        <v>36.862870721400505</v>
      </c>
      <c r="Q774" s="19">
        <f ca="1">IF(O774="","",IF(Tipo_Vertedor="Retangular",IF(O774&lt;=cota_s*100,0,IF(Tipo_Vertedor="Retangular",Cd_sr*Lef_sr*((O774/100-cota_s)^(3/2))*1000)),IF(O774&lt;=cota_s*100+fi_s/20,0,(OFFSET('Base de dados'!$A$4,IF(O774&lt;20,1,IF(O774&gt;1000,10,MATCH(O774,Cargas,1))),Coluna_fis,1,1))*(PI()*(fi_s/1000)^2/4)*(2*9.81*(O774/100-cota_s-fi_s/2/1000))^0.5*1000)))</f>
        <v>1688.8970093532387</v>
      </c>
      <c r="R774" s="19">
        <f t="shared" ca="1" si="143"/>
        <v>1725.7598800746391</v>
      </c>
      <c r="S774" s="19">
        <f t="shared" ca="1" si="145"/>
        <v>4239.2590979343131</v>
      </c>
    </row>
    <row r="775" spans="13:19">
      <c r="M775" s="81">
        <f t="shared" ca="1" si="144"/>
        <v>5975.9666006603957</v>
      </c>
      <c r="N775" s="19">
        <f t="shared" si="146"/>
        <v>127.36280837406606</v>
      </c>
      <c r="O775" s="17">
        <f t="shared" si="142"/>
        <v>193.5</v>
      </c>
      <c r="P775" s="19">
        <f ca="1">IF(ISERROR(IF(O775&lt;fi_h/20,0,(OFFSET('Base de dados'!$A$5,IF(O775&lt;20,1,IF(O775&gt;1000,10,MATCH(O775,Cargas,1))),Coluna_fih,1,1))*(1+0.13*0.25)*(PI()*(fi_h/1000)^2/4)*SQRT(2*9.81*(O775/100-fi_h/2/1000))*1000)),"",IF(O775&lt;fi_h/20,0,(OFFSET('Base de dados'!$A$5,IF(O775&lt;20,1,IF(O775&gt;1000,10,MATCH(O775,Cargas,1))),Coluna_fih,1,1))*(PI()*(fi_h/1000)^2/4)*SQRT(2*9.81*(O775/100-fi_h/2/1000))*1000))</f>
        <v>36.887423382824259</v>
      </c>
      <c r="Q775" s="19">
        <f ca="1">IF(O775="","",IF(Tipo_Vertedor="Retangular",IF(O775&lt;=cota_s*100,0,IF(Tipo_Vertedor="Retangular",Cd_sr*Lef_sr*((O775/100-cota_s)^(3/2))*1000)),IF(O775&lt;=cota_s*100+fi_s/20,0,(OFFSET('Base de dados'!$A$4,IF(O775&lt;20,1,IF(O775&gt;1000,10,MATCH(O775,Cargas,1))),Coluna_fis,1,1))*(PI()*(fi_s/1000)^2/4)*(2*9.81*(O775/100-cota_s-fi_s/2/1000))^0.5*1000)))</f>
        <v>1693.6522314753699</v>
      </c>
      <c r="R775" s="19">
        <f t="shared" ca="1" si="143"/>
        <v>1730.5396548581941</v>
      </c>
      <c r="S775" s="19">
        <f t="shared" ca="1" si="145"/>
        <v>4245.4269458022018</v>
      </c>
    </row>
    <row r="776" spans="13:19">
      <c r="M776" s="81">
        <f t="shared" ca="1" si="144"/>
        <v>5986.9196543108146</v>
      </c>
      <c r="N776" s="19">
        <f t="shared" si="146"/>
        <v>127.54787359375359</v>
      </c>
      <c r="O776" s="17">
        <f t="shared" si="142"/>
        <v>193.75</v>
      </c>
      <c r="P776" s="19">
        <f ca="1">IF(ISERROR(IF(O776&lt;fi_h/20,0,(OFFSET('Base de dados'!$A$5,IF(O776&lt;20,1,IF(O776&gt;1000,10,MATCH(O776,Cargas,1))),Coluna_fih,1,1))*(1+0.13*0.25)*(PI()*(fi_h/1000)^2/4)*SQRT(2*9.81*(O776/100-fi_h/2/1000))*1000)),"",IF(O776&lt;fi_h/20,0,(OFFSET('Base de dados'!$A$5,IF(O776&lt;20,1,IF(O776&gt;1000,10,MATCH(O776,Cargas,1))),Coluna_fih,1,1))*(PI()*(fi_h/1000)^2/4)*SQRT(2*9.81*(O776/100-fi_h/2/1000))*1000))</f>
        <v>36.911959712602261</v>
      </c>
      <c r="Q776" s="19">
        <f ca="1">IF(O776="","",IF(Tipo_Vertedor="Retangular",IF(O776&lt;=cota_s*100,0,IF(Tipo_Vertedor="Retangular",Cd_sr*Lef_sr*((O776/100-cota_s)^(3/2))*1000)),IF(O776&lt;=cota_s*100+fi_s/20,0,(OFFSET('Base de dados'!$A$4,IF(O776&lt;20,1,IF(O776&gt;1000,10,MATCH(O776,Cargas,1))),Coluna_fis,1,1))*(PI()*(fi_s/1000)^2/4)*(2*9.81*(O776/100-cota_s-fi_s/2/1000))^0.5*1000)))</f>
        <v>1698.4119081397591</v>
      </c>
      <c r="R776" s="19">
        <f t="shared" ca="1" si="143"/>
        <v>1735.3238678523614</v>
      </c>
      <c r="S776" s="19">
        <f t="shared" ca="1" si="145"/>
        <v>4251.5957864584534</v>
      </c>
    </row>
    <row r="777" spans="13:19">
      <c r="M777" s="81">
        <f t="shared" ca="1" si="144"/>
        <v>5997.8781337061519</v>
      </c>
      <c r="N777" s="19">
        <f t="shared" si="146"/>
        <v>127.73296856344619</v>
      </c>
      <c r="O777" s="17">
        <f t="shared" si="142"/>
        <v>194</v>
      </c>
      <c r="P777" s="19">
        <f ca="1">IF(ISERROR(IF(O777&lt;fi_h/20,0,(OFFSET('Base de dados'!$A$5,IF(O777&lt;20,1,IF(O777&gt;1000,10,MATCH(O777,Cargas,1))),Coluna_fih,1,1))*(1+0.13*0.25)*(PI()*(fi_h/1000)^2/4)*SQRT(2*9.81*(O777/100-fi_h/2/1000))*1000)),"",IF(O777&lt;fi_h/20,0,(OFFSET('Base de dados'!$A$5,IF(O777&lt;20,1,IF(O777&gt;1000,10,MATCH(O777,Cargas,1))),Coluna_fih,1,1))*(PI()*(fi_h/1000)^2/4)*SQRT(2*9.81*(O777/100-fi_h/2/1000))*1000))</f>
        <v>36.936479743281112</v>
      </c>
      <c r="Q777" s="19">
        <f ca="1">IF(O777="","",IF(Tipo_Vertedor="Retangular",IF(O777&lt;=cota_s*100,0,IF(Tipo_Vertedor="Retangular",Cd_sr*Lef_sr*((O777/100-cota_s)^(3/2))*1000)),IF(O777&lt;=cota_s*100+fi_s/20,0,(OFFSET('Base de dados'!$A$4,IF(O777&lt;20,1,IF(O777&gt;1000,10,MATCH(O777,Cargas,1))),Coluna_fis,1,1))*(PI()*(fi_s/1000)^2/4)*(2*9.81*(O777/100-cota_s-fi_s/2/1000))^0.5*1000)))</f>
        <v>1703.1760351813311</v>
      </c>
      <c r="R777" s="19">
        <f t="shared" ca="1" si="143"/>
        <v>1740.1125149246122</v>
      </c>
      <c r="S777" s="19">
        <f t="shared" ca="1" si="145"/>
        <v>4257.7656187815401</v>
      </c>
    </row>
    <row r="778" spans="13:19">
      <c r="M778" s="81">
        <f t="shared" ca="1" si="144"/>
        <v>6008.842033606621</v>
      </c>
      <c r="N778" s="19">
        <f t="shared" si="146"/>
        <v>127.91809324957944</v>
      </c>
      <c r="O778" s="17">
        <f t="shared" si="142"/>
        <v>194.25</v>
      </c>
      <c r="P778" s="19">
        <f ca="1">IF(ISERROR(IF(O778&lt;fi_h/20,0,(OFFSET('Base de dados'!$A$5,IF(O778&lt;20,1,IF(O778&gt;1000,10,MATCH(O778,Cargas,1))),Coluna_fih,1,1))*(1+0.13*0.25)*(PI()*(fi_h/1000)^2/4)*SQRT(2*9.81*(O778/100-fi_h/2/1000))*1000)),"",IF(O778&lt;fi_h/20,0,(OFFSET('Base de dados'!$A$5,IF(O778&lt;20,1,IF(O778&gt;1000,10,MATCH(O778,Cargas,1))),Coluna_fih,1,1))*(PI()*(fi_h/1000)^2/4)*SQRT(2*9.81*(O778/100-fi_h/2/1000))*1000))</f>
        <v>36.96098350729941</v>
      </c>
      <c r="Q778" s="19">
        <f ca="1">IF(O778="","",IF(Tipo_Vertedor="Retangular",IF(O778&lt;=cota_s*100,0,IF(Tipo_Vertedor="Retangular",Cd_sr*Lef_sr*((O778/100-cota_s)^(3/2))*1000)),IF(O778&lt;=cota_s*100+fi_s/20,0,(OFFSET('Base de dados'!$A$4,IF(O778&lt;20,1,IF(O778&gt;1000,10,MATCH(O778,Cargas,1))),Coluna_fis,1,1))*(PI()*(fi_s/1000)^2/4)*(2*9.81*(O778/100-cota_s-fi_s/2/1000))^0.5*1000)))</f>
        <v>1707.9446084466738</v>
      </c>
      <c r="R778" s="19">
        <f t="shared" ca="1" si="143"/>
        <v>1744.9055919539733</v>
      </c>
      <c r="S778" s="19">
        <f t="shared" ca="1" si="145"/>
        <v>4263.9364416526478</v>
      </c>
    </row>
    <row r="779" spans="13:19">
      <c r="M779" s="81">
        <f t="shared" ca="1" si="144"/>
        <v>6019.8113487866322</v>
      </c>
      <c r="N779" s="19">
        <f t="shared" si="146"/>
        <v>128.10324761866988</v>
      </c>
      <c r="O779" s="17">
        <f t="shared" si="142"/>
        <v>194.5</v>
      </c>
      <c r="P779" s="19">
        <f ca="1">IF(ISERROR(IF(O779&lt;fi_h/20,0,(OFFSET('Base de dados'!$A$5,IF(O779&lt;20,1,IF(O779&gt;1000,10,MATCH(O779,Cargas,1))),Coluna_fih,1,1))*(1+0.13*0.25)*(PI()*(fi_h/1000)^2/4)*SQRT(2*9.81*(O779/100-fi_h/2/1000))*1000)),"",IF(O779&lt;fi_h/20,0,(OFFSET('Base de dados'!$A$5,IF(O779&lt;20,1,IF(O779&gt;1000,10,MATCH(O779,Cargas,1))),Coluna_fih,1,1))*(PI()*(fi_h/1000)^2/4)*SQRT(2*9.81*(O779/100-fi_h/2/1000))*1000))</f>
        <v>36.985471036988322</v>
      </c>
      <c r="Q779" s="19">
        <f ca="1">IF(O779="","",IF(Tipo_Vertedor="Retangular",IF(O779&lt;=cota_s*100,0,IF(Tipo_Vertedor="Retangular",Cd_sr*Lef_sr*((O779/100-cota_s)^(3/2))*1000)),IF(O779&lt;=cota_s*100+fi_s/20,0,(OFFSET('Base de dados'!$A$4,IF(O779&lt;20,1,IF(O779&gt;1000,10,MATCH(O779,Cargas,1))),Coluna_fis,1,1))*(PI()*(fi_s/1000)^2/4)*(2*9.81*(O779/100-cota_s-fi_s/2/1000))^0.5*1000)))</f>
        <v>1712.7176237939814</v>
      </c>
      <c r="R779" s="19">
        <f t="shared" ca="1" si="143"/>
        <v>1749.7030948309698</v>
      </c>
      <c r="S779" s="19">
        <f t="shared" ca="1" si="145"/>
        <v>4270.1082539556628</v>
      </c>
    </row>
    <row r="780" spans="13:19">
      <c r="M780" s="81">
        <f t="shared" ca="1" si="144"/>
        <v>6030.7860740347314</v>
      </c>
      <c r="N780" s="19">
        <f t="shared" si="146"/>
        <v>128.2884316373148</v>
      </c>
      <c r="O780" s="17">
        <f t="shared" si="142"/>
        <v>194.75</v>
      </c>
      <c r="P780" s="19">
        <f ca="1">IF(ISERROR(IF(O780&lt;fi_h/20,0,(OFFSET('Base de dados'!$A$5,IF(O780&lt;20,1,IF(O780&gt;1000,10,MATCH(O780,Cargas,1))),Coluna_fih,1,1))*(1+0.13*0.25)*(PI()*(fi_h/1000)^2/4)*SQRT(2*9.81*(O780/100-fi_h/2/1000))*1000)),"",IF(O780&lt;fi_h/20,0,(OFFSET('Base de dados'!$A$5,IF(O780&lt;20,1,IF(O780&gt;1000,10,MATCH(O780,Cargas,1))),Coluna_fih,1,1))*(PI()*(fi_h/1000)^2/4)*SQRT(2*9.81*(O780/100-fi_h/2/1000))*1000))</f>
        <v>37.009942364572048</v>
      </c>
      <c r="Q780" s="19">
        <f ca="1">IF(O780="","",IF(Tipo_Vertedor="Retangular",IF(O780&lt;=cota_s*100,0,IF(Tipo_Vertedor="Retangular",Cd_sr*Lef_sr*((O780/100-cota_s)^(3/2))*1000)),IF(O780&lt;=cota_s*100+fi_s/20,0,(OFFSET('Base de dados'!$A$4,IF(O780&lt;20,1,IF(O780&gt;1000,10,MATCH(O780,Cargas,1))),Coluna_fis,1,1))*(PI()*(fi_s/1000)^2/4)*(2*9.81*(O780/100-cota_s-fi_s/2/1000))^0.5*1000)))</f>
        <v>1717.4950770929995</v>
      </c>
      <c r="R780" s="19">
        <f t="shared" ca="1" si="143"/>
        <v>1754.5050194575715</v>
      </c>
      <c r="S780" s="19">
        <f t="shared" ca="1" si="145"/>
        <v>4276.2810545771599</v>
      </c>
    </row>
    <row r="781" spans="13:19">
      <c r="M781" s="81">
        <f t="shared" ca="1" si="144"/>
        <v>6041.7662041535423</v>
      </c>
      <c r="N781" s="19">
        <f t="shared" si="146"/>
        <v>128.4736452721919</v>
      </c>
      <c r="O781" s="17">
        <f t="shared" si="142"/>
        <v>195</v>
      </c>
      <c r="P781" s="19">
        <f ca="1">IF(ISERROR(IF(O781&lt;fi_h/20,0,(OFFSET('Base de dados'!$A$5,IF(O781&lt;20,1,IF(O781&gt;1000,10,MATCH(O781,Cargas,1))),Coluna_fih,1,1))*(1+0.13*0.25)*(PI()*(fi_h/1000)^2/4)*SQRT(2*9.81*(O781/100-fi_h/2/1000))*1000)),"",IF(O781&lt;fi_h/20,0,(OFFSET('Base de dados'!$A$5,IF(O781&lt;20,1,IF(O781&gt;1000,10,MATCH(O781,Cargas,1))),Coluna_fih,1,1))*(PI()*(fi_h/1000)^2/4)*SQRT(2*9.81*(O781/100-fi_h/2/1000))*1000))</f>
        <v>37.034397522168327</v>
      </c>
      <c r="Q781" s="19">
        <f ca="1">IF(O781="","",IF(Tipo_Vertedor="Retangular",IF(O781&lt;=cota_s*100,0,IF(Tipo_Vertedor="Retangular",Cd_sr*Lef_sr*((O781/100-cota_s)^(3/2))*1000)),IF(O781&lt;=cota_s*100+fi_s/20,0,(OFFSET('Base de dados'!$A$4,IF(O781&lt;20,1,IF(O781&gt;1000,10,MATCH(O781,Cargas,1))),Coluna_fis,1,1))*(PI()*(fi_s/1000)^2/4)*(2*9.81*(O781/100-cota_s-fi_s/2/1000))^0.5*1000)))</f>
        <v>1722.2769642249766</v>
      </c>
      <c r="R781" s="19">
        <f t="shared" ca="1" si="143"/>
        <v>1759.3113617471449</v>
      </c>
      <c r="S781" s="19">
        <f t="shared" ca="1" si="145"/>
        <v>4282.4548424063969</v>
      </c>
    </row>
    <row r="782" spans="13:19">
      <c r="M782" s="81">
        <f t="shared" ca="1" si="144"/>
        <v>6052.7517339596943</v>
      </c>
      <c r="N782" s="19">
        <f t="shared" si="146"/>
        <v>128.65888849005901</v>
      </c>
      <c r="O782" s="17">
        <f t="shared" si="142"/>
        <v>195.25</v>
      </c>
      <c r="P782" s="19">
        <f ca="1">IF(ISERROR(IF(O782&lt;fi_h/20,0,(OFFSET('Base de dados'!$A$5,IF(O782&lt;20,1,IF(O782&gt;1000,10,MATCH(O782,Cargas,1))),Coluna_fih,1,1))*(1+0.13*0.25)*(PI()*(fi_h/1000)^2/4)*SQRT(2*9.81*(O782/100-fi_h/2/1000))*1000)),"",IF(O782&lt;fi_h/20,0,(OFFSET('Base de dados'!$A$5,IF(O782&lt;20,1,IF(O782&gt;1000,10,MATCH(O782,Cargas,1))),Coluna_fih,1,1))*(PI()*(fi_h/1000)^2/4)*SQRT(2*9.81*(O782/100-fi_h/2/1000))*1000))</f>
        <v>37.058836541788921</v>
      </c>
      <c r="Q782" s="19">
        <f ca="1">IF(O782="","",IF(Tipo_Vertedor="Retangular",IF(O782&lt;=cota_s*100,0,IF(Tipo_Vertedor="Retangular",Cd_sr*Lef_sr*((O782/100-cota_s)^(3/2))*1000)),IF(O782&lt;=cota_s*100+fi_s/20,0,(OFFSET('Base de dados'!$A$4,IF(O782&lt;20,1,IF(O782&gt;1000,10,MATCH(O782,Cargas,1))),Coluna_fis,1,1))*(PI()*(fi_s/1000)^2/4)*(2*9.81*(O782/100-cota_s-fi_s/2/1000))^0.5*1000)))</f>
        <v>1727.063281082605</v>
      </c>
      <c r="R782" s="19">
        <f t="shared" ca="1" si="143"/>
        <v>1764.1221176243939</v>
      </c>
      <c r="S782" s="19">
        <f t="shared" ca="1" si="145"/>
        <v>4288.6296163353009</v>
      </c>
    </row>
    <row r="783" spans="13:19">
      <c r="M783" s="81">
        <f t="shared" ca="1" si="144"/>
        <v>6063.7426582837725</v>
      </c>
      <c r="N783" s="19">
        <f t="shared" si="146"/>
        <v>128.84416125775383</v>
      </c>
      <c r="O783" s="17">
        <f t="shared" si="142"/>
        <v>195.5</v>
      </c>
      <c r="P783" s="19">
        <f ca="1">IF(ISERROR(IF(O783&lt;fi_h/20,0,(OFFSET('Base de dados'!$A$5,IF(O783&lt;20,1,IF(O783&gt;1000,10,MATCH(O783,Cargas,1))),Coluna_fih,1,1))*(1+0.13*0.25)*(PI()*(fi_h/1000)^2/4)*SQRT(2*9.81*(O783/100-fi_h/2/1000))*1000)),"",IF(O783&lt;fi_h/20,0,(OFFSET('Base de dados'!$A$5,IF(O783&lt;20,1,IF(O783&gt;1000,10,MATCH(O783,Cargas,1))),Coluna_fih,1,1))*(PI()*(fi_h/1000)^2/4)*SQRT(2*9.81*(O783/100-fi_h/2/1000))*1000))</f>
        <v>37.083259455340134</v>
      </c>
      <c r="Q783" s="19">
        <f ca="1">IF(O783="","",IF(Tipo_Vertedor="Retangular",IF(O783&lt;=cota_s*100,0,IF(Tipo_Vertedor="Retangular",Cd_sr*Lef_sr*((O783/100-cota_s)^(3/2))*1000)),IF(O783&lt;=cota_s*100+fi_s/20,0,(OFFSET('Base de dados'!$A$4,IF(O783&lt;20,1,IF(O783&gt;1000,10,MATCH(O783,Cargas,1))),Coluna_fis,1,1))*(PI()*(fi_s/1000)^2/4)*(2*9.81*(O783/100-cota_s-fi_s/2/1000))^0.5*1000)))</f>
        <v>1731.8540235699718</v>
      </c>
      <c r="R783" s="19">
        <f t="shared" ca="1" si="143"/>
        <v>1768.9372830253119</v>
      </c>
      <c r="S783" s="19">
        <f t="shared" ca="1" si="145"/>
        <v>4294.805375258461</v>
      </c>
    </row>
    <row r="784" spans="13:19">
      <c r="M784" s="81">
        <f t="shared" ca="1" si="144"/>
        <v>6074.7389719702442</v>
      </c>
      <c r="N784" s="19">
        <f t="shared" si="146"/>
        <v>129.0294635421935</v>
      </c>
      <c r="O784" s="17">
        <f t="shared" si="142"/>
        <v>195.75</v>
      </c>
      <c r="P784" s="19">
        <f ca="1">IF(ISERROR(IF(O784&lt;fi_h/20,0,(OFFSET('Base de dados'!$A$5,IF(O784&lt;20,1,IF(O784&gt;1000,10,MATCH(O784,Cargas,1))),Coluna_fih,1,1))*(1+0.13*0.25)*(PI()*(fi_h/1000)^2/4)*SQRT(2*9.81*(O784/100-fi_h/2/1000))*1000)),"",IF(O784&lt;fi_h/20,0,(OFFSET('Base de dados'!$A$5,IF(O784&lt;20,1,IF(O784&gt;1000,10,MATCH(O784,Cargas,1))),Coluna_fih,1,1))*(PI()*(fi_h/1000)^2/4)*SQRT(2*9.81*(O784/100-fi_h/2/1000))*1000))</f>
        <v>37.107666294623229</v>
      </c>
      <c r="Q784" s="19">
        <f ca="1">IF(O784="","",IF(Tipo_Vertedor="Retangular",IF(O784&lt;=cota_s*100,0,IF(Tipo_Vertedor="Retangular",Cd_sr*Lef_sr*((O784/100-cota_s)^(3/2))*1000)),IF(O784&lt;=cota_s*100+fi_s/20,0,(OFFSET('Base de dados'!$A$4,IF(O784&lt;20,1,IF(O784&gt;1000,10,MATCH(O784,Cargas,1))),Coluna_fis,1,1))*(PI()*(fi_s/1000)^2/4)*(2*9.81*(O784/100-cota_s-fi_s/2/1000))^0.5*1000)))</f>
        <v>1736.6491876025043</v>
      </c>
      <c r="R784" s="19">
        <f t="shared" ca="1" si="143"/>
        <v>1773.7568538971275</v>
      </c>
      <c r="S784" s="19">
        <f t="shared" ca="1" si="145"/>
        <v>4300.9821180731169</v>
      </c>
    </row>
    <row r="785" spans="13:19">
      <c r="M785" s="81">
        <f t="shared" ca="1" si="144"/>
        <v>6085.740669877403</v>
      </c>
      <c r="N785" s="19">
        <f t="shared" si="146"/>
        <v>129.21479531037451</v>
      </c>
      <c r="O785" s="17">
        <f t="shared" si="142"/>
        <v>196</v>
      </c>
      <c r="P785" s="19">
        <f ca="1">IF(ISERROR(IF(O785&lt;fi_h/20,0,(OFFSET('Base de dados'!$A$5,IF(O785&lt;20,1,IF(O785&gt;1000,10,MATCH(O785,Cargas,1))),Coluna_fih,1,1))*(1+0.13*0.25)*(PI()*(fi_h/1000)^2/4)*SQRT(2*9.81*(O785/100-fi_h/2/1000))*1000)),"",IF(O785&lt;fi_h/20,0,(OFFSET('Base de dados'!$A$5,IF(O785&lt;20,1,IF(O785&gt;1000,10,MATCH(O785,Cargas,1))),Coluna_fih,1,1))*(PI()*(fi_h/1000)^2/4)*SQRT(2*9.81*(O785/100-fi_h/2/1000))*1000))</f>
        <v>37.132057091334964</v>
      </c>
      <c r="Q785" s="19">
        <f ca="1">IF(O785="","",IF(Tipo_Vertedor="Retangular",IF(O785&lt;=cota_s*100,0,IF(Tipo_Vertedor="Retangular",Cd_sr*Lef_sr*((O785/100-cota_s)^(3/2))*1000)),IF(O785&lt;=cota_s*100+fi_s/20,0,(OFFSET('Base de dados'!$A$4,IF(O785&lt;20,1,IF(O785&gt;1000,10,MATCH(O785,Cargas,1))),Coluna_fis,1,1))*(PI()*(fi_s/1000)^2/4)*(2*9.81*(O785/100-cota_s-fi_s/2/1000))^0.5*1000)))</f>
        <v>1741.448769106918</v>
      </c>
      <c r="R785" s="19">
        <f t="shared" ca="1" si="143"/>
        <v>1778.5808261982529</v>
      </c>
      <c r="S785" s="19">
        <f t="shared" ca="1" si="145"/>
        <v>4307.1598436791501</v>
      </c>
    </row>
    <row r="786" spans="13:19">
      <c r="M786" s="81">
        <f t="shared" ca="1" si="144"/>
        <v>6096.7477468773086</v>
      </c>
      <c r="N786" s="19">
        <f t="shared" si="146"/>
        <v>129.40015652937223</v>
      </c>
      <c r="O786" s="17">
        <f t="shared" si="142"/>
        <v>196.25</v>
      </c>
      <c r="P786" s="19">
        <f ca="1">IF(ISERROR(IF(O786&lt;fi_h/20,0,(OFFSET('Base de dados'!$A$5,IF(O786&lt;20,1,IF(O786&gt;1000,10,MATCH(O786,Cargas,1))),Coluna_fih,1,1))*(1+0.13*0.25)*(PI()*(fi_h/1000)^2/4)*SQRT(2*9.81*(O786/100-fi_h/2/1000))*1000)),"",IF(O786&lt;fi_h/20,0,(OFFSET('Base de dados'!$A$5,IF(O786&lt;20,1,IF(O786&gt;1000,10,MATCH(O786,Cargas,1))),Coluna_fih,1,1))*(PI()*(fi_h/1000)^2/4)*SQRT(2*9.81*(O786/100-fi_h/2/1000))*1000))</f>
        <v>37.156431877068101</v>
      </c>
      <c r="Q786" s="19">
        <f ca="1">IF(O786="","",IF(Tipo_Vertedor="Retangular",IF(O786&lt;=cota_s*100,0,IF(Tipo_Vertedor="Retangular",Cd_sr*Lef_sr*((O786/100-cota_s)^(3/2))*1000)),IF(O786&lt;=cota_s*100+fi_s/20,0,(OFFSET('Base de dados'!$A$4,IF(O786&lt;20,1,IF(O786&gt;1000,10,MATCH(O786,Cargas,1))),Coluna_fis,1,1))*(PI()*(fi_s/1000)^2/4)*(2*9.81*(O786/100-cota_s-fi_s/2/1000))^0.5*1000)))</f>
        <v>1746.2527640211661</v>
      </c>
      <c r="R786" s="19">
        <f t="shared" ca="1" si="143"/>
        <v>1783.4091958982342</v>
      </c>
      <c r="S786" s="19">
        <f t="shared" ca="1" si="145"/>
        <v>4313.3385509790742</v>
      </c>
    </row>
    <row r="787" spans="13:19">
      <c r="M787" s="81">
        <f t="shared" ca="1" si="144"/>
        <v>6107.7601978557241</v>
      </c>
      <c r="N787" s="19">
        <f t="shared" si="146"/>
        <v>129.58554716634077</v>
      </c>
      <c r="O787" s="17">
        <f t="shared" ref="O787:O850" si="147">IF(ISERROR(IF(O786+passo_altura&gt;h_max_puls*100,"",O786+passo_altura)),"",IF(O786+passo_altura&gt;h_max_puls*100,"",O786+passo_altura))</f>
        <v>196.5</v>
      </c>
      <c r="P787" s="19">
        <f ca="1">IF(ISERROR(IF(O787&lt;fi_h/20,0,(OFFSET('Base de dados'!$A$5,IF(O787&lt;20,1,IF(O787&gt;1000,10,MATCH(O787,Cargas,1))),Coluna_fih,1,1))*(1+0.13*0.25)*(PI()*(fi_h/1000)^2/4)*SQRT(2*9.81*(O787/100-fi_h/2/1000))*1000)),"",IF(O787&lt;fi_h/20,0,(OFFSET('Base de dados'!$A$5,IF(O787&lt;20,1,IF(O787&gt;1000,10,MATCH(O787,Cargas,1))),Coluna_fih,1,1))*(PI()*(fi_h/1000)^2/4)*SQRT(2*9.81*(O787/100-fi_h/2/1000))*1000))</f>
        <v>37.180790683311798</v>
      </c>
      <c r="Q787" s="19">
        <f ca="1">IF(O787="","",IF(Tipo_Vertedor="Retangular",IF(O787&lt;=cota_s*100,0,IF(Tipo_Vertedor="Retangular",Cd_sr*Lef_sr*((O787/100-cota_s)^(3/2))*1000)),IF(O787&lt;=cota_s*100+fi_s/20,0,(OFFSET('Base de dados'!$A$4,IF(O787&lt;20,1,IF(O787&gt;1000,10,MATCH(O787,Cargas,1))),Coluna_fis,1,1))*(PI()*(fi_s/1000)^2/4)*(2*9.81*(O787/100-cota_s-fi_s/2/1000))^0.5*1000)))</f>
        <v>1751.0611682943866</v>
      </c>
      <c r="R787" s="19">
        <f t="shared" ref="R787:R850" ca="1" si="148">IF(O787="","",Q787+P787)</f>
        <v>1788.2419589776985</v>
      </c>
      <c r="S787" s="19">
        <f t="shared" ca="1" si="145"/>
        <v>4319.5182388780258</v>
      </c>
    </row>
    <row r="788" spans="13:19">
      <c r="M788" s="81">
        <f t="shared" ca="1" si="144"/>
        <v>6118.7780177120512</v>
      </c>
      <c r="N788" s="19">
        <f t="shared" si="146"/>
        <v>129.77096718851249</v>
      </c>
      <c r="O788" s="17">
        <f t="shared" si="147"/>
        <v>196.75</v>
      </c>
      <c r="P788" s="19">
        <f ca="1">IF(ISERROR(IF(O788&lt;fi_h/20,0,(OFFSET('Base de dados'!$A$5,IF(O788&lt;20,1,IF(O788&gt;1000,10,MATCH(O788,Cargas,1))),Coluna_fih,1,1))*(1+0.13*0.25)*(PI()*(fi_h/1000)^2/4)*SQRT(2*9.81*(O788/100-fi_h/2/1000))*1000)),"",IF(O788&lt;fi_h/20,0,(OFFSET('Base de dados'!$A$5,IF(O788&lt;20,1,IF(O788&gt;1000,10,MATCH(O788,Cargas,1))),Coluna_fih,1,1))*(PI()*(fi_h/1000)^2/4)*SQRT(2*9.81*(O788/100-fi_h/2/1000))*1000))</f>
        <v>37.205133541452163</v>
      </c>
      <c r="Q788" s="19">
        <f ca="1">IF(O788="","",IF(Tipo_Vertedor="Retangular",IF(O788&lt;=cota_s*100,0,IF(Tipo_Vertedor="Retangular",Cd_sr*Lef_sr*((O788/100-cota_s)^(3/2))*1000)),IF(O788&lt;=cota_s*100+fi_s/20,0,(OFFSET('Base de dados'!$A$4,IF(O788&lt;20,1,IF(O788&gt;1000,10,MATCH(O788,Cargas,1))),Coluna_fis,1,1))*(PI()*(fi_s/1000)^2/4)*(2*9.81*(O788/100-cota_s-fi_s/2/1000))^0.5*1000)))</f>
        <v>1755.8739778868498</v>
      </c>
      <c r="R788" s="19">
        <f t="shared" ca="1" si="148"/>
        <v>1793.079111428302</v>
      </c>
      <c r="S788" s="19">
        <f t="shared" ca="1" si="145"/>
        <v>4325.6989062837492</v>
      </c>
    </row>
    <row r="789" spans="13:19">
      <c r="M789" s="81">
        <f t="shared" ca="1" si="144"/>
        <v>6129.8012013592852</v>
      </c>
      <c r="N789" s="19">
        <f t="shared" si="146"/>
        <v>129.95641656319805</v>
      </c>
      <c r="O789" s="17">
        <f t="shared" si="147"/>
        <v>197</v>
      </c>
      <c r="P789" s="19">
        <f ca="1">IF(ISERROR(IF(O789&lt;fi_h/20,0,(OFFSET('Base de dados'!$A$5,IF(O789&lt;20,1,IF(O789&gt;1000,10,MATCH(O789,Cargas,1))),Coluna_fih,1,1))*(1+0.13*0.25)*(PI()*(fi_h/1000)^2/4)*SQRT(2*9.81*(O789/100-fi_h/2/1000))*1000)),"",IF(O789&lt;fi_h/20,0,(OFFSET('Base de dados'!$A$5,IF(O789&lt;20,1,IF(O789&gt;1000,10,MATCH(O789,Cargas,1))),Coluna_fih,1,1))*(PI()*(fi_h/1000)^2/4)*SQRT(2*9.81*(O789/100-fi_h/2/1000))*1000))</f>
        <v>37.229460482772659</v>
      </c>
      <c r="Q789" s="19">
        <f ca="1">IF(O789="","",IF(Tipo_Vertedor="Retangular",IF(O789&lt;=cota_s*100,0,IF(Tipo_Vertedor="Retangular",Cd_sr*Lef_sr*((O789/100-cota_s)^(3/2))*1000)),IF(O789&lt;=cota_s*100+fi_s/20,0,(OFFSET('Base de dados'!$A$4,IF(O789&lt;20,1,IF(O789&gt;1000,10,MATCH(O789,Cargas,1))),Coluna_fis,1,1))*(PI()*(fi_s/1000)^2/4)*(2*9.81*(O789/100-cota_s-fi_s/2/1000))^0.5*1000)))</f>
        <v>1760.6911887699107</v>
      </c>
      <c r="R789" s="19">
        <f t="shared" ca="1" si="148"/>
        <v>1797.9206492526835</v>
      </c>
      <c r="S789" s="19">
        <f t="shared" ca="1" si="145"/>
        <v>4331.8805521066015</v>
      </c>
    </row>
    <row r="790" spans="13:19">
      <c r="M790" s="81">
        <f t="shared" ca="1" si="144"/>
        <v>6140.8297437239344</v>
      </c>
      <c r="N790" s="19">
        <f t="shared" si="146"/>
        <v>130.14189525778571</v>
      </c>
      <c r="O790" s="17">
        <f t="shared" si="147"/>
        <v>197.25</v>
      </c>
      <c r="P790" s="19">
        <f ca="1">IF(ISERROR(IF(O790&lt;fi_h/20,0,(OFFSET('Base de dados'!$A$5,IF(O790&lt;20,1,IF(O790&gt;1000,10,MATCH(O790,Cargas,1))),Coluna_fih,1,1))*(1+0.13*0.25)*(PI()*(fi_h/1000)^2/4)*SQRT(2*9.81*(O790/100-fi_h/2/1000))*1000)),"",IF(O790&lt;fi_h/20,0,(OFFSET('Base de dados'!$A$5,IF(O790&lt;20,1,IF(O790&gt;1000,10,MATCH(O790,Cargas,1))),Coluna_fih,1,1))*(PI()*(fi_h/1000)^2/4)*SQRT(2*9.81*(O790/100-fi_h/2/1000))*1000))</f>
        <v>37.253771538454657</v>
      </c>
      <c r="Q790" s="19">
        <f ca="1">IF(O790="","",IF(Tipo_Vertedor="Retangular",IF(O790&lt;=cota_s*100,0,IF(Tipo_Vertedor="Retangular",Cd_sr*Lef_sr*((O790/100-cota_s)^(3/2))*1000)),IF(O790&lt;=cota_s*100+fi_s/20,0,(OFFSET('Base de dados'!$A$4,IF(O790&lt;20,1,IF(O790&gt;1000,10,MATCH(O790,Cargas,1))),Coluna_fis,1,1))*(PI()*(fi_s/1000)^2/4)*(2*9.81*(O790/100-cota_s-fi_s/2/1000))^0.5*1000)))</f>
        <v>1765.5127969259565</v>
      </c>
      <c r="R790" s="19">
        <f t="shared" ca="1" si="148"/>
        <v>1802.7665684644112</v>
      </c>
      <c r="S790" s="19">
        <f t="shared" ca="1" si="145"/>
        <v>4338.0631752595236</v>
      </c>
    </row>
    <row r="791" spans="13:19">
      <c r="M791" s="81">
        <f t="shared" ca="1" si="144"/>
        <v>6151.8636397459777</v>
      </c>
      <c r="N791" s="19">
        <f t="shared" si="146"/>
        <v>130.32740323974133</v>
      </c>
      <c r="O791" s="17">
        <f t="shared" si="147"/>
        <v>197.5</v>
      </c>
      <c r="P791" s="19">
        <f ca="1">IF(ISERROR(IF(O791&lt;fi_h/20,0,(OFFSET('Base de dados'!$A$5,IF(O791&lt;20,1,IF(O791&gt;1000,10,MATCH(O791,Cargas,1))),Coluna_fih,1,1))*(1+0.13*0.25)*(PI()*(fi_h/1000)^2/4)*SQRT(2*9.81*(O791/100-fi_h/2/1000))*1000)),"",IF(O791&lt;fi_h/20,0,(OFFSET('Base de dados'!$A$5,IF(O791&lt;20,1,IF(O791&gt;1000,10,MATCH(O791,Cargas,1))),Coluna_fih,1,1))*(PI()*(fi_h/1000)^2/4)*SQRT(2*9.81*(O791/100-fi_h/2/1000))*1000))</f>
        <v>37.27806673957781</v>
      </c>
      <c r="Q791" s="19">
        <f ca="1">IF(O791="","",IF(Tipo_Vertedor="Retangular",IF(O791&lt;=cota_s*100,0,IF(Tipo_Vertedor="Retangular",Cd_sr*Lef_sr*((O791/100-cota_s)^(3/2))*1000)),IF(O791&lt;=cota_s*100+fi_s/20,0,(OFFSET('Base de dados'!$A$4,IF(O791&lt;20,1,IF(O791&gt;1000,10,MATCH(O791,Cargas,1))),Coluna_fis,1,1))*(PI()*(fi_s/1000)^2/4)*(2*9.81*(O791/100-cota_s-fi_s/2/1000))^0.5*1000)))</f>
        <v>1770.3387983483558</v>
      </c>
      <c r="R791" s="19">
        <f t="shared" ca="1" si="148"/>
        <v>1807.6168650879335</v>
      </c>
      <c r="S791" s="19">
        <f t="shared" ca="1" si="145"/>
        <v>4344.2467746580442</v>
      </c>
    </row>
    <row r="792" spans="13:19">
      <c r="M792" s="81">
        <f t="shared" ca="1" si="144"/>
        <v>6162.9028843787992</v>
      </c>
      <c r="N792" s="19">
        <f t="shared" si="146"/>
        <v>130.51294047660804</v>
      </c>
      <c r="O792" s="17">
        <f t="shared" si="147"/>
        <v>197.75</v>
      </c>
      <c r="P792" s="19">
        <f ca="1">IF(ISERROR(IF(O792&lt;fi_h/20,0,(OFFSET('Base de dados'!$A$5,IF(O792&lt;20,1,IF(O792&gt;1000,10,MATCH(O792,Cargas,1))),Coluna_fih,1,1))*(1+0.13*0.25)*(PI()*(fi_h/1000)^2/4)*SQRT(2*9.81*(O792/100-fi_h/2/1000))*1000)),"",IF(O792&lt;fi_h/20,0,(OFFSET('Base de dados'!$A$5,IF(O792&lt;20,1,IF(O792&gt;1000,10,MATCH(O792,Cargas,1))),Coluna_fih,1,1))*(PI()*(fi_h/1000)^2/4)*SQRT(2*9.81*(O792/100-fi_h/2/1000))*1000))</f>
        <v>37.302346117120578</v>
      </c>
      <c r="Q792" s="19">
        <f ca="1">IF(O792="","",IF(Tipo_Vertedor="Retangular",IF(O792&lt;=cota_s*100,0,IF(Tipo_Vertedor="Retangular",Cd_sr*Lef_sr*((O792/100-cota_s)^(3/2))*1000)),IF(O792&lt;=cota_s*100+fi_s/20,0,(OFFSET('Base de dados'!$A$4,IF(O792&lt;20,1,IF(O792&gt;1000,10,MATCH(O792,Cargas,1))),Coluna_fis,1,1))*(PI()*(fi_s/1000)^2/4)*(2*9.81*(O792/100-cota_s-fi_s/2/1000))^0.5*1000)))</f>
        <v>1775.1691890414102</v>
      </c>
      <c r="R792" s="19">
        <f t="shared" ca="1" si="148"/>
        <v>1812.4715351585307</v>
      </c>
      <c r="S792" s="19">
        <f t="shared" ca="1" si="145"/>
        <v>4350.4313492202682</v>
      </c>
    </row>
    <row r="793" spans="13:19">
      <c r="M793" s="81">
        <f t="shared" ca="1" si="144"/>
        <v>6173.9474725891268</v>
      </c>
      <c r="N793" s="19">
        <f t="shared" si="146"/>
        <v>130.69850693600588</v>
      </c>
      <c r="O793" s="17">
        <f t="shared" si="147"/>
        <v>198</v>
      </c>
      <c r="P793" s="19">
        <f ca="1">IF(ISERROR(IF(O793&lt;fi_h/20,0,(OFFSET('Base de dados'!$A$5,IF(O793&lt;20,1,IF(O793&gt;1000,10,MATCH(O793,Cargas,1))),Coluna_fih,1,1))*(1+0.13*0.25)*(PI()*(fi_h/1000)^2/4)*SQRT(2*9.81*(O793/100-fi_h/2/1000))*1000)),"",IF(O793&lt;fi_h/20,0,(OFFSET('Base de dados'!$A$5,IF(O793&lt;20,1,IF(O793&gt;1000,10,MATCH(O793,Cargas,1))),Coluna_fih,1,1))*(PI()*(fi_h/1000)^2/4)*SQRT(2*9.81*(O793/100-fi_h/2/1000))*1000))</f>
        <v>37.326609701960663</v>
      </c>
      <c r="Q793" s="19">
        <f ca="1">IF(O793="","",IF(Tipo_Vertedor="Retangular",IF(O793&lt;=cota_s*100,0,IF(Tipo_Vertedor="Retangular",Cd_sr*Lef_sr*((O793/100-cota_s)^(3/2))*1000)),IF(O793&lt;=cota_s*100+fi_s/20,0,(OFFSET('Base de dados'!$A$4,IF(O793&lt;20,1,IF(O793&gt;1000,10,MATCH(O793,Cargas,1))),Coluna_fis,1,1))*(PI()*(fi_s/1000)^2/4)*(2*9.81*(O793/100-cota_s-fi_s/2/1000))^0.5*1000)))</f>
        <v>1780.0039650203028</v>
      </c>
      <c r="R793" s="19">
        <f t="shared" ca="1" si="148"/>
        <v>1817.3305747222635</v>
      </c>
      <c r="S793" s="19">
        <f t="shared" ca="1" si="145"/>
        <v>4356.6168978668629</v>
      </c>
    </row>
    <row r="794" spans="13:19">
      <c r="M794" s="81">
        <f t="shared" ca="1" si="144"/>
        <v>6184.997399356982</v>
      </c>
      <c r="N794" s="19">
        <f t="shared" si="146"/>
        <v>130.88410258563167</v>
      </c>
      <c r="O794" s="17">
        <f t="shared" si="147"/>
        <v>198.25</v>
      </c>
      <c r="P794" s="19">
        <f ca="1">IF(ISERROR(IF(O794&lt;fi_h/20,0,(OFFSET('Base de dados'!$A$5,IF(O794&lt;20,1,IF(O794&gt;1000,10,MATCH(O794,Cargas,1))),Coluna_fih,1,1))*(1+0.13*0.25)*(PI()*(fi_h/1000)^2/4)*SQRT(2*9.81*(O794/100-fi_h/2/1000))*1000)),"",IF(O794&lt;fi_h/20,0,(OFFSET('Base de dados'!$A$5,IF(O794&lt;20,1,IF(O794&gt;1000,10,MATCH(O794,Cargas,1))),Coluna_fih,1,1))*(PI()*(fi_h/1000)^2/4)*SQRT(2*9.81*(O794/100-fi_h/2/1000))*1000))</f>
        <v>37.350857524875465</v>
      </c>
      <c r="Q794" s="19">
        <f ca="1">IF(O794="","",IF(Tipo_Vertedor="Retangular",IF(O794&lt;=cota_s*100,0,IF(Tipo_Vertedor="Retangular",Cd_sr*Lef_sr*((O794/100-cota_s)^(3/2))*1000)),IF(O794&lt;=cota_s*100+fi_s/20,0,(OFFSET('Base de dados'!$A$4,IF(O794&lt;20,1,IF(O794&gt;1000,10,MATCH(O794,Cargas,1))),Coluna_fis,1,1))*(PI()*(fi_s/1000)^2/4)*(2*9.81*(O794/100-cota_s-fi_s/2/1000))^0.5*1000)))</f>
        <v>1784.8431223110513</v>
      </c>
      <c r="R794" s="19">
        <f t="shared" ca="1" si="148"/>
        <v>1822.1939798359267</v>
      </c>
      <c r="S794" s="19">
        <f t="shared" ca="1" si="145"/>
        <v>4362.8034195210557</v>
      </c>
    </row>
    <row r="795" spans="13:19">
      <c r="M795" s="81">
        <f t="shared" ca="1" si="144"/>
        <v>6196.0526596756154</v>
      </c>
      <c r="N795" s="19">
        <f t="shared" si="146"/>
        <v>131.06972739325849</v>
      </c>
      <c r="O795" s="17">
        <f t="shared" si="147"/>
        <v>198.5</v>
      </c>
      <c r="P795" s="19">
        <f ca="1">IF(ISERROR(IF(O795&lt;fi_h/20,0,(OFFSET('Base de dados'!$A$5,IF(O795&lt;20,1,IF(O795&gt;1000,10,MATCH(O795,Cargas,1))),Coluna_fih,1,1))*(1+0.13*0.25)*(PI()*(fi_h/1000)^2/4)*SQRT(2*9.81*(O795/100-fi_h/2/1000))*1000)),"",IF(O795&lt;fi_h/20,0,(OFFSET('Base de dados'!$A$5,IF(O795&lt;20,1,IF(O795&gt;1000,10,MATCH(O795,Cargas,1))),Coluna_fih,1,1))*(PI()*(fi_h/1000)^2/4)*SQRT(2*9.81*(O795/100-fi_h/2/1000))*1000))</f>
        <v>37.375089616542581</v>
      </c>
      <c r="Q795" s="19">
        <f ca="1">IF(O795="","",IF(Tipo_Vertedor="Retangular",IF(O795&lt;=cota_s*100,0,IF(Tipo_Vertedor="Retangular",Cd_sr*Lef_sr*((O795/100-cota_s)^(3/2))*1000)),IF(O795&lt;=cota_s*100+fi_s/20,0,(OFFSET('Base de dados'!$A$4,IF(O795&lt;20,1,IF(O795&gt;1000,10,MATCH(O795,Cargas,1))),Coluna_fis,1,1))*(PI()*(fi_s/1000)^2/4)*(2*9.81*(O795/100-cota_s-fi_s/2/1000))^0.5*1000)))</f>
        <v>1789.6866569504568</v>
      </c>
      <c r="R795" s="19">
        <f t="shared" ca="1" si="148"/>
        <v>1827.0617465669993</v>
      </c>
      <c r="S795" s="19">
        <f t="shared" ca="1" si="145"/>
        <v>4368.990913108616</v>
      </c>
    </row>
    <row r="796" spans="13:19">
      <c r="M796" s="81">
        <f t="shared" ca="1" si="144"/>
        <v>6207.1132485514499</v>
      </c>
      <c r="N796" s="19">
        <f t="shared" si="146"/>
        <v>131.25538132673563</v>
      </c>
      <c r="O796" s="17">
        <f t="shared" si="147"/>
        <v>198.75</v>
      </c>
      <c r="P796" s="19">
        <f ca="1">IF(ISERROR(IF(O796&lt;fi_h/20,0,(OFFSET('Base de dados'!$A$5,IF(O796&lt;20,1,IF(O796&gt;1000,10,MATCH(O796,Cargas,1))),Coluna_fih,1,1))*(1+0.13*0.25)*(PI()*(fi_h/1000)^2/4)*SQRT(2*9.81*(O796/100-fi_h/2/1000))*1000)),"",IF(O796&lt;fi_h/20,0,(OFFSET('Base de dados'!$A$5,IF(O796&lt;20,1,IF(O796&gt;1000,10,MATCH(O796,Cargas,1))),Coluna_fih,1,1))*(PI()*(fi_h/1000)^2/4)*SQRT(2*9.81*(O796/100-fi_h/2/1000))*1000))</f>
        <v>37.399306007540197</v>
      </c>
      <c r="Q796" s="19">
        <f ca="1">IF(O796="","",IF(Tipo_Vertedor="Retangular",IF(O796&lt;=cota_s*100,0,IF(Tipo_Vertedor="Retangular",Cd_sr*Lef_sr*((O796/100-cota_s)^(3/2))*1000)),IF(O796&lt;=cota_s*100+fi_s/20,0,(OFFSET('Base de dados'!$A$4,IF(O796&lt;20,1,IF(O796&gt;1000,10,MATCH(O796,Cargas,1))),Coluna_fis,1,1))*(PI()*(fi_s/1000)^2/4)*(2*9.81*(O796/100-cota_s-fi_s/2/1000))^0.5*1000)))</f>
        <v>1794.5345649860549</v>
      </c>
      <c r="R796" s="19">
        <f t="shared" ca="1" si="148"/>
        <v>1831.9338709935951</v>
      </c>
      <c r="S796" s="19">
        <f t="shared" ca="1" si="145"/>
        <v>4375.1793775578544</v>
      </c>
    </row>
    <row r="797" spans="13:19">
      <c r="M797" s="81">
        <f t="shared" ca="1" si="144"/>
        <v>6218.1791610040245</v>
      </c>
      <c r="N797" s="19">
        <f t="shared" si="146"/>
        <v>131.44106435398822</v>
      </c>
      <c r="O797" s="17">
        <f t="shared" si="147"/>
        <v>199</v>
      </c>
      <c r="P797" s="19">
        <f ca="1">IF(ISERROR(IF(O797&lt;fi_h/20,0,(OFFSET('Base de dados'!$A$5,IF(O797&lt;20,1,IF(O797&gt;1000,10,MATCH(O797,Cargas,1))),Coluna_fih,1,1))*(1+0.13*0.25)*(PI()*(fi_h/1000)^2/4)*SQRT(2*9.81*(O797/100-fi_h/2/1000))*1000)),"",IF(O797&lt;fi_h/20,0,(OFFSET('Base de dados'!$A$5,IF(O797&lt;20,1,IF(O797&gt;1000,10,MATCH(O797,Cargas,1))),Coluna_fih,1,1))*(PI()*(fi_h/1000)^2/4)*SQRT(2*9.81*(O797/100-fi_h/2/1000))*1000))</f>
        <v>37.423506728347562</v>
      </c>
      <c r="Q797" s="19">
        <f ca="1">IF(O797="","",IF(Tipo_Vertedor="Retangular",IF(O797&lt;=cota_s*100,0,IF(Tipo_Vertedor="Retangular",Cd_sr*Lef_sr*((O797/100-cota_s)^(3/2))*1000)),IF(O797&lt;=cota_s*100+fi_s/20,0,(OFFSET('Base de dados'!$A$4,IF(O797&lt;20,1,IF(O797&gt;1000,10,MATCH(O797,Cargas,1))),Coluna_fis,1,1))*(PI()*(fi_s/1000)^2/4)*(2*9.81*(O797/100-cota_s-fi_s/2/1000))^0.5*1000)))</f>
        <v>1799.3868424760701</v>
      </c>
      <c r="R797" s="19">
        <f t="shared" ca="1" si="148"/>
        <v>1836.8103492044177</v>
      </c>
      <c r="S797" s="19">
        <f t="shared" ca="1" si="145"/>
        <v>4381.3688117996071</v>
      </c>
    </row>
    <row r="798" spans="13:19">
      <c r="M798" s="81">
        <f t="shared" ca="1" si="144"/>
        <v>6229.2503920659419</v>
      </c>
      <c r="N798" s="19">
        <f t="shared" si="146"/>
        <v>131.62677644301695</v>
      </c>
      <c r="O798" s="17">
        <f t="shared" si="147"/>
        <v>199.25</v>
      </c>
      <c r="P798" s="19">
        <f ca="1">IF(ISERROR(IF(O798&lt;fi_h/20,0,(OFFSET('Base de dados'!$A$5,IF(O798&lt;20,1,IF(O798&gt;1000,10,MATCH(O798,Cargas,1))),Coluna_fih,1,1))*(1+0.13*0.25)*(PI()*(fi_h/1000)^2/4)*SQRT(2*9.81*(O798/100-fi_h/2/1000))*1000)),"",IF(O798&lt;fi_h/20,0,(OFFSET('Base de dados'!$A$5,IF(O798&lt;20,1,IF(O798&gt;1000,10,MATCH(O798,Cargas,1))),Coluna_fih,1,1))*(PI()*(fi_h/1000)^2/4)*SQRT(2*9.81*(O798/100-fi_h/2/1000))*1000))</f>
        <v>37.44769180934545</v>
      </c>
      <c r="Q798" s="19">
        <f ca="1">IF(O798="","",IF(Tipo_Vertedor="Retangular",IF(O798&lt;=cota_s*100,0,IF(Tipo_Vertedor="Retangular",Cd_sr*Lef_sr*((O798/100-cota_s)^(3/2))*1000)),IF(O798&lt;=cota_s*100+fi_s/20,0,(OFFSET('Base de dados'!$A$4,IF(O798&lt;20,1,IF(O798&gt;1000,10,MATCH(O798,Cargas,1))),Coluna_fis,1,1))*(PI()*(fi_s/1000)^2/4)*(2*9.81*(O798/100-cota_s-fi_s/2/1000))^0.5*1000)))</f>
        <v>1804.2434854893654</v>
      </c>
      <c r="R798" s="19">
        <f t="shared" ca="1" si="148"/>
        <v>1841.691177298711</v>
      </c>
      <c r="S798" s="19">
        <f t="shared" ca="1" si="145"/>
        <v>4387.5592147672314</v>
      </c>
    </row>
    <row r="799" spans="13:19">
      <c r="M799" s="81">
        <f t="shared" ca="1" si="144"/>
        <v>6240.326936782807</v>
      </c>
      <c r="N799" s="19">
        <f t="shared" si="146"/>
        <v>131.81251756189786</v>
      </c>
      <c r="O799" s="17">
        <f t="shared" si="147"/>
        <v>199.5</v>
      </c>
      <c r="P799" s="19">
        <f ca="1">IF(ISERROR(IF(O799&lt;fi_h/20,0,(OFFSET('Base de dados'!$A$5,IF(O799&lt;20,1,IF(O799&gt;1000,10,MATCH(O799,Cargas,1))),Coluna_fih,1,1))*(1+0.13*0.25)*(PI()*(fi_h/1000)^2/4)*SQRT(2*9.81*(O799/100-fi_h/2/1000))*1000)),"",IF(O799&lt;fi_h/20,0,(OFFSET('Base de dados'!$A$5,IF(O799&lt;20,1,IF(O799&gt;1000,10,MATCH(O799,Cargas,1))),Coluna_fih,1,1))*(PI()*(fi_h/1000)^2/4)*SQRT(2*9.81*(O799/100-fi_h/2/1000))*1000))</f>
        <v>37.47186128081659</v>
      </c>
      <c r="Q799" s="19">
        <f ca="1">IF(O799="","",IF(Tipo_Vertedor="Retangular",IF(O799&lt;=cota_s*100,0,IF(Tipo_Vertedor="Retangular",Cd_sr*Lef_sr*((O799/100-cota_s)^(3/2))*1000)),IF(O799&lt;=cota_s*100+fi_s/20,0,(OFFSET('Base de dados'!$A$4,IF(O799&lt;20,1,IF(O799&gt;1000,10,MATCH(O799,Cargas,1))),Coluna_fis,1,1))*(PI()*(fi_s/1000)^2/4)*(2*9.81*(O799/100-cota_s-fi_s/2/1000))^0.5*1000)))</f>
        <v>1809.1044901053947</v>
      </c>
      <c r="R799" s="19">
        <f t="shared" ca="1" si="148"/>
        <v>1846.5763513862112</v>
      </c>
      <c r="S799" s="19">
        <f t="shared" ca="1" si="145"/>
        <v>4393.7505853965959</v>
      </c>
    </row>
    <row r="800" spans="13:19">
      <c r="M800" s="81">
        <f t="shared" ca="1" si="144"/>
        <v>6251.4087902131678</v>
      </c>
      <c r="N800" s="19">
        <f t="shared" si="146"/>
        <v>131.99828767878196</v>
      </c>
      <c r="O800" s="17">
        <f t="shared" si="147"/>
        <v>199.75</v>
      </c>
      <c r="P800" s="19">
        <f ca="1">IF(ISERROR(IF(O800&lt;fi_h/20,0,(OFFSET('Base de dados'!$A$5,IF(O800&lt;20,1,IF(O800&gt;1000,10,MATCH(O800,Cargas,1))),Coluna_fih,1,1))*(1+0.13*0.25)*(PI()*(fi_h/1000)^2/4)*SQRT(2*9.81*(O800/100-fi_h/2/1000))*1000)),"",IF(O800&lt;fi_h/20,0,(OFFSET('Base de dados'!$A$5,IF(O800&lt;20,1,IF(O800&gt;1000,10,MATCH(O800,Cargas,1))),Coluna_fih,1,1))*(PI()*(fi_h/1000)^2/4)*SQRT(2*9.81*(O800/100-fi_h/2/1000))*1000))</f>
        <v>37.496015172946102</v>
      </c>
      <c r="Q800" s="19">
        <f ca="1">IF(O800="","",IF(Tipo_Vertedor="Retangular",IF(O800&lt;=cota_s*100,0,IF(Tipo_Vertedor="Retangular",Cd_sr*Lef_sr*((O800/100-cota_s)^(3/2))*1000)),IF(O800&lt;=cota_s*100+fi_s/20,0,(OFFSET('Base de dados'!$A$4,IF(O800&lt;20,1,IF(O800&gt;1000,10,MATCH(O800,Cargas,1))),Coluna_fis,1,1))*(PI()*(fi_s/1000)^2/4)*(2*9.81*(O800/100-cota_s-fi_s/2/1000))^0.5*1000)))</f>
        <v>1813.9698524141565</v>
      </c>
      <c r="R800" s="19">
        <f t="shared" ca="1" si="148"/>
        <v>1851.4658675871026</v>
      </c>
      <c r="S800" s="19">
        <f t="shared" ca="1" si="145"/>
        <v>4399.9429226260654</v>
      </c>
    </row>
    <row r="801" spans="13:19">
      <c r="M801" s="81">
        <f t="shared" ca="1" si="144"/>
        <v>6262.4959474284697</v>
      </c>
      <c r="N801" s="19">
        <f t="shared" si="146"/>
        <v>132.18408676189503</v>
      </c>
      <c r="O801" s="17">
        <f t="shared" si="147"/>
        <v>200</v>
      </c>
      <c r="P801" s="19">
        <f ca="1">IF(ISERROR(IF(O801&lt;fi_h/20,0,(OFFSET('Base de dados'!$A$5,IF(O801&lt;20,1,IF(O801&gt;1000,10,MATCH(O801,Cargas,1))),Coluna_fih,1,1))*(1+0.13*0.25)*(PI()*(fi_h/1000)^2/4)*SQRT(2*9.81*(O801/100-fi_h/2/1000))*1000)),"",IF(O801&lt;fi_h/20,0,(OFFSET('Base de dados'!$A$5,IF(O801&lt;20,1,IF(O801&gt;1000,10,MATCH(O801,Cargas,1))),Coluna_fih,1,1))*(PI()*(fi_h/1000)^2/4)*SQRT(2*9.81*(O801/100-fi_h/2/1000))*1000))</f>
        <v>37.520153515821953</v>
      </c>
      <c r="Q801" s="19">
        <f ca="1">IF(O801="","",IF(Tipo_Vertedor="Retangular",IF(O801&lt;=cota_s*100,0,IF(Tipo_Vertedor="Retangular",Cd_sr*Lef_sr*((O801/100-cota_s)^(3/2))*1000)),IF(O801&lt;=cota_s*100+fi_s/20,0,(OFFSET('Base de dados'!$A$4,IF(O801&lt;20,1,IF(O801&gt;1000,10,MATCH(O801,Cargas,1))),Coluna_fis,1,1))*(PI()*(fi_s/1000)^2/4)*(2*9.81*(O801/100-cota_s-fi_s/2/1000))^0.5*1000)))</f>
        <v>1818.8395685161461</v>
      </c>
      <c r="R801" s="19">
        <f t="shared" ca="1" si="148"/>
        <v>1856.359722031968</v>
      </c>
      <c r="S801" s="19">
        <f t="shared" ca="1" si="145"/>
        <v>4406.1362253965017</v>
      </c>
    </row>
    <row r="802" spans="13:19">
      <c r="M802" s="81">
        <f t="shared" ca="1" si="144"/>
        <v>6273.5884035129893</v>
      </c>
      <c r="N802" s="19">
        <f t="shared" si="146"/>
        <v>132.3699147795374</v>
      </c>
      <c r="O802" s="17">
        <f t="shared" si="147"/>
        <v>200.25</v>
      </c>
      <c r="P802" s="19">
        <f ca="1">IF(ISERROR(IF(O802&lt;fi_h/20,0,(OFFSET('Base de dados'!$A$5,IF(O802&lt;20,1,IF(O802&gt;1000,10,MATCH(O802,Cargas,1))),Coluna_fih,1,1))*(1+0.13*0.25)*(PI()*(fi_h/1000)^2/4)*SQRT(2*9.81*(O802/100-fi_h/2/1000))*1000)),"",IF(O802&lt;fi_h/20,0,(OFFSET('Base de dados'!$A$5,IF(O802&lt;20,1,IF(O802&gt;1000,10,MATCH(O802,Cargas,1))),Coluna_fih,1,1))*(PI()*(fi_h/1000)^2/4)*SQRT(2*9.81*(O802/100-fi_h/2/1000))*1000))</f>
        <v>37.544276339435413</v>
      </c>
      <c r="Q802" s="19">
        <f ca="1">IF(O802="","",IF(Tipo_Vertedor="Retangular",IF(O802&lt;=cota_s*100,0,IF(Tipo_Vertedor="Retangular",Cd_sr*Lef_sr*((O802/100-cota_s)^(3/2))*1000)),IF(O802&lt;=cota_s*100+fi_s/20,0,(OFFSET('Base de dados'!$A$4,IF(O802&lt;20,1,IF(O802&gt;1000,10,MATCH(O802,Cargas,1))),Coluna_fis,1,1))*(PI()*(fi_s/1000)^2/4)*(2*9.81*(O802/100-cota_s-fi_s/2/1000))^0.5*1000)))</f>
        <v>1823.7136345223071</v>
      </c>
      <c r="R802" s="19">
        <f t="shared" ca="1" si="148"/>
        <v>1861.2579108617424</v>
      </c>
      <c r="S802" s="19">
        <f t="shared" ca="1" si="145"/>
        <v>4412.3304926512465</v>
      </c>
    </row>
    <row r="803" spans="13:19">
      <c r="M803" s="81">
        <f t="shared" ca="1" si="144"/>
        <v>6284.6861535637881</v>
      </c>
      <c r="N803" s="19">
        <f t="shared" si="146"/>
        <v>132.5557717000836</v>
      </c>
      <c r="O803" s="17">
        <f t="shared" si="147"/>
        <v>200.5</v>
      </c>
      <c r="P803" s="19">
        <f ca="1">IF(ISERROR(IF(O803&lt;fi_h/20,0,(OFFSET('Base de dados'!$A$5,IF(O803&lt;20,1,IF(O803&gt;1000,10,MATCH(O803,Cargas,1))),Coluna_fih,1,1))*(1+0.13*0.25)*(PI()*(fi_h/1000)^2/4)*SQRT(2*9.81*(O803/100-fi_h/2/1000))*1000)),"",IF(O803&lt;fi_h/20,0,(OFFSET('Base de dados'!$A$5,IF(O803&lt;20,1,IF(O803&gt;1000,10,MATCH(O803,Cargas,1))),Coluna_fih,1,1))*(PI()*(fi_h/1000)^2/4)*SQRT(2*9.81*(O803/100-fi_h/2/1000))*1000))</f>
        <v>37.568383673681417</v>
      </c>
      <c r="Q803" s="19">
        <f ca="1">IF(O803="","",IF(Tipo_Vertedor="Retangular",IF(O803&lt;=cota_s*100,0,IF(Tipo_Vertedor="Retangular",Cd_sr*Lef_sr*((O803/100-cota_s)^(3/2))*1000)),IF(O803&lt;=cota_s*100+fi_s/20,0,(OFFSET('Base de dados'!$A$4,IF(O803&lt;20,1,IF(O803&gt;1000,10,MATCH(O803,Cargas,1))),Coluna_fis,1,1))*(PI()*(fi_s/1000)^2/4)*(2*9.81*(O803/100-cota_s-fi_s/2/1000))^0.5*1000)))</f>
        <v>1828.5920465539871</v>
      </c>
      <c r="R803" s="19">
        <f t="shared" ca="1" si="148"/>
        <v>1866.1604302276685</v>
      </c>
      <c r="S803" s="19">
        <f t="shared" ca="1" si="145"/>
        <v>4418.5257233361199</v>
      </c>
    </row>
    <row r="804" spans="13:19">
      <c r="M804" s="81">
        <f t="shared" ca="1" si="144"/>
        <v>6295.7891926906532</v>
      </c>
      <c r="N804" s="19">
        <f t="shared" si="146"/>
        <v>132.74165749198207</v>
      </c>
      <c r="O804" s="17">
        <f t="shared" si="147"/>
        <v>200.75</v>
      </c>
      <c r="P804" s="19">
        <f ca="1">IF(ISERROR(IF(O804&lt;fi_h/20,0,(OFFSET('Base de dados'!$A$5,IF(O804&lt;20,1,IF(O804&gt;1000,10,MATCH(O804,Cargas,1))),Coluna_fih,1,1))*(1+0.13*0.25)*(PI()*(fi_h/1000)^2/4)*SQRT(2*9.81*(O804/100-fi_h/2/1000))*1000)),"",IF(O804&lt;fi_h/20,0,(OFFSET('Base de dados'!$A$5,IF(O804&lt;20,1,IF(O804&gt;1000,10,MATCH(O804,Cargas,1))),Coluna_fih,1,1))*(PI()*(fi_h/1000)^2/4)*SQRT(2*9.81*(O804/100-fi_h/2/1000))*1000))</f>
        <v>37.59247554835909</v>
      </c>
      <c r="Q804" s="19">
        <f ca="1">IF(O804="","",IF(Tipo_Vertedor="Retangular",IF(O804&lt;=cota_s*100,0,IF(Tipo_Vertedor="Retangular",Cd_sr*Lef_sr*((O804/100-cota_s)^(3/2))*1000)),IF(O804&lt;=cota_s*100+fi_s/20,0,(OFFSET('Base de dados'!$A$4,IF(O804&lt;20,1,IF(O804&gt;1000,10,MATCH(O804,Cargas,1))),Coluna_fis,1,1))*(PI()*(fi_s/1000)^2/4)*(2*9.81*(O804/100-cota_s-fi_s/2/1000))^0.5*1000)))</f>
        <v>1833.4748007428916</v>
      </c>
      <c r="R804" s="19">
        <f t="shared" ca="1" si="148"/>
        <v>1871.0672762912507</v>
      </c>
      <c r="S804" s="19">
        <f t="shared" ca="1" si="145"/>
        <v>4424.7219163994023</v>
      </c>
    </row>
    <row r="805" spans="13:19">
      <c r="M805" s="81">
        <f t="shared" ca="1" si="144"/>
        <v>6306.8975160160417</v>
      </c>
      <c r="N805" s="19">
        <f t="shared" si="146"/>
        <v>132.927572123755</v>
      </c>
      <c r="O805" s="17">
        <f t="shared" si="147"/>
        <v>201</v>
      </c>
      <c r="P805" s="19">
        <f ca="1">IF(ISERROR(IF(O805&lt;fi_h/20,0,(OFFSET('Base de dados'!$A$5,IF(O805&lt;20,1,IF(O805&gt;1000,10,MATCH(O805,Cargas,1))),Coluna_fih,1,1))*(1+0.13*0.25)*(PI()*(fi_h/1000)^2/4)*SQRT(2*9.81*(O805/100-fi_h/2/1000))*1000)),"",IF(O805&lt;fi_h/20,0,(OFFSET('Base de dados'!$A$5,IF(O805&lt;20,1,IF(O805&gt;1000,10,MATCH(O805,Cargas,1))),Coluna_fih,1,1))*(PI()*(fi_h/1000)^2/4)*SQRT(2*9.81*(O805/100-fi_h/2/1000))*1000))</f>
        <v>37.616551993172081</v>
      </c>
      <c r="Q805" s="19">
        <f ca="1">IF(O805="","",IF(Tipo_Vertedor="Retangular",IF(O805&lt;=cota_s*100,0,IF(Tipo_Vertedor="Retangular",Cd_sr*Lef_sr*((O805/100-cota_s)^(3/2))*1000)),IF(O805&lt;=cota_s*100+fi_s/20,0,(OFFSET('Base de dados'!$A$4,IF(O805&lt;20,1,IF(O805&gt;1000,10,MATCH(O805,Cargas,1))),Coluna_fis,1,1))*(PI()*(fi_s/1000)^2/4)*(2*9.81*(O805/100-cota_s-fi_s/2/1000))^0.5*1000)))</f>
        <v>1838.361893231036</v>
      </c>
      <c r="R805" s="19">
        <f t="shared" ca="1" si="148"/>
        <v>1875.9784452242081</v>
      </c>
      <c r="S805" s="19">
        <f t="shared" ca="1" si="145"/>
        <v>4430.9190707918333</v>
      </c>
    </row>
    <row r="806" spans="13:19">
      <c r="M806" s="81">
        <f t="shared" ca="1" si="144"/>
        <v>6318.011118675031</v>
      </c>
      <c r="N806" s="19">
        <f t="shared" si="146"/>
        <v>133.11351556399802</v>
      </c>
      <c r="O806" s="17">
        <f t="shared" si="147"/>
        <v>201.25</v>
      </c>
      <c r="P806" s="19">
        <f ca="1">IF(ISERROR(IF(O806&lt;fi_h/20,0,(OFFSET('Base de dados'!$A$5,IF(O806&lt;20,1,IF(O806&gt;1000,10,MATCH(O806,Cargas,1))),Coluna_fih,1,1))*(1+0.13*0.25)*(PI()*(fi_h/1000)^2/4)*SQRT(2*9.81*(O806/100-fi_h/2/1000))*1000)),"",IF(O806&lt;fi_h/20,0,(OFFSET('Base de dados'!$A$5,IF(O806&lt;20,1,IF(O806&gt;1000,10,MATCH(O806,Cargas,1))),Coluna_fih,1,1))*(PI()*(fi_h/1000)^2/4)*SQRT(2*9.81*(O806/100-fi_h/2/1000))*1000))</f>
        <v>37.640613037729103</v>
      </c>
      <c r="Q806" s="19">
        <f ca="1">IF(O806="","",IF(Tipo_Vertedor="Retangular",IF(O806&lt;=cota_s*100,0,IF(Tipo_Vertedor="Retangular",Cd_sr*Lef_sr*((O806/100-cota_s)^(3/2))*1000)),IF(O806&lt;=cota_s*100+fi_s/20,0,(OFFSET('Base de dados'!$A$4,IF(O806&lt;20,1,IF(O806&gt;1000,10,MATCH(O806,Cargas,1))),Coluna_fis,1,1))*(PI()*(fi_s/1000)^2/4)*(2*9.81*(O806/100-cota_s-fi_s/2/1000))^0.5*1000)))</f>
        <v>1843.2533201707013</v>
      </c>
      <c r="R806" s="19">
        <f t="shared" ca="1" si="148"/>
        <v>1880.8939332084303</v>
      </c>
      <c r="S806" s="19">
        <f t="shared" ca="1" si="145"/>
        <v>4437.1171854666009</v>
      </c>
    </row>
    <row r="807" spans="13:19">
      <c r="M807" s="81">
        <f t="shared" ca="1" si="144"/>
        <v>6329.1299958152604</v>
      </c>
      <c r="N807" s="19">
        <f t="shared" si="146"/>
        <v>133.2994877813799</v>
      </c>
      <c r="O807" s="17">
        <f t="shared" si="147"/>
        <v>201.5</v>
      </c>
      <c r="P807" s="19">
        <f ca="1">IF(ISERROR(IF(O807&lt;fi_h/20,0,(OFFSET('Base de dados'!$A$5,IF(O807&lt;20,1,IF(O807&gt;1000,10,MATCH(O807,Cargas,1))),Coluna_fih,1,1))*(1+0.13*0.25)*(PI()*(fi_h/1000)^2/4)*SQRT(2*9.81*(O807/100-fi_h/2/1000))*1000)),"",IF(O807&lt;fi_h/20,0,(OFFSET('Base de dados'!$A$5,IF(O807&lt;20,1,IF(O807&gt;1000,10,MATCH(O807,Cargas,1))),Coluna_fih,1,1))*(PI()*(fi_h/1000)^2/4)*SQRT(2*9.81*(O807/100-fi_h/2/1000))*1000))</f>
        <v>37.664658711544234</v>
      </c>
      <c r="Q807" s="19">
        <f ca="1">IF(O807="","",IF(Tipo_Vertedor="Retangular",IF(O807&lt;=cota_s*100,0,IF(Tipo_Vertedor="Retangular",Cd_sr*Lef_sr*((O807/100-cota_s)^(3/2))*1000)),IF(O807&lt;=cota_s*100+fi_s/20,0,(OFFSET('Base de dados'!$A$4,IF(O807&lt;20,1,IF(O807&gt;1000,10,MATCH(O807,Cargas,1))),Coluna_fis,1,1))*(PI()*(fi_s/1000)^2/4)*(2*9.81*(O807/100-cota_s-fi_s/2/1000))^0.5*1000)))</f>
        <v>1848.1490777243864</v>
      </c>
      <c r="R807" s="19">
        <f t="shared" ca="1" si="148"/>
        <v>1885.8137364359307</v>
      </c>
      <c r="S807" s="19">
        <f t="shared" ca="1" si="145"/>
        <v>4443.3162593793295</v>
      </c>
    </row>
    <row r="808" spans="13:19">
      <c r="M808" s="81">
        <f t="shared" ca="1" si="144"/>
        <v>6340.2541425968811</v>
      </c>
      <c r="N808" s="19">
        <f t="shared" si="146"/>
        <v>133.48548874464225</v>
      </c>
      <c r="O808" s="17">
        <f t="shared" si="147"/>
        <v>201.75</v>
      </c>
      <c r="P808" s="19">
        <f ca="1">IF(ISERROR(IF(O808&lt;fi_h/20,0,(OFFSET('Base de dados'!$A$5,IF(O808&lt;20,1,IF(O808&gt;1000,10,MATCH(O808,Cargas,1))),Coluna_fih,1,1))*(1+0.13*0.25)*(PI()*(fi_h/1000)^2/4)*SQRT(2*9.81*(O808/100-fi_h/2/1000))*1000)),"",IF(O808&lt;fi_h/20,0,(OFFSET('Base de dados'!$A$5,IF(O808&lt;20,1,IF(O808&gt;1000,10,MATCH(O808,Cargas,1))),Coluna_fih,1,1))*(PI()*(fi_h/1000)^2/4)*SQRT(2*9.81*(O808/100-fi_h/2/1000))*1000))</f>
        <v>37.688689044037446</v>
      </c>
      <c r="Q808" s="19">
        <f ca="1">IF(O808="","",IF(Tipo_Vertedor="Retangular",IF(O808&lt;=cota_s*100,0,IF(Tipo_Vertedor="Retangular",Cd_sr*Lef_sr*((O808/100-cota_s)^(3/2))*1000)),IF(O808&lt;=cota_s*100+fi_s/20,0,(OFFSET('Base de dados'!$A$4,IF(O808&lt;20,1,IF(O808&gt;1000,10,MATCH(O808,Cargas,1))),Coluna_fis,1,1))*(PI()*(fi_s/1000)^2/4)*(2*9.81*(O808/100-cota_s-fi_s/2/1000))^0.5*1000)))</f>
        <v>1853.0491620647681</v>
      </c>
      <c r="R808" s="19">
        <f t="shared" ca="1" si="148"/>
        <v>1890.7378511088054</v>
      </c>
      <c r="S808" s="19">
        <f t="shared" ca="1" si="145"/>
        <v>4449.5162914880757</v>
      </c>
    </row>
    <row r="809" spans="13:19">
      <c r="M809" s="81">
        <f t="shared" ca="1" si="144"/>
        <v>6351.3835541925018</v>
      </c>
      <c r="N809" s="19">
        <f t="shared" si="146"/>
        <v>133.67151842259952</v>
      </c>
      <c r="O809" s="17">
        <f t="shared" si="147"/>
        <v>202</v>
      </c>
      <c r="P809" s="19">
        <f ca="1">IF(ISERROR(IF(O809&lt;fi_h/20,0,(OFFSET('Base de dados'!$A$5,IF(O809&lt;20,1,IF(O809&gt;1000,10,MATCH(O809,Cargas,1))),Coluna_fih,1,1))*(1+0.13*0.25)*(PI()*(fi_h/1000)^2/4)*SQRT(2*9.81*(O809/100-fi_h/2/1000))*1000)),"",IF(O809&lt;fi_h/20,0,(OFFSET('Base de dados'!$A$5,IF(O809&lt;20,1,IF(O809&gt;1000,10,MATCH(O809,Cargas,1))),Coluna_fih,1,1))*(PI()*(fi_h/1000)^2/4)*SQRT(2*9.81*(O809/100-fi_h/2/1000))*1000))</f>
        <v>37.712704064534947</v>
      </c>
      <c r="Q809" s="19">
        <f ca="1">IF(O809="","",IF(Tipo_Vertedor="Retangular",IF(O809&lt;=cota_s*100,0,IF(Tipo_Vertedor="Retangular",Cd_sr*Lef_sr*((O809/100-cota_s)^(3/2))*1000)),IF(O809&lt;=cota_s*100+fi_s/20,0,(OFFSET('Base de dados'!$A$4,IF(O809&lt;20,1,IF(O809&gt;1000,10,MATCH(O809,Cargas,1))),Coluna_fis,1,1))*(PI()*(fi_s/1000)^2/4)*(2*9.81*(O809/100-cota_s-fi_s/2/1000))^0.5*1000)))</f>
        <v>1857.9535693746493</v>
      </c>
      <c r="R809" s="19">
        <f t="shared" ca="1" si="148"/>
        <v>1895.6662734391844</v>
      </c>
      <c r="S809" s="19">
        <f t="shared" ca="1" si="145"/>
        <v>4455.7172807533179</v>
      </c>
    </row>
    <row r="810" spans="13:19">
      <c r="M810" s="81">
        <f t="shared" ca="1" si="144"/>
        <v>6362.5182257871356</v>
      </c>
      <c r="N810" s="19">
        <f t="shared" si="146"/>
        <v>133.85757678413833</v>
      </c>
      <c r="O810" s="17">
        <f t="shared" si="147"/>
        <v>202.25</v>
      </c>
      <c r="P810" s="19">
        <f ca="1">IF(ISERROR(IF(O810&lt;fi_h/20,0,(OFFSET('Base de dados'!$A$5,IF(O810&lt;20,1,IF(O810&gt;1000,10,MATCH(O810,Cargas,1))),Coluna_fih,1,1))*(1+0.13*0.25)*(PI()*(fi_h/1000)^2/4)*SQRT(2*9.81*(O810/100-fi_h/2/1000))*1000)),"",IF(O810&lt;fi_h/20,0,(OFFSET('Base de dados'!$A$5,IF(O810&lt;20,1,IF(O810&gt;1000,10,MATCH(O810,Cargas,1))),Coluna_fih,1,1))*(PI()*(fi_h/1000)^2/4)*SQRT(2*9.81*(O810/100-fi_h/2/1000))*1000))</f>
        <v>37.736703802269666</v>
      </c>
      <c r="Q810" s="19">
        <f ca="1">IF(O810="","",IF(Tipo_Vertedor="Retangular",IF(O810&lt;=cota_s*100,0,IF(Tipo_Vertedor="Retangular",Cd_sr*Lef_sr*((O810/100-cota_s)^(3/2))*1000)),IF(O810&lt;=cota_s*100+fi_s/20,0,(OFFSET('Base de dados'!$A$4,IF(O810&lt;20,1,IF(O810&gt;1000,10,MATCH(O810,Cargas,1))),Coluna_fis,1,1))*(PI()*(fi_s/1000)^2/4)*(2*9.81*(O810/100-cota_s-fi_s/2/1000))^0.5*1000)))</f>
        <v>1862.8622958469211</v>
      </c>
      <c r="R810" s="19">
        <f t="shared" ca="1" si="148"/>
        <v>1900.5989996491908</v>
      </c>
      <c r="S810" s="19">
        <f t="shared" ca="1" si="145"/>
        <v>4461.9192261379449</v>
      </c>
    </row>
    <row r="811" spans="13:19">
      <c r="M811" s="81">
        <f t="shared" ca="1" si="144"/>
        <v>6373.6581525781485</v>
      </c>
      <c r="N811" s="19">
        <f t="shared" si="146"/>
        <v>134.04366379821761</v>
      </c>
      <c r="O811" s="17">
        <f t="shared" si="147"/>
        <v>202.5</v>
      </c>
      <c r="P811" s="19">
        <f ca="1">IF(ISERROR(IF(O811&lt;fi_h/20,0,(OFFSET('Base de dados'!$A$5,IF(O811&lt;20,1,IF(O811&gt;1000,10,MATCH(O811,Cargas,1))),Coluna_fih,1,1))*(1+0.13*0.25)*(PI()*(fi_h/1000)^2/4)*SQRT(2*9.81*(O811/100-fi_h/2/1000))*1000)),"",IF(O811&lt;fi_h/20,0,(OFFSET('Base de dados'!$A$5,IF(O811&lt;20,1,IF(O811&gt;1000,10,MATCH(O811,Cargas,1))),Coluna_fih,1,1))*(PI()*(fi_h/1000)^2/4)*SQRT(2*9.81*(O811/100-fi_h/2/1000))*1000))</f>
        <v>37.760688286381608</v>
      </c>
      <c r="Q811" s="19">
        <f ca="1">IF(O811="","",IF(Tipo_Vertedor="Retangular",IF(O811&lt;=cota_s*100,0,IF(Tipo_Vertedor="Retangular",Cd_sr*Lef_sr*((O811/100-cota_s)^(3/2))*1000)),IF(O811&lt;=cota_s*100+fi_s/20,0,(OFFSET('Base de dados'!$A$4,IF(O811&lt;20,1,IF(O811&gt;1000,10,MATCH(O811,Cargas,1))),Coluna_fis,1,1))*(PI()*(fi_s/1000)^2/4)*(2*9.81*(O811/100-cota_s-fi_s/2/1000))^0.5*1000)))</f>
        <v>1867.7753376845137</v>
      </c>
      <c r="R811" s="19">
        <f t="shared" ca="1" si="148"/>
        <v>1905.5360259708953</v>
      </c>
      <c r="S811" s="19">
        <f t="shared" ca="1" si="145"/>
        <v>4468.1221266072534</v>
      </c>
    </row>
    <row r="812" spans="13:19">
      <c r="M812" s="81">
        <f t="shared" ca="1" si="144"/>
        <v>6384.8033297752063</v>
      </c>
      <c r="N812" s="19">
        <f t="shared" si="146"/>
        <v>134.22977943386803</v>
      </c>
      <c r="O812" s="17">
        <f t="shared" si="147"/>
        <v>202.75</v>
      </c>
      <c r="P812" s="19">
        <f ca="1">IF(ISERROR(IF(O812&lt;fi_h/20,0,(OFFSET('Base de dados'!$A$5,IF(O812&lt;20,1,IF(O812&gt;1000,10,MATCH(O812,Cargas,1))),Coluna_fih,1,1))*(1+0.13*0.25)*(PI()*(fi_h/1000)^2/4)*SQRT(2*9.81*(O812/100-fi_h/2/1000))*1000)),"",IF(O812&lt;fi_h/20,0,(OFFSET('Base de dados'!$A$5,IF(O812&lt;20,1,IF(O812&gt;1000,10,MATCH(O812,Cargas,1))),Coluna_fih,1,1))*(PI()*(fi_h/1000)^2/4)*SQRT(2*9.81*(O812/100-fi_h/2/1000))*1000))</f>
        <v>37.784657545918279</v>
      </c>
      <c r="Q812" s="19">
        <f ca="1">IF(O812="","",IF(Tipo_Vertedor="Retangular",IF(O812&lt;=cota_s*100,0,IF(Tipo_Vertedor="Retangular",Cd_sr*Lef_sr*((O812/100-cota_s)^(3/2))*1000)),IF(O812&lt;=cota_s*100+fi_s/20,0,(OFFSET('Base de dados'!$A$4,IF(O812&lt;20,1,IF(O812&gt;1000,10,MATCH(O812,Cargas,1))),Coluna_fis,1,1))*(PI()*(fi_s/1000)^2/4)*(2*9.81*(O812/100-cota_s-fi_s/2/1000))^0.5*1000)))</f>
        <v>1872.6926911003541</v>
      </c>
      <c r="R812" s="19">
        <f t="shared" ca="1" si="148"/>
        <v>1910.4773486462723</v>
      </c>
      <c r="S812" s="19">
        <f t="shared" ca="1" si="145"/>
        <v>4474.3259811289345</v>
      </c>
    </row>
    <row r="813" spans="13:19">
      <c r="M813" s="81">
        <f t="shared" ca="1" si="144"/>
        <v>6395.953752600225</v>
      </c>
      <c r="N813" s="19">
        <f t="shared" si="146"/>
        <v>134.41592366019199</v>
      </c>
      <c r="O813" s="17">
        <f t="shared" si="147"/>
        <v>203</v>
      </c>
      <c r="P813" s="19">
        <f ca="1">IF(ISERROR(IF(O813&lt;fi_h/20,0,(OFFSET('Base de dados'!$A$5,IF(O813&lt;20,1,IF(O813&gt;1000,10,MATCH(O813,Cargas,1))),Coluna_fih,1,1))*(1+0.13*0.25)*(PI()*(fi_h/1000)^2/4)*SQRT(2*9.81*(O813/100-fi_h/2/1000))*1000)),"",IF(O813&lt;fi_h/20,0,(OFFSET('Base de dados'!$A$5,IF(O813&lt;20,1,IF(O813&gt;1000,10,MATCH(O813,Cargas,1))),Coluna_fih,1,1))*(PI()*(fi_h/1000)^2/4)*SQRT(2*9.81*(O813/100-fi_h/2/1000))*1000))</f>
        <v>37.808611609835161</v>
      </c>
      <c r="Q813" s="19">
        <f ca="1">IF(O813="","",IF(Tipo_Vertedor="Retangular",IF(O813&lt;=cota_s*100,0,IF(Tipo_Vertedor="Retangular",Cd_sr*Lef_sr*((O813/100-cota_s)^(3/2))*1000)),IF(O813&lt;=cota_s*100+fi_s/20,0,(OFFSET('Base de dados'!$A$4,IF(O813&lt;20,1,IF(O813&gt;1000,10,MATCH(O813,Cargas,1))),Coluna_fis,1,1))*(PI()*(fi_s/1000)^2/4)*(2*9.81*(O813/100-cota_s-fi_s/2/1000))^0.5*1000)))</f>
        <v>1877.6143523173225</v>
      </c>
      <c r="R813" s="19">
        <f t="shared" ca="1" si="148"/>
        <v>1915.4229639271578</v>
      </c>
      <c r="S813" s="19">
        <f t="shared" ca="1" si="145"/>
        <v>4480.530788673067</v>
      </c>
    </row>
    <row r="814" spans="13:19">
      <c r="M814" s="81">
        <f t="shared" ca="1" si="144"/>
        <v>6407.1094162873105</v>
      </c>
      <c r="N814" s="19">
        <f t="shared" si="146"/>
        <v>134.60209644636316</v>
      </c>
      <c r="O814" s="17">
        <f t="shared" si="147"/>
        <v>203.25</v>
      </c>
      <c r="P814" s="19">
        <f ca="1">IF(ISERROR(IF(O814&lt;fi_h/20,0,(OFFSET('Base de dados'!$A$5,IF(O814&lt;20,1,IF(O814&gt;1000,10,MATCH(O814,Cargas,1))),Coluna_fih,1,1))*(1+0.13*0.25)*(PI()*(fi_h/1000)^2/4)*SQRT(2*9.81*(O814/100-fi_h/2/1000))*1000)),"",IF(O814&lt;fi_h/20,0,(OFFSET('Base de dados'!$A$5,IF(O814&lt;20,1,IF(O814&gt;1000,10,MATCH(O814,Cargas,1))),Coluna_fih,1,1))*(PI()*(fi_h/1000)^2/4)*SQRT(2*9.81*(O814/100-fi_h/2/1000))*1000))</f>
        <v>37.832550506996029</v>
      </c>
      <c r="Q814" s="19">
        <f ca="1">IF(O814="","",IF(Tipo_Vertedor="Retangular",IF(O814&lt;=cota_s*100,0,IF(Tipo_Vertedor="Retangular",Cd_sr*Lef_sr*((O814/100-cota_s)^(3/2))*1000)),IF(O814&lt;=cota_s*100+fi_s/20,0,(OFFSET('Base de dados'!$A$4,IF(O814&lt;20,1,IF(O814&gt;1000,10,MATCH(O814,Cargas,1))),Coluna_fis,1,1))*(PI()*(fi_s/1000)^2/4)*(2*9.81*(O814/100-cota_s-fi_s/2/1000))^0.5*1000)))</f>
        <v>1882.540317568209</v>
      </c>
      <c r="R814" s="19">
        <f t="shared" ca="1" si="148"/>
        <v>1920.3728680752051</v>
      </c>
      <c r="S814" s="19">
        <f t="shared" ca="1" si="145"/>
        <v>4486.7365482121058</v>
      </c>
    </row>
    <row r="815" spans="13:19">
      <c r="M815" s="81">
        <f t="shared" ca="1" si="144"/>
        <v>6418.2703160827223</v>
      </c>
      <c r="N815" s="19">
        <f t="shared" si="146"/>
        <v>134.78829776162644</v>
      </c>
      <c r="O815" s="17">
        <f t="shared" si="147"/>
        <v>203.5</v>
      </c>
      <c r="P815" s="19">
        <f ca="1">IF(ISERROR(IF(O815&lt;fi_h/20,0,(OFFSET('Base de dados'!$A$5,IF(O815&lt;20,1,IF(O815&gt;1000,10,MATCH(O815,Cargas,1))),Coluna_fih,1,1))*(1+0.13*0.25)*(PI()*(fi_h/1000)^2/4)*SQRT(2*9.81*(O815/100-fi_h/2/1000))*1000)),"",IF(O815&lt;fi_h/20,0,(OFFSET('Base de dados'!$A$5,IF(O815&lt;20,1,IF(O815&gt;1000,10,MATCH(O815,Cargas,1))),Coluna_fih,1,1))*(PI()*(fi_h/1000)^2/4)*SQRT(2*9.81*(O815/100-fi_h/2/1000))*1000))</f>
        <v>37.8564742661734</v>
      </c>
      <c r="Q815" s="19">
        <f ca="1">IF(O815="","",IF(Tipo_Vertedor="Retangular",IF(O815&lt;=cota_s*100,0,IF(Tipo_Vertedor="Retangular",Cd_sr*Lef_sr*((O815/100-cota_s)^(3/2))*1000)),IF(O815&lt;=cota_s*100+fi_s/20,0,(OFFSET('Base de dados'!$A$4,IF(O815&lt;20,1,IF(O815&gt;1000,10,MATCH(O815,Cargas,1))),Coluna_fis,1,1))*(PI()*(fi_s/1000)^2/4)*(2*9.81*(O815/100-cota_s-fi_s/2/1000))^0.5*1000)))</f>
        <v>1887.4705830956682</v>
      </c>
      <c r="R815" s="19">
        <f t="shared" ca="1" si="148"/>
        <v>1925.3270573618415</v>
      </c>
      <c r="S815" s="19">
        <f t="shared" ca="1" si="145"/>
        <v>4492.9432587208812</v>
      </c>
    </row>
    <row r="816" spans="13:19">
      <c r="M816" s="81">
        <f t="shared" ca="1" si="144"/>
        <v>6429.4364472448106</v>
      </c>
      <c r="N816" s="19">
        <f t="shared" si="146"/>
        <v>134.97452757529751</v>
      </c>
      <c r="O816" s="17">
        <f t="shared" si="147"/>
        <v>203.75</v>
      </c>
      <c r="P816" s="19">
        <f ca="1">IF(ISERROR(IF(O816&lt;fi_h/20,0,(OFFSET('Base de dados'!$A$5,IF(O816&lt;20,1,IF(O816&gt;1000,10,MATCH(O816,Cargas,1))),Coluna_fih,1,1))*(1+0.13*0.25)*(PI()*(fi_h/1000)^2/4)*SQRT(2*9.81*(O816/100-fi_h/2/1000))*1000)),"",IF(O816&lt;fi_h/20,0,(OFFSET('Base de dados'!$A$5,IF(O816&lt;20,1,IF(O816&gt;1000,10,MATCH(O816,Cargas,1))),Coluna_fih,1,1))*(PI()*(fi_h/1000)^2/4)*SQRT(2*9.81*(O816/100-fi_h/2/1000))*1000))</f>
        <v>37.88038291604893</v>
      </c>
      <c r="Q816" s="19">
        <f ca="1">IF(O816="","",IF(Tipo_Vertedor="Retangular",IF(O816&lt;=cota_s*100,0,IF(Tipo_Vertedor="Retangular",Cd_sr*Lef_sr*((O816/100-cota_s)^(3/2))*1000)),IF(O816&lt;=cota_s*100+fi_s/20,0,(OFFSET('Base de dados'!$A$4,IF(O816&lt;20,1,IF(O816&gt;1000,10,MATCH(O816,Cargas,1))),Coluna_fis,1,1))*(PI()*(fi_s/1000)^2/4)*(2*9.81*(O816/100-cota_s-fi_s/2/1000))^0.5*1000)))</f>
        <v>1892.4051451521784</v>
      </c>
      <c r="R816" s="19">
        <f t="shared" ca="1" si="148"/>
        <v>1930.2855280682274</v>
      </c>
      <c r="S816" s="19">
        <f t="shared" ca="1" si="145"/>
        <v>4499.1509191765836</v>
      </c>
    </row>
    <row r="817" spans="13:19">
      <c r="M817" s="81">
        <f t="shared" ca="1" si="144"/>
        <v>6440.6078050439683</v>
      </c>
      <c r="N817" s="19">
        <f t="shared" si="146"/>
        <v>135.16078585676263</v>
      </c>
      <c r="O817" s="17">
        <f t="shared" si="147"/>
        <v>204</v>
      </c>
      <c r="P817" s="19">
        <f ca="1">IF(ISERROR(IF(O817&lt;fi_h/20,0,(OFFSET('Base de dados'!$A$5,IF(O817&lt;20,1,IF(O817&gt;1000,10,MATCH(O817,Cargas,1))),Coluna_fih,1,1))*(1+0.13*0.25)*(PI()*(fi_h/1000)^2/4)*SQRT(2*9.81*(O817/100-fi_h/2/1000))*1000)),"",IF(O817&lt;fi_h/20,0,(OFFSET('Base de dados'!$A$5,IF(O817&lt;20,1,IF(O817&gt;1000,10,MATCH(O817,Cargas,1))),Coluna_fih,1,1))*(PI()*(fi_h/1000)^2/4)*SQRT(2*9.81*(O817/100-fi_h/2/1000))*1000))</f>
        <v>37.904276485213835</v>
      </c>
      <c r="Q817" s="19">
        <f ca="1">IF(O817="","",IF(Tipo_Vertedor="Retangular",IF(O817&lt;=cota_s*100,0,IF(Tipo_Vertedor="Retangular",Cd_sr*Lef_sr*((O817/100-cota_s)^(3/2))*1000)),IF(O817&lt;=cota_s*100+fi_s/20,0,(OFFSET('Base de dados'!$A$4,IF(O817&lt;20,1,IF(O817&gt;1000,10,MATCH(O817,Cargas,1))),Coluna_fis,1,1))*(PI()*(fi_s/1000)^2/4)*(2*9.81*(O817/100-cota_s-fi_s/2/1000))^0.5*1000)))</f>
        <v>1897.3440000000001</v>
      </c>
      <c r="R817" s="19">
        <f t="shared" ca="1" si="148"/>
        <v>1935.2482764852139</v>
      </c>
      <c r="S817" s="19">
        <f t="shared" ca="1" si="145"/>
        <v>4505.3595285587544</v>
      </c>
    </row>
    <row r="818" spans="13:19">
      <c r="M818" s="81">
        <f t="shared" ca="1" si="144"/>
        <v>6451.7843847625827</v>
      </c>
      <c r="N818" s="19">
        <f t="shared" si="146"/>
        <v>135.34707257547853</v>
      </c>
      <c r="O818" s="17">
        <f t="shared" si="147"/>
        <v>204.25</v>
      </c>
      <c r="P818" s="19">
        <f ca="1">IF(ISERROR(IF(O818&lt;fi_h/20,0,(OFFSET('Base de dados'!$A$5,IF(O818&lt;20,1,IF(O818&gt;1000,10,MATCH(O818,Cargas,1))),Coluna_fih,1,1))*(1+0.13*0.25)*(PI()*(fi_h/1000)^2/4)*SQRT(2*9.81*(O818/100-fi_h/2/1000))*1000)),"",IF(O818&lt;fi_h/20,0,(OFFSET('Base de dados'!$A$5,IF(O818&lt;20,1,IF(O818&gt;1000,10,MATCH(O818,Cargas,1))),Coluna_fih,1,1))*(PI()*(fi_h/1000)^2/4)*SQRT(2*9.81*(O818/100-fi_h/2/1000))*1000))</f>
        <v>37.928155002169269</v>
      </c>
      <c r="Q818" s="19">
        <f ca="1">IF(O818="","",IF(Tipo_Vertedor="Retangular",IF(O818&lt;=cota_s*100,0,IF(Tipo_Vertedor="Retangular",Cd_sr*Lef_sr*((O818/100-cota_s)^(3/2))*1000)),IF(O818&lt;=cota_s*100+fi_s/20,0,(OFFSET('Base de dados'!$A$4,IF(O818&lt;20,1,IF(O818&gt;1000,10,MATCH(O818,Cargas,1))),Coluna_fis,1,1))*(PI()*(fi_s/1000)^2/4)*(2*9.81*(O818/100-cota_s-fi_s/2/1000))^0.5*1000)))</f>
        <v>1902.2871439111293</v>
      </c>
      <c r="R818" s="19">
        <f t="shared" ca="1" si="148"/>
        <v>1940.2152989132985</v>
      </c>
      <c r="S818" s="19">
        <f t="shared" ca="1" si="145"/>
        <v>4511.5690858492844</v>
      </c>
    </row>
    <row r="819" spans="13:19">
      <c r="M819" s="81">
        <f t="shared" ca="1" si="144"/>
        <v>6462.9661816949856</v>
      </c>
      <c r="N819" s="19">
        <f t="shared" si="146"/>
        <v>135.53338770097199</v>
      </c>
      <c r="O819" s="17">
        <f t="shared" si="147"/>
        <v>204.5</v>
      </c>
      <c r="P819" s="19">
        <f ca="1">IF(ISERROR(IF(O819&lt;fi_h/20,0,(OFFSET('Base de dados'!$A$5,IF(O819&lt;20,1,IF(O819&gt;1000,10,MATCH(O819,Cargas,1))),Coluna_fih,1,1))*(1+0.13*0.25)*(PI()*(fi_h/1000)^2/4)*SQRT(2*9.81*(O819/100-fi_h/2/1000))*1000)),"",IF(O819&lt;fi_h/20,0,(OFFSET('Base de dados'!$A$5,IF(O819&lt;20,1,IF(O819&gt;1000,10,MATCH(O819,Cargas,1))),Coluna_fih,1,1))*(PI()*(fi_h/1000)^2/4)*SQRT(2*9.81*(O819/100-fi_h/2/1000))*1000))</f>
        <v>37.952018495326705</v>
      </c>
      <c r="Q819" s="19">
        <f ca="1">IF(O819="","",IF(Tipo_Vertedor="Retangular",IF(O819&lt;=cota_s*100,0,IF(Tipo_Vertedor="Retangular",Cd_sr*Lef_sr*((O819/100-cota_s)^(3/2))*1000)),IF(O819&lt;=cota_s*100+fi_s/20,0,(OFFSET('Base de dados'!$A$4,IF(O819&lt;20,1,IF(O819&gt;1000,10,MATCH(O819,Cargas,1))),Coluna_fis,1,1))*(PI()*(fi_s/1000)^2/4)*(2*9.81*(O819/100-cota_s-fi_s/2/1000))^0.5*1000)))</f>
        <v>1907.2345731672597</v>
      </c>
      <c r="R819" s="19">
        <f t="shared" ca="1" si="148"/>
        <v>1945.1865916625864</v>
      </c>
      <c r="S819" s="19">
        <f t="shared" ca="1" si="145"/>
        <v>4517.779590032399</v>
      </c>
    </row>
    <row r="820" spans="13:19">
      <c r="M820" s="81">
        <f t="shared" ca="1" si="144"/>
        <v>6474.1531911474003</v>
      </c>
      <c r="N820" s="19">
        <f t="shared" si="146"/>
        <v>135.71973120283965</v>
      </c>
      <c r="O820" s="17">
        <f t="shared" si="147"/>
        <v>204.75</v>
      </c>
      <c r="P820" s="19">
        <f ca="1">IF(ISERROR(IF(O820&lt;fi_h/20,0,(OFFSET('Base de dados'!$A$5,IF(O820&lt;20,1,IF(O820&gt;1000,10,MATCH(O820,Cargas,1))),Coluna_fih,1,1))*(1+0.13*0.25)*(PI()*(fi_h/1000)^2/4)*SQRT(2*9.81*(O820/100-fi_h/2/1000))*1000)),"",IF(O820&lt;fi_h/20,0,(OFFSET('Base de dados'!$A$5,IF(O820&lt;20,1,IF(O820&gt;1000,10,MATCH(O820,Cargas,1))),Coluna_fih,1,1))*(PI()*(fi_h/1000)^2/4)*SQRT(2*9.81*(O820/100-fi_h/2/1000))*1000))</f>
        <v>37.975866993008381</v>
      </c>
      <c r="Q820" s="19">
        <f ca="1">IF(O820="","",IF(Tipo_Vertedor="Retangular",IF(O820&lt;=cota_s*100,0,IF(Tipo_Vertedor="Retangular",Cd_sr*Lef_sr*((O820/100-cota_s)^(3/2))*1000)),IF(O820&lt;=cota_s*100+fi_s/20,0,(OFFSET('Base de dados'!$A$4,IF(O820&lt;20,1,IF(O820&gt;1000,10,MATCH(O820,Cargas,1))),Coluna_fis,1,1))*(PI()*(fi_s/1000)^2/4)*(2*9.81*(O820/100-cota_s-fi_s/2/1000))^0.5*1000)))</f>
        <v>1912.1862840597375</v>
      </c>
      <c r="R820" s="19">
        <f t="shared" ca="1" si="148"/>
        <v>1950.1621510527459</v>
      </c>
      <c r="S820" s="19">
        <f t="shared" ca="1" si="145"/>
        <v>4523.9910400946546</v>
      </c>
    </row>
    <row r="821" spans="13:19">
      <c r="M821" s="81">
        <f t="shared" ca="1" si="144"/>
        <v>6485.3454084378991</v>
      </c>
      <c r="N821" s="19">
        <f t="shared" si="146"/>
        <v>135.9061030507479</v>
      </c>
      <c r="O821" s="17">
        <f t="shared" si="147"/>
        <v>205</v>
      </c>
      <c r="P821" s="19">
        <f ca="1">IF(ISERROR(IF(O821&lt;fi_h/20,0,(OFFSET('Base de dados'!$A$5,IF(O821&lt;20,1,IF(O821&gt;1000,10,MATCH(O821,Cargas,1))),Coluna_fih,1,1))*(1+0.13*0.25)*(PI()*(fi_h/1000)^2/4)*SQRT(2*9.81*(O821/100-fi_h/2/1000))*1000)),"",IF(O821&lt;fi_h/20,0,(OFFSET('Base de dados'!$A$5,IF(O821&lt;20,1,IF(O821&gt;1000,10,MATCH(O821,Cargas,1))),Coluna_fih,1,1))*(PI()*(fi_h/1000)^2/4)*SQRT(2*9.81*(O821/100-fi_h/2/1000))*1000))</f>
        <v>37.999700523447636</v>
      </c>
      <c r="Q821" s="19">
        <f ca="1">IF(O821="","",IF(Tipo_Vertedor="Retangular",IF(O821&lt;=cota_s*100,0,IF(Tipo_Vertedor="Retangular",Cd_sr*Lef_sr*((O821/100-cota_s)^(3/2))*1000)),IF(O821&lt;=cota_s*100+fi_s/20,0,(OFFSET('Base de dados'!$A$4,IF(O821&lt;20,1,IF(O821&gt;1000,10,MATCH(O821,Cargas,1))),Coluna_fis,1,1))*(PI()*(fi_s/1000)^2/4)*(2*9.81*(O821/100-cota_s-fi_s/2/1000))^0.5*1000)))</f>
        <v>1917.1422728895209</v>
      </c>
      <c r="R821" s="19">
        <f t="shared" ca="1" si="148"/>
        <v>1955.1419734129686</v>
      </c>
      <c r="S821" s="19">
        <f t="shared" ca="1" si="145"/>
        <v>4530.2034350249305</v>
      </c>
    </row>
    <row r="822" spans="13:19">
      <c r="M822" s="81">
        <f t="shared" ca="1" si="144"/>
        <v>6496.5428288963431</v>
      </c>
      <c r="N822" s="19">
        <f t="shared" si="146"/>
        <v>136.09250321443236</v>
      </c>
      <c r="O822" s="17">
        <f t="shared" si="147"/>
        <v>205.25</v>
      </c>
      <c r="P822" s="19">
        <f ca="1">IF(ISERROR(IF(O822&lt;fi_h/20,0,(OFFSET('Base de dados'!$A$5,IF(O822&lt;20,1,IF(O822&gt;1000,10,MATCH(O822,Cargas,1))),Coluna_fih,1,1))*(1+0.13*0.25)*(PI()*(fi_h/1000)^2/4)*SQRT(2*9.81*(O822/100-fi_h/2/1000))*1000)),"",IF(O822&lt;fi_h/20,0,(OFFSET('Base de dados'!$A$5,IF(O822&lt;20,1,IF(O822&gt;1000,10,MATCH(O822,Cargas,1))),Coluna_fih,1,1))*(PI()*(fi_h/1000)^2/4)*SQRT(2*9.81*(O822/100-fi_h/2/1000))*1000))</f>
        <v>38.02351911478933</v>
      </c>
      <c r="Q822" s="19">
        <f ca="1">IF(O822="","",IF(Tipo_Vertedor="Retangular",IF(O822&lt;=cota_s*100,0,IF(Tipo_Vertedor="Retangular",Cd_sr*Lef_sr*((O822/100-cota_s)^(3/2))*1000)),IF(O822&lt;=cota_s*100+fi_s/20,0,(OFFSET('Base de dados'!$A$4,IF(O822&lt;20,1,IF(O822&gt;1000,10,MATCH(O822,Cargas,1))),Coluna_fis,1,1))*(PI()*(fi_s/1000)^2/4)*(2*9.81*(O822/100-cota_s-fi_s/2/1000))^0.5*1000)))</f>
        <v>1922.102535967141</v>
      </c>
      <c r="R822" s="19">
        <f t="shared" ca="1" si="148"/>
        <v>1960.1260550819302</v>
      </c>
      <c r="S822" s="19">
        <f t="shared" ca="1" si="145"/>
        <v>4536.4167738144124</v>
      </c>
    </row>
    <row r="823" spans="13:19">
      <c r="M823" s="81">
        <f t="shared" ca="1" si="144"/>
        <v>6507.7454478643367</v>
      </c>
      <c r="N823" s="19">
        <f t="shared" si="146"/>
        <v>136.27893166369779</v>
      </c>
      <c r="O823" s="17">
        <f t="shared" si="147"/>
        <v>205.5</v>
      </c>
      <c r="P823" s="19">
        <f ca="1">IF(ISERROR(IF(O823&lt;fi_h/20,0,(OFFSET('Base de dados'!$A$5,IF(O823&lt;20,1,IF(O823&gt;1000,10,MATCH(O823,Cargas,1))),Coluna_fih,1,1))*(1+0.13*0.25)*(PI()*(fi_h/1000)^2/4)*SQRT(2*9.81*(O823/100-fi_h/2/1000))*1000)),"",IF(O823&lt;fi_h/20,0,(OFFSET('Base de dados'!$A$5,IF(O823&lt;20,1,IF(O823&gt;1000,10,MATCH(O823,Cargas,1))),Coluna_fih,1,1))*(PI()*(fi_h/1000)^2/4)*SQRT(2*9.81*(O823/100-fi_h/2/1000))*1000))</f>
        <v>38.047322795090231</v>
      </c>
      <c r="Q823" s="19">
        <f ca="1">IF(O823="","",IF(Tipo_Vertedor="Retangular",IF(O823&lt;=cota_s*100,0,IF(Tipo_Vertedor="Retangular",Cd_sr*Lef_sr*((O823/100-cota_s)^(3/2))*1000)),IF(O823&lt;=cota_s*100+fi_s/20,0,(OFFSET('Base de dados'!$A$4,IF(O823&lt;20,1,IF(O823&gt;1000,10,MATCH(O823,Cargas,1))),Coluna_fis,1,1))*(PI()*(fi_s/1000)^2/4)*(2*9.81*(O823/100-cota_s-fi_s/2/1000))^0.5*1000)))</f>
        <v>1927.067069612654</v>
      </c>
      <c r="R823" s="19">
        <f t="shared" ca="1" si="148"/>
        <v>1965.1143924077442</v>
      </c>
      <c r="S823" s="19">
        <f t="shared" ca="1" si="145"/>
        <v>4542.6310554565925</v>
      </c>
    </row>
    <row r="824" spans="13:19">
      <c r="M824" s="81">
        <f t="shared" ca="1" si="144"/>
        <v>6518.9532606951943</v>
      </c>
      <c r="N824" s="19">
        <f t="shared" si="146"/>
        <v>136.46538836841799</v>
      </c>
      <c r="O824" s="17">
        <f t="shared" si="147"/>
        <v>205.75</v>
      </c>
      <c r="P824" s="19">
        <f ca="1">IF(ISERROR(IF(O824&lt;fi_h/20,0,(OFFSET('Base de dados'!$A$5,IF(O824&lt;20,1,IF(O824&gt;1000,10,MATCH(O824,Cargas,1))),Coluna_fih,1,1))*(1+0.13*0.25)*(PI()*(fi_h/1000)^2/4)*SQRT(2*9.81*(O824/100-fi_h/2/1000))*1000)),"",IF(O824&lt;fi_h/20,0,(OFFSET('Base de dados'!$A$5,IF(O824&lt;20,1,IF(O824&gt;1000,10,MATCH(O824,Cargas,1))),Coluna_fih,1,1))*(PI()*(fi_h/1000)^2/4)*SQRT(2*9.81*(O824/100-fi_h/2/1000))*1000))</f>
        <v>38.071111592319383</v>
      </c>
      <c r="Q824" s="19">
        <f ca="1">IF(O824="","",IF(Tipo_Vertedor="Retangular",IF(O824&lt;=cota_s*100,0,IF(Tipo_Vertedor="Retangular",Cd_sr*Lef_sr*((O824/100-cota_s)^(3/2))*1000)),IF(O824&lt;=cota_s*100+fi_s/20,0,(OFFSET('Base de dados'!$A$4,IF(O824&lt;20,1,IF(O824&gt;1000,10,MATCH(O824,Cargas,1))),Coluna_fis,1,1))*(PI()*(fi_s/1000)^2/4)*(2*9.81*(O824/100-cota_s-fi_s/2/1000))^0.5*1000)))</f>
        <v>1932.0358701556081</v>
      </c>
      <c r="R824" s="19">
        <f t="shared" ca="1" si="148"/>
        <v>1970.1069817479274</v>
      </c>
      <c r="S824" s="19">
        <f t="shared" ca="1" si="145"/>
        <v>4548.8462789472669</v>
      </c>
    </row>
    <row r="825" spans="13:19">
      <c r="M825" s="81">
        <f t="shared" ca="1" si="144"/>
        <v>6530.1662627538662</v>
      </c>
      <c r="N825" s="19">
        <f t="shared" si="146"/>
        <v>136.65187329853526</v>
      </c>
      <c r="O825" s="17">
        <f t="shared" si="147"/>
        <v>206</v>
      </c>
      <c r="P825" s="19">
        <f ca="1">IF(ISERROR(IF(O825&lt;fi_h/20,0,(OFFSET('Base de dados'!$A$5,IF(O825&lt;20,1,IF(O825&gt;1000,10,MATCH(O825,Cargas,1))),Coluna_fih,1,1))*(1+0.13*0.25)*(PI()*(fi_h/1000)^2/4)*SQRT(2*9.81*(O825/100-fi_h/2/1000))*1000)),"",IF(O825&lt;fi_h/20,0,(OFFSET('Base de dados'!$A$5,IF(O825&lt;20,1,IF(O825&gt;1000,10,MATCH(O825,Cargas,1))),Coluna_fih,1,1))*(PI()*(fi_h/1000)^2/4)*SQRT(2*9.81*(O825/100-fi_h/2/1000))*1000))</f>
        <v>38.094885534358525</v>
      </c>
      <c r="Q825" s="19">
        <f ca="1">IF(O825="","",IF(Tipo_Vertedor="Retangular",IF(O825&lt;=cota_s*100,0,IF(Tipo_Vertedor="Retangular",Cd_sr*Lef_sr*((O825/100-cota_s)^(3/2))*1000)),IF(O825&lt;=cota_s*100+fi_s/20,0,(OFFSET('Base de dados'!$A$4,IF(O825&lt;20,1,IF(O825&gt;1000,10,MATCH(O825,Cargas,1))),Coluna_fis,1,1))*(PI()*(fi_s/1000)^2/4)*(2*9.81*(O825/100-cota_s-fi_s/2/1000))^0.5*1000)))</f>
        <v>1937.008933934999</v>
      </c>
      <c r="R825" s="19">
        <f t="shared" ca="1" si="148"/>
        <v>1975.1038194693576</v>
      </c>
      <c r="S825" s="19">
        <f t="shared" ca="1" si="145"/>
        <v>4555.0624432845088</v>
      </c>
    </row>
    <row r="826" spans="13:19">
      <c r="M826" s="81">
        <f t="shared" ca="1" si="144"/>
        <v>6541.3844494169107</v>
      </c>
      <c r="N826" s="19">
        <f t="shared" si="146"/>
        <v>136.83838642406042</v>
      </c>
      <c r="O826" s="17">
        <f t="shared" si="147"/>
        <v>206.25</v>
      </c>
      <c r="P826" s="19">
        <f ca="1">IF(ISERROR(IF(O826&lt;fi_h/20,0,(OFFSET('Base de dados'!$A$5,IF(O826&lt;20,1,IF(O826&gt;1000,10,MATCH(O826,Cargas,1))),Coluna_fih,1,1))*(1+0.13*0.25)*(PI()*(fi_h/1000)^2/4)*SQRT(2*9.81*(O826/100-fi_h/2/1000))*1000)),"",IF(O826&lt;fi_h/20,0,(OFFSET('Base de dados'!$A$5,IF(O826&lt;20,1,IF(O826&gt;1000,10,MATCH(O826,Cargas,1))),Coluna_fih,1,1))*(PI()*(fi_h/1000)^2/4)*SQRT(2*9.81*(O826/100-fi_h/2/1000))*1000))</f>
        <v>38.118644649002427</v>
      </c>
      <c r="Q826" s="19">
        <f ca="1">IF(O826="","",IF(Tipo_Vertedor="Retangular",IF(O826&lt;=cota_s*100,0,IF(Tipo_Vertedor="Retangular",Cd_sr*Lef_sr*((O826/100-cota_s)^(3/2))*1000)),IF(O826&lt;=cota_s*100+fi_s/20,0,(OFFSET('Base de dados'!$A$4,IF(O826&lt;20,1,IF(O826&gt;1000,10,MATCH(O826,Cargas,1))),Coluna_fis,1,1))*(PI()*(fi_s/1000)^2/4)*(2*9.81*(O826/100-cota_s-fi_s/2/1000))^0.5*1000)))</f>
        <v>1941.9862572992276</v>
      </c>
      <c r="R826" s="19">
        <f t="shared" ca="1" si="148"/>
        <v>1980.10490194823</v>
      </c>
      <c r="S826" s="19">
        <f t="shared" ca="1" si="145"/>
        <v>4561.2795474686809</v>
      </c>
    </row>
    <row r="827" spans="13:19">
      <c r="M827" s="81">
        <f t="shared" ca="1" si="144"/>
        <v>6552.6078160724373</v>
      </c>
      <c r="N827" s="19">
        <f t="shared" si="146"/>
        <v>137.02492771507241</v>
      </c>
      <c r="O827" s="17">
        <f t="shared" si="147"/>
        <v>206.5</v>
      </c>
      <c r="P827" s="19">
        <f ca="1">IF(ISERROR(IF(O827&lt;fi_h/20,0,(OFFSET('Base de dados'!$A$5,IF(O827&lt;20,1,IF(O827&gt;1000,10,MATCH(O827,Cargas,1))),Coluna_fih,1,1))*(1+0.13*0.25)*(PI()*(fi_h/1000)^2/4)*SQRT(2*9.81*(O827/100-fi_h/2/1000))*1000)),"",IF(O827&lt;fi_h/20,0,(OFFSET('Base de dados'!$A$5,IF(O827&lt;20,1,IF(O827&gt;1000,10,MATCH(O827,Cargas,1))),Coluna_fih,1,1))*(PI()*(fi_h/1000)^2/4)*SQRT(2*9.81*(O827/100-fi_h/2/1000))*1000))</f>
        <v>38.142388963959299</v>
      </c>
      <c r="Q827" s="19">
        <f ca="1">IF(O827="","",IF(Tipo_Vertedor="Retangular",IF(O827&lt;=cota_s*100,0,IF(Tipo_Vertedor="Retangular",Cd_sr*Lef_sr*((O827/100-cota_s)^(3/2))*1000)),IF(O827&lt;=cota_s*100+fi_s/20,0,(OFFSET('Base de dados'!$A$4,IF(O827&lt;20,1,IF(O827&gt;1000,10,MATCH(O827,Cargas,1))),Coluna_fis,1,1))*(PI()*(fi_s/1000)^2/4)*(2*9.81*(O827/100-cota_s-fi_s/2/1000))^0.5*1000)))</f>
        <v>1946.9678366060646</v>
      </c>
      <c r="R827" s="19">
        <f t="shared" ca="1" si="148"/>
        <v>1985.1102255700239</v>
      </c>
      <c r="S827" s="19">
        <f t="shared" ca="1" si="145"/>
        <v>4567.4975905024139</v>
      </c>
    </row>
    <row r="828" spans="13:19">
      <c r="M828" s="81">
        <f t="shared" ca="1" si="144"/>
        <v>6563.836358120061</v>
      </c>
      <c r="N828" s="19">
        <f t="shared" si="146"/>
        <v>137.21149714171813</v>
      </c>
      <c r="O828" s="17">
        <f t="shared" si="147"/>
        <v>206.75</v>
      </c>
      <c r="P828" s="19">
        <f ca="1">IF(ISERROR(IF(O828&lt;fi_h/20,0,(OFFSET('Base de dados'!$A$5,IF(O828&lt;20,1,IF(O828&gt;1000,10,MATCH(O828,Cargas,1))),Coluna_fih,1,1))*(1+0.13*0.25)*(PI()*(fi_h/1000)^2/4)*SQRT(2*9.81*(O828/100-fi_h/2/1000))*1000)),"",IF(O828&lt;fi_h/20,0,(OFFSET('Base de dados'!$A$5,IF(O828&lt;20,1,IF(O828&gt;1000,10,MATCH(O828,Cargas,1))),Coluna_fih,1,1))*(PI()*(fi_h/1000)^2/4)*SQRT(2*9.81*(O828/100-fi_h/2/1000))*1000))</f>
        <v>38.166118506851163</v>
      </c>
      <c r="Q828" s="19">
        <f ca="1">IF(O828="","",IF(Tipo_Vertedor="Retangular",IF(O828&lt;=cota_s*100,0,IF(Tipo_Vertedor="Retangular",Cd_sr*Lef_sr*((O828/100-cota_s)^(3/2))*1000)),IF(O828&lt;=cota_s*100+fi_s/20,0,(OFFSET('Base de dados'!$A$4,IF(O828&lt;20,1,IF(O828&gt;1000,10,MATCH(O828,Cargas,1))),Coluna_fis,1,1))*(PI()*(fi_s/1000)^2/4)*(2*9.81*(O828/100-cota_s-fi_s/2/1000))^0.5*1000)))</f>
        <v>1951.9536682226058</v>
      </c>
      <c r="R828" s="19">
        <f t="shared" ca="1" si="148"/>
        <v>1990.119786729457</v>
      </c>
      <c r="S828" s="19">
        <f t="shared" ca="1" si="145"/>
        <v>4573.7165713906043</v>
      </c>
    </row>
    <row r="829" spans="13:19">
      <c r="M829" s="81">
        <f t="shared" ca="1" si="144"/>
        <v>6575.0700709708581</v>
      </c>
      <c r="N829" s="19">
        <f t="shared" si="146"/>
        <v>137.39809467421225</v>
      </c>
      <c r="O829" s="17">
        <f t="shared" si="147"/>
        <v>207</v>
      </c>
      <c r="P829" s="19">
        <f ca="1">IF(ISERROR(IF(O829&lt;fi_h/20,0,(OFFSET('Base de dados'!$A$5,IF(O829&lt;20,1,IF(O829&gt;1000,10,MATCH(O829,Cargas,1))),Coluna_fih,1,1))*(1+0.13*0.25)*(PI()*(fi_h/1000)^2/4)*SQRT(2*9.81*(O829/100-fi_h/2/1000))*1000)),"",IF(O829&lt;fi_h/20,0,(OFFSET('Base de dados'!$A$5,IF(O829&lt;20,1,IF(O829&gt;1000,10,MATCH(O829,Cargas,1))),Coluna_fih,1,1))*(PI()*(fi_h/1000)^2/4)*SQRT(2*9.81*(O829/100-fi_h/2/1000))*1000))</f>
        <v>38.189833305214229</v>
      </c>
      <c r="Q829" s="19">
        <f ca="1">IF(O829="","",IF(Tipo_Vertedor="Retangular",IF(O829&lt;=cota_s*100,0,IF(Tipo_Vertedor="Retangular",Cd_sr*Lef_sr*((O829/100-cota_s)^(3/2))*1000)),IF(O829&lt;=cota_s*100+fi_s/20,0,(OFFSET('Base de dados'!$A$4,IF(O829&lt;20,1,IF(O829&gt;1000,10,MATCH(O829,Cargas,1))),Coluna_fis,1,1))*(PI()*(fi_s/1000)^2/4)*(2*9.81*(O829/100-cota_s-fi_s/2/1000))^0.5*1000)))</f>
        <v>1956.9437485252352</v>
      </c>
      <c r="R829" s="19">
        <f t="shared" ca="1" si="148"/>
        <v>1995.1335818304494</v>
      </c>
      <c r="S829" s="19">
        <f t="shared" ca="1" si="145"/>
        <v>4579.9364891404084</v>
      </c>
    </row>
    <row r="830" spans="13:19">
      <c r="M830" s="81">
        <f t="shared" ca="1" si="144"/>
        <v>6586.3089500473088</v>
      </c>
      <c r="N830" s="19">
        <f t="shared" si="146"/>
        <v>137.58472028283674</v>
      </c>
      <c r="O830" s="17">
        <f t="shared" si="147"/>
        <v>207.25</v>
      </c>
      <c r="P830" s="19">
        <f ca="1">IF(ISERROR(IF(O830&lt;fi_h/20,0,(OFFSET('Base de dados'!$A$5,IF(O830&lt;20,1,IF(O830&gt;1000,10,MATCH(O830,Cargas,1))),Coluna_fih,1,1))*(1+0.13*0.25)*(PI()*(fi_h/1000)^2/4)*SQRT(2*9.81*(O830/100-fi_h/2/1000))*1000)),"",IF(O830&lt;fi_h/20,0,(OFFSET('Base de dados'!$A$5,IF(O830&lt;20,1,IF(O830&gt;1000,10,MATCH(O830,Cargas,1))),Coluna_fih,1,1))*(PI()*(fi_h/1000)^2/4)*SQRT(2*9.81*(O830/100-fi_h/2/1000))*1000))</f>
        <v>38.21353338649925</v>
      </c>
      <c r="Q830" s="19">
        <f ca="1">IF(O830="","",IF(Tipo_Vertedor="Retangular",IF(O830&lt;=cota_s*100,0,IF(Tipo_Vertedor="Retangular",Cd_sr*Lef_sr*((O830/100-cota_s)^(3/2))*1000)),IF(O830&lt;=cota_s*100+fi_s/20,0,(OFFSET('Base de dados'!$A$4,IF(O830&lt;20,1,IF(O830&gt;1000,10,MATCH(O830,Cargas,1))),Coluna_fis,1,1))*(PI()*(fi_s/1000)^2/4)*(2*9.81*(O830/100-cota_s-fi_s/2/1000))^0.5*1000)))</f>
        <v>1961.9380738995844</v>
      </c>
      <c r="R830" s="19">
        <f t="shared" ca="1" si="148"/>
        <v>2000.1516072860836</v>
      </c>
      <c r="S830" s="19">
        <f t="shared" ca="1" si="145"/>
        <v>4586.1573427612248</v>
      </c>
    </row>
    <row r="831" spans="13:19">
      <c r="M831" s="81">
        <f t="shared" ca="1" si="144"/>
        <v>6597.5529907832679</v>
      </c>
      <c r="N831" s="19">
        <f t="shared" si="146"/>
        <v>137.77137393794104</v>
      </c>
      <c r="O831" s="17">
        <f t="shared" si="147"/>
        <v>207.5</v>
      </c>
      <c r="P831" s="19">
        <f ca="1">IF(ISERROR(IF(O831&lt;fi_h/20,0,(OFFSET('Base de dados'!$A$5,IF(O831&lt;20,1,IF(O831&gt;1000,10,MATCH(O831,Cargas,1))),Coluna_fih,1,1))*(1+0.13*0.25)*(PI()*(fi_h/1000)^2/4)*SQRT(2*9.81*(O831/100-fi_h/2/1000))*1000)),"",IF(O831&lt;fi_h/20,0,(OFFSET('Base de dados'!$A$5,IF(O831&lt;20,1,IF(O831&gt;1000,10,MATCH(O831,Cargas,1))),Coluna_fih,1,1))*(PI()*(fi_h/1000)^2/4)*SQRT(2*9.81*(O831/100-fi_h/2/1000))*1000))</f>
        <v>38.23721877807192</v>
      </c>
      <c r="Q831" s="19">
        <f ca="1">IF(O831="","",IF(Tipo_Vertedor="Retangular",IF(O831&lt;=cota_s*100,0,IF(Tipo_Vertedor="Retangular",Cd_sr*Lef_sr*((O831/100-cota_s)^(3/2))*1000)),IF(O831&lt;=cota_s*100+fi_s/20,0,(OFFSET('Base de dados'!$A$4,IF(O831&lt;20,1,IF(O831&gt;1000,10,MATCH(O831,Cargas,1))),Coluna_fis,1,1))*(PI()*(fi_s/1000)^2/4)*(2*9.81*(O831/100-cota_s-fi_s/2/1000))^0.5*1000)))</f>
        <v>1966.9366407404946</v>
      </c>
      <c r="R831" s="19">
        <f t="shared" ca="1" si="148"/>
        <v>2005.1738595185666</v>
      </c>
      <c r="S831" s="19">
        <f t="shared" ca="1" si="145"/>
        <v>4592.3791312647018</v>
      </c>
    </row>
    <row r="832" spans="13:19">
      <c r="M832" s="81">
        <f t="shared" ca="1" si="144"/>
        <v>6608.8021886238985</v>
      </c>
      <c r="N832" s="19">
        <f t="shared" si="146"/>
        <v>137.95805560994134</v>
      </c>
      <c r="O832" s="17">
        <f t="shared" si="147"/>
        <v>207.75</v>
      </c>
      <c r="P832" s="19">
        <f ca="1">IF(ISERROR(IF(O832&lt;fi_h/20,0,(OFFSET('Base de dados'!$A$5,IF(O832&lt;20,1,IF(O832&gt;1000,10,MATCH(O832,Cargas,1))),Coluna_fih,1,1))*(1+0.13*0.25)*(PI()*(fi_h/1000)^2/4)*SQRT(2*9.81*(O832/100-fi_h/2/1000))*1000)),"",IF(O832&lt;fi_h/20,0,(OFFSET('Base de dados'!$A$5,IF(O832&lt;20,1,IF(O832&gt;1000,10,MATCH(O832,Cargas,1))),Coluna_fih,1,1))*(PI()*(fi_h/1000)^2/4)*SQRT(2*9.81*(O832/100-fi_h/2/1000))*1000))</f>
        <v>38.260889507213228</v>
      </c>
      <c r="Q832" s="19">
        <f ca="1">IF(O832="","",IF(Tipo_Vertedor="Retangular",IF(O832&lt;=cota_s*100,0,IF(Tipo_Vertedor="Retangular",Cd_sr*Lef_sr*((O832/100-cota_s)^(3/2))*1000)),IF(O832&lt;=cota_s*100+fi_s/20,0,(OFFSET('Base de dados'!$A$4,IF(O832&lt;20,1,IF(O832&gt;1000,10,MATCH(O832,Cargas,1))),Coluna_fis,1,1))*(PI()*(fi_s/1000)^2/4)*(2*9.81*(O832/100-cota_s-fi_s/2/1000))^0.5*1000)))</f>
        <v>1971.9394454519736</v>
      </c>
      <c r="R832" s="19">
        <f t="shared" ca="1" si="148"/>
        <v>2010.2003349591869</v>
      </c>
      <c r="S832" s="19">
        <f t="shared" ca="1" si="145"/>
        <v>4598.6018536647116</v>
      </c>
    </row>
    <row r="833" spans="13:19">
      <c r="M833" s="81">
        <f t="shared" ca="1" si="144"/>
        <v>6620.0565390256425</v>
      </c>
      <c r="N833" s="19">
        <f t="shared" si="146"/>
        <v>138.14476526932077</v>
      </c>
      <c r="O833" s="17">
        <f t="shared" si="147"/>
        <v>208</v>
      </c>
      <c r="P833" s="19">
        <f ca="1">IF(ISERROR(IF(O833&lt;fi_h/20,0,(OFFSET('Base de dados'!$A$5,IF(O833&lt;20,1,IF(O833&gt;1000,10,MATCH(O833,Cargas,1))),Coluna_fih,1,1))*(1+0.13*0.25)*(PI()*(fi_h/1000)^2/4)*SQRT(2*9.81*(O833/100-fi_h/2/1000))*1000)),"",IF(O833&lt;fi_h/20,0,(OFFSET('Base de dados'!$A$5,IF(O833&lt;20,1,IF(O833&gt;1000,10,MATCH(O833,Cargas,1))),Coluna_fih,1,1))*(PI()*(fi_h/1000)^2/4)*SQRT(2*9.81*(O833/100-fi_h/2/1000))*1000))</f>
        <v>38.28454560111981</v>
      </c>
      <c r="Q833" s="19">
        <f ca="1">IF(O833="","",IF(Tipo_Vertedor="Retangular",IF(O833&lt;=cota_s*100,0,IF(Tipo_Vertedor="Retangular",Cd_sr*Lef_sr*((O833/100-cota_s)^(3/2))*1000)),IF(O833&lt;=cota_s*100+fi_s/20,0,(OFFSET('Base de dados'!$A$4,IF(O833&lt;20,1,IF(O833&gt;1000,10,MATCH(O833,Cargas,1))),Coluna_fis,1,1))*(PI()*(fi_s/1000)^2/4)*(2*9.81*(O833/100-cota_s-fi_s/2/1000))^0.5*1000)))</f>
        <v>1976.9464844471636</v>
      </c>
      <c r="R833" s="19">
        <f t="shared" ca="1" si="148"/>
        <v>2015.2310300482834</v>
      </c>
      <c r="S833" s="19">
        <f t="shared" ca="1" si="145"/>
        <v>4604.8255089773593</v>
      </c>
    </row>
    <row r="834" spans="13:19">
      <c r="M834" s="81">
        <f t="shared" ca="1" si="144"/>
        <v>6631.3160374561676</v>
      </c>
      <c r="N834" s="19">
        <f t="shared" si="146"/>
        <v>138.33150288662898</v>
      </c>
      <c r="O834" s="17">
        <f t="shared" si="147"/>
        <v>208.25</v>
      </c>
      <c r="P834" s="19">
        <f ca="1">IF(ISERROR(IF(O834&lt;fi_h/20,0,(OFFSET('Base de dados'!$A$5,IF(O834&lt;20,1,IF(O834&gt;1000,10,MATCH(O834,Cargas,1))),Coluna_fih,1,1))*(1+0.13*0.25)*(PI()*(fi_h/1000)^2/4)*SQRT(2*9.81*(O834/100-fi_h/2/1000))*1000)),"",IF(O834&lt;fi_h/20,0,(OFFSET('Base de dados'!$A$5,IF(O834&lt;20,1,IF(O834&gt;1000,10,MATCH(O834,Cargas,1))),Coluna_fih,1,1))*(PI()*(fi_h/1000)^2/4)*SQRT(2*9.81*(O834/100-fi_h/2/1000))*1000))</f>
        <v>38.308187086904347</v>
      </c>
      <c r="Q834" s="19">
        <f ca="1">IF(O834="","",IF(Tipo_Vertedor="Retangular",IF(O834&lt;=cota_s*100,0,IF(Tipo_Vertedor="Retangular",Cd_sr*Lef_sr*((O834/100-cota_s)^(3/2))*1000)),IF(O834&lt;=cota_s*100+fi_s/20,0,(OFFSET('Base de dados'!$A$4,IF(O834&lt;20,1,IF(O834&gt;1000,10,MATCH(O834,Cargas,1))),Coluna_fis,1,1))*(PI()*(fi_s/1000)^2/4)*(2*9.81*(O834/100-cota_s-fi_s/2/1000))^0.5*1000)))</f>
        <v>1981.9577541482972</v>
      </c>
      <c r="R834" s="19">
        <f t="shared" ca="1" si="148"/>
        <v>2020.2659412352016</v>
      </c>
      <c r="S834" s="19">
        <f t="shared" ca="1" si="145"/>
        <v>4611.0500962209662</v>
      </c>
    </row>
    <row r="835" spans="13:19">
      <c r="M835" s="81">
        <f t="shared" ca="1" si="144"/>
        <v>6642.5806793943193</v>
      </c>
      <c r="N835" s="19">
        <f t="shared" si="146"/>
        <v>138.51826843248185</v>
      </c>
      <c r="O835" s="17">
        <f t="shared" si="147"/>
        <v>208.5</v>
      </c>
      <c r="P835" s="19">
        <f ca="1">IF(ISERROR(IF(O835&lt;fi_h/20,0,(OFFSET('Base de dados'!$A$5,IF(O835&lt;20,1,IF(O835&gt;1000,10,MATCH(O835,Cargas,1))),Coluna_fih,1,1))*(1+0.13*0.25)*(PI()*(fi_h/1000)^2/4)*SQRT(2*9.81*(O835/100-fi_h/2/1000))*1000)),"",IF(O835&lt;fi_h/20,0,(OFFSET('Base de dados'!$A$5,IF(O835&lt;20,1,IF(O835&gt;1000,10,MATCH(O835,Cargas,1))),Coluna_fih,1,1))*(PI()*(fi_h/1000)^2/4)*SQRT(2*9.81*(O835/100-fi_h/2/1000))*1000))</f>
        <v>38.331813991595915</v>
      </c>
      <c r="Q835" s="19">
        <f ca="1">IF(O835="","",IF(Tipo_Vertedor="Retangular",IF(O835&lt;=cota_s*100,0,IF(Tipo_Vertedor="Retangular",Cd_sr*Lef_sr*((O835/100-cota_s)^(3/2))*1000)),IF(O835&lt;=cota_s*100+fi_s/20,0,(OFFSET('Base de dados'!$A$4,IF(O835&lt;20,1,IF(O835&gt;1000,10,MATCH(O835,Cargas,1))),Coluna_fis,1,1))*(PI()*(fi_s/1000)^2/4)*(2*9.81*(O835/100-cota_s-fi_s/2/1000))^0.5*1000)))</f>
        <v>1986.9732509866608</v>
      </c>
      <c r="R835" s="19">
        <f t="shared" ca="1" si="148"/>
        <v>2025.3050649782567</v>
      </c>
      <c r="S835" s="19">
        <f t="shared" ca="1" si="145"/>
        <v>4617.2756144160621</v>
      </c>
    </row>
    <row r="836" spans="13:19">
      <c r="M836" s="81">
        <f t="shared" ca="1" si="144"/>
        <v>6653.8504603300789</v>
      </c>
      <c r="N836" s="19">
        <f t="shared" si="146"/>
        <v>138.70506187756146</v>
      </c>
      <c r="O836" s="17">
        <f t="shared" si="147"/>
        <v>208.75</v>
      </c>
      <c r="P836" s="19">
        <f ca="1">IF(ISERROR(IF(O836&lt;fi_h/20,0,(OFFSET('Base de dados'!$A$5,IF(O836&lt;20,1,IF(O836&gt;1000,10,MATCH(O836,Cargas,1))),Coluna_fih,1,1))*(1+0.13*0.25)*(PI()*(fi_h/1000)^2/4)*SQRT(2*9.81*(O836/100-fi_h/2/1000))*1000)),"",IF(O836&lt;fi_h/20,0,(OFFSET('Base de dados'!$A$5,IF(O836&lt;20,1,IF(O836&gt;1000,10,MATCH(O836,Cargas,1))),Coluna_fih,1,1))*(PI()*(fi_h/1000)^2/4)*SQRT(2*9.81*(O836/100-fi_h/2/1000))*1000))</f>
        <v>38.355426342140305</v>
      </c>
      <c r="Q836" s="19">
        <f ca="1">IF(O836="","",IF(Tipo_Vertedor="Retangular",IF(O836&lt;=cota_s*100,0,IF(Tipo_Vertedor="Retangular",Cd_sr*Lef_sr*((O836/100-cota_s)^(3/2))*1000)),IF(O836&lt;=cota_s*100+fi_s/20,0,(OFFSET('Base de dados'!$A$4,IF(O836&lt;20,1,IF(O836&gt;1000,10,MATCH(O836,Cargas,1))),Coluna_fis,1,1))*(PI()*(fi_s/1000)^2/4)*(2*9.81*(O836/100-cota_s-fi_s/2/1000))^0.5*1000)))</f>
        <v>1991.9929714025566</v>
      </c>
      <c r="R836" s="19">
        <f t="shared" ca="1" si="148"/>
        <v>2030.348397744697</v>
      </c>
      <c r="S836" s="19">
        <f t="shared" ca="1" si="145"/>
        <v>4623.5020625853822</v>
      </c>
    </row>
    <row r="837" spans="13:19">
      <c r="M837" s="81">
        <f t="shared" ref="M837:M900" ca="1" si="149">IF(O837="","",2*N837*1000/(Passo*60)+R837)</f>
        <v>6665.12537576452</v>
      </c>
      <c r="N837" s="19">
        <f t="shared" si="146"/>
        <v>138.89188319261564</v>
      </c>
      <c r="O837" s="17">
        <f t="shared" si="147"/>
        <v>209</v>
      </c>
      <c r="P837" s="19">
        <f ca="1">IF(ISERROR(IF(O837&lt;fi_h/20,0,(OFFSET('Base de dados'!$A$5,IF(O837&lt;20,1,IF(O837&gt;1000,10,MATCH(O837,Cargas,1))),Coluna_fih,1,1))*(1+0.13*0.25)*(PI()*(fi_h/1000)^2/4)*SQRT(2*9.81*(O837/100-fi_h/2/1000))*1000)),"",IF(O837&lt;fi_h/20,0,(OFFSET('Base de dados'!$A$5,IF(O837&lt;20,1,IF(O837&gt;1000,10,MATCH(O837,Cargas,1))),Coluna_fih,1,1))*(PI()*(fi_h/1000)^2/4)*SQRT(2*9.81*(O837/100-fi_h/2/1000))*1000))</f>
        <v>38.379024165400473</v>
      </c>
      <c r="Q837" s="19">
        <f ca="1">IF(O837="","",IF(Tipo_Vertedor="Retangular",IF(O837&lt;=cota_s*100,0,IF(Tipo_Vertedor="Retangular",Cd_sr*Lef_sr*((O837/100-cota_s)^(3/2))*1000)),IF(O837&lt;=cota_s*100+fi_s/20,0,(OFFSET('Base de dados'!$A$4,IF(O837&lt;20,1,IF(O837&gt;1000,10,MATCH(O837,Cargas,1))),Coluna_fis,1,1))*(PI()*(fi_s/1000)^2/4)*(2*9.81*(O837/100-cota_s-fi_s/2/1000))^0.5*1000)))</f>
        <v>1997.016911845265</v>
      </c>
      <c r="R837" s="19">
        <f t="shared" ca="1" si="148"/>
        <v>2035.3959360106655</v>
      </c>
      <c r="S837" s="19">
        <f t="shared" ref="S837:S900" ca="1" si="150">IF(M837="","",2*N837*1000/(Passo*60))</f>
        <v>4629.7294397538544</v>
      </c>
    </row>
    <row r="838" spans="13:19">
      <c r="M838" s="81">
        <f t="shared" ca="1" si="149"/>
        <v>6676.4054212097581</v>
      </c>
      <c r="N838" s="19">
        <f t="shared" ref="N838:N901" si="151">IF(O838="","",b_0*(O838/100)^c_0)</f>
        <v>139.07873234845786</v>
      </c>
      <c r="O838" s="17">
        <f t="shared" si="147"/>
        <v>209.25</v>
      </c>
      <c r="P838" s="19">
        <f ca="1">IF(ISERROR(IF(O838&lt;fi_h/20,0,(OFFSET('Base de dados'!$A$5,IF(O838&lt;20,1,IF(O838&gt;1000,10,MATCH(O838,Cargas,1))),Coluna_fih,1,1))*(1+0.13*0.25)*(PI()*(fi_h/1000)^2/4)*SQRT(2*9.81*(O838/100-fi_h/2/1000))*1000)),"",IF(O838&lt;fi_h/20,0,(OFFSET('Base de dados'!$A$5,IF(O838&lt;20,1,IF(O838&gt;1000,10,MATCH(O838,Cargas,1))),Coluna_fih,1,1))*(PI()*(fi_h/1000)^2/4)*SQRT(2*9.81*(O838/100-fi_h/2/1000))*1000))</f>
        <v>38.402607488156804</v>
      </c>
      <c r="Q838" s="19">
        <f ca="1">IF(O838="","",IF(Tipo_Vertedor="Retangular",IF(O838&lt;=cota_s*100,0,IF(Tipo_Vertedor="Retangular",Cd_sr*Lef_sr*((O838/100-cota_s)^(3/2))*1000)),IF(O838&lt;=cota_s*100+fi_s/20,0,(OFFSET('Base de dados'!$A$4,IF(O838&lt;20,1,IF(O838&gt;1000,10,MATCH(O838,Cargas,1))),Coluna_fis,1,1))*(PI()*(fi_s/1000)^2/4)*(2*9.81*(O838/100-cota_s-fi_s/2/1000))^0.5*1000)))</f>
        <v>2002.0450687730058</v>
      </c>
      <c r="R838" s="19">
        <f t="shared" ca="1" si="148"/>
        <v>2040.4476762611625</v>
      </c>
      <c r="S838" s="19">
        <f t="shared" ca="1" si="150"/>
        <v>4635.9577449485951</v>
      </c>
    </row>
    <row r="839" spans="13:19">
      <c r="M839" s="81">
        <f t="shared" ca="1" si="149"/>
        <v>6687.6905921889147</v>
      </c>
      <c r="N839" s="19">
        <f t="shared" si="151"/>
        <v>139.26560931596711</v>
      </c>
      <c r="O839" s="17">
        <f t="shared" si="147"/>
        <v>209.5</v>
      </c>
      <c r="P839" s="19">
        <f ca="1">IF(ISERROR(IF(O839&lt;fi_h/20,0,(OFFSET('Base de dados'!$A$5,IF(O839&lt;20,1,IF(O839&gt;1000,10,MATCH(O839,Cargas,1))),Coluna_fih,1,1))*(1+0.13*0.25)*(PI()*(fi_h/1000)^2/4)*SQRT(2*9.81*(O839/100-fi_h/2/1000))*1000)),"",IF(O839&lt;fi_h/20,0,(OFFSET('Base de dados'!$A$5,IF(O839&lt;20,1,IF(O839&gt;1000,10,MATCH(O839,Cargas,1))),Coluna_fih,1,1))*(PI()*(fi_h/1000)^2/4)*SQRT(2*9.81*(O839/100-fi_h/2/1000))*1000))</f>
        <v>38.426176337107492</v>
      </c>
      <c r="Q839" s="19">
        <f ca="1">IF(O839="","",IF(Tipo_Vertedor="Retangular",IF(O839&lt;=cota_s*100,0,IF(Tipo_Vertedor="Retangular",Cd_sr*Lef_sr*((O839/100-cota_s)^(3/2))*1000)),IF(O839&lt;=cota_s*100+fi_s/20,0,(OFFSET('Base de dados'!$A$4,IF(O839&lt;20,1,IF(O839&gt;1000,10,MATCH(O839,Cargas,1))),Coluna_fis,1,1))*(PI()*(fi_s/1000)^2/4)*(2*9.81*(O839/100-cota_s-fi_s/2/1000))^0.5*1000)))</f>
        <v>2007.077438652904</v>
      </c>
      <c r="R839" s="19">
        <f t="shared" ca="1" si="148"/>
        <v>2045.5036149900116</v>
      </c>
      <c r="S839" s="19">
        <f t="shared" ca="1" si="150"/>
        <v>4642.1869771989032</v>
      </c>
    </row>
    <row r="840" spans="13:19">
      <c r="M840" s="81">
        <f t="shared" ca="1" si="149"/>
        <v>6698.9808842360599</v>
      </c>
      <c r="N840" s="19">
        <f t="shared" si="151"/>
        <v>139.45251406608736</v>
      </c>
      <c r="O840" s="17">
        <f t="shared" si="147"/>
        <v>209.75</v>
      </c>
      <c r="P840" s="19">
        <f ca="1">IF(ISERROR(IF(O840&lt;fi_h/20,0,(OFFSET('Base de dados'!$A$5,IF(O840&lt;20,1,IF(O840&gt;1000,10,MATCH(O840,Cargas,1))),Coluna_fih,1,1))*(1+0.13*0.25)*(PI()*(fi_h/1000)^2/4)*SQRT(2*9.81*(O840/100-fi_h/2/1000))*1000)),"",IF(O840&lt;fi_h/20,0,(OFFSET('Base de dados'!$A$5,IF(O840&lt;20,1,IF(O840&gt;1000,10,MATCH(O840,Cargas,1))),Coluna_fih,1,1))*(PI()*(fi_h/1000)^2/4)*SQRT(2*9.81*(O840/100-fi_h/2/1000))*1000))</f>
        <v>38.449730738868936</v>
      </c>
      <c r="Q840" s="19">
        <f ca="1">IF(O840="","",IF(Tipo_Vertedor="Retangular",IF(O840&lt;=cota_s*100,0,IF(Tipo_Vertedor="Retangular",Cd_sr*Lef_sr*((O840/100-cota_s)^(3/2))*1000)),IF(O840&lt;=cota_s*100+fi_s/20,0,(OFFSET('Base de dados'!$A$4,IF(O840&lt;20,1,IF(O840&gt;1000,10,MATCH(O840,Cargas,1))),Coluna_fis,1,1))*(PI()*(fi_s/1000)^2/4)*(2*9.81*(O840/100-cota_s-fi_s/2/1000))^0.5*1000)))</f>
        <v>2012.1140179609451</v>
      </c>
      <c r="R840" s="19">
        <f t="shared" ca="1" si="148"/>
        <v>2050.5637486998139</v>
      </c>
      <c r="S840" s="19">
        <f t="shared" ca="1" si="150"/>
        <v>4648.417135536246</v>
      </c>
    </row>
    <row r="841" spans="13:19">
      <c r="M841" s="81">
        <f t="shared" ca="1" si="149"/>
        <v>6710.2762928961783</v>
      </c>
      <c r="N841" s="19">
        <f t="shared" si="151"/>
        <v>139.63944656982764</v>
      </c>
      <c r="O841" s="17">
        <f t="shared" si="147"/>
        <v>210</v>
      </c>
      <c r="P841" s="19">
        <f ca="1">IF(ISERROR(IF(O841&lt;fi_h/20,0,(OFFSET('Base de dados'!$A$5,IF(O841&lt;20,1,IF(O841&gt;1000,10,MATCH(O841,Cargas,1))),Coluna_fih,1,1))*(1+0.13*0.25)*(PI()*(fi_h/1000)^2/4)*SQRT(2*9.81*(O841/100-fi_h/2/1000))*1000)),"",IF(O841&lt;fi_h/20,0,(OFFSET('Base de dados'!$A$5,IF(O841&lt;20,1,IF(O841&gt;1000,10,MATCH(O841,Cargas,1))),Coluna_fih,1,1))*(PI()*(fi_h/1000)^2/4)*SQRT(2*9.81*(O841/100-fi_h/2/1000))*1000))</f>
        <v>38.473270719976043</v>
      </c>
      <c r="Q841" s="19">
        <f ca="1">IF(O841="","",IF(Tipo_Vertedor="Retangular",IF(O841&lt;=cota_s*100,0,IF(Tipo_Vertedor="Retangular",Cd_sr*Lef_sr*((O841/100-cota_s)^(3/2))*1000)),IF(O841&lt;=cota_s*100+fi_s/20,0,(OFFSET('Base de dados'!$A$4,IF(O841&lt;20,1,IF(O841&gt;1000,10,MATCH(O841,Cargas,1))),Coluna_fis,1,1))*(PI()*(fi_s/1000)^2/4)*(2*9.81*(O841/100-cota_s-fi_s/2/1000))^0.5*1000)))</f>
        <v>2017.1548031819473</v>
      </c>
      <c r="R841" s="19">
        <f t="shared" ca="1" si="148"/>
        <v>2055.6280739019235</v>
      </c>
      <c r="S841" s="19">
        <f t="shared" ca="1" si="150"/>
        <v>4654.6482189942553</v>
      </c>
    </row>
    <row r="842" spans="13:19">
      <c r="M842" s="81">
        <f t="shared" ca="1" si="149"/>
        <v>6721.5768137251289</v>
      </c>
      <c r="N842" s="19">
        <f t="shared" si="151"/>
        <v>139.82640679826181</v>
      </c>
      <c r="O842" s="17">
        <f t="shared" si="147"/>
        <v>210.25</v>
      </c>
      <c r="P842" s="19">
        <f ca="1">IF(ISERROR(IF(O842&lt;fi_h/20,0,(OFFSET('Base de dados'!$A$5,IF(O842&lt;20,1,IF(O842&gt;1000,10,MATCH(O842,Cargas,1))),Coluna_fih,1,1))*(1+0.13*0.25)*(PI()*(fi_h/1000)^2/4)*SQRT(2*9.81*(O842/100-fi_h/2/1000))*1000)),"",IF(O842&lt;fi_h/20,0,(OFFSET('Base de dados'!$A$5,IF(O842&lt;20,1,IF(O842&gt;1000,10,MATCH(O842,Cargas,1))),Coluna_fih,1,1))*(PI()*(fi_h/1000)^2/4)*SQRT(2*9.81*(O842/100-fi_h/2/1000))*1000))</f>
        <v>38.496796306882587</v>
      </c>
      <c r="Q842" s="19">
        <f ca="1">IF(O842="","",IF(Tipo_Vertedor="Retangular",IF(O842&lt;=cota_s*100,0,IF(Tipo_Vertedor="Retangular",Cd_sr*Lef_sr*((O842/100-cota_s)^(3/2))*1000)),IF(O842&lt;=cota_s*100+fi_s/20,0,(OFFSET('Base de dados'!$A$4,IF(O842&lt;20,1,IF(O842&gt;1000,10,MATCH(O842,Cargas,1))),Coluna_fis,1,1))*(PI()*(fi_s/1000)^2/4)*(2*9.81*(O842/100-cota_s-fi_s/2/1000))^0.5*1000)))</f>
        <v>2022.1997908095188</v>
      </c>
      <c r="R842" s="19">
        <f t="shared" ca="1" si="148"/>
        <v>2060.6965871164016</v>
      </c>
      <c r="S842" s="19">
        <f t="shared" ca="1" si="150"/>
        <v>4660.8802266087268</v>
      </c>
    </row>
    <row r="843" spans="13:19">
      <c r="M843" s="81">
        <f t="shared" ca="1" si="149"/>
        <v>6732.8824422895868</v>
      </c>
      <c r="N843" s="19">
        <f t="shared" si="151"/>
        <v>140.01339472252806</v>
      </c>
      <c r="O843" s="17">
        <f t="shared" si="147"/>
        <v>210.5</v>
      </c>
      <c r="P843" s="19">
        <f ca="1">IF(ISERROR(IF(O843&lt;fi_h/20,0,(OFFSET('Base de dados'!$A$5,IF(O843&lt;20,1,IF(O843&gt;1000,10,MATCH(O843,Cargas,1))),Coluna_fih,1,1))*(1+0.13*0.25)*(PI()*(fi_h/1000)^2/4)*SQRT(2*9.81*(O843/100-fi_h/2/1000))*1000)),"",IF(O843&lt;fi_h/20,0,(OFFSET('Base de dados'!$A$5,IF(O843&lt;20,1,IF(O843&gt;1000,10,MATCH(O843,Cargas,1))),Coluna_fih,1,1))*(PI()*(fi_h/1000)^2/4)*SQRT(2*9.81*(O843/100-fi_h/2/1000))*1000))</f>
        <v>38.520307525961577</v>
      </c>
      <c r="Q843" s="19">
        <f ca="1">IF(O843="","",IF(Tipo_Vertedor="Retangular",IF(O843&lt;=cota_s*100,0,IF(Tipo_Vertedor="Retangular",Cd_sr*Lef_sr*((O843/100-cota_s)^(3/2))*1000)),IF(O843&lt;=cota_s*100+fi_s/20,0,(OFFSET('Base de dados'!$A$4,IF(O843&lt;20,1,IF(O843&gt;1000,10,MATCH(O843,Cargas,1))),Coluna_fis,1,1))*(PI()*(fi_s/1000)^2/4)*(2*9.81*(O843/100-cota_s-fi_s/2/1000))^0.5*1000)))</f>
        <v>2027.2489773460238</v>
      </c>
      <c r="R843" s="19">
        <f t="shared" ca="1" si="148"/>
        <v>2065.7692848719853</v>
      </c>
      <c r="S843" s="19">
        <f t="shared" ca="1" si="150"/>
        <v>4667.1131574176015</v>
      </c>
    </row>
    <row r="844" spans="13:19">
      <c r="M844" s="81">
        <f t="shared" ca="1" si="149"/>
        <v>6744.1931741670141</v>
      </c>
      <c r="N844" s="19">
        <f t="shared" si="151"/>
        <v>140.20041031382897</v>
      </c>
      <c r="O844" s="17">
        <f t="shared" si="147"/>
        <v>210.75</v>
      </c>
      <c r="P844" s="19">
        <f ca="1">IF(ISERROR(IF(O844&lt;fi_h/20,0,(OFFSET('Base de dados'!$A$5,IF(O844&lt;20,1,IF(O844&gt;1000,10,MATCH(O844,Cargas,1))),Coluna_fih,1,1))*(1+0.13*0.25)*(PI()*(fi_h/1000)^2/4)*SQRT(2*9.81*(O844/100-fi_h/2/1000))*1000)),"",IF(O844&lt;fi_h/20,0,(OFFSET('Base de dados'!$A$5,IF(O844&lt;20,1,IF(O844&gt;1000,10,MATCH(O844,Cargas,1))),Coluna_fih,1,1))*(PI()*(fi_h/1000)^2/4)*SQRT(2*9.81*(O844/100-fi_h/2/1000))*1000))</f>
        <v>38.543804403505554</v>
      </c>
      <c r="Q844" s="19">
        <f ca="1">IF(O844="","",IF(Tipo_Vertedor="Retangular",IF(O844&lt;=cota_s*100,0,IF(Tipo_Vertedor="Retangular",Cd_sr*Lef_sr*((O844/100-cota_s)^(3/2))*1000)),IF(O844&lt;=cota_s*100+fi_s/20,0,(OFFSET('Base de dados'!$A$4,IF(O844&lt;20,1,IF(O844&gt;1000,10,MATCH(O844,Cargas,1))),Coluna_fis,1,1))*(PI()*(fi_s/1000)^2/4)*(2*9.81*(O844/100-cota_s-fi_s/2/1000))^0.5*1000)))</f>
        <v>2032.3023593025441</v>
      </c>
      <c r="R844" s="19">
        <f t="shared" ca="1" si="148"/>
        <v>2070.8461637060495</v>
      </c>
      <c r="S844" s="19">
        <f t="shared" ca="1" si="150"/>
        <v>4673.3470104609651</v>
      </c>
    </row>
    <row r="845" spans="13:19">
      <c r="M845" s="81">
        <f t="shared" ca="1" si="149"/>
        <v>6755.5090049456103</v>
      </c>
      <c r="N845" s="19">
        <f t="shared" si="151"/>
        <v>140.38745354343115</v>
      </c>
      <c r="O845" s="17">
        <f t="shared" si="147"/>
        <v>211</v>
      </c>
      <c r="P845" s="19">
        <f ca="1">IF(ISERROR(IF(O845&lt;fi_h/20,0,(OFFSET('Base de dados'!$A$5,IF(O845&lt;20,1,IF(O845&gt;1000,10,MATCH(O845,Cargas,1))),Coluna_fih,1,1))*(1+0.13*0.25)*(PI()*(fi_h/1000)^2/4)*SQRT(2*9.81*(O845/100-fi_h/2/1000))*1000)),"",IF(O845&lt;fi_h/20,0,(OFFSET('Base de dados'!$A$5,IF(O845&lt;20,1,IF(O845&gt;1000,10,MATCH(O845,Cargas,1))),Coluna_fih,1,1))*(PI()*(fi_h/1000)^2/4)*SQRT(2*9.81*(O845/100-fi_h/2/1000))*1000))</f>
        <v>38.567286965727028</v>
      </c>
      <c r="Q845" s="19">
        <f ca="1">IF(O845="","",IF(Tipo_Vertedor="Retangular",IF(O845&lt;=cota_s*100,0,IF(Tipo_Vertedor="Retangular",Cd_sr*Lef_sr*((O845/100-cota_s)^(3/2))*1000)),IF(O845&lt;=cota_s*100+fi_s/20,0,(OFFSET('Base de dados'!$A$4,IF(O845&lt;20,1,IF(O845&gt;1000,10,MATCH(O845,Cargas,1))),Coluna_fis,1,1))*(PI()*(fi_s/1000)^2/4)*(2*9.81*(O845/100-cota_s-fi_s/2/1000))^0.5*1000)))</f>
        <v>2037.3599331988444</v>
      </c>
      <c r="R845" s="19">
        <f t="shared" ca="1" si="148"/>
        <v>2075.9272201645713</v>
      </c>
      <c r="S845" s="19">
        <f t="shared" ca="1" si="150"/>
        <v>4679.5817847810386</v>
      </c>
    </row>
    <row r="846" spans="13:19">
      <c r="M846" s="81">
        <f t="shared" ca="1" si="149"/>
        <v>6766.8299302242649</v>
      </c>
      <c r="N846" s="19">
        <f t="shared" si="151"/>
        <v>140.57452438266512</v>
      </c>
      <c r="O846" s="17">
        <f t="shared" si="147"/>
        <v>211.25</v>
      </c>
      <c r="P846" s="19">
        <f ca="1">IF(ISERROR(IF(O846&lt;fi_h/20,0,(OFFSET('Base de dados'!$A$5,IF(O846&lt;20,1,IF(O846&gt;1000,10,MATCH(O846,Cargas,1))),Coluna_fih,1,1))*(1+0.13*0.25)*(PI()*(fi_h/1000)^2/4)*SQRT(2*9.81*(O846/100-fi_h/2/1000))*1000)),"",IF(O846&lt;fi_h/20,0,(OFFSET('Base de dados'!$A$5,IF(O846&lt;20,1,IF(O846&gt;1000,10,MATCH(O846,Cargas,1))),Coluna_fih,1,1))*(PI()*(fi_h/1000)^2/4)*SQRT(2*9.81*(O846/100-fi_h/2/1000))*1000))</f>
        <v>38.590755238758682</v>
      </c>
      <c r="Q846" s="19">
        <f ca="1">IF(O846="","",IF(Tipo_Vertedor="Retangular",IF(O846&lt;=cota_s*100,0,IF(Tipo_Vertedor="Retangular",Cd_sr*Lef_sr*((O846/100-cota_s)^(3/2))*1000)),IF(O846&lt;=cota_s*100+fi_s/20,0,(OFFSET('Base de dados'!$A$4,IF(O846&lt;20,1,IF(O846&gt;1000,10,MATCH(O846,Cargas,1))),Coluna_fis,1,1))*(PI()*(fi_s/1000)^2/4)*(2*9.81*(O846/100-cota_s-fi_s/2/1000))^0.5*1000)))</f>
        <v>2042.4216955633358</v>
      </c>
      <c r="R846" s="19">
        <f t="shared" ca="1" si="148"/>
        <v>2081.0124508020945</v>
      </c>
      <c r="S846" s="19">
        <f t="shared" ca="1" si="150"/>
        <v>4685.8174794221704</v>
      </c>
    </row>
    <row r="847" spans="13:19">
      <c r="M847" s="81">
        <f t="shared" ca="1" si="149"/>
        <v>6778.1559456125287</v>
      </c>
      <c r="N847" s="19">
        <f t="shared" si="151"/>
        <v>140.76162280292499</v>
      </c>
      <c r="O847" s="17">
        <f t="shared" si="147"/>
        <v>211.5</v>
      </c>
      <c r="P847" s="19">
        <f ca="1">IF(ISERROR(IF(O847&lt;fi_h/20,0,(OFFSET('Base de dados'!$A$5,IF(O847&lt;20,1,IF(O847&gt;1000,10,MATCH(O847,Cargas,1))),Coluna_fih,1,1))*(1+0.13*0.25)*(PI()*(fi_h/1000)^2/4)*SQRT(2*9.81*(O847/100-fi_h/2/1000))*1000)),"",IF(O847&lt;fi_h/20,0,(OFFSET('Base de dados'!$A$5,IF(O847&lt;20,1,IF(O847&gt;1000,10,MATCH(O847,Cargas,1))),Coluna_fih,1,1))*(PI()*(fi_h/1000)^2/4)*SQRT(2*9.81*(O847/100-fi_h/2/1000))*1000))</f>
        <v>38.614209248653843</v>
      </c>
      <c r="Q847" s="19">
        <f ca="1">IF(O847="","",IF(Tipo_Vertedor="Retangular",IF(O847&lt;=cota_s*100,0,IF(Tipo_Vertedor="Retangular",Cd_sr*Lef_sr*((O847/100-cota_s)^(3/2))*1000)),IF(O847&lt;=cota_s*100+fi_s/20,0,(OFFSET('Base de dados'!$A$4,IF(O847&lt;20,1,IF(O847&gt;1000,10,MATCH(O847,Cargas,1))),Coluna_fis,1,1))*(PI()*(fi_s/1000)^2/4)*(2*9.81*(O847/100-cota_s-fi_s/2/1000))^0.5*1000)))</f>
        <v>2047.4876429330418</v>
      </c>
      <c r="R847" s="19">
        <f t="shared" ca="1" si="148"/>
        <v>2086.1018521816954</v>
      </c>
      <c r="S847" s="19">
        <f t="shared" ca="1" si="150"/>
        <v>4692.0540934308328</v>
      </c>
    </row>
    <row r="848" spans="13:19">
      <c r="M848" s="81">
        <f t="shared" ca="1" si="149"/>
        <v>6789.4870467305536</v>
      </c>
      <c r="N848" s="19">
        <f t="shared" si="151"/>
        <v>140.94874877566829</v>
      </c>
      <c r="O848" s="17">
        <f t="shared" si="147"/>
        <v>211.75</v>
      </c>
      <c r="P848" s="19">
        <f ca="1">IF(ISERROR(IF(O848&lt;fi_h/20,0,(OFFSET('Base de dados'!$A$5,IF(O848&lt;20,1,IF(O848&gt;1000,10,MATCH(O848,Cargas,1))),Coluna_fih,1,1))*(1+0.13*0.25)*(PI()*(fi_h/1000)^2/4)*SQRT(2*9.81*(O848/100-fi_h/2/1000))*1000)),"",IF(O848&lt;fi_h/20,0,(OFFSET('Base de dados'!$A$5,IF(O848&lt;20,1,IF(O848&gt;1000,10,MATCH(O848,Cargas,1))),Coluna_fih,1,1))*(PI()*(fi_h/1000)^2/4)*SQRT(2*9.81*(O848/100-fi_h/2/1000))*1000))</f>
        <v>38.637649021386729</v>
      </c>
      <c r="Q848" s="19">
        <f ca="1">IF(O848="","",IF(Tipo_Vertedor="Retangular",IF(O848&lt;=cota_s*100,0,IF(Tipo_Vertedor="Retangular",Cd_sr*Lef_sr*((O848/100-cota_s)^(3/2))*1000)),IF(O848&lt;=cota_s*100+fi_s/20,0,(OFFSET('Base de dados'!$A$4,IF(O848&lt;20,1,IF(O848&gt;1000,10,MATCH(O848,Cargas,1))),Coluna_fis,1,1))*(PI()*(fi_s/1000)^2/4)*(2*9.81*(O848/100-cota_s-fi_s/2/1000))^0.5*1000)))</f>
        <v>2052.5577718535574</v>
      </c>
      <c r="R848" s="19">
        <f t="shared" ca="1" si="148"/>
        <v>2091.1954208749439</v>
      </c>
      <c r="S848" s="19">
        <f t="shared" ca="1" si="150"/>
        <v>4698.2916258556097</v>
      </c>
    </row>
    <row r="849" spans="13:19">
      <c r="M849" s="81">
        <f t="shared" ca="1" si="149"/>
        <v>6800.8232292090634</v>
      </c>
      <c r="N849" s="19">
        <f t="shared" si="151"/>
        <v>141.13590227241573</v>
      </c>
      <c r="O849" s="17">
        <f t="shared" si="147"/>
        <v>212</v>
      </c>
      <c r="P849" s="19">
        <f ca="1">IF(ISERROR(IF(O849&lt;fi_h/20,0,(OFFSET('Base de dados'!$A$5,IF(O849&lt;20,1,IF(O849&gt;1000,10,MATCH(O849,Cargas,1))),Coluna_fih,1,1))*(1+0.13*0.25)*(PI()*(fi_h/1000)^2/4)*SQRT(2*9.81*(O849/100-fi_h/2/1000))*1000)),"",IF(O849&lt;fi_h/20,0,(OFFSET('Base de dados'!$A$5,IF(O849&lt;20,1,IF(O849&gt;1000,10,MATCH(O849,Cargas,1))),Coluna_fih,1,1))*(PI()*(fi_h/1000)^2/4)*SQRT(2*9.81*(O849/100-fi_h/2/1000))*1000))</f>
        <v>38.661074582852841</v>
      </c>
      <c r="Q849" s="19">
        <f ca="1">IF(O849="","",IF(Tipo_Vertedor="Retangular",IF(O849&lt;=cota_s*100,0,IF(Tipo_Vertedor="Retangular",Cd_sr*Lef_sr*((O849/100-cota_s)^(3/2))*1000)),IF(O849&lt;=cota_s*100+fi_s/20,0,(OFFSET('Base de dados'!$A$4,IF(O849&lt;20,1,IF(O849&gt;1000,10,MATCH(O849,Cargas,1))),Coluna_fis,1,1))*(PI()*(fi_s/1000)^2/4)*(2*9.81*(O849/100-cota_s-fi_s/2/1000))^0.5*1000)))</f>
        <v>2057.6320788790204</v>
      </c>
      <c r="R849" s="19">
        <f t="shared" ca="1" si="148"/>
        <v>2096.2931534618733</v>
      </c>
      <c r="S849" s="19">
        <f t="shared" ca="1" si="150"/>
        <v>4704.5300757471905</v>
      </c>
    </row>
    <row r="850" spans="13:19">
      <c r="M850" s="81">
        <f t="shared" ca="1" si="149"/>
        <v>6812.1644886893127</v>
      </c>
      <c r="N850" s="19">
        <f t="shared" si="151"/>
        <v>141.32308326475106</v>
      </c>
      <c r="O850" s="17">
        <f t="shared" si="147"/>
        <v>212.25</v>
      </c>
      <c r="P850" s="19">
        <f ca="1">IF(ISERROR(IF(O850&lt;fi_h/20,0,(OFFSET('Base de dados'!$A$5,IF(O850&lt;20,1,IF(O850&gt;1000,10,MATCH(O850,Cargas,1))),Coluna_fih,1,1))*(1+0.13*0.25)*(PI()*(fi_h/1000)^2/4)*SQRT(2*9.81*(O850/100-fi_h/2/1000))*1000)),"",IF(O850&lt;fi_h/20,0,(OFFSET('Base de dados'!$A$5,IF(O850&lt;20,1,IF(O850&gt;1000,10,MATCH(O850,Cargas,1))),Coluna_fih,1,1))*(PI()*(fi_h/1000)^2/4)*SQRT(2*9.81*(O850/100-fi_h/2/1000))*1000))</f>
        <v>38.68448595886926</v>
      </c>
      <c r="Q850" s="19">
        <f ca="1">IF(O850="","",IF(Tipo_Vertedor="Retangular",IF(O850&lt;=cota_s*100,0,IF(Tipo_Vertedor="Retangular",Cd_sr*Lef_sr*((O850/100-cota_s)^(3/2))*1000)),IF(O850&lt;=cota_s*100+fi_s/20,0,(OFFSET('Base de dados'!$A$4,IF(O850&lt;20,1,IF(O850&gt;1000,10,MATCH(O850,Cargas,1))),Coluna_fis,1,1))*(PI()*(fi_s/1000)^2/4)*(2*9.81*(O850/100-cota_s-fi_s/2/1000))^0.5*1000)))</f>
        <v>2062.7105605720744</v>
      </c>
      <c r="R850" s="19">
        <f t="shared" ca="1" si="148"/>
        <v>2101.3950465309435</v>
      </c>
      <c r="S850" s="19">
        <f t="shared" ca="1" si="150"/>
        <v>4710.7694421583692</v>
      </c>
    </row>
    <row r="851" spans="13:19">
      <c r="M851" s="81">
        <f t="shared" ca="1" si="149"/>
        <v>6823.510820823034</v>
      </c>
      <c r="N851" s="19">
        <f t="shared" si="151"/>
        <v>141.51029172432084</v>
      </c>
      <c r="O851" s="17">
        <f t="shared" ref="O851:O914" si="152">IF(ISERROR(IF(O850+passo_altura&gt;h_max_puls*100,"",O850+passo_altura)),"",IF(O850+passo_altura&gt;h_max_puls*100,"",O850+passo_altura))</f>
        <v>212.5</v>
      </c>
      <c r="P851" s="19">
        <f ca="1">IF(ISERROR(IF(O851&lt;fi_h/20,0,(OFFSET('Base de dados'!$A$5,IF(O851&lt;20,1,IF(O851&gt;1000,10,MATCH(O851,Cargas,1))),Coluna_fih,1,1))*(1+0.13*0.25)*(PI()*(fi_h/1000)^2/4)*SQRT(2*9.81*(O851/100-fi_h/2/1000))*1000)),"",IF(O851&lt;fi_h/20,0,(OFFSET('Base de dados'!$A$5,IF(O851&lt;20,1,IF(O851&gt;1000,10,MATCH(O851,Cargas,1))),Coluna_fih,1,1))*(PI()*(fi_h/1000)^2/4)*SQRT(2*9.81*(O851/100-fi_h/2/1000))*1000))</f>
        <v>38.707883175174999</v>
      </c>
      <c r="Q851" s="19">
        <f ca="1">IF(O851="","",IF(Tipo_Vertedor="Retangular",IF(O851&lt;=cota_s*100,0,IF(Tipo_Vertedor="Retangular",Cd_sr*Lef_sr*((O851/100-cota_s)^(3/2))*1000)),IF(O851&lt;=cota_s*100+fi_s/20,0,(OFFSET('Base de dados'!$A$4,IF(O851&lt;20,1,IF(O851&gt;1000,10,MATCH(O851,Cargas,1))),Coluna_fis,1,1))*(PI()*(fi_s/1000)^2/4)*(2*9.81*(O851/100-cota_s-fi_s/2/1000))^0.5*1000)))</f>
        <v>2067.7932135038309</v>
      </c>
      <c r="R851" s="19">
        <f t="shared" ref="R851:R914" ca="1" si="153">IF(O851="","",Q851+P851)</f>
        <v>2106.501096679006</v>
      </c>
      <c r="S851" s="19">
        <f t="shared" ca="1" si="150"/>
        <v>4717.009724144028</v>
      </c>
    </row>
    <row r="852" spans="13:19">
      <c r="M852" s="81">
        <f t="shared" ca="1" si="149"/>
        <v>6834.8622212724022</v>
      </c>
      <c r="N852" s="19">
        <f t="shared" si="151"/>
        <v>141.69752762283403</v>
      </c>
      <c r="O852" s="17">
        <f t="shared" si="152"/>
        <v>212.75</v>
      </c>
      <c r="P852" s="19">
        <f ca="1">IF(ISERROR(IF(O852&lt;fi_h/20,0,(OFFSET('Base de dados'!$A$5,IF(O852&lt;20,1,IF(O852&gt;1000,10,MATCH(O852,Cargas,1))),Coluna_fih,1,1))*(1+0.13*0.25)*(PI()*(fi_h/1000)^2/4)*SQRT(2*9.81*(O852/100-fi_h/2/1000))*1000)),"",IF(O852&lt;fi_h/20,0,(OFFSET('Base de dados'!$A$5,IF(O852&lt;20,1,IF(O852&gt;1000,10,MATCH(O852,Cargas,1))),Coluna_fih,1,1))*(PI()*(fi_h/1000)^2/4)*SQRT(2*9.81*(O852/100-fi_h/2/1000))*1000))</f>
        <v>38.731266257431329</v>
      </c>
      <c r="Q852" s="19">
        <f ca="1">IF(O852="","",IF(Tipo_Vertedor="Retangular",IF(O852&lt;=cota_s*100,0,IF(Tipo_Vertedor="Retangular",Cd_sr*Lef_sr*((O852/100-cota_s)^(3/2))*1000)),IF(O852&lt;=cota_s*100+fi_s/20,0,(OFFSET('Base de dados'!$A$4,IF(O852&lt;20,1,IF(O852&gt;1000,10,MATCH(O852,Cargas,1))),Coluna_fis,1,1))*(PI()*(fi_s/1000)^2/4)*(2*9.81*(O852/100-cota_s-fi_s/2/1000))^0.5*1000)))</f>
        <v>2072.8800342538366</v>
      </c>
      <c r="R852" s="19">
        <f t="shared" ca="1" si="153"/>
        <v>2111.6113005112679</v>
      </c>
      <c r="S852" s="19">
        <f t="shared" ca="1" si="150"/>
        <v>4723.2509207611338</v>
      </c>
    </row>
    <row r="853" spans="13:19">
      <c r="M853" s="81">
        <f t="shared" ca="1" si="149"/>
        <v>6846.2186857099987</v>
      </c>
      <c r="N853" s="19">
        <f t="shared" si="151"/>
        <v>141.88479093206212</v>
      </c>
      <c r="O853" s="17">
        <f t="shared" si="152"/>
        <v>213</v>
      </c>
      <c r="P853" s="19">
        <f ca="1">IF(ISERROR(IF(O853&lt;fi_h/20,0,(OFFSET('Base de dados'!$A$5,IF(O853&lt;20,1,IF(O853&gt;1000,10,MATCH(O853,Cargas,1))),Coluna_fih,1,1))*(1+0.13*0.25)*(PI()*(fi_h/1000)^2/4)*SQRT(2*9.81*(O853/100-fi_h/2/1000))*1000)),"",IF(O853&lt;fi_h/20,0,(OFFSET('Base de dados'!$A$5,IF(O853&lt;20,1,IF(O853&gt;1000,10,MATCH(O853,Cargas,1))),Coluna_fih,1,1))*(PI()*(fi_h/1000)^2/4)*SQRT(2*9.81*(O853/100-fi_h/2/1000))*1000))</f>
        <v>38.754635231222103</v>
      </c>
      <c r="Q853" s="19">
        <f ca="1">IF(O853="","",IF(Tipo_Vertedor="Retangular",IF(O853&lt;=cota_s*100,0,IF(Tipo_Vertedor="Retangular",Cd_sr*Lef_sr*((O853/100-cota_s)^(3/2))*1000)),IF(O853&lt;=cota_s*100+fi_s/20,0,(OFFSET('Base de dados'!$A$4,IF(O853&lt;20,1,IF(O853&gt;1000,10,MATCH(O853,Cargas,1))),Coluna_fis,1,1))*(PI()*(fi_s/1000)^2/4)*(2*9.81*(O853/100-cota_s-fi_s/2/1000))^0.5*1000)))</f>
        <v>2077.9710194100394</v>
      </c>
      <c r="R853" s="19">
        <f t="shared" ca="1" si="153"/>
        <v>2116.7256546412614</v>
      </c>
      <c r="S853" s="19">
        <f t="shared" ca="1" si="150"/>
        <v>4729.4930310687369</v>
      </c>
    </row>
    <row r="854" spans="13:19">
      <c r="M854" s="81">
        <f t="shared" ca="1" si="149"/>
        <v>6857.5802098187623</v>
      </c>
      <c r="N854" s="19">
        <f t="shared" si="151"/>
        <v>142.07208162383864</v>
      </c>
      <c r="O854" s="17">
        <f t="shared" si="152"/>
        <v>213.25</v>
      </c>
      <c r="P854" s="19">
        <f ca="1">IF(ISERROR(IF(O854&lt;fi_h/20,0,(OFFSET('Base de dados'!$A$5,IF(O854&lt;20,1,IF(O854&gt;1000,10,MATCH(O854,Cargas,1))),Coluna_fih,1,1))*(1+0.13*0.25)*(PI()*(fi_h/1000)^2/4)*SQRT(2*9.81*(O854/100-fi_h/2/1000))*1000)),"",IF(O854&lt;fi_h/20,0,(OFFSET('Base de dados'!$A$5,IF(O854&lt;20,1,IF(O854&gt;1000,10,MATCH(O854,Cargas,1))),Coluna_fih,1,1))*(PI()*(fi_h/1000)^2/4)*SQRT(2*9.81*(O854/100-fi_h/2/1000))*1000))</f>
        <v>38.777990122054085</v>
      </c>
      <c r="Q854" s="19">
        <f ca="1">IF(O854="","",IF(Tipo_Vertedor="Retangular",IF(O854&lt;=cota_s*100,0,IF(Tipo_Vertedor="Retangular",Cd_sr*Lef_sr*((O854/100-cota_s)^(3/2))*1000)),IF(O854&lt;=cota_s*100+fi_s/20,0,(OFFSET('Base de dados'!$A$4,IF(O854&lt;20,1,IF(O854&gt;1000,10,MATCH(O854,Cargas,1))),Coluna_fis,1,1))*(PI()*(fi_s/1000)^2/4)*(2*9.81*(O854/100-cota_s-fi_s/2/1000))^0.5*1000)))</f>
        <v>2083.0661655687541</v>
      </c>
      <c r="R854" s="19">
        <f t="shared" ca="1" si="153"/>
        <v>2121.8441556908083</v>
      </c>
      <c r="S854" s="19">
        <f t="shared" ca="1" si="150"/>
        <v>4735.736054127954</v>
      </c>
    </row>
    <row r="855" spans="13:19">
      <c r="M855" s="81">
        <f t="shared" ca="1" si="149"/>
        <v>6868.9467892919565</v>
      </c>
      <c r="N855" s="19">
        <f t="shared" si="151"/>
        <v>142.25939967005917</v>
      </c>
      <c r="O855" s="17">
        <f t="shared" si="152"/>
        <v>213.5</v>
      </c>
      <c r="P855" s="19">
        <f ca="1">IF(ISERROR(IF(O855&lt;fi_h/20,0,(OFFSET('Base de dados'!$A$5,IF(O855&lt;20,1,IF(O855&gt;1000,10,MATCH(O855,Cargas,1))),Coluna_fih,1,1))*(1+0.13*0.25)*(PI()*(fi_h/1000)^2/4)*SQRT(2*9.81*(O855/100-fi_h/2/1000))*1000)),"",IF(O855&lt;fi_h/20,0,(OFFSET('Base de dados'!$A$5,IF(O855&lt;20,1,IF(O855&gt;1000,10,MATCH(O855,Cargas,1))),Coluna_fih,1,1))*(PI()*(fi_h/1000)^2/4)*SQRT(2*9.81*(O855/100-fi_h/2/1000))*1000))</f>
        <v>38.80133095535728</v>
      </c>
      <c r="Q855" s="19">
        <f ca="1">IF(O855="","",IF(Tipo_Vertedor="Retangular",IF(O855&lt;=cota_s*100,0,IF(Tipo_Vertedor="Retangular",Cd_sr*Lef_sr*((O855/100-cota_s)^(3/2))*1000)),IF(O855&lt;=cota_s*100+fi_s/20,0,(OFFSET('Base de dados'!$A$4,IF(O855&lt;20,1,IF(O855&gt;1000,10,MATCH(O855,Cargas,1))),Coluna_fis,1,1))*(PI()*(fi_s/1000)^2/4)*(2*9.81*(O855/100-cota_s-fi_s/2/1000))^0.5*1000)))</f>
        <v>2088.1654693346259</v>
      </c>
      <c r="R855" s="19">
        <f t="shared" ca="1" si="153"/>
        <v>2126.966800289983</v>
      </c>
      <c r="S855" s="19">
        <f t="shared" ca="1" si="150"/>
        <v>4741.9799890019731</v>
      </c>
    </row>
    <row r="856" spans="13:19">
      <c r="M856" s="81">
        <f t="shared" ca="1" si="149"/>
        <v>6880.3184198331128</v>
      </c>
      <c r="N856" s="19">
        <f t="shared" si="151"/>
        <v>142.44674504268082</v>
      </c>
      <c r="O856" s="17">
        <f t="shared" si="152"/>
        <v>213.75</v>
      </c>
      <c r="P856" s="19">
        <f ca="1">IF(ISERROR(IF(O856&lt;fi_h/20,0,(OFFSET('Base de dados'!$A$5,IF(O856&lt;20,1,IF(O856&gt;1000,10,MATCH(O856,Cargas,1))),Coluna_fih,1,1))*(1+0.13*0.25)*(PI()*(fi_h/1000)^2/4)*SQRT(2*9.81*(O856/100-fi_h/2/1000))*1000)),"",IF(O856&lt;fi_h/20,0,(OFFSET('Base de dados'!$A$5,IF(O856&lt;20,1,IF(O856&gt;1000,10,MATCH(O856,Cargas,1))),Coluna_fih,1,1))*(PI()*(fi_h/1000)^2/4)*SQRT(2*9.81*(O856/100-fi_h/2/1000))*1000))</f>
        <v>38.824657756485252</v>
      </c>
      <c r="Q856" s="19">
        <f ca="1">IF(O856="","",IF(Tipo_Vertedor="Retangular",IF(O856&lt;=cota_s*100,0,IF(Tipo_Vertedor="Retangular",Cd_sr*Lef_sr*((O856/100-cota_s)^(3/2))*1000)),IF(O856&lt;=cota_s*100+fi_s/20,0,(OFFSET('Base de dados'!$A$4,IF(O856&lt;20,1,IF(O856&gt;1000,10,MATCH(O856,Cargas,1))),Coluna_fis,1,1))*(PI()*(fi_s/1000)^2/4)*(2*9.81*(O856/100-cota_s-fi_s/2/1000))^0.5*1000)))</f>
        <v>2093.2689273206011</v>
      </c>
      <c r="R856" s="19">
        <f t="shared" ca="1" si="153"/>
        <v>2132.0935850770861</v>
      </c>
      <c r="S856" s="19">
        <f t="shared" ca="1" si="150"/>
        <v>4748.2248347560271</v>
      </c>
    </row>
    <row r="857" spans="13:19">
      <c r="M857" s="81">
        <f t="shared" ca="1" si="149"/>
        <v>6891.6950971560136</v>
      </c>
      <c r="N857" s="19">
        <f t="shared" si="151"/>
        <v>142.63411771372236</v>
      </c>
      <c r="O857" s="17">
        <f t="shared" si="152"/>
        <v>214</v>
      </c>
      <c r="P857" s="19">
        <f ca="1">IF(ISERROR(IF(O857&lt;fi_h/20,0,(OFFSET('Base de dados'!$A$5,IF(O857&lt;20,1,IF(O857&gt;1000,10,MATCH(O857,Cargas,1))),Coluna_fih,1,1))*(1+0.13*0.25)*(PI()*(fi_h/1000)^2/4)*SQRT(2*9.81*(O857/100-fi_h/2/1000))*1000)),"",IF(O857&lt;fi_h/20,0,(OFFSET('Base de dados'!$A$5,IF(O857&lt;20,1,IF(O857&gt;1000,10,MATCH(O857,Cargas,1))),Coluna_fih,1,1))*(PI()*(fi_h/1000)^2/4)*SQRT(2*9.81*(O857/100-fi_h/2/1000))*1000))</f>
        <v>38.847970550715431</v>
      </c>
      <c r="Q857" s="19">
        <f ca="1">IF(O857="","",IF(Tipo_Vertedor="Retangular",IF(O857&lt;=cota_s*100,0,IF(Tipo_Vertedor="Retangular",Cd_sr*Lef_sr*((O857/100-cota_s)^(3/2))*1000)),IF(O857&lt;=cota_s*100+fi_s/20,0,(OFFSET('Base de dados'!$A$4,IF(O857&lt;20,1,IF(O857&gt;1000,10,MATCH(O857,Cargas,1))),Coluna_fis,1,1))*(PI()*(fi_s/1000)^2/4)*(2*9.81*(O857/100-cota_s-fi_s/2/1000))^0.5*1000)))</f>
        <v>2098.3765361478863</v>
      </c>
      <c r="R857" s="19">
        <f t="shared" ca="1" si="153"/>
        <v>2137.2245066986015</v>
      </c>
      <c r="S857" s="19">
        <f t="shared" ca="1" si="150"/>
        <v>4754.4705904574121</v>
      </c>
    </row>
    <row r="858" spans="13:19">
      <c r="M858" s="81">
        <f t="shared" ca="1" si="149"/>
        <v>6903.0768169846324</v>
      </c>
      <c r="N858" s="19">
        <f t="shared" si="151"/>
        <v>142.82151765526379</v>
      </c>
      <c r="O858" s="17">
        <f t="shared" si="152"/>
        <v>214.25</v>
      </c>
      <c r="P858" s="19">
        <f ca="1">IF(ISERROR(IF(O858&lt;fi_h/20,0,(OFFSET('Base de dados'!$A$5,IF(O858&lt;20,1,IF(O858&gt;1000,10,MATCH(O858,Cargas,1))),Coluna_fih,1,1))*(1+0.13*0.25)*(PI()*(fi_h/1000)^2/4)*SQRT(2*9.81*(O858/100-fi_h/2/1000))*1000)),"",IF(O858&lt;fi_h/20,0,(OFFSET('Base de dados'!$A$5,IF(O858&lt;20,1,IF(O858&gt;1000,10,MATCH(O858,Cargas,1))),Coluna_fih,1,1))*(PI()*(fi_h/1000)^2/4)*SQRT(2*9.81*(O858/100-fi_h/2/1000))*1000))</f>
        <v>38.871269363249468</v>
      </c>
      <c r="Q858" s="19">
        <f ca="1">IF(O858="","",IF(Tipo_Vertedor="Retangular",IF(O858&lt;=cota_s*100,0,IF(Tipo_Vertedor="Retangular",Cd_sr*Lef_sr*((O858/100-cota_s)^(3/2))*1000)),IF(O858&lt;=cota_s*100+fi_s/20,0,(OFFSET('Base de dados'!$A$4,IF(O858&lt;20,1,IF(O858&gt;1000,10,MATCH(O858,Cargas,1))),Coluna_fis,1,1))*(PI()*(fi_s/1000)^2/4)*(2*9.81*(O858/100-cota_s-fi_s/2/1000))^0.5*1000)))</f>
        <v>2103.4882924459221</v>
      </c>
      <c r="R858" s="19">
        <f t="shared" ca="1" si="153"/>
        <v>2142.3595618091717</v>
      </c>
      <c r="S858" s="19">
        <f t="shared" ca="1" si="150"/>
        <v>4760.7172551754602</v>
      </c>
    </row>
    <row r="859" spans="13:19">
      <c r="M859" s="81">
        <f t="shared" ca="1" si="149"/>
        <v>6914.4635750531061</v>
      </c>
      <c r="N859" s="19">
        <f t="shared" si="151"/>
        <v>143.00894483944634</v>
      </c>
      <c r="O859" s="17">
        <f t="shared" si="152"/>
        <v>214.5</v>
      </c>
      <c r="P859" s="19">
        <f ca="1">IF(ISERROR(IF(O859&lt;fi_h/20,0,(OFFSET('Base de dados'!$A$5,IF(O859&lt;20,1,IF(O859&gt;1000,10,MATCH(O859,Cargas,1))),Coluna_fih,1,1))*(1+0.13*0.25)*(PI()*(fi_h/1000)^2/4)*SQRT(2*9.81*(O859/100-fi_h/2/1000))*1000)),"",IF(O859&lt;fi_h/20,0,(OFFSET('Base de dados'!$A$5,IF(O859&lt;20,1,IF(O859&gt;1000,10,MATCH(O859,Cargas,1))),Coluna_fih,1,1))*(PI()*(fi_h/1000)^2/4)*SQRT(2*9.81*(O859/100-fi_h/2/1000))*1000))</f>
        <v>38.894554219213504</v>
      </c>
      <c r="Q859" s="19">
        <f ca="1">IF(O859="","",IF(Tipo_Vertedor="Retangular",IF(O859&lt;=cota_s*100,0,IF(Tipo_Vertedor="Retangular",Cd_sr*Lef_sr*((O859/100-cota_s)^(3/2))*1000)),IF(O859&lt;=cota_s*100+fi_s/20,0,(OFFSET('Base de dados'!$A$4,IF(O859&lt;20,1,IF(O859&gt;1000,10,MATCH(O859,Cargas,1))),Coluna_fis,1,1))*(PI()*(fi_s/1000)^2/4)*(2*9.81*(O859/100-cota_s-fi_s/2/1000))^0.5*1000)))</f>
        <v>2108.6041928523478</v>
      </c>
      <c r="R859" s="19">
        <f t="shared" ca="1" si="153"/>
        <v>2147.4987470715614</v>
      </c>
      <c r="S859" s="19">
        <f t="shared" ca="1" si="150"/>
        <v>4766.9648279815447</v>
      </c>
    </row>
    <row r="860" spans="13:19">
      <c r="M860" s="81">
        <f t="shared" ca="1" si="149"/>
        <v>6925.855367105687</v>
      </c>
      <c r="N860" s="19">
        <f t="shared" si="151"/>
        <v>143.19639923847197</v>
      </c>
      <c r="O860" s="17">
        <f t="shared" si="152"/>
        <v>214.75</v>
      </c>
      <c r="P860" s="19">
        <f ca="1">IF(ISERROR(IF(O860&lt;fi_h/20,0,(OFFSET('Base de dados'!$A$5,IF(O860&lt;20,1,IF(O860&gt;1000,10,MATCH(O860,Cargas,1))),Coluna_fih,1,1))*(1+0.13*0.25)*(PI()*(fi_h/1000)^2/4)*SQRT(2*9.81*(O860/100-fi_h/2/1000))*1000)),"",IF(O860&lt;fi_h/20,0,(OFFSET('Base de dados'!$A$5,IF(O860&lt;20,1,IF(O860&gt;1000,10,MATCH(O860,Cargas,1))),Coluna_fih,1,1))*(PI()*(fi_h/1000)^2/4)*SQRT(2*9.81*(O860/100-fi_h/2/1000))*1000))</f>
        <v>38.917825143658561</v>
      </c>
      <c r="Q860" s="19">
        <f ca="1">IF(O860="","",IF(Tipo_Vertedor="Retangular",IF(O860&lt;=cota_s*100,0,IF(Tipo_Vertedor="Retangular",Cd_sr*Lef_sr*((O860/100-cota_s)^(3/2))*1000)),IF(O860&lt;=cota_s*100+fi_s/20,0,(OFFSET('Base de dados'!$A$4,IF(O860&lt;20,1,IF(O860&gt;1000,10,MATCH(O860,Cargas,1))),Coluna_fis,1,1))*(PI()*(fi_s/1000)^2/4)*(2*9.81*(O860/100-cota_s-fi_s/2/1000))^0.5*1000)))</f>
        <v>2113.7242340129633</v>
      </c>
      <c r="R860" s="19">
        <f t="shared" ca="1" si="153"/>
        <v>2152.6420591566221</v>
      </c>
      <c r="S860" s="19">
        <f t="shared" ca="1" si="150"/>
        <v>4773.213307949065</v>
      </c>
    </row>
    <row r="861" spans="13:19">
      <c r="M861" s="81">
        <f t="shared" ca="1" si="149"/>
        <v>6937.2521888967131</v>
      </c>
      <c r="N861" s="19">
        <f t="shared" si="151"/>
        <v>143.38388082460352</v>
      </c>
      <c r="O861" s="17">
        <f t="shared" si="152"/>
        <v>215</v>
      </c>
      <c r="P861" s="19">
        <f ca="1">IF(ISERROR(IF(O861&lt;fi_h/20,0,(OFFSET('Base de dados'!$A$5,IF(O861&lt;20,1,IF(O861&gt;1000,10,MATCH(O861,Cargas,1))),Coluna_fih,1,1))*(1+0.13*0.25)*(PI()*(fi_h/1000)^2/4)*SQRT(2*9.81*(O861/100-fi_h/2/1000))*1000)),"",IF(O861&lt;fi_h/20,0,(OFFSET('Base de dados'!$A$5,IF(O861&lt;20,1,IF(O861&gt;1000,10,MATCH(O861,Cargas,1))),Coluna_fih,1,1))*(PI()*(fi_h/1000)^2/4)*SQRT(2*9.81*(O861/100-fi_h/2/1000))*1000))</f>
        <v>38.94108216156075</v>
      </c>
      <c r="Q861" s="19">
        <f ca="1">IF(O861="","",IF(Tipo_Vertedor="Retangular",IF(O861&lt;=cota_s*100,0,IF(Tipo_Vertedor="Retangular",Cd_sr*Lef_sr*((O861/100-cota_s)^(3/2))*1000)),IF(O861&lt;=cota_s*100+fi_s/20,0,(OFFSET('Base de dados'!$A$4,IF(O861&lt;20,1,IF(O861&gt;1000,10,MATCH(O861,Cargas,1))),Coluna_fis,1,1))*(PI()*(fi_s/1000)^2/4)*(2*9.81*(O861/100-cota_s-fi_s/2/1000))^0.5*1000)))</f>
        <v>2118.8484125817022</v>
      </c>
      <c r="R861" s="19">
        <f t="shared" ca="1" si="153"/>
        <v>2157.7894947432628</v>
      </c>
      <c r="S861" s="19">
        <f t="shared" ca="1" si="150"/>
        <v>4779.4626941534507</v>
      </c>
    </row>
    <row r="862" spans="13:19">
      <c r="M862" s="81">
        <f t="shared" ca="1" si="149"/>
        <v>6948.6540361905536</v>
      </c>
      <c r="N862" s="19">
        <f t="shared" si="151"/>
        <v>143.57138957016409</v>
      </c>
      <c r="O862" s="17">
        <f t="shared" si="152"/>
        <v>215.25</v>
      </c>
      <c r="P862" s="19">
        <f ca="1">IF(ISERROR(IF(O862&lt;fi_h/20,0,(OFFSET('Base de dados'!$A$5,IF(O862&lt;20,1,IF(O862&gt;1000,10,MATCH(O862,Cargas,1))),Coluna_fih,1,1))*(1+0.13*0.25)*(PI()*(fi_h/1000)^2/4)*SQRT(2*9.81*(O862/100-fi_h/2/1000))*1000)),"",IF(O862&lt;fi_h/20,0,(OFFSET('Base de dados'!$A$5,IF(O862&lt;20,1,IF(O862&gt;1000,10,MATCH(O862,Cargas,1))),Coluna_fih,1,1))*(PI()*(fi_h/1000)^2/4)*SQRT(2*9.81*(O862/100-fi_h/2/1000))*1000))</f>
        <v>38.964325297821702</v>
      </c>
      <c r="Q862" s="19">
        <f ca="1">IF(O862="","",IF(Tipo_Vertedor="Retangular",IF(O862&lt;=cota_s*100,0,IF(Tipo_Vertedor="Retangular",Cd_sr*Lef_sr*((O862/100-cota_s)^(3/2))*1000)),IF(O862&lt;=cota_s*100+fi_s/20,0,(OFFSET('Base de dados'!$A$4,IF(O862&lt;20,1,IF(O862&gt;1000,10,MATCH(O862,Cargas,1))),Coluna_fis,1,1))*(PI()*(fi_s/1000)^2/4)*(2*9.81*(O862/100-cota_s-fi_s/2/1000))^0.5*1000)))</f>
        <v>2123.9767252205966</v>
      </c>
      <c r="R862" s="19">
        <f t="shared" ca="1" si="153"/>
        <v>2162.9410505184183</v>
      </c>
      <c r="S862" s="19">
        <f t="shared" ca="1" si="150"/>
        <v>4785.7129856721358</v>
      </c>
    </row>
    <row r="863" spans="13:19">
      <c r="M863" s="81">
        <f t="shared" ca="1" si="149"/>
        <v>6960.0609047615908</v>
      </c>
      <c r="N863" s="19">
        <f t="shared" si="151"/>
        <v>143.75892544753731</v>
      </c>
      <c r="O863" s="17">
        <f t="shared" si="152"/>
        <v>215.5</v>
      </c>
      <c r="P863" s="19">
        <f ca="1">IF(ISERROR(IF(O863&lt;fi_h/20,0,(OFFSET('Base de dados'!$A$5,IF(O863&lt;20,1,IF(O863&gt;1000,10,MATCH(O863,Cargas,1))),Coluna_fih,1,1))*(1+0.13*0.25)*(PI()*(fi_h/1000)^2/4)*SQRT(2*9.81*(O863/100-fi_h/2/1000))*1000)),"",IF(O863&lt;fi_h/20,0,(OFFSET('Base de dados'!$A$5,IF(O863&lt;20,1,IF(O863&gt;1000,10,MATCH(O863,Cargas,1))),Coluna_fih,1,1))*(PI()*(fi_h/1000)^2/4)*SQRT(2*9.81*(O863/100-fi_h/2/1000))*1000))</f>
        <v>38.987554577268767</v>
      </c>
      <c r="Q863" s="19">
        <f ca="1">IF(O863="","",IF(Tipo_Vertedor="Retangular",IF(O863&lt;=cota_s*100,0,IF(Tipo_Vertedor="Retangular",Cd_sr*Lef_sr*((O863/100-cota_s)^(3/2))*1000)),IF(O863&lt;=cota_s*100+fi_s/20,0,(OFFSET('Base de dados'!$A$4,IF(O863&lt;20,1,IF(O863&gt;1000,10,MATCH(O863,Cargas,1))),Coluna_fis,1,1))*(PI()*(fi_s/1000)^2/4)*(2*9.81*(O863/100-cota_s-fi_s/2/1000))^0.5*1000)))</f>
        <v>2129.1091685997453</v>
      </c>
      <c r="R863" s="19">
        <f t="shared" ca="1" si="153"/>
        <v>2168.0967231770142</v>
      </c>
      <c r="S863" s="19">
        <f t="shared" ca="1" si="150"/>
        <v>4791.9641815845771</v>
      </c>
    </row>
    <row r="864" spans="13:19">
      <c r="M864" s="81">
        <f t="shared" ca="1" si="149"/>
        <v>6971.4727903941603</v>
      </c>
      <c r="N864" s="19">
        <f t="shared" si="151"/>
        <v>143.94648842916675</v>
      </c>
      <c r="O864" s="17">
        <f t="shared" si="152"/>
        <v>215.75</v>
      </c>
      <c r="P864" s="19">
        <f ca="1">IF(ISERROR(IF(O864&lt;fi_h/20,0,(OFFSET('Base de dados'!$A$5,IF(O864&lt;20,1,IF(O864&gt;1000,10,MATCH(O864,Cargas,1))),Coluna_fih,1,1))*(1+0.13*0.25)*(PI()*(fi_h/1000)^2/4)*SQRT(2*9.81*(O864/100-fi_h/2/1000))*1000)),"",IF(O864&lt;fi_h/20,0,(OFFSET('Base de dados'!$A$5,IF(O864&lt;20,1,IF(O864&gt;1000,10,MATCH(O864,Cargas,1))),Coluna_fih,1,1))*(PI()*(fi_h/1000)^2/4)*SQRT(2*9.81*(O864/100-fi_h/2/1000))*1000))</f>
        <v>39.010770024655422</v>
      </c>
      <c r="Q864" s="19">
        <f ca="1">IF(O864="","",IF(Tipo_Vertedor="Retangular",IF(O864&lt;=cota_s*100,0,IF(Tipo_Vertedor="Retangular",Cd_sr*Lef_sr*((O864/100-cota_s)^(3/2))*1000)),IF(O864&lt;=cota_s*100+fi_s/20,0,(OFFSET('Base de dados'!$A$4,IF(O864&lt;20,1,IF(O864&gt;1000,10,MATCH(O864,Cargas,1))),Coluna_fis,1,1))*(PI()*(fi_s/1000)^2/4)*(2*9.81*(O864/100-cota_s-fi_s/2/1000))^0.5*1000)))</f>
        <v>2134.2457393972795</v>
      </c>
      <c r="R864" s="19">
        <f t="shared" ca="1" si="153"/>
        <v>2173.2565094219349</v>
      </c>
      <c r="S864" s="19">
        <f t="shared" ca="1" si="150"/>
        <v>4798.2162809722249</v>
      </c>
    </row>
    <row r="865" spans="13:19">
      <c r="M865" s="81">
        <f t="shared" ca="1" si="149"/>
        <v>6982.8896888825202</v>
      </c>
      <c r="N865" s="19">
        <f t="shared" si="151"/>
        <v>144.13407848755588</v>
      </c>
      <c r="O865" s="17">
        <f t="shared" si="152"/>
        <v>216</v>
      </c>
      <c r="P865" s="19">
        <f ca="1">IF(ISERROR(IF(O865&lt;fi_h/20,0,(OFFSET('Base de dados'!$A$5,IF(O865&lt;20,1,IF(O865&gt;1000,10,MATCH(O865,Cargas,1))),Coluna_fih,1,1))*(1+0.13*0.25)*(PI()*(fi_h/1000)^2/4)*SQRT(2*9.81*(O865/100-fi_h/2/1000))*1000)),"",IF(O865&lt;fi_h/20,0,(OFFSET('Base de dados'!$A$5,IF(O865&lt;20,1,IF(O865&gt;1000,10,MATCH(O865,Cargas,1))),Coluna_fih,1,1))*(PI()*(fi_h/1000)^2/4)*SQRT(2*9.81*(O865/100-fi_h/2/1000))*1000))</f>
        <v>39.033971664661507</v>
      </c>
      <c r="Q865" s="19">
        <f ca="1">IF(O865="","",IF(Tipo_Vertedor="Retangular",IF(O865&lt;=cota_s*100,0,IF(Tipo_Vertedor="Retangular",Cd_sr*Lef_sr*((O865/100-cota_s)^(3/2))*1000)),IF(O865&lt;=cota_s*100+fi_s/20,0,(OFFSET('Base de dados'!$A$4,IF(O865&lt;20,1,IF(O865&gt;1000,10,MATCH(O865,Cargas,1))),Coluna_fis,1,1))*(PI()*(fi_s/1000)^2/4)*(2*9.81*(O865/100-cota_s-fi_s/2/1000))^0.5*1000)))</f>
        <v>2139.3864342993297</v>
      </c>
      <c r="R865" s="19">
        <f t="shared" ca="1" si="153"/>
        <v>2178.420405963991</v>
      </c>
      <c r="S865" s="19">
        <f t="shared" ca="1" si="150"/>
        <v>4804.4692829185287</v>
      </c>
    </row>
    <row r="866" spans="13:19">
      <c r="M866" s="81">
        <f t="shared" ca="1" si="149"/>
        <v>6994.3115960308241</v>
      </c>
      <c r="N866" s="19">
        <f t="shared" si="151"/>
        <v>144.32169559526793</v>
      </c>
      <c r="O866" s="17">
        <f t="shared" si="152"/>
        <v>216.25</v>
      </c>
      <c r="P866" s="19">
        <f ca="1">IF(ISERROR(IF(O866&lt;fi_h/20,0,(OFFSET('Base de dados'!$A$5,IF(O866&lt;20,1,IF(O866&gt;1000,10,MATCH(O866,Cargas,1))),Coluna_fih,1,1))*(1+0.13*0.25)*(PI()*(fi_h/1000)^2/4)*SQRT(2*9.81*(O866/100-fi_h/2/1000))*1000)),"",IF(O866&lt;fi_h/20,0,(OFFSET('Base de dados'!$A$5,IF(O866&lt;20,1,IF(O866&gt;1000,10,MATCH(O866,Cargas,1))),Coluna_fih,1,1))*(PI()*(fi_h/1000)^2/4)*SQRT(2*9.81*(O866/100-fi_h/2/1000))*1000))</f>
        <v>39.057159521893553</v>
      </c>
      <c r="Q866" s="19">
        <f ca="1">IF(O866="","",IF(Tipo_Vertedor="Retangular",IF(O866&lt;=cota_s*100,0,IF(Tipo_Vertedor="Retangular",Cd_sr*Lef_sr*((O866/100-cota_s)^(3/2))*1000)),IF(O866&lt;=cota_s*100+fi_s/20,0,(OFFSET('Base de dados'!$A$4,IF(O866&lt;20,1,IF(O866&gt;1000,10,MATCH(O866,Cargas,1))),Coluna_fis,1,1))*(PI()*(fi_s/1000)^2/4)*(2*9.81*(O866/100-cota_s-fi_s/2/1000))^0.5*1000)))</f>
        <v>2144.5312500000005</v>
      </c>
      <c r="R866" s="19">
        <f t="shared" ca="1" si="153"/>
        <v>2183.5884095218939</v>
      </c>
      <c r="S866" s="19">
        <f t="shared" ca="1" si="150"/>
        <v>4810.7231865089307</v>
      </c>
    </row>
    <row r="867" spans="13:19">
      <c r="M867" s="81">
        <f t="shared" ca="1" si="149"/>
        <v>7005.7385076530654</v>
      </c>
      <c r="N867" s="19">
        <f t="shared" si="151"/>
        <v>144.50933972492552</v>
      </c>
      <c r="O867" s="17">
        <f t="shared" si="152"/>
        <v>216.5</v>
      </c>
      <c r="P867" s="19">
        <f ca="1">IF(ISERROR(IF(O867&lt;fi_h/20,0,(OFFSET('Base de dados'!$A$5,IF(O867&lt;20,1,IF(O867&gt;1000,10,MATCH(O867,Cargas,1))),Coluna_fih,1,1))*(1+0.13*0.25)*(PI()*(fi_h/1000)^2/4)*SQRT(2*9.81*(O867/100-fi_h/2/1000))*1000)),"",IF(O867&lt;fi_h/20,0,(OFFSET('Base de dados'!$A$5,IF(O867&lt;20,1,IF(O867&gt;1000,10,MATCH(O867,Cargas,1))),Coluna_fih,1,1))*(PI()*(fi_h/1000)^2/4)*SQRT(2*9.81*(O867/100-fi_h/2/1000))*1000))</f>
        <v>39.080333620885106</v>
      </c>
      <c r="Q867" s="19">
        <f ca="1">IF(O867="","",IF(Tipo_Vertedor="Retangular",IF(O867&lt;=cota_s*100,0,IF(Tipo_Vertedor="Retangular",Cd_sr*Lef_sr*((O867/100-cota_s)^(3/2))*1000)),IF(O867&lt;=cota_s*100+fi_s/20,0,(OFFSET('Base de dados'!$A$4,IF(O867&lt;20,1,IF(O867&gt;1000,10,MATCH(O867,Cargas,1))),Coluna_fis,1,1))*(PI()*(fi_s/1000)^2/4)*(2*9.81*(O867/100-cota_s-fi_s/2/1000))^0.5*1000)))</f>
        <v>2149.6801832013293</v>
      </c>
      <c r="R867" s="19">
        <f t="shared" ca="1" si="153"/>
        <v>2188.7605168222144</v>
      </c>
      <c r="S867" s="19">
        <f t="shared" ca="1" si="150"/>
        <v>4816.977990830851</v>
      </c>
    </row>
    <row r="868" spans="13:19">
      <c r="M868" s="81">
        <f t="shared" ca="1" si="149"/>
        <v>7017.170419573049</v>
      </c>
      <c r="N868" s="19">
        <f t="shared" si="151"/>
        <v>144.6970108492107</v>
      </c>
      <c r="O868" s="17">
        <f t="shared" si="152"/>
        <v>216.75</v>
      </c>
      <c r="P868" s="19">
        <f ca="1">IF(ISERROR(IF(O868&lt;fi_h/20,0,(OFFSET('Base de dados'!$A$5,IF(O868&lt;20,1,IF(O868&gt;1000,10,MATCH(O868,Cargas,1))),Coluna_fih,1,1))*(1+0.13*0.25)*(PI()*(fi_h/1000)^2/4)*SQRT(2*9.81*(O868/100-fi_h/2/1000))*1000)),"",IF(O868&lt;fi_h/20,0,(OFFSET('Base de dados'!$A$5,IF(O868&lt;20,1,IF(O868&gt;1000,10,MATCH(O868,Cargas,1))),Coluna_fih,1,1))*(PI()*(fi_h/1000)^2/4)*SQRT(2*9.81*(O868/100-fi_h/2/1000))*1000))</f>
        <v>39.103493986097021</v>
      </c>
      <c r="Q868" s="19">
        <f ca="1">IF(O868="","",IF(Tipo_Vertedor="Retangular",IF(O868&lt;=cota_s*100,0,IF(Tipo_Vertedor="Retangular",Cd_sr*Lef_sr*((O868/100-cota_s)^(3/2))*1000)),IF(O868&lt;=cota_s*100+fi_s/20,0,(OFFSET('Base de dados'!$A$4,IF(O868&lt;20,1,IF(O868&gt;1000,10,MATCH(O868,Cargas,1))),Coluna_fis,1,1))*(PI()*(fi_s/1000)^2/4)*(2*9.81*(O868/100-cota_s-fi_s/2/1000))^0.5*1000)))</f>
        <v>2154.833230613262</v>
      </c>
      <c r="R868" s="19">
        <f t="shared" ca="1" si="153"/>
        <v>2193.936724599359</v>
      </c>
      <c r="S868" s="19">
        <f t="shared" ca="1" si="150"/>
        <v>4823.23369497369</v>
      </c>
    </row>
    <row r="869" spans="13:19">
      <c r="M869" s="81">
        <f t="shared" ca="1" si="149"/>
        <v>7028.6073276243515</v>
      </c>
      <c r="N869" s="19">
        <f t="shared" si="151"/>
        <v>144.88470894086447</v>
      </c>
      <c r="O869" s="17">
        <f t="shared" si="152"/>
        <v>217</v>
      </c>
      <c r="P869" s="19">
        <f ca="1">IF(ISERROR(IF(O869&lt;fi_h/20,0,(OFFSET('Base de dados'!$A$5,IF(O869&lt;20,1,IF(O869&gt;1000,10,MATCH(O869,Cargas,1))),Coluna_fih,1,1))*(1+0.13*0.25)*(PI()*(fi_h/1000)^2/4)*SQRT(2*9.81*(O869/100-fi_h/2/1000))*1000)),"",IF(O869&lt;fi_h/20,0,(OFFSET('Base de dados'!$A$5,IF(O869&lt;20,1,IF(O869&gt;1000,10,MATCH(O869,Cargas,1))),Coluna_fih,1,1))*(PI()*(fi_h/1000)^2/4)*SQRT(2*9.81*(O869/100-fi_h/2/1000))*1000))</f>
        <v>39.126640641917739</v>
      </c>
      <c r="Q869" s="19">
        <f ca="1">IF(O869="","",IF(Tipo_Vertedor="Retangular",IF(O869&lt;=cota_s*100,0,IF(Tipo_Vertedor="Retangular",Cd_sr*Lef_sr*((O869/100-cota_s)^(3/2))*1000)),IF(O869&lt;=cota_s*100+fi_s/20,0,(OFFSET('Base de dados'!$A$4,IF(O869&lt;20,1,IF(O869&gt;1000,10,MATCH(O869,Cargas,1))),Coluna_fis,1,1))*(PI()*(fi_s/1000)^2/4)*(2*9.81*(O869/100-cota_s-fi_s/2/1000))^0.5*1000)))</f>
        <v>2159.9903889536172</v>
      </c>
      <c r="R869" s="19">
        <f t="shared" ca="1" si="153"/>
        <v>2199.1170295955349</v>
      </c>
      <c r="S869" s="19">
        <f t="shared" ca="1" si="150"/>
        <v>4829.4902980288161</v>
      </c>
    </row>
    <row r="870" spans="13:19">
      <c r="M870" s="81">
        <f t="shared" ca="1" si="149"/>
        <v>7040.049227650281</v>
      </c>
      <c r="N870" s="19">
        <f t="shared" si="151"/>
        <v>145.07243397268678</v>
      </c>
      <c r="O870" s="17">
        <f t="shared" si="152"/>
        <v>217.25</v>
      </c>
      <c r="P870" s="19">
        <f ca="1">IF(ISERROR(IF(O870&lt;fi_h/20,0,(OFFSET('Base de dados'!$A$5,IF(O870&lt;20,1,IF(O870&gt;1000,10,MATCH(O870,Cargas,1))),Coluna_fih,1,1))*(1+0.13*0.25)*(PI()*(fi_h/1000)^2/4)*SQRT(2*9.81*(O870/100-fi_h/2/1000))*1000)),"",IF(O870&lt;fi_h/20,0,(OFFSET('Base de dados'!$A$5,IF(O870&lt;20,1,IF(O870&gt;1000,10,MATCH(O870,Cargas,1))),Coluna_fih,1,1))*(PI()*(fi_h/1000)^2/4)*SQRT(2*9.81*(O870/100-fi_h/2/1000))*1000))</f>
        <v>39.149773612663608</v>
      </c>
      <c r="Q870" s="19">
        <f ca="1">IF(O870="","",IF(Tipo_Vertedor="Retangular",IF(O870&lt;=cota_s*100,0,IF(Tipo_Vertedor="Retangular",Cd_sr*Lef_sr*((O870/100-cota_s)^(3/2))*1000)),IF(O870&lt;=cota_s*100+fi_s/20,0,(OFFSET('Base de dados'!$A$4,IF(O870&lt;20,1,IF(O870&gt;1000,10,MATCH(O870,Cargas,1))),Coluna_fis,1,1))*(PI()*(fi_s/1000)^2/4)*(2*9.81*(O870/100-cota_s-fi_s/2/1000))^0.5*1000)))</f>
        <v>2165.1516549480575</v>
      </c>
      <c r="R870" s="19">
        <f t="shared" ca="1" si="153"/>
        <v>2204.301428560721</v>
      </c>
      <c r="S870" s="19">
        <f t="shared" ca="1" si="150"/>
        <v>4835.7477990895595</v>
      </c>
    </row>
    <row r="871" spans="13:19">
      <c r="M871" s="81">
        <f t="shared" ca="1" si="149"/>
        <v>7051.4961155038472</v>
      </c>
      <c r="N871" s="19">
        <f t="shared" si="151"/>
        <v>145.26018591753638</v>
      </c>
      <c r="O871" s="17">
        <f t="shared" si="152"/>
        <v>217.5</v>
      </c>
      <c r="P871" s="19">
        <f ca="1">IF(ISERROR(IF(O871&lt;fi_h/20,0,(OFFSET('Base de dados'!$A$5,IF(O871&lt;20,1,IF(O871&gt;1000,10,MATCH(O871,Cargas,1))),Coluna_fih,1,1))*(1+0.13*0.25)*(PI()*(fi_h/1000)^2/4)*SQRT(2*9.81*(O871/100-fi_h/2/1000))*1000)),"",IF(O871&lt;fi_h/20,0,(OFFSET('Base de dados'!$A$5,IF(O871&lt;20,1,IF(O871&gt;1000,10,MATCH(O871,Cargas,1))),Coluna_fih,1,1))*(PI()*(fi_h/1000)^2/4)*SQRT(2*9.81*(O871/100-fi_h/2/1000))*1000))</f>
        <v>39.172892922579187</v>
      </c>
      <c r="Q871" s="19">
        <f ca="1">IF(O871="","",IF(Tipo_Vertedor="Retangular",IF(O871&lt;=cota_s*100,0,IF(Tipo_Vertedor="Retangular",Cd_sr*Lef_sr*((O871/100-cota_s)^(3/2))*1000)),IF(O871&lt;=cota_s*100+fi_s/20,0,(OFFSET('Base de dados'!$A$4,IF(O871&lt;20,1,IF(O871&gt;1000,10,MATCH(O871,Cargas,1))),Coluna_fis,1,1))*(PI()*(fi_s/1000)^2/4)*(2*9.81*(O871/100-cota_s-fi_s/2/1000))^0.5*1000)))</f>
        <v>2170.3170253300545</v>
      </c>
      <c r="R871" s="19">
        <f t="shared" ca="1" si="153"/>
        <v>2209.4899182526337</v>
      </c>
      <c r="S871" s="19">
        <f t="shared" ca="1" si="150"/>
        <v>4842.0061972512131</v>
      </c>
    </row>
    <row r="872" spans="13:19">
      <c r="M872" s="81">
        <f t="shared" ca="1" si="149"/>
        <v>7062.9479870477171</v>
      </c>
      <c r="N872" s="19">
        <f t="shared" si="151"/>
        <v>145.44796474833043</v>
      </c>
      <c r="O872" s="17">
        <f t="shared" si="152"/>
        <v>217.75</v>
      </c>
      <c r="P872" s="19">
        <f ca="1">IF(ISERROR(IF(O872&lt;fi_h/20,0,(OFFSET('Base de dados'!$A$5,IF(O872&lt;20,1,IF(O872&gt;1000,10,MATCH(O872,Cargas,1))),Coluna_fih,1,1))*(1+0.13*0.25)*(PI()*(fi_h/1000)^2/4)*SQRT(2*9.81*(O872/100-fi_h/2/1000))*1000)),"",IF(O872&lt;fi_h/20,0,(OFFSET('Base de dados'!$A$5,IF(O872&lt;20,1,IF(O872&gt;1000,10,MATCH(O872,Cargas,1))),Coluna_fih,1,1))*(PI()*(fi_h/1000)^2/4)*SQRT(2*9.81*(O872/100-fi_h/2/1000))*1000))</f>
        <v>39.195998595837544</v>
      </c>
      <c r="Q872" s="19">
        <f ca="1">IF(O872="","",IF(Tipo_Vertedor="Retangular",IF(O872&lt;=cota_s*100,0,IF(Tipo_Vertedor="Retangular",Cd_sr*Lef_sr*((O872/100-cota_s)^(3/2))*1000)),IF(O872&lt;=cota_s*100+fi_s/20,0,(OFFSET('Base de dados'!$A$4,IF(O872&lt;20,1,IF(O872&gt;1000,10,MATCH(O872,Cargas,1))),Coluna_fis,1,1))*(PI()*(fi_s/1000)^2/4)*(2*9.81*(O872/100-cota_s-fi_s/2/1000))^0.5*1000)))</f>
        <v>2175.4864968408651</v>
      </c>
      <c r="R872" s="19">
        <f t="shared" ca="1" si="153"/>
        <v>2214.6824954367025</v>
      </c>
      <c r="S872" s="19">
        <f t="shared" ca="1" si="150"/>
        <v>4848.265491611015</v>
      </c>
    </row>
    <row r="873" spans="13:19">
      <c r="M873" s="81">
        <f t="shared" ca="1" si="149"/>
        <v>7074.4048381541779</v>
      </c>
      <c r="N873" s="19">
        <f t="shared" si="151"/>
        <v>145.63577043804443</v>
      </c>
      <c r="O873" s="17">
        <f t="shared" si="152"/>
        <v>218</v>
      </c>
      <c r="P873" s="19">
        <f ca="1">IF(ISERROR(IF(O873&lt;fi_h/20,0,(OFFSET('Base de dados'!$A$5,IF(O873&lt;20,1,IF(O873&gt;1000,10,MATCH(O873,Cargas,1))),Coluna_fih,1,1))*(1+0.13*0.25)*(PI()*(fi_h/1000)^2/4)*SQRT(2*9.81*(O873/100-fi_h/2/1000))*1000)),"",IF(O873&lt;fi_h/20,0,(OFFSET('Base de dados'!$A$5,IF(O873&lt;20,1,IF(O873&gt;1000,10,MATCH(O873,Cargas,1))),Coluna_fih,1,1))*(PI()*(fi_h/1000)^2/4)*SQRT(2*9.81*(O873/100-fi_h/2/1000))*1000))</f>
        <v>39.219090656540487</v>
      </c>
      <c r="Q873" s="19">
        <f ca="1">IF(O873="","",IF(Tipo_Vertedor="Retangular",IF(O873&lt;=cota_s*100,0,IF(Tipo_Vertedor="Retangular",Cd_sr*Lef_sr*((O873/100-cota_s)^(3/2))*1000)),IF(O873&lt;=cota_s*100+fi_s/20,0,(OFFSET('Base de dados'!$A$4,IF(O873&lt;20,1,IF(O873&gt;1000,10,MATCH(O873,Cargas,1))),Coluna_fis,1,1))*(PI()*(fi_s/1000)^2/4)*(2*9.81*(O873/100-cota_s-fi_s/2/1000))^0.5*1000)))</f>
        <v>2180.6600662294895</v>
      </c>
      <c r="R873" s="19">
        <f t="shared" ca="1" si="153"/>
        <v>2219.8791568860302</v>
      </c>
      <c r="S873" s="19">
        <f t="shared" ca="1" si="150"/>
        <v>4854.5256812681473</v>
      </c>
    </row>
    <row r="874" spans="13:19">
      <c r="M874" s="81">
        <f t="shared" ca="1" si="149"/>
        <v>7085.8666647051014</v>
      </c>
      <c r="N874" s="19">
        <f t="shared" si="151"/>
        <v>145.82360295971193</v>
      </c>
      <c r="O874" s="17">
        <f t="shared" si="152"/>
        <v>218.25</v>
      </c>
      <c r="P874" s="19">
        <f ca="1">IF(ISERROR(IF(O874&lt;fi_h/20,0,(OFFSET('Base de dados'!$A$5,IF(O874&lt;20,1,IF(O874&gt;1000,10,MATCH(O874,Cargas,1))),Coluna_fih,1,1))*(1+0.13*0.25)*(PI()*(fi_h/1000)^2/4)*SQRT(2*9.81*(O874/100-fi_h/2/1000))*1000)),"",IF(O874&lt;fi_h/20,0,(OFFSET('Base de dados'!$A$5,IF(O874&lt;20,1,IF(O874&gt;1000,10,MATCH(O874,Cargas,1))),Coluna_fih,1,1))*(PI()*(fi_h/1000)^2/4)*SQRT(2*9.81*(O874/100-fi_h/2/1000))*1000))</f>
        <v>39.242169128718963</v>
      </c>
      <c r="Q874" s="19">
        <f ca="1">IF(O874="","",IF(Tipo_Vertedor="Retangular",IF(O874&lt;=cota_s*100,0,IF(Tipo_Vertedor="Retangular",Cd_sr*Lef_sr*((O874/100-cota_s)^(3/2))*1000)),IF(O874&lt;=cota_s*100+fi_s/20,0,(OFFSET('Base de dados'!$A$4,IF(O874&lt;20,1,IF(O874&gt;1000,10,MATCH(O874,Cargas,1))),Coluna_fis,1,1))*(PI()*(fi_s/1000)^2/4)*(2*9.81*(O874/100-cota_s-fi_s/2/1000))^0.5*1000)))</f>
        <v>2185.8377302526515</v>
      </c>
      <c r="R874" s="19">
        <f t="shared" ca="1" si="153"/>
        <v>2225.0798993813705</v>
      </c>
      <c r="S874" s="19">
        <f t="shared" ca="1" si="150"/>
        <v>4860.7867653237308</v>
      </c>
    </row>
    <row r="875" spans="13:19">
      <c r="M875" s="81">
        <f t="shared" ca="1" si="149"/>
        <v>7097.333462591916</v>
      </c>
      <c r="N875" s="19">
        <f t="shared" si="151"/>
        <v>146.0114622864246</v>
      </c>
      <c r="O875" s="17">
        <f t="shared" si="152"/>
        <v>218.5</v>
      </c>
      <c r="P875" s="19">
        <f ca="1">IF(ISERROR(IF(O875&lt;fi_h/20,0,(OFFSET('Base de dados'!$A$5,IF(O875&lt;20,1,IF(O875&gt;1000,10,MATCH(O875,Cargas,1))),Coluna_fih,1,1))*(1+0.13*0.25)*(PI()*(fi_h/1000)^2/4)*SQRT(2*9.81*(O875/100-fi_h/2/1000))*1000)),"",IF(O875&lt;fi_h/20,0,(OFFSET('Base de dados'!$A$5,IF(O875&lt;20,1,IF(O875&gt;1000,10,MATCH(O875,Cargas,1))),Coluna_fih,1,1))*(PI()*(fi_h/1000)^2/4)*SQRT(2*9.81*(O875/100-fi_h/2/1000))*1000))</f>
        <v>39.265234036333304</v>
      </c>
      <c r="Q875" s="19">
        <f ca="1">IF(O875="","",IF(Tipo_Vertedor="Retangular",IF(O875&lt;=cota_s*100,0,IF(Tipo_Vertedor="Retangular",Cd_sr*Lef_sr*((O875/100-cota_s)^(3/2))*1000)),IF(O875&lt;=cota_s*100+fi_s/20,0,(OFFSET('Base de dados'!$A$4,IF(O875&lt;20,1,IF(O875&gt;1000,10,MATCH(O875,Cargas,1))),Coluna_fis,1,1))*(PI()*(fi_s/1000)^2/4)*(2*9.81*(O875/100-cota_s-fi_s/2/1000))^0.5*1000)))</f>
        <v>2191.0194856747626</v>
      </c>
      <c r="R875" s="19">
        <f t="shared" ca="1" si="153"/>
        <v>2230.2847197110959</v>
      </c>
      <c r="S875" s="19">
        <f t="shared" ca="1" si="150"/>
        <v>4867.0487428808201</v>
      </c>
    </row>
    <row r="876" spans="13:19">
      <c r="M876" s="81">
        <f t="shared" ca="1" si="149"/>
        <v>7108.8052277155557</v>
      </c>
      <c r="N876" s="19">
        <f t="shared" si="151"/>
        <v>146.19934839133174</v>
      </c>
      <c r="O876" s="17">
        <f t="shared" si="152"/>
        <v>218.75</v>
      </c>
      <c r="P876" s="19">
        <f ca="1">IF(ISERROR(IF(O876&lt;fi_h/20,0,(OFFSET('Base de dados'!$A$5,IF(O876&lt;20,1,IF(O876&gt;1000,10,MATCH(O876,Cargas,1))),Coluna_fih,1,1))*(1+0.13*0.25)*(PI()*(fi_h/1000)^2/4)*SQRT(2*9.81*(O876/100-fi_h/2/1000))*1000)),"",IF(O876&lt;fi_h/20,0,(OFFSET('Base de dados'!$A$5,IF(O876&lt;20,1,IF(O876&gt;1000,10,MATCH(O876,Cargas,1))),Coluna_fih,1,1))*(PI()*(fi_h/1000)^2/4)*SQRT(2*9.81*(O876/100-fi_h/2/1000))*1000))</f>
        <v>39.288285403273449</v>
      </c>
      <c r="Q876" s="19">
        <f ca="1">IF(O876="","",IF(Tipo_Vertedor="Retangular",IF(O876&lt;=cota_s*100,0,IF(Tipo_Vertedor="Retangular",Cd_sr*Lef_sr*((O876/100-cota_s)^(3/2))*1000)),IF(O876&lt;=cota_s*100+fi_s/20,0,(OFFSET('Base de dados'!$A$4,IF(O876&lt;20,1,IF(O876&gt;1000,10,MATCH(O876,Cargas,1))),Coluna_fis,1,1))*(PI()*(fi_s/1000)^2/4)*(2*9.81*(O876/100-cota_s-fi_s/2/1000))^0.5*1000)))</f>
        <v>2196.2053292678911</v>
      </c>
      <c r="R876" s="19">
        <f t="shared" ca="1" si="153"/>
        <v>2235.4936146711643</v>
      </c>
      <c r="S876" s="19">
        <f t="shared" ca="1" si="150"/>
        <v>4873.3116130443914</v>
      </c>
    </row>
    <row r="877" spans="13:19">
      <c r="M877" s="81">
        <f t="shared" ca="1" si="149"/>
        <v>7120.281955986432</v>
      </c>
      <c r="N877" s="19">
        <f t="shared" si="151"/>
        <v>146.38726124764014</v>
      </c>
      <c r="O877" s="17">
        <f t="shared" si="152"/>
        <v>219</v>
      </c>
      <c r="P877" s="19">
        <f ca="1">IF(ISERROR(IF(O877&lt;fi_h/20,0,(OFFSET('Base de dados'!$A$5,IF(O877&lt;20,1,IF(O877&gt;1000,10,MATCH(O877,Cargas,1))),Coluna_fih,1,1))*(1+0.13*0.25)*(PI()*(fi_h/1000)^2/4)*SQRT(2*9.81*(O877/100-fi_h/2/1000))*1000)),"",IF(O877&lt;fi_h/20,0,(OFFSET('Base de dados'!$A$5,IF(O877&lt;20,1,IF(O877&gt;1000,10,MATCH(O877,Cargas,1))),Coluna_fih,1,1))*(PI()*(fi_h/1000)^2/4)*SQRT(2*9.81*(O877/100-fi_h/2/1000))*1000))</f>
        <v>39.311323253359362</v>
      </c>
      <c r="Q877" s="19">
        <f ca="1">IF(O877="","",IF(Tipo_Vertedor="Retangular",IF(O877&lt;=cota_s*100,0,IF(Tipo_Vertedor="Retangular",Cd_sr*Lef_sr*((O877/100-cota_s)^(3/2))*1000)),IF(O877&lt;=cota_s*100+fi_s/20,0,(OFFSET('Base de dados'!$A$4,IF(O877&lt;20,1,IF(O877&gt;1000,10,MATCH(O877,Cargas,1))),Coluna_fis,1,1))*(PI()*(fi_s/1000)^2/4)*(2*9.81*(O877/100-cota_s-fi_s/2/1000))^0.5*1000)))</f>
        <v>2201.3952578117355</v>
      </c>
      <c r="R877" s="19">
        <f t="shared" ca="1" si="153"/>
        <v>2240.7065810650947</v>
      </c>
      <c r="S877" s="19">
        <f t="shared" ca="1" si="150"/>
        <v>4879.5753749213372</v>
      </c>
    </row>
    <row r="878" spans="13:19">
      <c r="M878" s="81">
        <f t="shared" ca="1" si="149"/>
        <v>7131.7636433244015</v>
      </c>
      <c r="N878" s="19">
        <f t="shared" si="151"/>
        <v>146.5752008286141</v>
      </c>
      <c r="O878" s="17">
        <f t="shared" si="152"/>
        <v>219.25</v>
      </c>
      <c r="P878" s="19">
        <f ca="1">IF(ISERROR(IF(O878&lt;fi_h/20,0,(OFFSET('Base de dados'!$A$5,IF(O878&lt;20,1,IF(O878&gt;1000,10,MATCH(O878,Cargas,1))),Coluna_fih,1,1))*(1+0.13*0.25)*(PI()*(fi_h/1000)^2/4)*SQRT(2*9.81*(O878/100-fi_h/2/1000))*1000)),"",IF(O878&lt;fi_h/20,0,(OFFSET('Base de dados'!$A$5,IF(O878&lt;20,1,IF(O878&gt;1000,10,MATCH(O878,Cargas,1))),Coluna_fih,1,1))*(PI()*(fi_h/1000)^2/4)*SQRT(2*9.81*(O878/100-fi_h/2/1000))*1000))</f>
        <v>39.334347610341212</v>
      </c>
      <c r="Q878" s="19">
        <f ca="1">IF(O878="","",IF(Tipo_Vertedor="Retangular",IF(O878&lt;=cota_s*100,0,IF(Tipo_Vertedor="Retangular",Cd_sr*Lef_sr*((O878/100-cota_s)^(3/2))*1000)),IF(O878&lt;=cota_s*100+fi_s/20,0,(OFFSET('Base de dados'!$A$4,IF(O878&lt;20,1,IF(O878&gt;1000,10,MATCH(O878,Cargas,1))),Coluna_fis,1,1))*(PI()*(fi_s/1000)^2/4)*(2*9.81*(O878/100-cota_s-fi_s/2/1000))^0.5*1000)))</f>
        <v>2206.5892680935908</v>
      </c>
      <c r="R878" s="19">
        <f t="shared" ca="1" si="153"/>
        <v>2245.9236157039322</v>
      </c>
      <c r="S878" s="19">
        <f t="shared" ca="1" si="150"/>
        <v>4885.8400276204693</v>
      </c>
    </row>
    <row r="879" spans="13:19">
      <c r="M879" s="81">
        <f t="shared" ca="1" si="149"/>
        <v>7143.2502856587216</v>
      </c>
      <c r="N879" s="19">
        <f t="shared" si="151"/>
        <v>146.76316710757499</v>
      </c>
      <c r="O879" s="17">
        <f t="shared" si="152"/>
        <v>219.5</v>
      </c>
      <c r="P879" s="19">
        <f ca="1">IF(ISERROR(IF(O879&lt;fi_h/20,0,(OFFSET('Base de dados'!$A$5,IF(O879&lt;20,1,IF(O879&gt;1000,10,MATCH(O879,Cargas,1))),Coluna_fih,1,1))*(1+0.13*0.25)*(PI()*(fi_h/1000)^2/4)*SQRT(2*9.81*(O879/100-fi_h/2/1000))*1000)),"",IF(O879&lt;fi_h/20,0,(OFFSET('Base de dados'!$A$5,IF(O879&lt;20,1,IF(O879&gt;1000,10,MATCH(O879,Cargas,1))),Coluna_fih,1,1))*(PI()*(fi_h/1000)^2/4)*SQRT(2*9.81*(O879/100-fi_h/2/1000))*1000))</f>
        <v>39.35735849789971</v>
      </c>
      <c r="Q879" s="19">
        <f ca="1">IF(O879="","",IF(Tipo_Vertedor="Retangular",IF(O879&lt;=cota_s*100,0,IF(Tipo_Vertedor="Retangular",Cd_sr*Lef_sr*((O879/100-cota_s)^(3/2))*1000)),IF(O879&lt;=cota_s*100+fi_s/20,0,(OFFSET('Base de dados'!$A$4,IF(O879&lt;20,1,IF(O879&gt;1000,10,MATCH(O879,Cargas,1))),Coluna_fis,1,1))*(PI()*(fi_s/1000)^2/4)*(2*9.81*(O879/100-cota_s-fi_s/2/1000))^0.5*1000)))</f>
        <v>2211.7873569083213</v>
      </c>
      <c r="R879" s="19">
        <f t="shared" ca="1" si="153"/>
        <v>2251.1447154062212</v>
      </c>
      <c r="S879" s="19">
        <f t="shared" ca="1" si="150"/>
        <v>4892.1055702525</v>
      </c>
    </row>
    <row r="880" spans="13:19">
      <c r="M880" s="81">
        <f t="shared" ca="1" si="149"/>
        <v>7154.7418789280146</v>
      </c>
      <c r="N880" s="19">
        <f t="shared" si="151"/>
        <v>146.95116005790121</v>
      </c>
      <c r="O880" s="17">
        <f t="shared" si="152"/>
        <v>219.75</v>
      </c>
      <c r="P880" s="19">
        <f ca="1">IF(ISERROR(IF(O880&lt;fi_h/20,0,(OFFSET('Base de dados'!$A$5,IF(O880&lt;20,1,IF(O880&gt;1000,10,MATCH(O880,Cargas,1))),Coluna_fih,1,1))*(1+0.13*0.25)*(PI()*(fi_h/1000)^2/4)*SQRT(2*9.81*(O880/100-fi_h/2/1000))*1000)),"",IF(O880&lt;fi_h/20,0,(OFFSET('Base de dados'!$A$5,IF(O880&lt;20,1,IF(O880&gt;1000,10,MATCH(O880,Cargas,1))),Coluna_fih,1,1))*(PI()*(fi_h/1000)^2/4)*SQRT(2*9.81*(O880/100-fi_h/2/1000))*1000))</f>
        <v>39.380355939646371</v>
      </c>
      <c r="Q880" s="19">
        <f ca="1">IF(O880="","",IF(Tipo_Vertedor="Retangular",IF(O880&lt;=cota_s*100,0,IF(Tipo_Vertedor="Retangular",Cd_sr*Lef_sr*((O880/100-cota_s)^(3/2))*1000)),IF(O880&lt;=cota_s*100+fi_s/20,0,(OFFSET('Base de dados'!$A$4,IF(O880&lt;20,1,IF(O880&gt;1000,10,MATCH(O880,Cargas,1))),Coluna_fis,1,1))*(PI()*(fi_s/1000)^2/4)*(2*9.81*(O880/100-cota_s-fi_s/2/1000))^0.5*1000)))</f>
        <v>2216.9895210583281</v>
      </c>
      <c r="R880" s="19">
        <f t="shared" ca="1" si="153"/>
        <v>2256.3698769979746</v>
      </c>
      <c r="S880" s="19">
        <f t="shared" ca="1" si="150"/>
        <v>4898.3720019300399</v>
      </c>
    </row>
    <row r="881" spans="13:19">
      <c r="M881" s="81">
        <f t="shared" ca="1" si="149"/>
        <v>7166.2384190802477</v>
      </c>
      <c r="N881" s="19">
        <f t="shared" si="151"/>
        <v>147.13917965302801</v>
      </c>
      <c r="O881" s="17">
        <f t="shared" si="152"/>
        <v>220</v>
      </c>
      <c r="P881" s="19">
        <f ca="1">IF(ISERROR(IF(O881&lt;fi_h/20,0,(OFFSET('Base de dados'!$A$5,IF(O881&lt;20,1,IF(O881&gt;1000,10,MATCH(O881,Cargas,1))),Coluna_fih,1,1))*(1+0.13*0.25)*(PI()*(fi_h/1000)^2/4)*SQRT(2*9.81*(O881/100-fi_h/2/1000))*1000)),"",IF(O881&lt;fi_h/20,0,(OFFSET('Base de dados'!$A$5,IF(O881&lt;20,1,IF(O881&gt;1000,10,MATCH(O881,Cargas,1))),Coluna_fih,1,1))*(PI()*(fi_h/1000)^2/4)*SQRT(2*9.81*(O881/100-fi_h/2/1000))*1000))</f>
        <v>39.403339959123834</v>
      </c>
      <c r="Q881" s="19">
        <f ca="1">IF(O881="","",IF(Tipo_Vertedor="Retangular",IF(O881&lt;=cota_s*100,0,IF(Tipo_Vertedor="Retangular",Cd_sr*Lef_sr*((O881/100-cota_s)^(3/2))*1000)),IF(O881&lt;=cota_s*100+fi_s/20,0,(OFFSET('Base de dados'!$A$4,IF(O881&lt;20,1,IF(O881&gt;1000,10,MATCH(O881,Cargas,1))),Coluna_fis,1,1))*(PI()*(fi_s/1000)^2/4)*(2*9.81*(O881/100-cota_s-fi_s/2/1000))^0.5*1000)))</f>
        <v>2222.1957573535242</v>
      </c>
      <c r="R881" s="19">
        <f t="shared" ca="1" si="153"/>
        <v>2261.5990973126482</v>
      </c>
      <c r="S881" s="19">
        <f t="shared" ca="1" si="150"/>
        <v>4904.6393217675995</v>
      </c>
    </row>
    <row r="882" spans="13:19">
      <c r="M882" s="81">
        <f t="shared" ca="1" si="149"/>
        <v>7177.7399020726734</v>
      </c>
      <c r="N882" s="19">
        <f t="shared" si="151"/>
        <v>147.32722586644712</v>
      </c>
      <c r="O882" s="17">
        <f t="shared" si="152"/>
        <v>220.25</v>
      </c>
      <c r="P882" s="19">
        <f ca="1">IF(ISERROR(IF(O882&lt;fi_h/20,0,(OFFSET('Base de dados'!$A$5,IF(O882&lt;20,1,IF(O882&gt;1000,10,MATCH(O882,Cargas,1))),Coluna_fih,1,1))*(1+0.13*0.25)*(PI()*(fi_h/1000)^2/4)*SQRT(2*9.81*(O882/100-fi_h/2/1000))*1000)),"",IF(O882&lt;fi_h/20,0,(OFFSET('Base de dados'!$A$5,IF(O882&lt;20,1,IF(O882&gt;1000,10,MATCH(O882,Cargas,1))),Coluna_fih,1,1))*(PI()*(fi_h/1000)^2/4)*SQRT(2*9.81*(O882/100-fi_h/2/1000))*1000))</f>
        <v>39.426310579806071</v>
      </c>
      <c r="Q882" s="19">
        <f ca="1">IF(O882="","",IF(Tipo_Vertedor="Retangular",IF(O882&lt;=cota_s*100,0,IF(Tipo_Vertedor="Retangular",Cd_sr*Lef_sr*((O882/100-cota_s)^(3/2))*1000)),IF(O882&lt;=cota_s*100+fi_s/20,0,(OFFSET('Base de dados'!$A$4,IF(O882&lt;20,1,IF(O882&gt;1000,10,MATCH(O882,Cargas,1))),Coluna_fis,1,1))*(PI()*(fi_s/1000)^2/4)*(2*9.81*(O882/100-cota_s-fi_s/2/1000))^0.5*1000)))</f>
        <v>2227.4060626112973</v>
      </c>
      <c r="R882" s="19">
        <f t="shared" ca="1" si="153"/>
        <v>2266.8323731911032</v>
      </c>
      <c r="S882" s="19">
        <f t="shared" ca="1" si="150"/>
        <v>4910.9075288815702</v>
      </c>
    </row>
    <row r="883" spans="13:19">
      <c r="M883" s="81">
        <f t="shared" ca="1" si="149"/>
        <v>7189.2463238718174</v>
      </c>
      <c r="N883" s="19">
        <f t="shared" si="151"/>
        <v>147.5152986717068</v>
      </c>
      <c r="O883" s="17">
        <f t="shared" si="152"/>
        <v>220.5</v>
      </c>
      <c r="P883" s="19">
        <f ca="1">IF(ISERROR(IF(O883&lt;fi_h/20,0,(OFFSET('Base de dados'!$A$5,IF(O883&lt;20,1,IF(O883&gt;1000,10,MATCH(O883,Cargas,1))),Coluna_fih,1,1))*(1+0.13*0.25)*(PI()*(fi_h/1000)^2/4)*SQRT(2*9.81*(O883/100-fi_h/2/1000))*1000)),"",IF(O883&lt;fi_h/20,0,(OFFSET('Base de dados'!$A$5,IF(O883&lt;20,1,IF(O883&gt;1000,10,MATCH(O883,Cargas,1))),Coluna_fih,1,1))*(PI()*(fi_h/1000)^2/4)*SQRT(2*9.81*(O883/100-fi_h/2/1000))*1000))</f>
        <v>39.449267825098744</v>
      </c>
      <c r="Q883" s="19">
        <f ca="1">IF(O883="","",IF(Tipo_Vertedor="Retangular",IF(O883&lt;=cota_s*100,0,IF(Tipo_Vertedor="Retangular",Cd_sr*Lef_sr*((O883/100-cota_s)^(3/2))*1000)),IF(O883&lt;=cota_s*100+fi_s/20,0,(OFFSET('Base de dados'!$A$4,IF(O883&lt;20,1,IF(O883&gt;1000,10,MATCH(O883,Cargas,1))),Coluna_fis,1,1))*(PI()*(fi_s/1000)^2/4)*(2*9.81*(O883/100-cota_s-fi_s/2/1000))^0.5*1000)))</f>
        <v>2232.6204336564915</v>
      </c>
      <c r="R883" s="19">
        <f t="shared" ca="1" si="153"/>
        <v>2272.0697014815901</v>
      </c>
      <c r="S883" s="19">
        <f t="shared" ca="1" si="150"/>
        <v>4917.1766223902268</v>
      </c>
    </row>
    <row r="884" spans="13:19">
      <c r="M884" s="81">
        <f t="shared" ca="1" si="149"/>
        <v>7200.7576804534283</v>
      </c>
      <c r="N884" s="19">
        <f t="shared" si="151"/>
        <v>147.70339804241161</v>
      </c>
      <c r="O884" s="17">
        <f t="shared" si="152"/>
        <v>220.75</v>
      </c>
      <c r="P884" s="19">
        <f ca="1">IF(ISERROR(IF(O884&lt;fi_h/20,0,(OFFSET('Base de dados'!$A$5,IF(O884&lt;20,1,IF(O884&gt;1000,10,MATCH(O884,Cargas,1))),Coluna_fih,1,1))*(1+0.13*0.25)*(PI()*(fi_h/1000)^2/4)*SQRT(2*9.81*(O884/100-fi_h/2/1000))*1000)),"",IF(O884&lt;fi_h/20,0,(OFFSET('Base de dados'!$A$5,IF(O884&lt;20,1,IF(O884&gt;1000,10,MATCH(O884,Cargas,1))),Coluna_fih,1,1))*(PI()*(fi_h/1000)^2/4)*SQRT(2*9.81*(O884/100-fi_h/2/1000))*1000))</f>
        <v>39.472211718339445</v>
      </c>
      <c r="Q884" s="19">
        <f ca="1">IF(O884="","",IF(Tipo_Vertedor="Retangular",IF(O884&lt;=cota_s*100,0,IF(Tipo_Vertedor="Retangular",Cd_sr*Lef_sr*((O884/100-cota_s)^(3/2))*1000)),IF(O884&lt;=cota_s*100+fi_s/20,0,(OFFSET('Base de dados'!$A$4,IF(O884&lt;20,1,IF(O884&gt;1000,10,MATCH(O884,Cargas,1))),Coluna_fis,1,1))*(PI()*(fi_s/1000)^2/4)*(2*9.81*(O884/100-cota_s-fi_s/2/1000))^0.5*1000)))</f>
        <v>2237.838867321369</v>
      </c>
      <c r="R884" s="19">
        <f t="shared" ca="1" si="153"/>
        <v>2277.3110790397086</v>
      </c>
      <c r="S884" s="19">
        <f t="shared" ca="1" si="150"/>
        <v>4923.4466014137197</v>
      </c>
    </row>
    <row r="885" spans="13:19">
      <c r="M885" s="81">
        <f t="shared" ca="1" si="149"/>
        <v>7212.2739678024518</v>
      </c>
      <c r="N885" s="19">
        <f t="shared" si="151"/>
        <v>147.89152395222209</v>
      </c>
      <c r="O885" s="17">
        <f t="shared" si="152"/>
        <v>221</v>
      </c>
      <c r="P885" s="19">
        <f ca="1">IF(ISERROR(IF(O885&lt;fi_h/20,0,(OFFSET('Base de dados'!$A$5,IF(O885&lt;20,1,IF(O885&gt;1000,10,MATCH(O885,Cargas,1))),Coluna_fih,1,1))*(1+0.13*0.25)*(PI()*(fi_h/1000)^2/4)*SQRT(2*9.81*(O885/100-fi_h/2/1000))*1000)),"",IF(O885&lt;fi_h/20,0,(OFFSET('Base de dados'!$A$5,IF(O885&lt;20,1,IF(O885&gt;1000,10,MATCH(O885,Cargas,1))),Coluna_fih,1,1))*(PI()*(fi_h/1000)^2/4)*SQRT(2*9.81*(O885/100-fi_h/2/1000))*1000))</f>
        <v>39.495142282797978</v>
      </c>
      <c r="Q885" s="19">
        <f ca="1">IF(O885="","",IF(Tipo_Vertedor="Retangular",IF(O885&lt;=cota_s*100,0,IF(Tipo_Vertedor="Retangular",Cd_sr*Lef_sr*((O885/100-cota_s)^(3/2))*1000)),IF(O885&lt;=cota_s*100+fi_s/20,0,(OFFSET('Base de dados'!$A$4,IF(O885&lt;20,1,IF(O885&gt;1000,10,MATCH(O885,Cargas,1))),Coluna_fis,1,1))*(PI()*(fi_s/1000)^2/4)*(2*9.81*(O885/100-cota_s-fi_s/2/1000))^0.5*1000)))</f>
        <v>2243.0613604455853</v>
      </c>
      <c r="R885" s="19">
        <f t="shared" ca="1" si="153"/>
        <v>2282.5565027283833</v>
      </c>
      <c r="S885" s="19">
        <f t="shared" ca="1" si="150"/>
        <v>4929.717465074069</v>
      </c>
    </row>
    <row r="886" spans="13:19">
      <c r="M886" s="81">
        <f t="shared" ca="1" si="149"/>
        <v>7223.7951819129939</v>
      </c>
      <c r="N886" s="19">
        <f t="shared" si="151"/>
        <v>148.0796763748547</v>
      </c>
      <c r="O886" s="17">
        <f t="shared" si="152"/>
        <v>221.25</v>
      </c>
      <c r="P886" s="19">
        <f ca="1">IF(ISERROR(IF(O886&lt;fi_h/20,0,(OFFSET('Base de dados'!$A$5,IF(O886&lt;20,1,IF(O886&gt;1000,10,MATCH(O886,Cargas,1))),Coluna_fih,1,1))*(1+0.13*0.25)*(PI()*(fi_h/1000)^2/4)*SQRT(2*9.81*(O886/100-fi_h/2/1000))*1000)),"",IF(O886&lt;fi_h/20,0,(OFFSET('Base de dados'!$A$5,IF(O886&lt;20,1,IF(O886&gt;1000,10,MATCH(O886,Cargas,1))),Coluna_fih,1,1))*(PI()*(fi_h/1000)^2/4)*SQRT(2*9.81*(O886/100-fi_h/2/1000))*1000))</f>
        <v>39.518059541676628</v>
      </c>
      <c r="Q886" s="19">
        <f ca="1">IF(O886="","",IF(Tipo_Vertedor="Retangular",IF(O886&lt;=cota_s*100,0,IF(Tipo_Vertedor="Retangular",Cd_sr*Lef_sr*((O886/100-cota_s)^(3/2))*1000)),IF(O886&lt;=cota_s*100+fi_s/20,0,(OFFSET('Base de dados'!$A$4,IF(O886&lt;20,1,IF(O886&gt;1000,10,MATCH(O886,Cargas,1))),Coluna_fis,1,1))*(PI()*(fi_s/1000)^2/4)*(2*9.81*(O886/100-cota_s-fi_s/2/1000))^0.5*1000)))</f>
        <v>2248.28790987616</v>
      </c>
      <c r="R886" s="19">
        <f t="shared" ca="1" si="153"/>
        <v>2287.8059694178369</v>
      </c>
      <c r="S886" s="19">
        <f t="shared" ca="1" si="150"/>
        <v>4935.9892124951566</v>
      </c>
    </row>
    <row r="887" spans="13:19">
      <c r="M887" s="81">
        <f t="shared" ca="1" si="149"/>
        <v>7235.3213187882775</v>
      </c>
      <c r="N887" s="19">
        <f t="shared" si="151"/>
        <v>148.26785528408158</v>
      </c>
      <c r="O887" s="17">
        <f t="shared" si="152"/>
        <v>221.5</v>
      </c>
      <c r="P887" s="19">
        <f ca="1">IF(ISERROR(IF(O887&lt;fi_h/20,0,(OFFSET('Base de dados'!$A$5,IF(O887&lt;20,1,IF(O887&gt;1000,10,MATCH(O887,Cargas,1))),Coluna_fih,1,1))*(1+0.13*0.25)*(PI()*(fi_h/1000)^2/4)*SQRT(2*9.81*(O887/100-fi_h/2/1000))*1000)),"",IF(O887&lt;fi_h/20,0,(OFFSET('Base de dados'!$A$5,IF(O887&lt;20,1,IF(O887&gt;1000,10,MATCH(O887,Cargas,1))),Coluna_fih,1,1))*(PI()*(fi_h/1000)^2/4)*SQRT(2*9.81*(O887/100-fi_h/2/1000))*1000))</f>
        <v>39.540963518110459</v>
      </c>
      <c r="Q887" s="19">
        <f ca="1">IF(O887="","",IF(Tipo_Vertedor="Retangular",IF(O887&lt;=cota_s*100,0,IF(Tipo_Vertedor="Retangular",Cd_sr*Lef_sr*((O887/100-cota_s)^(3/2))*1000)),IF(O887&lt;=cota_s*100+fi_s/20,0,(OFFSET('Base de dados'!$A$4,IF(O887&lt;20,1,IF(O887&gt;1000,10,MATCH(O887,Cargas,1))),Coluna_fis,1,1))*(PI()*(fi_s/1000)^2/4)*(2*9.81*(O887/100-cota_s-fi_s/2/1000))^0.5*1000)))</f>
        <v>2253.5185124674476</v>
      </c>
      <c r="R887" s="19">
        <f t="shared" ca="1" si="153"/>
        <v>2293.059475985558</v>
      </c>
      <c r="S887" s="19">
        <f t="shared" ca="1" si="150"/>
        <v>4942.261842802719</v>
      </c>
    </row>
    <row r="888" spans="13:19">
      <c r="M888" s="81">
        <f t="shared" ca="1" si="149"/>
        <v>7246.852374440623</v>
      </c>
      <c r="N888" s="19">
        <f t="shared" si="151"/>
        <v>148.45606065373033</v>
      </c>
      <c r="O888" s="17">
        <f t="shared" si="152"/>
        <v>221.75</v>
      </c>
      <c r="P888" s="19">
        <f ca="1">IF(ISERROR(IF(O888&lt;fi_h/20,0,(OFFSET('Base de dados'!$A$5,IF(O888&lt;20,1,IF(O888&gt;1000,10,MATCH(O888,Cargas,1))),Coluna_fih,1,1))*(1+0.13*0.25)*(PI()*(fi_h/1000)^2/4)*SQRT(2*9.81*(O888/100-fi_h/2/1000))*1000)),"",IF(O888&lt;fi_h/20,0,(OFFSET('Base de dados'!$A$5,IF(O888&lt;20,1,IF(O888&gt;1000,10,MATCH(O888,Cargas,1))),Coluna_fih,1,1))*(PI()*(fi_h/1000)^2/4)*SQRT(2*9.81*(O888/100-fi_h/2/1000))*1000))</f>
        <v>39.563854235167547</v>
      </c>
      <c r="Q888" s="19">
        <f ca="1">IF(O888="","",IF(Tipo_Vertedor="Retangular",IF(O888&lt;=cota_s*100,0,IF(Tipo_Vertedor="Retangular",Cd_sr*Lef_sr*((O888/100-cota_s)^(3/2))*1000)),IF(O888&lt;=cota_s*100+fi_s/20,0,(OFFSET('Base de dados'!$A$4,IF(O888&lt;20,1,IF(O888&gt;1000,10,MATCH(O888,Cargas,1))),Coluna_fis,1,1))*(PI()*(fi_s/1000)^2/4)*(2*9.81*(O888/100-cota_s-fi_s/2/1000))^0.5*1000)))</f>
        <v>2258.7531650811111</v>
      </c>
      <c r="R888" s="19">
        <f t="shared" ca="1" si="153"/>
        <v>2298.3170193162787</v>
      </c>
      <c r="S888" s="19">
        <f t="shared" ca="1" si="150"/>
        <v>4948.5353551243443</v>
      </c>
    </row>
    <row r="889" spans="13:19">
      <c r="M889" s="81">
        <f t="shared" ca="1" si="149"/>
        <v>7258.3883448914112</v>
      </c>
      <c r="N889" s="19">
        <f t="shared" si="151"/>
        <v>148.64429245768414</v>
      </c>
      <c r="O889" s="17">
        <f t="shared" si="152"/>
        <v>222</v>
      </c>
      <c r="P889" s="19">
        <f ca="1">IF(ISERROR(IF(O889&lt;fi_h/20,0,(OFFSET('Base de dados'!$A$5,IF(O889&lt;20,1,IF(O889&gt;1000,10,MATCH(O889,Cargas,1))),Coluna_fih,1,1))*(1+0.13*0.25)*(PI()*(fi_h/1000)^2/4)*SQRT(2*9.81*(O889/100-fi_h/2/1000))*1000)),"",IF(O889&lt;fi_h/20,0,(OFFSET('Base de dados'!$A$5,IF(O889&lt;20,1,IF(O889&gt;1000,10,MATCH(O889,Cargas,1))),Coluna_fih,1,1))*(PI()*(fi_h/1000)^2/4)*SQRT(2*9.81*(O889/100-fi_h/2/1000))*1000))</f>
        <v>39.586731715849297</v>
      </c>
      <c r="Q889" s="19">
        <f ca="1">IF(O889="","",IF(Tipo_Vertedor="Retangular",IF(O889&lt;=cota_s*100,0,IF(Tipo_Vertedor="Retangular",Cd_sr*Lef_sr*((O889/100-cota_s)^(3/2))*1000)),IF(O889&lt;=cota_s*100+fi_s/20,0,(OFFSET('Base de dados'!$A$4,IF(O889&lt;20,1,IF(O889&gt;1000,10,MATCH(O889,Cargas,1))),Coluna_fis,1,1))*(PI()*(fi_s/1000)^2/4)*(2*9.81*(O889/100-cota_s-fi_s/2/1000))^0.5*1000)))</f>
        <v>2263.9918645860907</v>
      </c>
      <c r="R889" s="19">
        <f t="shared" ca="1" si="153"/>
        <v>2303.5785963019403</v>
      </c>
      <c r="S889" s="19">
        <f t="shared" ca="1" si="150"/>
        <v>4954.8097485894714</v>
      </c>
    </row>
    <row r="890" spans="13:19">
      <c r="M890" s="81">
        <f t="shared" ca="1" si="149"/>
        <v>7269.9292261710334</v>
      </c>
      <c r="N890" s="19">
        <f t="shared" si="151"/>
        <v>148.83255066988102</v>
      </c>
      <c r="O890" s="17">
        <f t="shared" si="152"/>
        <v>222.25</v>
      </c>
      <c r="P890" s="19">
        <f ca="1">IF(ISERROR(IF(O890&lt;fi_h/20,0,(OFFSET('Base de dados'!$A$5,IF(O890&lt;20,1,IF(O890&gt;1000,10,MATCH(O890,Cargas,1))),Coluna_fih,1,1))*(1+0.13*0.25)*(PI()*(fi_h/1000)^2/4)*SQRT(2*9.81*(O890/100-fi_h/2/1000))*1000)),"",IF(O890&lt;fi_h/20,0,(OFFSET('Base de dados'!$A$5,IF(O890&lt;20,1,IF(O890&gt;1000,10,MATCH(O890,Cargas,1))),Coluna_fih,1,1))*(PI()*(fi_h/1000)^2/4)*SQRT(2*9.81*(O890/100-fi_h/2/1000))*1000))</f>
        <v>39.609595983090657</v>
      </c>
      <c r="Q890" s="19">
        <f ca="1">IF(O890="","",IF(Tipo_Vertedor="Retangular",IF(O890&lt;=cota_s*100,0,IF(Tipo_Vertedor="Retangular",Cd_sr*Lef_sr*((O890/100-cota_s)^(3/2))*1000)),IF(O890&lt;=cota_s*100+fi_s/20,0,(OFFSET('Base de dados'!$A$4,IF(O890&lt;20,1,IF(O890&gt;1000,10,MATCH(O890,Cargas,1))),Coluna_fis,1,1))*(PI()*(fi_s/1000)^2/4)*(2*9.81*(O890/100-cota_s-fi_s/2/1000))^0.5*1000)))</f>
        <v>2269.2346078585756</v>
      </c>
      <c r="R890" s="19">
        <f t="shared" ca="1" si="153"/>
        <v>2308.8442038416661</v>
      </c>
      <c r="S890" s="19">
        <f t="shared" ca="1" si="150"/>
        <v>4961.0850223293673</v>
      </c>
    </row>
    <row r="891" spans="13:19">
      <c r="M891" s="81">
        <f t="shared" ca="1" si="149"/>
        <v>7281.4750143188821</v>
      </c>
      <c r="N891" s="19">
        <f t="shared" si="151"/>
        <v>149.0208352643142</v>
      </c>
      <c r="O891" s="17">
        <f t="shared" si="152"/>
        <v>222.5</v>
      </c>
      <c r="P891" s="19">
        <f ca="1">IF(ISERROR(IF(O891&lt;fi_h/20,0,(OFFSET('Base de dados'!$A$5,IF(O891&lt;20,1,IF(O891&gt;1000,10,MATCH(O891,Cargas,1))),Coluna_fih,1,1))*(1+0.13*0.25)*(PI()*(fi_h/1000)^2/4)*SQRT(2*9.81*(O891/100-fi_h/2/1000))*1000)),"",IF(O891&lt;fi_h/20,0,(OFFSET('Base de dados'!$A$5,IF(O891&lt;20,1,IF(O891&gt;1000,10,MATCH(O891,Cargas,1))),Coluna_fih,1,1))*(PI()*(fi_h/1000)^2/4)*SQRT(2*9.81*(O891/100-fi_h/2/1000))*1000))</f>
        <v>39.632447059760437</v>
      </c>
      <c r="Q891" s="19">
        <f ca="1">IF(O891="","",IF(Tipo_Vertedor="Retangular",IF(O891&lt;=cota_s*100,0,IF(Tipo_Vertedor="Retangular",Cd_sr*Lef_sr*((O891/100-cota_s)^(3/2))*1000)),IF(O891&lt;=cota_s*100+fi_s/20,0,(OFFSET('Base de dados'!$A$4,IF(O891&lt;20,1,IF(O891&gt;1000,10,MATCH(O891,Cargas,1))),Coluna_fis,1,1))*(PI()*(fi_s/1000)^2/4)*(2*9.81*(O891/100-cota_s-fi_s/2/1000))^0.5*1000)))</f>
        <v>2274.4813917819815</v>
      </c>
      <c r="R891" s="19">
        <f t="shared" ca="1" si="153"/>
        <v>2314.1138388417421</v>
      </c>
      <c r="S891" s="19">
        <f t="shared" ca="1" si="150"/>
        <v>4967.36117547714</v>
      </c>
    </row>
    <row r="892" spans="13:19">
      <c r="M892" s="81">
        <f t="shared" ca="1" si="149"/>
        <v>7293.0257053833011</v>
      </c>
      <c r="N892" s="19">
        <f t="shared" si="151"/>
        <v>149.20914621503164</v>
      </c>
      <c r="O892" s="17">
        <f t="shared" si="152"/>
        <v>222.75</v>
      </c>
      <c r="P892" s="19">
        <f ca="1">IF(ISERROR(IF(O892&lt;fi_h/20,0,(OFFSET('Base de dados'!$A$5,IF(O892&lt;20,1,IF(O892&gt;1000,10,MATCH(O892,Cargas,1))),Coluna_fih,1,1))*(1+0.13*0.25)*(PI()*(fi_h/1000)^2/4)*SQRT(2*9.81*(O892/100-fi_h/2/1000))*1000)),"",IF(O892&lt;fi_h/20,0,(OFFSET('Base de dados'!$A$5,IF(O892&lt;20,1,IF(O892&gt;1000,10,MATCH(O892,Cargas,1))),Coluna_fih,1,1))*(PI()*(fi_h/1000)^2/4)*SQRT(2*9.81*(O892/100-fi_h/2/1000))*1000))</f>
        <v>39.655284968661583</v>
      </c>
      <c r="Q892" s="19">
        <f ca="1">IF(O892="","",IF(Tipo_Vertedor="Retangular",IF(O892&lt;=cota_s*100,0,IF(Tipo_Vertedor="Retangular",Cd_sr*Lef_sr*((O892/100-cota_s)^(3/2))*1000)),IF(O892&lt;=cota_s*100+fi_s/20,0,(OFFSET('Base de dados'!$A$4,IF(O892&lt;20,1,IF(O892&gt;1000,10,MATCH(O892,Cargas,1))),Coluna_fis,1,1))*(PI()*(fi_s/1000)^2/4)*(2*9.81*(O892/100-cota_s-fi_s/2/1000))^0.5*1000)))</f>
        <v>2279.7322132469176</v>
      </c>
      <c r="R892" s="19">
        <f t="shared" ca="1" si="153"/>
        <v>2319.3874982155789</v>
      </c>
      <c r="S892" s="19">
        <f t="shared" ca="1" si="150"/>
        <v>4973.6382071677217</v>
      </c>
    </row>
    <row r="893" spans="13:19">
      <c r="M893" s="81">
        <f t="shared" ca="1" si="149"/>
        <v>7304.5812954215526</v>
      </c>
      <c r="N893" s="19">
        <f t="shared" si="151"/>
        <v>149.39748349613592</v>
      </c>
      <c r="O893" s="17">
        <f t="shared" si="152"/>
        <v>223</v>
      </c>
      <c r="P893" s="19">
        <f ca="1">IF(ISERROR(IF(O893&lt;fi_h/20,0,(OFFSET('Base de dados'!$A$5,IF(O893&lt;20,1,IF(O893&gt;1000,10,MATCH(O893,Cargas,1))),Coluna_fih,1,1))*(1+0.13*0.25)*(PI()*(fi_h/1000)^2/4)*SQRT(2*9.81*(O893/100-fi_h/2/1000))*1000)),"",IF(O893&lt;fi_h/20,0,(OFFSET('Base de dados'!$A$5,IF(O893&lt;20,1,IF(O893&gt;1000,10,MATCH(O893,Cargas,1))),Coluna_fih,1,1))*(PI()*(fi_h/1000)^2/4)*SQRT(2*9.81*(O893/100-fi_h/2/1000))*1000))</f>
        <v>39.678109732531368</v>
      </c>
      <c r="Q893" s="19">
        <f ca="1">IF(O893="","",IF(Tipo_Vertedor="Retangular",IF(O893&lt;=cota_s*100,0,IF(Tipo_Vertedor="Retangular",Cd_sr*Lef_sr*((O893/100-cota_s)^(3/2))*1000)),IF(O893&lt;=cota_s*100+fi_s/20,0,(OFFSET('Base de dados'!$A$4,IF(O893&lt;20,1,IF(O893&gt;1000,10,MATCH(O893,Cargas,1))),Coluna_fis,1,1))*(PI()*(fi_s/1000)^2/4)*(2*9.81*(O893/100-cota_s-fi_s/2/1000))^0.5*1000)))</f>
        <v>2284.9870691511578</v>
      </c>
      <c r="R893" s="19">
        <f t="shared" ca="1" si="153"/>
        <v>2324.6651788836894</v>
      </c>
      <c r="S893" s="19">
        <f t="shared" ca="1" si="150"/>
        <v>4979.9161165378637</v>
      </c>
    </row>
    <row r="894" spans="13:19">
      <c r="M894" s="81">
        <f t="shared" ca="1" si="149"/>
        <v>7316.1417804998</v>
      </c>
      <c r="N894" s="19">
        <f t="shared" si="151"/>
        <v>149.58584708178412</v>
      </c>
      <c r="O894" s="17">
        <f t="shared" si="152"/>
        <v>223.25</v>
      </c>
      <c r="P894" s="19">
        <f ca="1">IF(ISERROR(IF(O894&lt;fi_h/20,0,(OFFSET('Base de dados'!$A$5,IF(O894&lt;20,1,IF(O894&gt;1000,10,MATCH(O894,Cargas,1))),Coluna_fih,1,1))*(1+0.13*0.25)*(PI()*(fi_h/1000)^2/4)*SQRT(2*9.81*(O894/100-fi_h/2/1000))*1000)),"",IF(O894&lt;fi_h/20,0,(OFFSET('Base de dados'!$A$5,IF(O894&lt;20,1,IF(O894&gt;1000,10,MATCH(O894,Cargas,1))),Coluna_fih,1,1))*(PI()*(fi_h/1000)^2/4)*SQRT(2*9.81*(O894/100-fi_h/2/1000))*1000))</f>
        <v>39.700921374041727</v>
      </c>
      <c r="Q894" s="19">
        <f ca="1">IF(O894="","",IF(Tipo_Vertedor="Retangular",IF(O894&lt;=cota_s*100,0,IF(Tipo_Vertedor="Retangular",Cd_sr*Lef_sr*((O894/100-cota_s)^(3/2))*1000)),IF(O894&lt;=cota_s*100+fi_s/20,0,(OFFSET('Base de dados'!$A$4,IF(O894&lt;20,1,IF(O894&gt;1000,10,MATCH(O894,Cargas,1))),Coluna_fis,1,1))*(PI()*(fi_s/1000)^2/4)*(2*9.81*(O894/100-cota_s-fi_s/2/1000))^0.5*1000)))</f>
        <v>2290.2459563996204</v>
      </c>
      <c r="R894" s="19">
        <f t="shared" ca="1" si="153"/>
        <v>2329.946877773662</v>
      </c>
      <c r="S894" s="19">
        <f t="shared" ca="1" si="150"/>
        <v>4986.194902726138</v>
      </c>
    </row>
    <row r="895" spans="13:19">
      <c r="M895" s="81">
        <f t="shared" ca="1" si="149"/>
        <v>7327.707156693049</v>
      </c>
      <c r="N895" s="19">
        <f t="shared" si="151"/>
        <v>149.77423694618753</v>
      </c>
      <c r="O895" s="17">
        <f t="shared" si="152"/>
        <v>223.5</v>
      </c>
      <c r="P895" s="19">
        <f ca="1">IF(ISERROR(IF(O895&lt;fi_h/20,0,(OFFSET('Base de dados'!$A$5,IF(O895&lt;20,1,IF(O895&gt;1000,10,MATCH(O895,Cargas,1))),Coluna_fih,1,1))*(1+0.13*0.25)*(PI()*(fi_h/1000)^2/4)*SQRT(2*9.81*(O895/100-fi_h/2/1000))*1000)),"",IF(O895&lt;fi_h/20,0,(OFFSET('Base de dados'!$A$5,IF(O895&lt;20,1,IF(O895&gt;1000,10,MATCH(O895,Cargas,1))),Coluna_fih,1,1))*(PI()*(fi_h/1000)^2/4)*SQRT(2*9.81*(O895/100-fi_h/2/1000))*1000))</f>
        <v>39.723719915799506</v>
      </c>
      <c r="Q895" s="19">
        <f ca="1">IF(O895="","",IF(Tipo_Vertedor="Retangular",IF(O895&lt;=cota_s*100,0,IF(Tipo_Vertedor="Retangular",Cd_sr*Lef_sr*((O895/100-cota_s)^(3/2))*1000)),IF(O895&lt;=cota_s*100+fi_s/20,0,(OFFSET('Base de dados'!$A$4,IF(O895&lt;20,1,IF(O895&gt;1000,10,MATCH(O895,Cargas,1))),Coluna_fis,1,1))*(PI()*(fi_s/1000)^2/4)*(2*9.81*(O895/100-cota_s-fi_s/2/1000))^0.5*1000)))</f>
        <v>2295.508871904332</v>
      </c>
      <c r="R895" s="19">
        <f t="shared" ca="1" si="153"/>
        <v>2335.2325918201313</v>
      </c>
      <c r="S895" s="19">
        <f t="shared" ca="1" si="150"/>
        <v>4992.4745648729177</v>
      </c>
    </row>
    <row r="896" spans="13:19">
      <c r="M896" s="81">
        <f t="shared" ca="1" si="149"/>
        <v>7339.2774200851391</v>
      </c>
      <c r="N896" s="19">
        <f t="shared" si="151"/>
        <v>149.96265306361158</v>
      </c>
      <c r="O896" s="17">
        <f t="shared" si="152"/>
        <v>223.75</v>
      </c>
      <c r="P896" s="19">
        <f ca="1">IF(ISERROR(IF(O896&lt;fi_h/20,0,(OFFSET('Base de dados'!$A$5,IF(O896&lt;20,1,IF(O896&gt;1000,10,MATCH(O896,Cargas,1))),Coluna_fih,1,1))*(1+0.13*0.25)*(PI()*(fi_h/1000)^2/4)*SQRT(2*9.81*(O896/100-fi_h/2/1000))*1000)),"",IF(O896&lt;fi_h/20,0,(OFFSET('Base de dados'!$A$5,IF(O896&lt;20,1,IF(O896&gt;1000,10,MATCH(O896,Cargas,1))),Coluna_fih,1,1))*(PI()*(fi_h/1000)^2/4)*SQRT(2*9.81*(O896/100-fi_h/2/1000))*1000))</f>
        <v>39.746505380346697</v>
      </c>
      <c r="Q896" s="19">
        <f ca="1">IF(O896="","",IF(Tipo_Vertedor="Retangular",IF(O896&lt;=cota_s*100,0,IF(Tipo_Vertedor="Retangular",Cd_sr*Lef_sr*((O896/100-cota_s)^(3/2))*1000)),IF(O896&lt;=cota_s*100+fi_s/20,0,(OFFSET('Base de dados'!$A$4,IF(O896&lt;20,1,IF(O896&gt;1000,10,MATCH(O896,Cargas,1))),Coluna_fis,1,1))*(PI()*(fi_s/1000)^2/4)*(2*9.81*(O896/100-cota_s-fi_s/2/1000))^0.5*1000)))</f>
        <v>2300.7758125844061</v>
      </c>
      <c r="R896" s="19">
        <f t="shared" ca="1" si="153"/>
        <v>2340.5223179647528</v>
      </c>
      <c r="S896" s="19">
        <f t="shared" ca="1" si="150"/>
        <v>4998.7551021203863</v>
      </c>
    </row>
    <row r="897" spans="13:19">
      <c r="M897" s="81">
        <f t="shared" ca="1" si="149"/>
        <v>7350.8525667687009</v>
      </c>
      <c r="N897" s="19">
        <f t="shared" si="151"/>
        <v>150.15109540837571</v>
      </c>
      <c r="O897" s="17">
        <f t="shared" si="152"/>
        <v>224</v>
      </c>
      <c r="P897" s="19">
        <f ca="1">IF(ISERROR(IF(O897&lt;fi_h/20,0,(OFFSET('Base de dados'!$A$5,IF(O897&lt;20,1,IF(O897&gt;1000,10,MATCH(O897,Cargas,1))),Coluna_fih,1,1))*(1+0.13*0.25)*(PI()*(fi_h/1000)^2/4)*SQRT(2*9.81*(O897/100-fi_h/2/1000))*1000)),"",IF(O897&lt;fi_h/20,0,(OFFSET('Base de dados'!$A$5,IF(O897&lt;20,1,IF(O897&gt;1000,10,MATCH(O897,Cargas,1))),Coluna_fih,1,1))*(PI()*(fi_h/1000)^2/4)*SQRT(2*9.81*(O897/100-fi_h/2/1000))*1000))</f>
        <v>39.769277790160736</v>
      </c>
      <c r="Q897" s="19">
        <f ca="1">IF(O897="","",IF(Tipo_Vertedor="Retangular",IF(O897&lt;=cota_s*100,0,IF(Tipo_Vertedor="Retangular",Cd_sr*Lef_sr*((O897/100-cota_s)^(3/2))*1000)),IF(O897&lt;=cota_s*100+fi_s/20,0,(OFFSET('Base de dados'!$A$4,IF(O897&lt;20,1,IF(O897&gt;1000,10,MATCH(O897,Cargas,1))),Coluna_fis,1,1))*(PI()*(fi_s/1000)^2/4)*(2*9.81*(O897/100-cota_s-fi_s/2/1000))^0.5*1000)))</f>
        <v>2306.0467753660164</v>
      </c>
      <c r="R897" s="19">
        <f t="shared" ca="1" si="153"/>
        <v>2345.8160531561771</v>
      </c>
      <c r="S897" s="19">
        <f t="shared" ca="1" si="150"/>
        <v>5005.0365136125238</v>
      </c>
    </row>
    <row r="898" spans="13:19">
      <c r="M898" s="81">
        <f t="shared" ca="1" si="149"/>
        <v>7362.4325928451144</v>
      </c>
      <c r="N898" s="19">
        <f t="shared" si="151"/>
        <v>150.33956395485291</v>
      </c>
      <c r="O898" s="17">
        <f t="shared" si="152"/>
        <v>224.25</v>
      </c>
      <c r="P898" s="19">
        <f ca="1">IF(ISERROR(IF(O898&lt;fi_h/20,0,(OFFSET('Base de dados'!$A$5,IF(O898&lt;20,1,IF(O898&gt;1000,10,MATCH(O898,Cargas,1))),Coluna_fih,1,1))*(1+0.13*0.25)*(PI()*(fi_h/1000)^2/4)*SQRT(2*9.81*(O898/100-fi_h/2/1000))*1000)),"",IF(O898&lt;fi_h/20,0,(OFFSET('Base de dados'!$A$5,IF(O898&lt;20,1,IF(O898&gt;1000,10,MATCH(O898,Cargas,1))),Coluna_fih,1,1))*(PI()*(fi_h/1000)^2/4)*SQRT(2*9.81*(O898/100-fi_h/2/1000))*1000))</f>
        <v>39.792037167654726</v>
      </c>
      <c r="Q898" s="19">
        <f ca="1">IF(O898="","",IF(Tipo_Vertedor="Retangular",IF(O898&lt;=cota_s*100,0,IF(Tipo_Vertedor="Retangular",Cd_sr*Lef_sr*((O898/100-cota_s)^(3/2))*1000)),IF(O898&lt;=cota_s*100+fi_s/20,0,(OFFSET('Base de dados'!$A$4,IF(O898&lt;20,1,IF(O898&gt;1000,10,MATCH(O898,Cargas,1))),Coluna_fis,1,1))*(PI()*(fi_s/1000)^2/4)*(2*9.81*(O898/100-cota_s-fi_s/2/1000))^0.5*1000)))</f>
        <v>2311.3217571823629</v>
      </c>
      <c r="R898" s="19">
        <f t="shared" ca="1" si="153"/>
        <v>2351.1137943500175</v>
      </c>
      <c r="S898" s="19">
        <f t="shared" ca="1" si="150"/>
        <v>5011.3187984950964</v>
      </c>
    </row>
    <row r="899" spans="13:19">
      <c r="M899" s="81">
        <f t="shared" ca="1" si="149"/>
        <v>7374.0174944244964</v>
      </c>
      <c r="N899" s="19">
        <f t="shared" si="151"/>
        <v>150.52805867746994</v>
      </c>
      <c r="O899" s="17">
        <f t="shared" si="152"/>
        <v>224.5</v>
      </c>
      <c r="P899" s="19">
        <f ca="1">IF(ISERROR(IF(O899&lt;fi_h/20,0,(OFFSET('Base de dados'!$A$5,IF(O899&lt;20,1,IF(O899&gt;1000,10,MATCH(O899,Cargas,1))),Coluna_fih,1,1))*(1+0.13*0.25)*(PI()*(fi_h/1000)^2/4)*SQRT(2*9.81*(O899/100-fi_h/2/1000))*1000)),"",IF(O899&lt;fi_h/20,0,(OFFSET('Base de dados'!$A$5,IF(O899&lt;20,1,IF(O899&gt;1000,10,MATCH(O899,Cargas,1))),Coluna_fih,1,1))*(PI()*(fi_h/1000)^2/4)*SQRT(2*9.81*(O899/100-fi_h/2/1000))*1000))</f>
        <v>39.814783535177718</v>
      </c>
      <c r="Q899" s="19">
        <f ca="1">IF(O899="","",IF(Tipo_Vertedor="Retangular",IF(O899&lt;=cota_s*100,0,IF(Tipo_Vertedor="Retangular",Cd_sr*Lef_sr*((O899/100-cota_s)^(3/2))*1000)),IF(O899&lt;=cota_s*100+fi_s/20,0,(OFFSET('Base de dados'!$A$4,IF(O899&lt;20,1,IF(O899&gt;1000,10,MATCH(O899,Cargas,1))),Coluna_fis,1,1))*(PI()*(fi_s/1000)^2/4)*(2*9.81*(O899/100-cota_s-fi_s/2/1000))^0.5*1000)))</f>
        <v>2316.6007549736537</v>
      </c>
      <c r="R899" s="19">
        <f t="shared" ca="1" si="153"/>
        <v>2356.4155385088316</v>
      </c>
      <c r="S899" s="19">
        <f t="shared" ca="1" si="150"/>
        <v>5017.6019559156648</v>
      </c>
    </row>
    <row r="900" spans="13:19">
      <c r="M900" s="81">
        <f t="shared" ca="1" si="149"/>
        <v>7385.6072676256517</v>
      </c>
      <c r="N900" s="19">
        <f t="shared" si="151"/>
        <v>150.71657955070691</v>
      </c>
      <c r="O900" s="17">
        <f t="shared" si="152"/>
        <v>224.75</v>
      </c>
      <c r="P900" s="19">
        <f ca="1">IF(ISERROR(IF(O900&lt;fi_h/20,0,(OFFSET('Base de dados'!$A$5,IF(O900&lt;20,1,IF(O900&gt;1000,10,MATCH(O900,Cargas,1))),Coluna_fih,1,1))*(1+0.13*0.25)*(PI()*(fi_h/1000)^2/4)*SQRT(2*9.81*(O900/100-fi_h/2/1000))*1000)),"",IF(O900&lt;fi_h/20,0,(OFFSET('Base de dados'!$A$5,IF(O900&lt;20,1,IF(O900&gt;1000,10,MATCH(O900,Cargas,1))),Coluna_fih,1,1))*(PI()*(fi_h/1000)^2/4)*SQRT(2*9.81*(O900/100-fi_h/2/1000))*1000))</f>
        <v>39.837516915014938</v>
      </c>
      <c r="Q900" s="19">
        <f ca="1">IF(O900="","",IF(Tipo_Vertedor="Retangular",IF(O900&lt;=cota_s*100,0,IF(Tipo_Vertedor="Retangular",Cd_sr*Lef_sr*((O900/100-cota_s)^(3/2))*1000)),IF(O900&lt;=cota_s*100+fi_s/20,0,(OFFSET('Base de dados'!$A$4,IF(O900&lt;20,1,IF(O900&gt;1000,10,MATCH(O900,Cargas,1))),Coluna_fis,1,1))*(PI()*(fi_s/1000)^2/4)*(2*9.81*(O900/100-cota_s-fi_s/2/1000))^0.5*1000)))</f>
        <v>2321.8837656870737</v>
      </c>
      <c r="R900" s="19">
        <f t="shared" ca="1" si="153"/>
        <v>2361.7212826020886</v>
      </c>
      <c r="S900" s="19">
        <f t="shared" ca="1" si="150"/>
        <v>5023.8859850235631</v>
      </c>
    </row>
    <row r="901" spans="13:19">
      <c r="M901" s="81">
        <f t="shared" ref="M901:M964" ca="1" si="154">IF(O901="","",2*N901*1000/(Passo*60)+R901)</f>
        <v>7397.2019085760548</v>
      </c>
      <c r="N901" s="19">
        <f t="shared" si="151"/>
        <v>150.90512654909716</v>
      </c>
      <c r="O901" s="17">
        <f t="shared" si="152"/>
        <v>225</v>
      </c>
      <c r="P901" s="19">
        <f ca="1">IF(ISERROR(IF(O901&lt;fi_h/20,0,(OFFSET('Base de dados'!$A$5,IF(O901&lt;20,1,IF(O901&gt;1000,10,MATCH(O901,Cargas,1))),Coluna_fih,1,1))*(1+0.13*0.25)*(PI()*(fi_h/1000)^2/4)*SQRT(2*9.81*(O901/100-fi_h/2/1000))*1000)),"",IF(O901&lt;fi_h/20,0,(OFFSET('Base de dados'!$A$5,IF(O901&lt;20,1,IF(O901&gt;1000,10,MATCH(O901,Cargas,1))),Coluna_fih,1,1))*(PI()*(fi_h/1000)^2/4)*SQRT(2*9.81*(O901/100-fi_h/2/1000))*1000))</f>
        <v>39.860237329388092</v>
      </c>
      <c r="Q901" s="19">
        <f ca="1">IF(O901="","",IF(Tipo_Vertedor="Retangular",IF(O901&lt;=cota_s*100,0,IF(Tipo_Vertedor="Retangular",Cd_sr*Lef_sr*((O901/100-cota_s)^(3/2))*1000)),IF(O901&lt;=cota_s*100+fi_s/20,0,(OFFSET('Base de dados'!$A$4,IF(O901&lt;20,1,IF(O901&gt;1000,10,MATCH(O901,Cargas,1))),Coluna_fis,1,1))*(PI()*(fi_s/1000)^2/4)*(2*9.81*(O901/100-cota_s-fi_s/2/1000))^0.5*1000)))</f>
        <v>2327.1707862767612</v>
      </c>
      <c r="R901" s="19">
        <f t="shared" ca="1" si="153"/>
        <v>2367.0310236061491</v>
      </c>
      <c r="S901" s="19">
        <f t="shared" ref="S901:S964" ca="1" si="155">IF(M901="","",2*N901*1000/(Passo*60))</f>
        <v>5030.1708849699053</v>
      </c>
    </row>
    <row r="902" spans="13:19">
      <c r="M902" s="81">
        <f t="shared" ca="1" si="154"/>
        <v>7408.8014134118039</v>
      </c>
      <c r="N902" s="19">
        <f t="shared" ref="N902:N965" si="156">IF(O902="","",b_0*(O902/100)^c_0)</f>
        <v>151.09369964722714</v>
      </c>
      <c r="O902" s="17">
        <f t="shared" si="152"/>
        <v>225.25</v>
      </c>
      <c r="P902" s="19">
        <f ca="1">IF(ISERROR(IF(O902&lt;fi_h/20,0,(OFFSET('Base de dados'!$A$5,IF(O902&lt;20,1,IF(O902&gt;1000,10,MATCH(O902,Cargas,1))),Coluna_fih,1,1))*(1+0.13*0.25)*(PI()*(fi_h/1000)^2/4)*SQRT(2*9.81*(O902/100-fi_h/2/1000))*1000)),"",IF(O902&lt;fi_h/20,0,(OFFSET('Base de dados'!$A$5,IF(O902&lt;20,1,IF(O902&gt;1000,10,MATCH(O902,Cargas,1))),Coluna_fih,1,1))*(PI()*(fi_h/1000)^2/4)*SQRT(2*9.81*(O902/100-fi_h/2/1000))*1000))</f>
        <v>39.88294480045559</v>
      </c>
      <c r="Q902" s="19">
        <f ca="1">IF(O902="","",IF(Tipo_Vertedor="Retangular",IF(O902&lt;=cota_s*100,0,IF(Tipo_Vertedor="Retangular",Cd_sr*Lef_sr*((O902/100-cota_s)^(3/2))*1000)),IF(O902&lt;=cota_s*100+fi_s/20,0,(OFFSET('Base de dados'!$A$4,IF(O902&lt;20,1,IF(O902&gt;1000,10,MATCH(O902,Cargas,1))),Coluna_fis,1,1))*(PI()*(fi_s/1000)^2/4)*(2*9.81*(O902/100-cota_s-fi_s/2/1000))^0.5*1000)))</f>
        <v>2332.4618137037774</v>
      </c>
      <c r="R902" s="19">
        <f t="shared" ca="1" si="153"/>
        <v>2372.3447585042331</v>
      </c>
      <c r="S902" s="19">
        <f t="shared" ca="1" si="155"/>
        <v>5036.4566549075707</v>
      </c>
    </row>
    <row r="903" spans="13:19">
      <c r="M903" s="81">
        <f t="shared" ca="1" si="154"/>
        <v>7420.4057782775981</v>
      </c>
      <c r="N903" s="19">
        <f t="shared" si="156"/>
        <v>151.28229881973613</v>
      </c>
      <c r="O903" s="17">
        <f t="shared" si="152"/>
        <v>225.5</v>
      </c>
      <c r="P903" s="19">
        <f ca="1">IF(ISERROR(IF(O903&lt;fi_h/20,0,(OFFSET('Base de dados'!$A$5,IF(O903&lt;20,1,IF(O903&gt;1000,10,MATCH(O903,Cargas,1))),Coluna_fih,1,1))*(1+0.13*0.25)*(PI()*(fi_h/1000)^2/4)*SQRT(2*9.81*(O903/100-fi_h/2/1000))*1000)),"",IF(O903&lt;fi_h/20,0,(OFFSET('Base de dados'!$A$5,IF(O903&lt;20,1,IF(O903&gt;1000,10,MATCH(O903,Cargas,1))),Coluna_fih,1,1))*(PI()*(fi_h/1000)^2/4)*SQRT(2*9.81*(O903/100-fi_h/2/1000))*1000))</f>
        <v>39.905639350312761</v>
      </c>
      <c r="Q903" s="19">
        <f ca="1">IF(O903="","",IF(Tipo_Vertedor="Retangular",IF(O903&lt;=cota_s*100,0,IF(Tipo_Vertedor="Retangular",Cd_sr*Lef_sr*((O903/100-cota_s)^(3/2))*1000)),IF(O903&lt;=cota_s*100+fi_s/20,0,(OFFSET('Base de dados'!$A$4,IF(O903&lt;20,1,IF(O903&gt;1000,10,MATCH(O903,Cargas,1))),Coluna_fis,1,1))*(PI()*(fi_s/1000)^2/4)*(2*9.81*(O903/100-cota_s-fi_s/2/1000))^0.5*1000)))</f>
        <v>2337.7568449360806</v>
      </c>
      <c r="R903" s="19">
        <f t="shared" ca="1" si="153"/>
        <v>2377.6624842863935</v>
      </c>
      <c r="S903" s="19">
        <f t="shared" ca="1" si="155"/>
        <v>5042.7432939912051</v>
      </c>
    </row>
    <row r="904" spans="13:19">
      <c r="M904" s="81">
        <f t="shared" ca="1" si="154"/>
        <v>7432.0149993267059</v>
      </c>
      <c r="N904" s="19">
        <f t="shared" si="156"/>
        <v>151.47092404131621</v>
      </c>
      <c r="O904" s="17">
        <f t="shared" si="152"/>
        <v>225.75</v>
      </c>
      <c r="P904" s="19">
        <f ca="1">IF(ISERROR(IF(O904&lt;fi_h/20,0,(OFFSET('Base de dados'!$A$5,IF(O904&lt;20,1,IF(O904&gt;1000,10,MATCH(O904,Cargas,1))),Coluna_fih,1,1))*(1+0.13*0.25)*(PI()*(fi_h/1000)^2/4)*SQRT(2*9.81*(O904/100-fi_h/2/1000))*1000)),"",IF(O904&lt;fi_h/20,0,(OFFSET('Base de dados'!$A$5,IF(O904&lt;20,1,IF(O904&gt;1000,10,MATCH(O904,Cargas,1))),Coluna_fih,1,1))*(PI()*(fi_h/1000)^2/4)*SQRT(2*9.81*(O904/100-fi_h/2/1000))*1000))</f>
        <v>39.928321000992177</v>
      </c>
      <c r="Q904" s="19">
        <f ca="1">IF(O904="","",IF(Tipo_Vertedor="Retangular",IF(O904&lt;=cota_s*100,0,IF(Tipo_Vertedor="Retangular",Cd_sr*Lef_sr*((O904/100-cota_s)^(3/2))*1000)),IF(O904&lt;=cota_s*100+fi_s/20,0,(OFFSET('Base de dados'!$A$4,IF(O904&lt;20,1,IF(O904&gt;1000,10,MATCH(O904,Cargas,1))),Coluna_fis,1,1))*(PI()*(fi_s/1000)^2/4)*(2*9.81*(O904/100-cota_s-fi_s/2/1000))^0.5*1000)))</f>
        <v>2343.0558769485069</v>
      </c>
      <c r="R904" s="19">
        <f t="shared" ca="1" si="153"/>
        <v>2382.984197949499</v>
      </c>
      <c r="S904" s="19">
        <f t="shared" ca="1" si="155"/>
        <v>5049.0308013772064</v>
      </c>
    </row>
    <row r="905" spans="13:19">
      <c r="M905" s="81">
        <f t="shared" ca="1" si="154"/>
        <v>7443.6290727209343</v>
      </c>
      <c r="N905" s="19">
        <f t="shared" si="156"/>
        <v>151.65957528671206</v>
      </c>
      <c r="O905" s="17">
        <f t="shared" si="152"/>
        <v>226</v>
      </c>
      <c r="P905" s="19">
        <f ca="1">IF(ISERROR(IF(O905&lt;fi_h/20,0,(OFFSET('Base de dados'!$A$5,IF(O905&lt;20,1,IF(O905&gt;1000,10,MATCH(O905,Cargas,1))),Coluna_fih,1,1))*(1+0.13*0.25)*(PI()*(fi_h/1000)^2/4)*SQRT(2*9.81*(O905/100-fi_h/2/1000))*1000)),"",IF(O905&lt;fi_h/20,0,(OFFSET('Base de dados'!$A$5,IF(O905&lt;20,1,IF(O905&gt;1000,10,MATCH(O905,Cargas,1))),Coluna_fih,1,1))*(PI()*(fi_h/1000)^2/4)*SQRT(2*9.81*(O905/100-fi_h/2/1000))*1000))</f>
        <v>39.950989774463856</v>
      </c>
      <c r="Q905" s="19">
        <f ca="1">IF(O905="","",IF(Tipo_Vertedor="Retangular",IF(O905&lt;=cota_s*100,0,IF(Tipo_Vertedor="Retangular",Cd_sr*Lef_sr*((O905/100-cota_s)^(3/2))*1000)),IF(O905&lt;=cota_s*100+fi_s/20,0,(OFFSET('Base de dados'!$A$4,IF(O905&lt;20,1,IF(O905&gt;1000,10,MATCH(O905,Cargas,1))),Coluna_fis,1,1))*(PI()*(fi_s/1000)^2/4)*(2*9.81*(O905/100-cota_s-fi_s/2/1000))^0.5*1000)))</f>
        <v>2348.3589067227349</v>
      </c>
      <c r="R905" s="19">
        <f t="shared" ca="1" si="153"/>
        <v>2388.3098964971987</v>
      </c>
      <c r="S905" s="19">
        <f t="shared" ca="1" si="155"/>
        <v>5055.3191762237357</v>
      </c>
    </row>
    <row r="906" spans="13:19">
      <c r="M906" s="81">
        <f t="shared" ca="1" si="154"/>
        <v>7455.2479946305903</v>
      </c>
      <c r="N906" s="19">
        <f t="shared" si="156"/>
        <v>151.8482525307206</v>
      </c>
      <c r="O906" s="17">
        <f t="shared" si="152"/>
        <v>226.25</v>
      </c>
      <c r="P906" s="19">
        <f ca="1">IF(ISERROR(IF(O906&lt;fi_h/20,0,(OFFSET('Base de dados'!$A$5,IF(O906&lt;20,1,IF(O906&gt;1000,10,MATCH(O906,Cargas,1))),Coluna_fih,1,1))*(1+0.13*0.25)*(PI()*(fi_h/1000)^2/4)*SQRT(2*9.81*(O906/100-fi_h/2/1000))*1000)),"",IF(O906&lt;fi_h/20,0,(OFFSET('Base de dados'!$A$5,IF(O906&lt;20,1,IF(O906&gt;1000,10,MATCH(O906,Cargas,1))),Coluna_fih,1,1))*(PI()*(fi_h/1000)^2/4)*SQRT(2*9.81*(O906/100-fi_h/2/1000))*1000))</f>
        <v>39.973645692635536</v>
      </c>
      <c r="Q906" s="19">
        <f ca="1">IF(O906="","",IF(Tipo_Vertedor="Retangular",IF(O906&lt;=cota_s*100,0,IF(Tipo_Vertedor="Retangular",Cd_sr*Lef_sr*((O906/100-cota_s)^(3/2))*1000)),IF(O906&lt;=cota_s*100+fi_s/20,0,(OFFSET('Base de dados'!$A$4,IF(O906&lt;20,1,IF(O906&gt;1000,10,MATCH(O906,Cargas,1))),Coluna_fis,1,1))*(PI()*(fi_s/1000)^2/4)*(2*9.81*(O906/100-cota_s-fi_s/2/1000))^0.5*1000)))</f>
        <v>2353.6659312472671</v>
      </c>
      <c r="R906" s="19">
        <f t="shared" ca="1" si="153"/>
        <v>2393.6395769399028</v>
      </c>
      <c r="S906" s="19">
        <f t="shared" ca="1" si="155"/>
        <v>5061.608417690687</v>
      </c>
    </row>
    <row r="907" spans="13:19">
      <c r="M907" s="81">
        <f t="shared" ca="1" si="154"/>
        <v>7466.8717612344553</v>
      </c>
      <c r="N907" s="19">
        <f t="shared" si="156"/>
        <v>152.03695574819113</v>
      </c>
      <c r="O907" s="17">
        <f t="shared" si="152"/>
        <v>226.5</v>
      </c>
      <c r="P907" s="19">
        <f ca="1">IF(ISERROR(IF(O907&lt;fi_h/20,0,(OFFSET('Base de dados'!$A$5,IF(O907&lt;20,1,IF(O907&gt;1000,10,MATCH(O907,Cargas,1))),Coluna_fih,1,1))*(1+0.13*0.25)*(PI()*(fi_h/1000)^2/4)*SQRT(2*9.81*(O907/100-fi_h/2/1000))*1000)),"",IF(O907&lt;fi_h/20,0,(OFFSET('Base de dados'!$A$5,IF(O907&lt;20,1,IF(O907&gt;1000,10,MATCH(O907,Cargas,1))),Coluna_fih,1,1))*(PI()*(fi_h/1000)^2/4)*SQRT(2*9.81*(O907/100-fi_h/2/1000))*1000))</f>
        <v>39.996288777352852</v>
      </c>
      <c r="Q907" s="19">
        <f ca="1">IF(O907="","",IF(Tipo_Vertedor="Retangular",IF(O907&lt;=cota_s*100,0,IF(Tipo_Vertedor="Retangular",Cd_sr*Lef_sr*((O907/100-cota_s)^(3/2))*1000)),IF(O907&lt;=cota_s*100+fi_s/20,0,(OFFSET('Base de dados'!$A$4,IF(O907&lt;20,1,IF(O907&gt;1000,10,MATCH(O907,Cargas,1))),Coluna_fis,1,1))*(PI()*(fi_s/1000)^2/4)*(2*9.81*(O907/100-cota_s-fi_s/2/1000))^0.5*1000)))</f>
        <v>2358.9769475173975</v>
      </c>
      <c r="R907" s="19">
        <f t="shared" ca="1" si="153"/>
        <v>2398.9732362947502</v>
      </c>
      <c r="S907" s="19">
        <f t="shared" ca="1" si="155"/>
        <v>5067.8985249397047</v>
      </c>
    </row>
    <row r="908" spans="13:19">
      <c r="M908" s="81">
        <f t="shared" ca="1" si="154"/>
        <v>7478.5003687197623</v>
      </c>
      <c r="N908" s="19">
        <f t="shared" si="156"/>
        <v>152.22568491402498</v>
      </c>
      <c r="O908" s="17">
        <f t="shared" si="152"/>
        <v>226.75</v>
      </c>
      <c r="P908" s="19">
        <f ca="1">IF(ISERROR(IF(O908&lt;fi_h/20,0,(OFFSET('Base de dados'!$A$5,IF(O908&lt;20,1,IF(O908&gt;1000,10,MATCH(O908,Cargas,1))),Coluna_fih,1,1))*(1+0.13*0.25)*(PI()*(fi_h/1000)^2/4)*SQRT(2*9.81*(O908/100-fi_h/2/1000))*1000)),"",IF(O908&lt;fi_h/20,0,(OFFSET('Base de dados'!$A$5,IF(O908&lt;20,1,IF(O908&gt;1000,10,MATCH(O908,Cargas,1))),Coluna_fih,1,1))*(PI()*(fi_h/1000)^2/4)*SQRT(2*9.81*(O908/100-fi_h/2/1000))*1000))</f>
        <v>40.018919050399703</v>
      </c>
      <c r="Q908" s="19">
        <f ca="1">IF(O908="","",IF(Tipo_Vertedor="Retangular",IF(O908&lt;=cota_s*100,0,IF(Tipo_Vertedor="Retangular",Cd_sr*Lef_sr*((O908/100-cota_s)^(3/2))*1000)),IF(O908&lt;=cota_s*100+fi_s/20,0,(OFFSET('Base de dados'!$A$4,IF(O908&lt;20,1,IF(O908&gt;1000,10,MATCH(O908,Cargas,1))),Coluna_fis,1,1))*(PI()*(fi_s/1000)^2/4)*(2*9.81*(O908/100-cota_s-fi_s/2/1000))^0.5*1000)))</f>
        <v>2364.2919525351958</v>
      </c>
      <c r="R908" s="19">
        <f t="shared" ca="1" si="153"/>
        <v>2404.3108715855956</v>
      </c>
      <c r="S908" s="19">
        <f t="shared" ca="1" si="155"/>
        <v>5074.1894971341662</v>
      </c>
    </row>
    <row r="909" spans="13:19">
      <c r="M909" s="81">
        <f t="shared" ca="1" si="154"/>
        <v>7490.1338132821475</v>
      </c>
      <c r="N909" s="19">
        <f t="shared" si="156"/>
        <v>152.41444000317534</v>
      </c>
      <c r="O909" s="17">
        <f t="shared" si="152"/>
        <v>227</v>
      </c>
      <c r="P909" s="19">
        <f ca="1">IF(ISERROR(IF(O909&lt;fi_h/20,0,(OFFSET('Base de dados'!$A$5,IF(O909&lt;20,1,IF(O909&gt;1000,10,MATCH(O909,Cargas,1))),Coluna_fih,1,1))*(1+0.13*0.25)*(PI()*(fi_h/1000)^2/4)*SQRT(2*9.81*(O909/100-fi_h/2/1000))*1000)),"",IF(O909&lt;fi_h/20,0,(OFFSET('Base de dados'!$A$5,IF(O909&lt;20,1,IF(O909&gt;1000,10,MATCH(O909,Cargas,1))),Coluna_fih,1,1))*(PI()*(fi_h/1000)^2/4)*SQRT(2*9.81*(O909/100-fi_h/2/1000))*1000))</f>
        <v>40.041536533498409</v>
      </c>
      <c r="Q909" s="19">
        <f ca="1">IF(O909="","",IF(Tipo_Vertedor="Retangular",IF(O909&lt;=cota_s*100,0,IF(Tipo_Vertedor="Retangular",Cd_sr*Lef_sr*((O909/100-cota_s)^(3/2))*1000)),IF(O909&lt;=cota_s*100+fi_s/20,0,(OFFSET('Base de dados'!$A$4,IF(O909&lt;20,1,IF(O909&gt;1000,10,MATCH(O909,Cargas,1))),Coluna_fis,1,1))*(PI()*(fi_s/1000)^2/4)*(2*9.81*(O909/100-cota_s-fi_s/2/1000))^0.5*1000)))</f>
        <v>2369.6109433094712</v>
      </c>
      <c r="R909" s="19">
        <f t="shared" ca="1" si="153"/>
        <v>2409.6524798429696</v>
      </c>
      <c r="S909" s="19">
        <f t="shared" ca="1" si="155"/>
        <v>5080.4813334391783</v>
      </c>
    </row>
    <row r="910" spans="13:19">
      <c r="M910" s="81">
        <f t="shared" ca="1" si="154"/>
        <v>7501.7720911256383</v>
      </c>
      <c r="N910" s="19">
        <f t="shared" si="156"/>
        <v>152.6032209906472</v>
      </c>
      <c r="O910" s="17">
        <f t="shared" si="152"/>
        <v>227.25</v>
      </c>
      <c r="P910" s="19">
        <f ca="1">IF(ISERROR(IF(O910&lt;fi_h/20,0,(OFFSET('Base de dados'!$A$5,IF(O910&lt;20,1,IF(O910&gt;1000,10,MATCH(O910,Cargas,1))),Coluna_fih,1,1))*(1+0.13*0.25)*(PI()*(fi_h/1000)^2/4)*SQRT(2*9.81*(O910/100-fi_h/2/1000))*1000)),"",IF(O910&lt;fi_h/20,0,(OFFSET('Base de dados'!$A$5,IF(O910&lt;20,1,IF(O910&gt;1000,10,MATCH(O910,Cargas,1))),Coluna_fih,1,1))*(PI()*(fi_h/1000)^2/4)*SQRT(2*9.81*(O910/100-fi_h/2/1000))*1000))</f>
        <v>40.064141248309944</v>
      </c>
      <c r="Q910" s="19">
        <f ca="1">IF(O910="","",IF(Tipo_Vertedor="Retangular",IF(O910&lt;=cota_s*100,0,IF(Tipo_Vertedor="Retangular",Cd_sr*Lef_sr*((O910/100-cota_s)^(3/2))*1000)),IF(O910&lt;=cota_s*100+fi_s/20,0,(OFFSET('Base de dados'!$A$4,IF(O910&lt;20,1,IF(O910&gt;1000,10,MATCH(O910,Cargas,1))),Coluna_fis,1,1))*(PI()*(fi_s/1000)^2/4)*(2*9.81*(O910/100-cota_s-fi_s/2/1000))^0.5*1000)))</f>
        <v>2374.933916855754</v>
      </c>
      <c r="R910" s="19">
        <f t="shared" ca="1" si="153"/>
        <v>2414.9980581040641</v>
      </c>
      <c r="S910" s="19">
        <f t="shared" ca="1" si="155"/>
        <v>5086.7740330215738</v>
      </c>
    </row>
    <row r="911" spans="13:19">
      <c r="M911" s="81">
        <f t="shared" ca="1" si="154"/>
        <v>7513.4151984626051</v>
      </c>
      <c r="N911" s="19">
        <f t="shared" si="156"/>
        <v>152.79202785149707</v>
      </c>
      <c r="O911" s="17">
        <f t="shared" si="152"/>
        <v>227.5</v>
      </c>
      <c r="P911" s="19">
        <f ca="1">IF(ISERROR(IF(O911&lt;fi_h/20,0,(OFFSET('Base de dados'!$A$5,IF(O911&lt;20,1,IF(O911&gt;1000,10,MATCH(O911,Cargas,1))),Coluna_fih,1,1))*(1+0.13*0.25)*(PI()*(fi_h/1000)^2/4)*SQRT(2*9.81*(O911/100-fi_h/2/1000))*1000)),"",IF(O911&lt;fi_h/20,0,(OFFSET('Base de dados'!$A$5,IF(O911&lt;20,1,IF(O911&gt;1000,10,MATCH(O911,Cargas,1))),Coluna_fih,1,1))*(PI()*(fi_h/1000)^2/4)*SQRT(2*9.81*(O911/100-fi_h/2/1000))*1000))</f>
        <v>40.086733216434261</v>
      </c>
      <c r="Q911" s="19">
        <f ca="1">IF(O911="","",IF(Tipo_Vertedor="Retangular",IF(O911&lt;=cota_s*100,0,IF(Tipo_Vertedor="Retangular",Cd_sr*Lef_sr*((O911/100-cota_s)^(3/2))*1000)),IF(O911&lt;=cota_s*100+fi_s/20,0,(OFFSET('Base de dados'!$A$4,IF(O911&lt;20,1,IF(O911&gt;1000,10,MATCH(O911,Cargas,1))),Coluna_fis,1,1))*(PI()*(fi_s/1000)^2/4)*(2*9.81*(O911/100-cota_s-fi_s/2/1000))^0.5*1000)))</f>
        <v>2380.260870196269</v>
      </c>
      <c r="R911" s="19">
        <f t="shared" ca="1" si="153"/>
        <v>2420.3476034127034</v>
      </c>
      <c r="S911" s="19">
        <f t="shared" ca="1" si="155"/>
        <v>5093.0675950499017</v>
      </c>
    </row>
    <row r="912" spans="13:19">
      <c r="M912" s="81">
        <f t="shared" ca="1" si="154"/>
        <v>7525.0631315137498</v>
      </c>
      <c r="N912" s="19">
        <f t="shared" si="156"/>
        <v>152.98086056083289</v>
      </c>
      <c r="O912" s="17">
        <f t="shared" si="152"/>
        <v>227.75</v>
      </c>
      <c r="P912" s="19">
        <f ca="1">IF(ISERROR(IF(O912&lt;fi_h/20,0,(OFFSET('Base de dados'!$A$5,IF(O912&lt;20,1,IF(O912&gt;1000,10,MATCH(O912,Cargas,1))),Coluna_fih,1,1))*(1+0.13*0.25)*(PI()*(fi_h/1000)^2/4)*SQRT(2*9.81*(O912/100-fi_h/2/1000))*1000)),"",IF(O912&lt;fi_h/20,0,(OFFSET('Base de dados'!$A$5,IF(O912&lt;20,1,IF(O912&gt;1000,10,MATCH(O912,Cargas,1))),Coluna_fih,1,1))*(PI()*(fi_h/1000)^2/4)*SQRT(2*9.81*(O912/100-fi_h/2/1000))*1000))</f>
        <v>40.109312459410425</v>
      </c>
      <c r="Q912" s="19">
        <f ca="1">IF(O912="","",IF(Tipo_Vertedor="Retangular",IF(O912&lt;=cota_s*100,0,IF(Tipo_Vertedor="Retangular",Cd_sr*Lef_sr*((O912/100-cota_s)^(3/2))*1000)),IF(O912&lt;=cota_s*100+fi_s/20,0,(OFFSET('Base de dados'!$A$4,IF(O912&lt;20,1,IF(O912&gt;1000,10,MATCH(O912,Cargas,1))),Coluna_fis,1,1))*(PI()*(fi_s/1000)^2/4)*(2*9.81*(O912/100-cota_s-fi_s/2/1000))^0.5*1000)))</f>
        <v>2385.5918003599095</v>
      </c>
      <c r="R912" s="19">
        <f t="shared" ca="1" si="153"/>
        <v>2425.7011128193199</v>
      </c>
      <c r="S912" s="19">
        <f t="shared" ca="1" si="155"/>
        <v>5099.3620186944299</v>
      </c>
    </row>
    <row r="913" spans="13:19">
      <c r="M913" s="81">
        <f t="shared" ca="1" si="154"/>
        <v>7536.7158865080601</v>
      </c>
      <c r="N913" s="19">
        <f t="shared" si="156"/>
        <v>153.16971909381385</v>
      </c>
      <c r="O913" s="17">
        <f t="shared" si="152"/>
        <v>228</v>
      </c>
      <c r="P913" s="19">
        <f ca="1">IF(ISERROR(IF(O913&lt;fi_h/20,0,(OFFSET('Base de dados'!$A$5,IF(O913&lt;20,1,IF(O913&gt;1000,10,MATCH(O913,Cargas,1))),Coluna_fih,1,1))*(1+0.13*0.25)*(PI()*(fi_h/1000)^2/4)*SQRT(2*9.81*(O913/100-fi_h/2/1000))*1000)),"",IF(O913&lt;fi_h/20,0,(OFFSET('Base de dados'!$A$5,IF(O913&lt;20,1,IF(O913&gt;1000,10,MATCH(O913,Cargas,1))),Coluna_fih,1,1))*(PI()*(fi_h/1000)^2/4)*SQRT(2*9.81*(O913/100-fi_h/2/1000))*1000))</f>
        <v>40.131878998716964</v>
      </c>
      <c r="Q913" s="19">
        <f ca="1">IF(O913="","",IF(Tipo_Vertedor="Retangular",IF(O913&lt;=cota_s*100,0,IF(Tipo_Vertedor="Retangular",Cd_sr*Lef_sr*((O913/100-cota_s)^(3/2))*1000)),IF(O913&lt;=cota_s*100+fi_s/20,0,(OFFSET('Base de dados'!$A$4,IF(O913&lt;20,1,IF(O913&gt;1000,10,MATCH(O913,Cargas,1))),Coluna_fis,1,1))*(PI()*(fi_s/1000)^2/4)*(2*9.81*(O913/100-cota_s-fi_s/2/1000))^0.5*1000)))</f>
        <v>2390.9267043822147</v>
      </c>
      <c r="R913" s="19">
        <f t="shared" ca="1" si="153"/>
        <v>2431.0585833809319</v>
      </c>
      <c r="S913" s="19">
        <f t="shared" ca="1" si="155"/>
        <v>5105.6573031271282</v>
      </c>
    </row>
    <row r="914" spans="13:19">
      <c r="M914" s="81">
        <f t="shared" ca="1" si="154"/>
        <v>7548.3734596827881</v>
      </c>
      <c r="N914" s="19">
        <f t="shared" si="156"/>
        <v>153.35860342565022</v>
      </c>
      <c r="O914" s="17">
        <f t="shared" si="152"/>
        <v>228.25</v>
      </c>
      <c r="P914" s="19">
        <f ca="1">IF(ISERROR(IF(O914&lt;fi_h/20,0,(OFFSET('Base de dados'!$A$5,IF(O914&lt;20,1,IF(O914&gt;1000,10,MATCH(O914,Cargas,1))),Coluna_fih,1,1))*(1+0.13*0.25)*(PI()*(fi_h/1000)^2/4)*SQRT(2*9.81*(O914/100-fi_h/2/1000))*1000)),"",IF(O914&lt;fi_h/20,0,(OFFSET('Base de dados'!$A$5,IF(O914&lt;20,1,IF(O914&gt;1000,10,MATCH(O914,Cargas,1))),Coluna_fih,1,1))*(PI()*(fi_h/1000)^2/4)*SQRT(2*9.81*(O914/100-fi_h/2/1000))*1000))</f>
        <v>40.154432855772015</v>
      </c>
      <c r="Q914" s="19">
        <f ca="1">IF(O914="","",IF(Tipo_Vertedor="Retangular",IF(O914&lt;=cota_s*100,0,IF(Tipo_Vertedor="Retangular",Cd_sr*Lef_sr*((O914/100-cota_s)^(3/2))*1000)),IF(O914&lt;=cota_s*100+fi_s/20,0,(OFFSET('Base de dados'!$A$4,IF(O914&lt;20,1,IF(O914&gt;1000,10,MATCH(O914,Cargas,1))),Coluna_fis,1,1))*(PI()*(fi_s/1000)^2/4)*(2*9.81*(O914/100-cota_s-fi_s/2/1000))^0.5*1000)))</f>
        <v>2396.2655793053418</v>
      </c>
      <c r="R914" s="19">
        <f t="shared" ca="1" si="153"/>
        <v>2436.4200121611138</v>
      </c>
      <c r="S914" s="19">
        <f t="shared" ca="1" si="155"/>
        <v>5111.9534475216742</v>
      </c>
    </row>
    <row r="915" spans="13:19">
      <c r="M915" s="81">
        <f t="shared" ca="1" si="154"/>
        <v>7560.035847283415</v>
      </c>
      <c r="N915" s="19">
        <f t="shared" si="156"/>
        <v>153.54751353160322</v>
      </c>
      <c r="O915" s="17">
        <f t="shared" ref="O915:O978" si="157">IF(ISERROR(IF(O914+passo_altura&gt;h_max_puls*100,"",O914+passo_altura)),"",IF(O914+passo_altura&gt;h_max_puls*100,"",O914+passo_altura))</f>
        <v>228.5</v>
      </c>
      <c r="P915" s="19">
        <f ca="1">IF(ISERROR(IF(O915&lt;fi_h/20,0,(OFFSET('Base de dados'!$A$5,IF(O915&lt;20,1,IF(O915&gt;1000,10,MATCH(O915,Cargas,1))),Coluna_fih,1,1))*(1+0.13*0.25)*(PI()*(fi_h/1000)^2/4)*SQRT(2*9.81*(O915/100-fi_h/2/1000))*1000)),"",IF(O915&lt;fi_h/20,0,(OFFSET('Base de dados'!$A$5,IF(O915&lt;20,1,IF(O915&gt;1000,10,MATCH(O915,Cargas,1))),Coluna_fih,1,1))*(PI()*(fi_h/1000)^2/4)*SQRT(2*9.81*(O915/100-fi_h/2/1000))*1000))</f>
        <v>40.176974051933598</v>
      </c>
      <c r="Q915" s="19">
        <f ca="1">IF(O915="","",IF(Tipo_Vertedor="Retangular",IF(O915&lt;=cota_s*100,0,IF(Tipo_Vertedor="Retangular",Cd_sr*Lef_sr*((O915/100-cota_s)^(3/2))*1000)),IF(O915&lt;=cota_s*100+fi_s/20,0,(OFFSET('Base de dados'!$A$4,IF(O915&lt;20,1,IF(O915&gt;1000,10,MATCH(O915,Cargas,1))),Coluna_fis,1,1))*(PI()*(fi_s/1000)^2/4)*(2*9.81*(O915/100-cota_s-fi_s/2/1000))^0.5*1000)))</f>
        <v>2401.6084221780416</v>
      </c>
      <c r="R915" s="19">
        <f t="shared" ref="R915:R978" ca="1" si="158">IF(O915="","",Q915+P915)</f>
        <v>2441.785396229975</v>
      </c>
      <c r="S915" s="19">
        <f t="shared" ca="1" si="155"/>
        <v>5118.25045105344</v>
      </c>
    </row>
    <row r="916" spans="13:19">
      <c r="M916" s="81">
        <f t="shared" ca="1" si="154"/>
        <v>7571.7030455636286</v>
      </c>
      <c r="N916" s="19">
        <f t="shared" si="156"/>
        <v>153.73644938698473</v>
      </c>
      <c r="O916" s="17">
        <f t="shared" si="157"/>
        <v>228.75</v>
      </c>
      <c r="P916" s="19">
        <f ca="1">IF(ISERROR(IF(O916&lt;fi_h/20,0,(OFFSET('Base de dados'!$A$5,IF(O916&lt;20,1,IF(O916&gt;1000,10,MATCH(O916,Cargas,1))),Coluna_fih,1,1))*(1+0.13*0.25)*(PI()*(fi_h/1000)^2/4)*SQRT(2*9.81*(O916/100-fi_h/2/1000))*1000)),"",IF(O916&lt;fi_h/20,0,(OFFSET('Base de dados'!$A$5,IF(O916&lt;20,1,IF(O916&gt;1000,10,MATCH(O916,Cargas,1))),Coluna_fih,1,1))*(PI()*(fi_h/1000)^2/4)*SQRT(2*9.81*(O916/100-fi_h/2/1000))*1000))</f>
        <v>40.199502608499877</v>
      </c>
      <c r="Q916" s="19">
        <f ca="1">IF(O916="","",IF(Tipo_Vertedor="Retangular",IF(O916&lt;=cota_s*100,0,IF(Tipo_Vertedor="Retangular",Cd_sr*Lef_sr*((O916/100-cota_s)^(3/2))*1000)),IF(O916&lt;=cota_s*100+fi_s/20,0,(OFFSET('Base de dados'!$A$4,IF(O916&lt;20,1,IF(O916&gt;1000,10,MATCH(O916,Cargas,1))),Coluna_fis,1,1))*(PI()*(fi_s/1000)^2/4)*(2*9.81*(O916/100-cota_s-fi_s/2/1000))^0.5*1000)))</f>
        <v>2406.9552300556379</v>
      </c>
      <c r="R916" s="19">
        <f t="shared" ca="1" si="158"/>
        <v>2447.154732664138</v>
      </c>
      <c r="S916" s="19">
        <f t="shared" ca="1" si="155"/>
        <v>5124.5483128994911</v>
      </c>
    </row>
    <row r="917" spans="13:19">
      <c r="M917" s="81">
        <f t="shared" ca="1" si="154"/>
        <v>7583.3750507852892</v>
      </c>
      <c r="N917" s="19">
        <f t="shared" si="156"/>
        <v>153.9254109671574</v>
      </c>
      <c r="O917" s="17">
        <f t="shared" si="157"/>
        <v>229</v>
      </c>
      <c r="P917" s="19">
        <f ca="1">IF(ISERROR(IF(O917&lt;fi_h/20,0,(OFFSET('Base de dados'!$A$5,IF(O917&lt;20,1,IF(O917&gt;1000,10,MATCH(O917,Cargas,1))),Coluna_fih,1,1))*(1+0.13*0.25)*(PI()*(fi_h/1000)^2/4)*SQRT(2*9.81*(O917/100-fi_h/2/1000))*1000)),"",IF(O917&lt;fi_h/20,0,(OFFSET('Base de dados'!$A$5,IF(O917&lt;20,1,IF(O917&gt;1000,10,MATCH(O917,Cargas,1))),Coluna_fih,1,1))*(PI()*(fi_h/1000)^2/4)*SQRT(2*9.81*(O917/100-fi_h/2/1000))*1000))</f>
        <v>40.222018546709357</v>
      </c>
      <c r="Q917" s="19">
        <f ca="1">IF(O917="","",IF(Tipo_Vertedor="Retangular",IF(O917&lt;=cota_s*100,0,IF(Tipo_Vertedor="Retangular",Cd_sr*Lef_sr*((O917/100-cota_s)^(3/2))*1000)),IF(O917&lt;=cota_s*100+fi_s/20,0,(OFFSET('Base de dados'!$A$4,IF(O917&lt;20,1,IF(O917&gt;1000,10,MATCH(O917,Cargas,1))),Coluna_fis,1,1))*(PI()*(fi_s/1000)^2/4)*(2*9.81*(O917/100-cota_s-fi_s/2/1000))^0.5*1000)))</f>
        <v>2412.306</v>
      </c>
      <c r="R917" s="19">
        <f t="shared" ca="1" si="158"/>
        <v>2452.5280185467095</v>
      </c>
      <c r="S917" s="19">
        <f t="shared" ca="1" si="155"/>
        <v>5130.8470322385801</v>
      </c>
    </row>
    <row r="918" spans="13:19">
      <c r="M918" s="81">
        <f t="shared" ca="1" si="154"/>
        <v>7595.0518592184008</v>
      </c>
      <c r="N918" s="19">
        <f t="shared" si="156"/>
        <v>154.11439824753421</v>
      </c>
      <c r="O918" s="17">
        <f t="shared" si="157"/>
        <v>229.25</v>
      </c>
      <c r="P918" s="19">
        <f ca="1">IF(ISERROR(IF(O918&lt;fi_h/20,0,(OFFSET('Base de dados'!$A$5,IF(O918&lt;20,1,IF(O918&gt;1000,10,MATCH(O918,Cargas,1))),Coluna_fih,1,1))*(1+0.13*0.25)*(PI()*(fi_h/1000)^2/4)*SQRT(2*9.81*(O918/100-fi_h/2/1000))*1000)),"",IF(O918&lt;fi_h/20,0,(OFFSET('Base de dados'!$A$5,IF(O918&lt;20,1,IF(O918&gt;1000,10,MATCH(O918,Cargas,1))),Coluna_fih,1,1))*(PI()*(fi_h/1000)^2/4)*SQRT(2*9.81*(O918/100-fi_h/2/1000))*1000))</f>
        <v>40.244521887741122</v>
      </c>
      <c r="Q918" s="19">
        <f ca="1">IF(O918="","",IF(Tipo_Vertedor="Retangular",IF(O918&lt;=cota_s*100,0,IF(Tipo_Vertedor="Retangular",Cd_sr*Lef_sr*((O918/100-cota_s)^(3/2))*1000)),IF(O918&lt;=cota_s*100+fi_s/20,0,(OFFSET('Base de dados'!$A$4,IF(O918&lt;20,1,IF(O918&gt;1000,10,MATCH(O918,Cargas,1))),Coluna_fis,1,1))*(PI()*(fi_s/1000)^2/4)*(2*9.81*(O918/100-cota_s-fi_s/2/1000))^0.5*1000)))</f>
        <v>2417.6607290795191</v>
      </c>
      <c r="R918" s="19">
        <f t="shared" ca="1" si="158"/>
        <v>2457.9052509672601</v>
      </c>
      <c r="S918" s="19">
        <f t="shared" ca="1" si="155"/>
        <v>5137.1466082511406</v>
      </c>
    </row>
    <row r="919" spans="13:19">
      <c r="M919" s="81">
        <f t="shared" ca="1" si="154"/>
        <v>7606.7334671410808</v>
      </c>
      <c r="N919" s="19">
        <f t="shared" si="156"/>
        <v>154.30341120357846</v>
      </c>
      <c r="O919" s="17">
        <f t="shared" si="157"/>
        <v>229.5</v>
      </c>
      <c r="P919" s="19">
        <f ca="1">IF(ISERROR(IF(O919&lt;fi_h/20,0,(OFFSET('Base de dados'!$A$5,IF(O919&lt;20,1,IF(O919&gt;1000,10,MATCH(O919,Cargas,1))),Coluna_fih,1,1))*(1+0.13*0.25)*(PI()*(fi_h/1000)^2/4)*SQRT(2*9.81*(O919/100-fi_h/2/1000))*1000)),"",IF(O919&lt;fi_h/20,0,(OFFSET('Base de dados'!$A$5,IF(O919&lt;20,1,IF(O919&gt;1000,10,MATCH(O919,Cargas,1))),Coluna_fih,1,1))*(PI()*(fi_h/1000)^2/4)*SQRT(2*9.81*(O919/100-fi_h/2/1000))*1000))</f>
        <v>40.267012652715096</v>
      </c>
      <c r="Q919" s="19">
        <f ca="1">IF(O919="","",IF(Tipo_Vertedor="Retangular",IF(O919&lt;=cota_s*100,0,IF(Tipo_Vertedor="Retangular",Cd_sr*Lef_sr*((O919/100-cota_s)^(3/2))*1000)),IF(O919&lt;=cota_s*100+fi_s/20,0,(OFFSET('Base de dados'!$A$4,IF(O919&lt;20,1,IF(O919&gt;1000,10,MATCH(O919,Cargas,1))),Coluna_fis,1,1))*(PI()*(fi_s/1000)^2/4)*(2*9.81*(O919/100-cota_s-fi_s/2/1000))^0.5*1000)))</f>
        <v>2423.0194143690842</v>
      </c>
      <c r="R919" s="19">
        <f t="shared" ca="1" si="158"/>
        <v>2463.2864270217992</v>
      </c>
      <c r="S919" s="19">
        <f t="shared" ca="1" si="155"/>
        <v>5143.4470401192821</v>
      </c>
    </row>
    <row r="920" spans="13:19">
      <c r="M920" s="81">
        <f t="shared" ca="1" si="154"/>
        <v>7618.419870839537</v>
      </c>
      <c r="N920" s="19">
        <f t="shared" si="156"/>
        <v>154.49244981080363</v>
      </c>
      <c r="O920" s="17">
        <f t="shared" si="157"/>
        <v>229.75</v>
      </c>
      <c r="P920" s="19">
        <f ca="1">IF(ISERROR(IF(O920&lt;fi_h/20,0,(OFFSET('Base de dados'!$A$5,IF(O920&lt;20,1,IF(O920&gt;1000,10,MATCH(O920,Cargas,1))),Coluna_fih,1,1))*(1+0.13*0.25)*(PI()*(fi_h/1000)^2/4)*SQRT(2*9.81*(O920/100-fi_h/2/1000))*1000)),"",IF(O920&lt;fi_h/20,0,(OFFSET('Base de dados'!$A$5,IF(O920&lt;20,1,IF(O920&gt;1000,10,MATCH(O920,Cargas,1))),Coluna_fih,1,1))*(PI()*(fi_h/1000)^2/4)*SQRT(2*9.81*(O920/100-fi_h/2/1000))*1000))</f>
        <v>40.289490862692226</v>
      </c>
      <c r="Q920" s="19">
        <f ca="1">IF(O920="","",IF(Tipo_Vertedor="Retangular",IF(O920&lt;=cota_s*100,0,IF(Tipo_Vertedor="Retangular",Cd_sr*Lef_sr*((O920/100-cota_s)^(3/2))*1000)),IF(O920&lt;=cota_s*100+fi_s/20,0,(OFFSET('Base de dados'!$A$4,IF(O920&lt;20,1,IF(O920&gt;1000,10,MATCH(O920,Cargas,1))),Coluna_fis,1,1))*(PI()*(fi_s/1000)^2/4)*(2*9.81*(O920/100-cota_s-fi_s/2/1000))^0.5*1000)))</f>
        <v>2428.3820529500572</v>
      </c>
      <c r="R920" s="19">
        <f t="shared" ca="1" si="158"/>
        <v>2468.6715438127494</v>
      </c>
      <c r="S920" s="19">
        <f t="shared" ca="1" si="155"/>
        <v>5149.7483270267876</v>
      </c>
    </row>
    <row r="921" spans="13:19">
      <c r="M921" s="81">
        <f t="shared" ca="1" si="154"/>
        <v>7630.1110666080294</v>
      </c>
      <c r="N921" s="19">
        <f t="shared" si="156"/>
        <v>154.68151404477305</v>
      </c>
      <c r="O921" s="17">
        <f t="shared" si="157"/>
        <v>230</v>
      </c>
      <c r="P921" s="19">
        <f ca="1">IF(ISERROR(IF(O921&lt;fi_h/20,0,(OFFSET('Base de dados'!$A$5,IF(O921&lt;20,1,IF(O921&gt;1000,10,MATCH(O921,Cargas,1))),Coluna_fih,1,1))*(1+0.13*0.25)*(PI()*(fi_h/1000)^2/4)*SQRT(2*9.81*(O921/100-fi_h/2/1000))*1000)),"",IF(O921&lt;fi_h/20,0,(OFFSET('Base de dados'!$A$5,IF(O921&lt;20,1,IF(O921&gt;1000,10,MATCH(O921,Cargas,1))),Coluna_fih,1,1))*(PI()*(fi_h/1000)^2/4)*SQRT(2*9.81*(O921/100-fi_h/2/1000))*1000))</f>
        <v>40.311956538674771</v>
      </c>
      <c r="Q921" s="19">
        <f ca="1">IF(O921="","",IF(Tipo_Vertedor="Retangular",IF(O921&lt;=cota_s*100,0,IF(Tipo_Vertedor="Retangular",Cd_sr*Lef_sr*((O921/100-cota_s)^(3/2))*1000)),IF(O921&lt;=cota_s*100+fi_s/20,0,(OFFSET('Base de dados'!$A$4,IF(O921&lt;20,1,IF(O921&gt;1000,10,MATCH(O921,Cargas,1))),Coluna_fis,1,1))*(PI()*(fi_s/1000)^2/4)*(2*9.81*(O921/100-cota_s-fi_s/2/1000))^0.5*1000)))</f>
        <v>2433.7486419102524</v>
      </c>
      <c r="R921" s="19">
        <f t="shared" ca="1" si="158"/>
        <v>2474.0605984489271</v>
      </c>
      <c r="S921" s="19">
        <f t="shared" ca="1" si="155"/>
        <v>5156.0504681591019</v>
      </c>
    </row>
    <row r="922" spans="13:19">
      <c r="M922" s="81">
        <f t="shared" ca="1" si="154"/>
        <v>7641.8070507488501</v>
      </c>
      <c r="N922" s="19">
        <f t="shared" si="156"/>
        <v>154.87060388110001</v>
      </c>
      <c r="O922" s="17">
        <f t="shared" si="157"/>
        <v>230.25</v>
      </c>
      <c r="P922" s="19">
        <f ca="1">IF(ISERROR(IF(O922&lt;fi_h/20,0,(OFFSET('Base de dados'!$A$5,IF(O922&lt;20,1,IF(O922&gt;1000,10,MATCH(O922,Cargas,1))),Coluna_fih,1,1))*(1+0.13*0.25)*(PI()*(fi_h/1000)^2/4)*SQRT(2*9.81*(O922/100-fi_h/2/1000))*1000)),"",IF(O922&lt;fi_h/20,0,(OFFSET('Base de dados'!$A$5,IF(O922&lt;20,1,IF(O922&gt;1000,10,MATCH(O922,Cargas,1))),Coluna_fih,1,1))*(PI()*(fi_h/1000)^2/4)*SQRT(2*9.81*(O922/100-fi_h/2/1000))*1000))</f>
        <v>40.334409701606468</v>
      </c>
      <c r="Q922" s="19">
        <f ca="1">IF(O922="","",IF(Tipo_Vertedor="Retangular",IF(O922&lt;=cota_s*100,0,IF(Tipo_Vertedor="Retangular",Cd_sr*Lef_sr*((O922/100-cota_s)^(3/2))*1000)),IF(O922&lt;=cota_s*100+fi_s/20,0,(OFFSET('Base de dados'!$A$4,IF(O922&lt;20,1,IF(O922&gt;1000,10,MATCH(O922,Cargas,1))),Coluna_fis,1,1))*(PI()*(fi_s/1000)^2/4)*(2*9.81*(O922/100-cota_s-fi_s/2/1000))^0.5*1000)))</f>
        <v>2439.119178343909</v>
      </c>
      <c r="R922" s="19">
        <f t="shared" ca="1" si="158"/>
        <v>2479.4535880455155</v>
      </c>
      <c r="S922" s="19">
        <f t="shared" ca="1" si="155"/>
        <v>5162.3534627033341</v>
      </c>
    </row>
    <row r="923" spans="13:19">
      <c r="M923" s="81">
        <f t="shared" ca="1" si="154"/>
        <v>7653.5078195722845</v>
      </c>
      <c r="N923" s="19">
        <f t="shared" si="156"/>
        <v>155.05971929544734</v>
      </c>
      <c r="O923" s="17">
        <f t="shared" si="157"/>
        <v>230.5</v>
      </c>
      <c r="P923" s="19">
        <f ca="1">IF(ISERROR(IF(O923&lt;fi_h/20,0,(OFFSET('Base de dados'!$A$5,IF(O923&lt;20,1,IF(O923&gt;1000,10,MATCH(O923,Cargas,1))),Coluna_fih,1,1))*(1+0.13*0.25)*(PI()*(fi_h/1000)^2/4)*SQRT(2*9.81*(O923/100-fi_h/2/1000))*1000)),"",IF(O923&lt;fi_h/20,0,(OFFSET('Base de dados'!$A$5,IF(O923&lt;20,1,IF(O923&gt;1000,10,MATCH(O923,Cargas,1))),Coluna_fih,1,1))*(PI()*(fi_h/1000)^2/4)*SQRT(2*9.81*(O923/100-fi_h/2/1000))*1000))</f>
        <v>40.356850372372833</v>
      </c>
      <c r="Q923" s="19">
        <f ca="1">IF(O923="","",IF(Tipo_Vertedor="Retangular",IF(O923&lt;=cota_s*100,0,IF(Tipo_Vertedor="Retangular",Cd_sr*Lef_sr*((O923/100-cota_s)^(3/2))*1000)),IF(O923&lt;=cota_s*100+fi_s/20,0,(OFFSET('Base de dados'!$A$4,IF(O923&lt;20,1,IF(O923&gt;1000,10,MATCH(O923,Cargas,1))),Coluna_fis,1,1))*(PI()*(fi_s/1000)^2/4)*(2*9.81*(O923/100-cota_s-fi_s/2/1000))^0.5*1000)))</f>
        <v>2444.4936593516668</v>
      </c>
      <c r="R923" s="19">
        <f t="shared" ca="1" si="158"/>
        <v>2484.8505097240395</v>
      </c>
      <c r="S923" s="19">
        <f t="shared" ca="1" si="155"/>
        <v>5168.6573098482449</v>
      </c>
    </row>
    <row r="924" spans="13:19">
      <c r="M924" s="81">
        <f t="shared" ca="1" si="154"/>
        <v>7665.213369396597</v>
      </c>
      <c r="N924" s="19">
        <f t="shared" si="156"/>
        <v>155.2488602635274</v>
      </c>
      <c r="O924" s="17">
        <f t="shared" si="157"/>
        <v>230.75</v>
      </c>
      <c r="P924" s="19">
        <f ca="1">IF(ISERROR(IF(O924&lt;fi_h/20,0,(OFFSET('Base de dados'!$A$5,IF(O924&lt;20,1,IF(O924&gt;1000,10,MATCH(O924,Cargas,1))),Coluna_fih,1,1))*(1+0.13*0.25)*(PI()*(fi_h/1000)^2/4)*SQRT(2*9.81*(O924/100-fi_h/2/1000))*1000)),"",IF(O924&lt;fi_h/20,0,(OFFSET('Base de dados'!$A$5,IF(O924&lt;20,1,IF(O924&gt;1000,10,MATCH(O924,Cargas,1))),Coluna_fih,1,1))*(PI()*(fi_h/1000)^2/4)*SQRT(2*9.81*(O924/100-fi_h/2/1000))*1000))</f>
        <v>40.379278571801315</v>
      </c>
      <c r="Q924" s="19">
        <f ca="1">IF(O924="","",IF(Tipo_Vertedor="Retangular",IF(O924&lt;=cota_s*100,0,IF(Tipo_Vertedor="Retangular",Cd_sr*Lef_sr*((O924/100-cota_s)^(3/2))*1000)),IF(O924&lt;=cota_s*100+fi_s/20,0,(OFFSET('Base de dados'!$A$4,IF(O924&lt;20,1,IF(O924&gt;1000,10,MATCH(O924,Cargas,1))),Coluna_fis,1,1))*(PI()*(fi_s/1000)^2/4)*(2*9.81*(O924/100-cota_s-fi_s/2/1000))^0.5*1000)))</f>
        <v>2449.8720820405483</v>
      </c>
      <c r="R924" s="19">
        <f t="shared" ca="1" si="158"/>
        <v>2490.2513606123498</v>
      </c>
      <c r="S924" s="19">
        <f t="shared" ca="1" si="155"/>
        <v>5174.9620087842468</v>
      </c>
    </row>
    <row r="925" spans="13:19">
      <c r="M925" s="81">
        <f t="shared" ca="1" si="154"/>
        <v>7676.9236965479931</v>
      </c>
      <c r="N925" s="19">
        <f t="shared" si="156"/>
        <v>155.43802676110207</v>
      </c>
      <c r="O925" s="17">
        <f t="shared" si="157"/>
        <v>231</v>
      </c>
      <c r="P925" s="19">
        <f ca="1">IF(ISERROR(IF(O925&lt;fi_h/20,0,(OFFSET('Base de dados'!$A$5,IF(O925&lt;20,1,IF(O925&gt;1000,10,MATCH(O925,Cargas,1))),Coluna_fih,1,1))*(1+0.13*0.25)*(PI()*(fi_h/1000)^2/4)*SQRT(2*9.81*(O925/100-fi_h/2/1000))*1000)),"",IF(O925&lt;fi_h/20,0,(OFFSET('Base de dados'!$A$5,IF(O925&lt;20,1,IF(O925&gt;1000,10,MATCH(O925,Cargas,1))),Coluna_fih,1,1))*(PI()*(fi_h/1000)^2/4)*SQRT(2*9.81*(O925/100-fi_h/2/1000))*1000))</f>
        <v>40.401694320661548</v>
      </c>
      <c r="Q925" s="19">
        <f ca="1">IF(O925="","",IF(Tipo_Vertedor="Retangular",IF(O925&lt;=cota_s*100,0,IF(Tipo_Vertedor="Retangular",Cd_sr*Lef_sr*((O925/100-cota_s)^(3/2))*1000)),IF(O925&lt;=cota_s*100+fi_s/20,0,(OFFSET('Base de dados'!$A$4,IF(O925&lt;20,1,IF(O925&gt;1000,10,MATCH(O925,Cargas,1))),Coluna_fis,1,1))*(PI()*(fi_s/1000)^2/4)*(2*9.81*(O925/100-cota_s-fi_s/2/1000))^0.5*1000)))</f>
        <v>2455.2544435239297</v>
      </c>
      <c r="R925" s="19">
        <f t="shared" ca="1" si="158"/>
        <v>2495.6561378445913</v>
      </c>
      <c r="S925" s="19">
        <f t="shared" ca="1" si="155"/>
        <v>5181.2675587034018</v>
      </c>
    </row>
    <row r="926" spans="13:19">
      <c r="M926" s="81">
        <f t="shared" ca="1" si="154"/>
        <v>7688.6387973605906</v>
      </c>
      <c r="N926" s="19">
        <f t="shared" si="156"/>
        <v>155.62721876398214</v>
      </c>
      <c r="O926" s="17">
        <f t="shared" si="157"/>
        <v>231.25</v>
      </c>
      <c r="P926" s="19">
        <f ca="1">IF(ISERROR(IF(O926&lt;fi_h/20,0,(OFFSET('Base de dados'!$A$5,IF(O926&lt;20,1,IF(O926&gt;1000,10,MATCH(O926,Cargas,1))),Coluna_fih,1,1))*(1+0.13*0.25)*(PI()*(fi_h/1000)^2/4)*SQRT(2*9.81*(O926/100-fi_h/2/1000))*1000)),"",IF(O926&lt;fi_h/20,0,(OFFSET('Base de dados'!$A$5,IF(O926&lt;20,1,IF(O926&gt;1000,10,MATCH(O926,Cargas,1))),Coluna_fih,1,1))*(PI()*(fi_h/1000)^2/4)*SQRT(2*9.81*(O926/100-fi_h/2/1000))*1000))</f>
        <v>40.424097639665604</v>
      </c>
      <c r="Q926" s="19">
        <f ca="1">IF(O926="","",IF(Tipo_Vertedor="Retangular",IF(O926&lt;=cota_s*100,0,IF(Tipo_Vertedor="Retangular",Cd_sr*Lef_sr*((O926/100-cota_s)^(3/2))*1000)),IF(O926&lt;=cota_s*100+fi_s/20,0,(OFFSET('Base de dados'!$A$4,IF(O926&lt;20,1,IF(O926&gt;1000,10,MATCH(O926,Cargas,1))),Coluna_fis,1,1))*(PI()*(fi_s/1000)^2/4)*(2*9.81*(O926/100-cota_s-fi_s/2/1000))^0.5*1000)))</f>
        <v>2460.6407409215208</v>
      </c>
      <c r="R926" s="19">
        <f t="shared" ca="1" si="158"/>
        <v>2501.0648385611862</v>
      </c>
      <c r="S926" s="19">
        <f t="shared" ca="1" si="155"/>
        <v>5187.5739587994049</v>
      </c>
    </row>
    <row r="927" spans="13:19">
      <c r="M927" s="81">
        <f t="shared" ca="1" si="154"/>
        <v>7700.3586681763991</v>
      </c>
      <c r="N927" s="19">
        <f t="shared" si="156"/>
        <v>155.81643624802768</v>
      </c>
      <c r="O927" s="17">
        <f t="shared" si="157"/>
        <v>231.5</v>
      </c>
      <c r="P927" s="19">
        <f ca="1">IF(ISERROR(IF(O927&lt;fi_h/20,0,(OFFSET('Base de dados'!$A$5,IF(O927&lt;20,1,IF(O927&gt;1000,10,MATCH(O927,Cargas,1))),Coluna_fih,1,1))*(1+0.13*0.25)*(PI()*(fi_h/1000)^2/4)*SQRT(2*9.81*(O927/100-fi_h/2/1000))*1000)),"",IF(O927&lt;fi_h/20,0,(OFFSET('Base de dados'!$A$5,IF(O927&lt;20,1,IF(O927&gt;1000,10,MATCH(O927,Cargas,1))),Coluna_fih,1,1))*(PI()*(fi_h/1000)^2/4)*SQRT(2*9.81*(O927/100-fi_h/2/1000))*1000))</f>
        <v>40.446488549468192</v>
      </c>
      <c r="Q927" s="19">
        <f ca="1">IF(O927="","",IF(Tipo_Vertedor="Retangular",IF(O927&lt;=cota_s*100,0,IF(Tipo_Vertedor="Retangular",Cd_sr*Lef_sr*((O927/100-cota_s)^(3/2))*1000)),IF(O927&lt;=cota_s*100+fi_s/20,0,(OFFSET('Base de dados'!$A$4,IF(O927&lt;20,1,IF(O927&gt;1000,10,MATCH(O927,Cargas,1))),Coluna_fis,1,1))*(PI()*(fi_s/1000)^2/4)*(2*9.81*(O927/100-cota_s-fi_s/2/1000))^0.5*1000)))</f>
        <v>2466.0309713593419</v>
      </c>
      <c r="R927" s="19">
        <f t="shared" ca="1" si="158"/>
        <v>2506.47745990881</v>
      </c>
      <c r="S927" s="19">
        <f t="shared" ca="1" si="155"/>
        <v>5193.8812082675895</v>
      </c>
    </row>
    <row r="928" spans="13:19">
      <c r="M928" s="81">
        <f t="shared" ca="1" si="154"/>
        <v>7712.0833053452852</v>
      </c>
      <c r="N928" s="19">
        <f t="shared" si="156"/>
        <v>156.00567918914763</v>
      </c>
      <c r="O928" s="17">
        <f t="shared" si="157"/>
        <v>231.75</v>
      </c>
      <c r="P928" s="19">
        <f ca="1">IF(ISERROR(IF(O928&lt;fi_h/20,0,(OFFSET('Base de dados'!$A$5,IF(O928&lt;20,1,IF(O928&gt;1000,10,MATCH(O928,Cargas,1))),Coluna_fih,1,1))*(1+0.13*0.25)*(PI()*(fi_h/1000)^2/4)*SQRT(2*9.81*(O928/100-fi_h/2/1000))*1000)),"",IF(O928&lt;fi_h/20,0,(OFFSET('Base de dados'!$A$5,IF(O928&lt;20,1,IF(O928&gt;1000,10,MATCH(O928,Cargas,1))),Coluna_fih,1,1))*(PI()*(fi_h/1000)^2/4)*SQRT(2*9.81*(O928/100-fi_h/2/1000))*1000))</f>
        <v>40.46886707066686</v>
      </c>
      <c r="Q928" s="19">
        <f ca="1">IF(O928="","",IF(Tipo_Vertedor="Retangular",IF(O928&lt;=cota_s*100,0,IF(Tipo_Vertedor="Retangular",Cd_sr*Lef_sr*((O928/100-cota_s)^(3/2))*1000)),IF(O928&lt;=cota_s*100+fi_s/20,0,(OFFSET('Base de dados'!$A$4,IF(O928&lt;20,1,IF(O928&gt;1000,10,MATCH(O928,Cargas,1))),Coluna_fis,1,1))*(PI()*(fi_s/1000)^2/4)*(2*9.81*(O928/100-cota_s-fi_s/2/1000))^0.5*1000)))</f>
        <v>2471.4251319696973</v>
      </c>
      <c r="R928" s="19">
        <f t="shared" ca="1" si="158"/>
        <v>2511.8939990403642</v>
      </c>
      <c r="S928" s="19">
        <f t="shared" ca="1" si="155"/>
        <v>5200.189306304921</v>
      </c>
    </row>
    <row r="929" spans="13:19">
      <c r="M929" s="81">
        <f t="shared" ca="1" si="154"/>
        <v>7723.8127052249429</v>
      </c>
      <c r="N929" s="19">
        <f t="shared" si="156"/>
        <v>156.19494756329951</v>
      </c>
      <c r="O929" s="17">
        <f t="shared" si="157"/>
        <v>232</v>
      </c>
      <c r="P929" s="19">
        <f ca="1">IF(ISERROR(IF(O929&lt;fi_h/20,0,(OFFSET('Base de dados'!$A$5,IF(O929&lt;20,1,IF(O929&gt;1000,10,MATCH(O929,Cargas,1))),Coluna_fih,1,1))*(1+0.13*0.25)*(PI()*(fi_h/1000)^2/4)*SQRT(2*9.81*(O929/100-fi_h/2/1000))*1000)),"",IF(O929&lt;fi_h/20,0,(OFFSET('Base de dados'!$A$5,IF(O929&lt;20,1,IF(O929&gt;1000,10,MATCH(O929,Cargas,1))),Coluna_fih,1,1))*(PI()*(fi_h/1000)^2/4)*SQRT(2*9.81*(O929/100-fi_h/2/1000))*1000))</f>
        <v>40.491233223802247</v>
      </c>
      <c r="Q929" s="19">
        <f ca="1">IF(O929="","",IF(Tipo_Vertedor="Retangular",IF(O929&lt;=cota_s*100,0,IF(Tipo_Vertedor="Retangular",Cd_sr*Lef_sr*((O929/100-cota_s)^(3/2))*1000)),IF(O929&lt;=cota_s*100+fi_s/20,0,(OFFSET('Base de dados'!$A$4,IF(O929&lt;20,1,IF(O929&gt;1000,10,MATCH(O929,Cargas,1))),Coluna_fis,1,1))*(PI()*(fi_s/1000)^2/4)*(2*9.81*(O929/100-cota_s-fi_s/2/1000))^0.5*1000)))</f>
        <v>2476.8232198911569</v>
      </c>
      <c r="R929" s="19">
        <f t="shared" ca="1" si="158"/>
        <v>2517.3144531149592</v>
      </c>
      <c r="S929" s="19">
        <f t="shared" ca="1" si="155"/>
        <v>5206.4982521099837</v>
      </c>
    </row>
    <row r="930" spans="13:19">
      <c r="M930" s="81">
        <f t="shared" ca="1" si="154"/>
        <v>7735.5468641808757</v>
      </c>
      <c r="N930" s="19">
        <f t="shared" si="156"/>
        <v>156.3842413464896</v>
      </c>
      <c r="O930" s="17">
        <f t="shared" si="157"/>
        <v>232.25</v>
      </c>
      <c r="P930" s="19">
        <f ca="1">IF(ISERROR(IF(O930&lt;fi_h/20,0,(OFFSET('Base de dados'!$A$5,IF(O930&lt;20,1,IF(O930&gt;1000,10,MATCH(O930,Cargas,1))),Coluna_fih,1,1))*(1+0.13*0.25)*(PI()*(fi_h/1000)^2/4)*SQRT(2*9.81*(O930/100-fi_h/2/1000))*1000)),"",IF(O930&lt;fi_h/20,0,(OFFSET('Base de dados'!$A$5,IF(O930&lt;20,1,IF(O930&gt;1000,10,MATCH(O930,Cargas,1))),Coluna_fih,1,1))*(PI()*(fi_h/1000)^2/4)*SQRT(2*9.81*(O930/100-fi_h/2/1000))*1000))</f>
        <v>40.513587029358312</v>
      </c>
      <c r="Q930" s="19">
        <f ca="1">IF(O930="","",IF(Tipo_Vertedor="Retangular",IF(O930&lt;=cota_s*100,0,IF(Tipo_Vertedor="Retangular",Cd_sr*Lef_sr*((O930/100-cota_s)^(3/2))*1000)),IF(O930&lt;=cota_s*100+fi_s/20,0,(OFFSET('Base de dados'!$A$4,IF(O930&lt;20,1,IF(O930&gt;1000,10,MATCH(O930,Cargas,1))),Coluna_fis,1,1))*(PI()*(fi_s/1000)^2/4)*(2*9.81*(O930/100-cota_s-fi_s/2/1000))^0.5*1000)))</f>
        <v>2482.2252322685304</v>
      </c>
      <c r="R930" s="19">
        <f t="shared" ca="1" si="158"/>
        <v>2522.7388192978888</v>
      </c>
      <c r="S930" s="19">
        <f t="shared" ca="1" si="155"/>
        <v>5212.8080448829869</v>
      </c>
    </row>
    <row r="931" spans="13:19">
      <c r="M931" s="81">
        <f t="shared" ca="1" si="154"/>
        <v>7747.2857785863625</v>
      </c>
      <c r="N931" s="19">
        <f t="shared" si="156"/>
        <v>156.57356051477257</v>
      </c>
      <c r="O931" s="17">
        <f t="shared" si="157"/>
        <v>232.5</v>
      </c>
      <c r="P931" s="19">
        <f ca="1">IF(ISERROR(IF(O931&lt;fi_h/20,0,(OFFSET('Base de dados'!$A$5,IF(O931&lt;20,1,IF(O931&gt;1000,10,MATCH(O931,Cargas,1))),Coluna_fih,1,1))*(1+0.13*0.25)*(PI()*(fi_h/1000)^2/4)*SQRT(2*9.81*(O931/100-fi_h/2/1000))*1000)),"",IF(O931&lt;fi_h/20,0,(OFFSET('Base de dados'!$A$5,IF(O931&lt;20,1,IF(O931&gt;1000,10,MATCH(O931,Cargas,1))),Coluna_fih,1,1))*(PI()*(fi_h/1000)^2/4)*SQRT(2*9.81*(O931/100-fi_h/2/1000))*1000))</f>
        <v>40.535928507762506</v>
      </c>
      <c r="Q931" s="19">
        <f ca="1">IF(O931="","",IF(Tipo_Vertedor="Retangular",IF(O931&lt;=cota_s*100,0,IF(Tipo_Vertedor="Retangular",Cd_sr*Lef_sr*((O931/100-cota_s)^(3/2))*1000)),IF(O931&lt;=cota_s*100+fi_s/20,0,(OFFSET('Base de dados'!$A$4,IF(O931&lt;20,1,IF(O931&gt;1000,10,MATCH(O931,Cargas,1))),Coluna_fis,1,1))*(PI()*(fi_s/1000)^2/4)*(2*9.81*(O931/100-cota_s-fi_s/2/1000))^0.5*1000)))</f>
        <v>2487.6311662528474</v>
      </c>
      <c r="R931" s="19">
        <f t="shared" ca="1" si="158"/>
        <v>2528.1670947606099</v>
      </c>
      <c r="S931" s="19">
        <f t="shared" ca="1" si="155"/>
        <v>5219.1186838257527</v>
      </c>
    </row>
    <row r="932" spans="13:19">
      <c r="M932" s="81">
        <f t="shared" ca="1" si="154"/>
        <v>7759.0294448224267</v>
      </c>
      <c r="N932" s="19">
        <f t="shared" si="156"/>
        <v>156.76290504425131</v>
      </c>
      <c r="O932" s="17">
        <f t="shared" si="157"/>
        <v>232.75</v>
      </c>
      <c r="P932" s="19">
        <f ca="1">IF(ISERROR(IF(O932&lt;fi_h/20,0,(OFFSET('Base de dados'!$A$5,IF(O932&lt;20,1,IF(O932&gt;1000,10,MATCH(O932,Cargas,1))),Coluna_fih,1,1))*(1+0.13*0.25)*(PI()*(fi_h/1000)^2/4)*SQRT(2*9.81*(O932/100-fi_h/2/1000))*1000)),"",IF(O932&lt;fi_h/20,0,(OFFSET('Base de dados'!$A$5,IF(O932&lt;20,1,IF(O932&gt;1000,10,MATCH(O932,Cargas,1))),Coluna_fih,1,1))*(PI()*(fi_h/1000)^2/4)*SQRT(2*9.81*(O932/100-fi_h/2/1000))*1000))</f>
        <v>40.558257679386038</v>
      </c>
      <c r="Q932" s="19">
        <f ca="1">IF(O932="","",IF(Tipo_Vertedor="Retangular",IF(O932&lt;=cota_s*100,0,IF(Tipo_Vertedor="Retangular",Cd_sr*Lef_sr*((O932/100-cota_s)^(3/2))*1000)),IF(O932&lt;=cota_s*100+fi_s/20,0,(OFFSET('Base de dados'!$A$4,IF(O932&lt;20,1,IF(O932&gt;1000,10,MATCH(O932,Cargas,1))),Coluna_fis,1,1))*(PI()*(fi_s/1000)^2/4)*(2*9.81*(O932/100-cota_s-fi_s/2/1000))^0.5*1000)))</f>
        <v>2493.0410190013295</v>
      </c>
      <c r="R932" s="19">
        <f t="shared" ca="1" si="158"/>
        <v>2533.5992766807153</v>
      </c>
      <c r="S932" s="19">
        <f t="shared" ca="1" si="155"/>
        <v>5225.430168141711</v>
      </c>
    </row>
    <row r="933" spans="13:19">
      <c r="M933" s="81">
        <f t="shared" ca="1" si="154"/>
        <v>7770.7778592778177</v>
      </c>
      <c r="N933" s="19">
        <f t="shared" si="156"/>
        <v>156.95227491107693</v>
      </c>
      <c r="O933" s="17">
        <f t="shared" si="157"/>
        <v>233</v>
      </c>
      <c r="P933" s="19">
        <f ca="1">IF(ISERROR(IF(O933&lt;fi_h/20,0,(OFFSET('Base de dados'!$A$5,IF(O933&lt;20,1,IF(O933&gt;1000,10,MATCH(O933,Cargas,1))),Coluna_fih,1,1))*(1+0.13*0.25)*(PI()*(fi_h/1000)^2/4)*SQRT(2*9.81*(O933/100-fi_h/2/1000))*1000)),"",IF(O933&lt;fi_h/20,0,(OFFSET('Base de dados'!$A$5,IF(O933&lt;20,1,IF(O933&gt;1000,10,MATCH(O933,Cargas,1))),Coluna_fih,1,1))*(PI()*(fi_h/1000)^2/4)*SQRT(2*9.81*(O933/100-fi_h/2/1000))*1000))</f>
        <v>40.580574564544044</v>
      </c>
      <c r="Q933" s="19">
        <f ca="1">IF(O933="","",IF(Tipo_Vertedor="Retangular",IF(O933&lt;=cota_s*100,0,IF(Tipo_Vertedor="Retangular",Cd_sr*Lef_sr*((O933/100-cota_s)^(3/2))*1000)),IF(O933&lt;=cota_s*100+fi_s/20,0,(OFFSET('Base de dados'!$A$4,IF(O933&lt;20,1,IF(O933&gt;1000,10,MATCH(O933,Cargas,1))),Coluna_fis,1,1))*(PI()*(fi_s/1000)^2/4)*(2*9.81*(O933/100-cota_s-fi_s/2/1000))^0.5*1000)))</f>
        <v>2498.4547876773759</v>
      </c>
      <c r="R933" s="19">
        <f t="shared" ca="1" si="158"/>
        <v>2539.0353622419198</v>
      </c>
      <c r="S933" s="19">
        <f t="shared" ca="1" si="155"/>
        <v>5231.7424970358979</v>
      </c>
    </row>
    <row r="934" spans="13:19">
      <c r="M934" s="81">
        <f t="shared" ca="1" si="154"/>
        <v>7782.5310183489801</v>
      </c>
      <c r="N934" s="19">
        <f t="shared" si="156"/>
        <v>157.14167009144853</v>
      </c>
      <c r="O934" s="17">
        <f t="shared" si="157"/>
        <v>233.25</v>
      </c>
      <c r="P934" s="19">
        <f ca="1">IF(ISERROR(IF(O934&lt;fi_h/20,0,(OFFSET('Base de dados'!$A$5,IF(O934&lt;20,1,IF(O934&gt;1000,10,MATCH(O934,Cargas,1))),Coluna_fih,1,1))*(1+0.13*0.25)*(PI()*(fi_h/1000)^2/4)*SQRT(2*9.81*(O934/100-fi_h/2/1000))*1000)),"",IF(O934&lt;fi_h/20,0,(OFFSET('Base de dados'!$A$5,IF(O934&lt;20,1,IF(O934&gt;1000,10,MATCH(O934,Cargas,1))),Coluna_fih,1,1))*(PI()*(fi_h/1000)^2/4)*SQRT(2*9.81*(O934/100-fi_h/2/1000))*1000))</f>
        <v>40.602879183495865</v>
      </c>
      <c r="Q934" s="19">
        <f ca="1">IF(O934="","",IF(Tipo_Vertedor="Retangular",IF(O934&lt;=cota_s*100,0,IF(Tipo_Vertedor="Retangular",Cd_sr*Lef_sr*((O934/100-cota_s)^(3/2))*1000)),IF(O934&lt;=cota_s*100+fi_s/20,0,(OFFSET('Base de dados'!$A$4,IF(O934&lt;20,1,IF(O934&gt;1000,10,MATCH(O934,Cargas,1))),Coluna_fis,1,1))*(PI()*(fi_s/1000)^2/4)*(2*9.81*(O934/100-cota_s-fi_s/2/1000))^0.5*1000)))</f>
        <v>2503.8724694505336</v>
      </c>
      <c r="R934" s="19">
        <f t="shared" ca="1" si="158"/>
        <v>2544.4753486340296</v>
      </c>
      <c r="S934" s="19">
        <f t="shared" ca="1" si="155"/>
        <v>5238.0556697149505</v>
      </c>
    </row>
    <row r="935" spans="13:19">
      <c r="M935" s="81">
        <f t="shared" ca="1" si="154"/>
        <v>7794.2889184400283</v>
      </c>
      <c r="N935" s="19">
        <f t="shared" si="156"/>
        <v>157.33109056161308</v>
      </c>
      <c r="O935" s="17">
        <f t="shared" si="157"/>
        <v>233.5</v>
      </c>
      <c r="P935" s="19">
        <f ca="1">IF(ISERROR(IF(O935&lt;fi_h/20,0,(OFFSET('Base de dados'!$A$5,IF(O935&lt;20,1,IF(O935&gt;1000,10,MATCH(O935,Cargas,1))),Coluna_fih,1,1))*(1+0.13*0.25)*(PI()*(fi_h/1000)^2/4)*SQRT(2*9.81*(O935/100-fi_h/2/1000))*1000)),"",IF(O935&lt;fi_h/20,0,(OFFSET('Base de dados'!$A$5,IF(O935&lt;20,1,IF(O935&gt;1000,10,MATCH(O935,Cargas,1))),Coluna_fih,1,1))*(PI()*(fi_h/1000)^2/4)*SQRT(2*9.81*(O935/100-fi_h/2/1000))*1000))</f>
        <v>40.62517155644521</v>
      </c>
      <c r="Q935" s="19">
        <f ca="1">IF(O935="","",IF(Tipo_Vertedor="Retangular",IF(O935&lt;=cota_s*100,0,IF(Tipo_Vertedor="Retangular",Cd_sr*Lef_sr*((O935/100-cota_s)^(3/2))*1000)),IF(O935&lt;=cota_s*100+fi_s/20,0,(OFFSET('Base de dados'!$A$4,IF(O935&lt;20,1,IF(O935&gt;1000,10,MATCH(O935,Cargas,1))),Coluna_fis,1,1))*(PI()*(fi_s/1000)^2/4)*(2*9.81*(O935/100-cota_s-fi_s/2/1000))^0.5*1000)))</f>
        <v>2509.2940614964796</v>
      </c>
      <c r="R935" s="19">
        <f t="shared" ca="1" si="158"/>
        <v>2549.9192330529249</v>
      </c>
      <c r="S935" s="19">
        <f t="shared" ca="1" si="155"/>
        <v>5244.3696853871033</v>
      </c>
    </row>
    <row r="936" spans="13:19">
      <c r="M936" s="81">
        <f t="shared" ca="1" si="154"/>
        <v>7806.0515559627083</v>
      </c>
      <c r="N936" s="19">
        <f t="shared" si="156"/>
        <v>157.52053629786511</v>
      </c>
      <c r="O936" s="17">
        <f t="shared" si="157"/>
        <v>233.75</v>
      </c>
      <c r="P936" s="19">
        <f ca="1">IF(ISERROR(IF(O936&lt;fi_h/20,0,(OFFSET('Base de dados'!$A$5,IF(O936&lt;20,1,IF(O936&gt;1000,10,MATCH(O936,Cargas,1))),Coluna_fih,1,1))*(1+0.13*0.25)*(PI()*(fi_h/1000)^2/4)*SQRT(2*9.81*(O936/100-fi_h/2/1000))*1000)),"",IF(O936&lt;fi_h/20,0,(OFFSET('Base de dados'!$A$5,IF(O936&lt;20,1,IF(O936&gt;1000,10,MATCH(O936,Cargas,1))),Coluna_fih,1,1))*(PI()*(fi_h/1000)^2/4)*SQRT(2*9.81*(O936/100-fi_h/2/1000))*1000))</f>
        <v>40.647451703540376</v>
      </c>
      <c r="Q936" s="19">
        <f ca="1">IF(O936="","",IF(Tipo_Vertedor="Retangular",IF(O936&lt;=cota_s*100,0,IF(Tipo_Vertedor="Retangular",Cd_sr*Lef_sr*((O936/100-cota_s)^(3/2))*1000)),IF(O936&lt;=cota_s*100+fi_s/20,0,(OFFSET('Base de dados'!$A$4,IF(O936&lt;20,1,IF(O936&gt;1000,10,MATCH(O936,Cargas,1))),Coluna_fis,1,1))*(PI()*(fi_s/1000)^2/4)*(2*9.81*(O936/100-cota_s-fi_s/2/1000))^0.5*1000)))</f>
        <v>2514.7195609969986</v>
      </c>
      <c r="R936" s="19">
        <f t="shared" ca="1" si="158"/>
        <v>2555.3670127005389</v>
      </c>
      <c r="S936" s="19">
        <f t="shared" ca="1" si="155"/>
        <v>5250.6845432621694</v>
      </c>
    </row>
    <row r="937" spans="13:19">
      <c r="M937" s="81">
        <f t="shared" ca="1" si="154"/>
        <v>7817.818927336396</v>
      </c>
      <c r="N937" s="19">
        <f t="shared" si="156"/>
        <v>157.71000727654692</v>
      </c>
      <c r="O937" s="17">
        <f t="shared" si="157"/>
        <v>234</v>
      </c>
      <c r="P937" s="19">
        <f ca="1">IF(ISERROR(IF(O937&lt;fi_h/20,0,(OFFSET('Base de dados'!$A$5,IF(O937&lt;20,1,IF(O937&gt;1000,10,MATCH(O937,Cargas,1))),Coluna_fih,1,1))*(1+0.13*0.25)*(PI()*(fi_h/1000)^2/4)*SQRT(2*9.81*(O937/100-fi_h/2/1000))*1000)),"",IF(O937&lt;fi_h/20,0,(OFFSET('Base de dados'!$A$5,IF(O937&lt;20,1,IF(O937&gt;1000,10,MATCH(O937,Cargas,1))),Coluna_fih,1,1))*(PI()*(fi_h/1000)^2/4)*SQRT(2*9.81*(O937/100-fi_h/2/1000))*1000))</f>
        <v>40.669719644874498</v>
      </c>
      <c r="Q937" s="19">
        <f ca="1">IF(O937="","",IF(Tipo_Vertedor="Retangular",IF(O937&lt;=cota_s*100,0,IF(Tipo_Vertedor="Retangular",Cd_sr*Lef_sr*((O937/100-cota_s)^(3/2))*1000)),IF(O937&lt;=cota_s*100+fi_s/20,0,(OFFSET('Base de dados'!$A$4,IF(O937&lt;20,1,IF(O937&gt;1000,10,MATCH(O937,Cargas,1))),Coluna_fis,1,1))*(PI()*(fi_s/1000)^2/4)*(2*9.81*(O937/100-cota_s-fi_s/2/1000))^0.5*1000)))</f>
        <v>2520.1489651399575</v>
      </c>
      <c r="R937" s="19">
        <f t="shared" ca="1" si="158"/>
        <v>2560.8186847848319</v>
      </c>
      <c r="S937" s="19">
        <f t="shared" ca="1" si="155"/>
        <v>5257.000242551564</v>
      </c>
    </row>
    <row r="938" spans="13:19">
      <c r="M938" s="81">
        <f t="shared" ca="1" si="154"/>
        <v>7829.5910289880394</v>
      </c>
      <c r="N938" s="19">
        <f t="shared" si="156"/>
        <v>157.89950347404798</v>
      </c>
      <c r="O938" s="17">
        <f t="shared" si="157"/>
        <v>234.25</v>
      </c>
      <c r="P938" s="19">
        <f ca="1">IF(ISERROR(IF(O938&lt;fi_h/20,0,(OFFSET('Base de dados'!$A$5,IF(O938&lt;20,1,IF(O938&gt;1000,10,MATCH(O938,Cargas,1))),Coluna_fih,1,1))*(1+0.13*0.25)*(PI()*(fi_h/1000)^2/4)*SQRT(2*9.81*(O938/100-fi_h/2/1000))*1000)),"",IF(O938&lt;fi_h/20,0,(OFFSET('Base de dados'!$A$5,IF(O938&lt;20,1,IF(O938&gt;1000,10,MATCH(O938,Cargas,1))),Coluna_fih,1,1))*(PI()*(fi_h/1000)^2/4)*SQRT(2*9.81*(O938/100-fi_h/2/1000))*1000))</f>
        <v>40.691975400485703</v>
      </c>
      <c r="Q938" s="19">
        <f ca="1">IF(O938="","",IF(Tipo_Vertedor="Retangular",IF(O938&lt;=cota_s*100,0,IF(Tipo_Vertedor="Retangular",Cd_sr*Lef_sr*((O938/100-cota_s)^(3/2))*1000)),IF(O938&lt;=cota_s*100+fi_s/20,0,(OFFSET('Base de dados'!$A$4,IF(O938&lt;20,1,IF(O938&gt;1000,10,MATCH(O938,Cargas,1))),Coluna_fis,1,1))*(PI()*(fi_s/1000)^2/4)*(2*9.81*(O938/100-cota_s-fi_s/2/1000))^0.5*1000)))</f>
        <v>2525.5822711192877</v>
      </c>
      <c r="R938" s="19">
        <f t="shared" ca="1" si="158"/>
        <v>2566.2742465197734</v>
      </c>
      <c r="S938" s="19">
        <f t="shared" ca="1" si="155"/>
        <v>5263.316782468266</v>
      </c>
    </row>
    <row r="939" spans="13:19">
      <c r="M939" s="81">
        <f t="shared" ca="1" si="154"/>
        <v>7841.367857352162</v>
      </c>
      <c r="N939" s="19">
        <f t="shared" si="156"/>
        <v>158.08902486680526</v>
      </c>
      <c r="O939" s="17">
        <f t="shared" si="157"/>
        <v>234.5</v>
      </c>
      <c r="P939" s="19">
        <f ca="1">IF(ISERROR(IF(O939&lt;fi_h/20,0,(OFFSET('Base de dados'!$A$5,IF(O939&lt;20,1,IF(O939&gt;1000,10,MATCH(O939,Cargas,1))),Coluna_fih,1,1))*(1+0.13*0.25)*(PI()*(fi_h/1000)^2/4)*SQRT(2*9.81*(O939/100-fi_h/2/1000))*1000)),"",IF(O939&lt;fi_h/20,0,(OFFSET('Base de dados'!$A$5,IF(O939&lt;20,1,IF(O939&gt;1000,10,MATCH(O939,Cargas,1))),Coluna_fih,1,1))*(PI()*(fi_h/1000)^2/4)*SQRT(2*9.81*(O939/100-fi_h/2/1000))*1000))</f>
        <v>40.714218990357374</v>
      </c>
      <c r="Q939" s="19">
        <f ca="1">IF(O939="","",IF(Tipo_Vertedor="Retangular",IF(O939&lt;=cota_s*100,0,IF(Tipo_Vertedor="Retangular",Cd_sr*Lef_sr*((O939/100-cota_s)^(3/2))*1000)),IF(O939&lt;=cota_s*100+fi_s/20,0,(OFFSET('Base de dados'!$A$4,IF(O939&lt;20,1,IF(O939&gt;1000,10,MATCH(O939,Cargas,1))),Coluna_fis,1,1))*(PI()*(fi_s/1000)^2/4)*(2*9.81*(O939/100-cota_s-fi_s/2/1000))^0.5*1000)))</f>
        <v>2531.0194761349626</v>
      </c>
      <c r="R939" s="19">
        <f t="shared" ca="1" si="158"/>
        <v>2571.7336951253201</v>
      </c>
      <c r="S939" s="19">
        <f t="shared" ca="1" si="155"/>
        <v>5269.6341622268419</v>
      </c>
    </row>
    <row r="940" spans="13:19">
      <c r="M940" s="81">
        <f t="shared" ca="1" si="154"/>
        <v>7853.1494088708105</v>
      </c>
      <c r="N940" s="19">
        <f t="shared" si="156"/>
        <v>158.27857143130262</v>
      </c>
      <c r="O940" s="17">
        <f t="shared" si="157"/>
        <v>234.75</v>
      </c>
      <c r="P940" s="19">
        <f ca="1">IF(ISERROR(IF(O940&lt;fi_h/20,0,(OFFSET('Base de dados'!$A$5,IF(O940&lt;20,1,IF(O940&gt;1000,10,MATCH(O940,Cargas,1))),Coluna_fih,1,1))*(1+0.13*0.25)*(PI()*(fi_h/1000)^2/4)*SQRT(2*9.81*(O940/100-fi_h/2/1000))*1000)),"",IF(O940&lt;fi_h/20,0,(OFFSET('Base de dados'!$A$5,IF(O940&lt;20,1,IF(O940&gt;1000,10,MATCH(O940,Cargas,1))),Coluna_fih,1,1))*(PI()*(fi_h/1000)^2/4)*SQRT(2*9.81*(O940/100-fi_h/2/1000))*1000))</f>
        <v>40.736450434418316</v>
      </c>
      <c r="Q940" s="19">
        <f ca="1">IF(O940="","",IF(Tipo_Vertedor="Retangular",IF(O940&lt;=cota_s*100,0,IF(Tipo_Vertedor="Retangular",Cd_sr*Lef_sr*((O940/100-cota_s)^(3/2))*1000)),IF(O940&lt;=cota_s*100+fi_s/20,0,(OFFSET('Base de dados'!$A$4,IF(O940&lt;20,1,IF(O940&gt;1000,10,MATCH(O940,Cargas,1))),Coluna_fis,1,1))*(PI()*(fi_s/1000)^2/4)*(2*9.81*(O940/100-cota_s-fi_s/2/1000))^0.5*1000)))</f>
        <v>2536.460577392972</v>
      </c>
      <c r="R940" s="19">
        <f t="shared" ca="1" si="158"/>
        <v>2577.1970278273902</v>
      </c>
      <c r="S940" s="19">
        <f t="shared" ca="1" si="155"/>
        <v>5275.9523810434202</v>
      </c>
    </row>
    <row r="941" spans="13:19">
      <c r="M941" s="81">
        <f t="shared" ca="1" si="154"/>
        <v>7864.9356799935485</v>
      </c>
      <c r="N941" s="19">
        <f t="shared" si="156"/>
        <v>158.46814314407101</v>
      </c>
      <c r="O941" s="17">
        <f t="shared" si="157"/>
        <v>235</v>
      </c>
      <c r="P941" s="19">
        <f ca="1">IF(ISERROR(IF(O941&lt;fi_h/20,0,(OFFSET('Base de dados'!$A$5,IF(O941&lt;20,1,IF(O941&gt;1000,10,MATCH(O941,Cargas,1))),Coluna_fih,1,1))*(1+0.13*0.25)*(PI()*(fi_h/1000)^2/4)*SQRT(2*9.81*(O941/100-fi_h/2/1000))*1000)),"",IF(O941&lt;fi_h/20,0,(OFFSET('Base de dados'!$A$5,IF(O941&lt;20,1,IF(O941&gt;1000,10,MATCH(O941,Cargas,1))),Coluna_fih,1,1))*(PI()*(fi_h/1000)^2/4)*SQRT(2*9.81*(O941/100-fi_h/2/1000))*1000))</f>
        <v>40.758669752542993</v>
      </c>
      <c r="Q941" s="19">
        <f ca="1">IF(O941="","",IF(Tipo_Vertedor="Retangular",IF(O941&lt;=cota_s*100,0,IF(Tipo_Vertedor="Retangular",Cd_sr*Lef_sr*((O941/100-cota_s)^(3/2))*1000)),IF(O941&lt;=cota_s*100+fi_s/20,0,(OFFSET('Base de dados'!$A$4,IF(O941&lt;20,1,IF(O941&gt;1000,10,MATCH(O941,Cargas,1))),Coluna_fis,1,1))*(PI()*(fi_s/1000)^2/4)*(2*9.81*(O941/100-cota_s-fi_s/2/1000))^0.5*1000)))</f>
        <v>2541.9055721053051</v>
      </c>
      <c r="R941" s="19">
        <f t="shared" ca="1" si="158"/>
        <v>2582.6642418578481</v>
      </c>
      <c r="S941" s="19">
        <f t="shared" ca="1" si="155"/>
        <v>5282.2714381357009</v>
      </c>
    </row>
    <row r="942" spans="13:19">
      <c r="M942" s="81">
        <f t="shared" ca="1" si="154"/>
        <v>7876.7266671774214</v>
      </c>
      <c r="N942" s="19">
        <f t="shared" si="156"/>
        <v>158.65773998168822</v>
      </c>
      <c r="O942" s="17">
        <f t="shared" si="157"/>
        <v>235.25</v>
      </c>
      <c r="P942" s="19">
        <f ca="1">IF(ISERROR(IF(O942&lt;fi_h/20,0,(OFFSET('Base de dados'!$A$5,IF(O942&lt;20,1,IF(O942&gt;1000,10,MATCH(O942,Cargas,1))),Coluna_fih,1,1))*(1+0.13*0.25)*(PI()*(fi_h/1000)^2/4)*SQRT(2*9.81*(O942/100-fi_h/2/1000))*1000)),"",IF(O942&lt;fi_h/20,0,(OFFSET('Base de dados'!$A$5,IF(O942&lt;20,1,IF(O942&gt;1000,10,MATCH(O942,Cargas,1))),Coluna_fih,1,1))*(PI()*(fi_h/1000)^2/4)*SQRT(2*9.81*(O942/100-fi_h/2/1000))*1000))</f>
        <v>40.78087696455173</v>
      </c>
      <c r="Q942" s="19">
        <f ca="1">IF(O942="","",IF(Tipo_Vertedor="Retangular",IF(O942&lt;=cota_s*100,0,IF(Tipo_Vertedor="Retangular",Cd_sr*Lef_sr*((O942/100-cota_s)^(3/2))*1000)),IF(O942&lt;=cota_s*100+fi_s/20,0,(OFFSET('Base de dados'!$A$4,IF(O942&lt;20,1,IF(O942&gt;1000,10,MATCH(O942,Cargas,1))),Coluna_fis,1,1))*(PI()*(fi_s/1000)^2/4)*(2*9.81*(O942/100-cota_s-fi_s/2/1000))^0.5*1000)))</f>
        <v>2547.3544574899292</v>
      </c>
      <c r="R942" s="19">
        <f t="shared" ca="1" si="158"/>
        <v>2588.1353344544809</v>
      </c>
      <c r="S942" s="19">
        <f t="shared" ca="1" si="155"/>
        <v>5288.59133272294</v>
      </c>
    </row>
    <row r="943" spans="13:19">
      <c r="M943" s="81">
        <f t="shared" ca="1" si="154"/>
        <v>7888.5223668869312</v>
      </c>
      <c r="N943" s="19">
        <f t="shared" si="156"/>
        <v>158.84736192077867</v>
      </c>
      <c r="O943" s="17">
        <f t="shared" si="157"/>
        <v>235.5</v>
      </c>
      <c r="P943" s="19">
        <f ca="1">IF(ISERROR(IF(O943&lt;fi_h/20,0,(OFFSET('Base de dados'!$A$5,IF(O943&lt;20,1,IF(O943&gt;1000,10,MATCH(O943,Cargas,1))),Coluna_fih,1,1))*(1+0.13*0.25)*(PI()*(fi_h/1000)^2/4)*SQRT(2*9.81*(O943/100-fi_h/2/1000))*1000)),"",IF(O943&lt;fi_h/20,0,(OFFSET('Base de dados'!$A$5,IF(O943&lt;20,1,IF(O943&gt;1000,10,MATCH(O943,Cargas,1))),Coluna_fih,1,1))*(PI()*(fi_h/1000)^2/4)*SQRT(2*9.81*(O943/100-fi_h/2/1000))*1000))</f>
        <v>40.803072090210911</v>
      </c>
      <c r="Q943" s="19">
        <f ca="1">IF(O943="","",IF(Tipo_Vertedor="Retangular",IF(O943&lt;=cota_s*100,0,IF(Tipo_Vertedor="Retangular",Cd_sr*Lef_sr*((O943/100-cota_s)^(3/2))*1000)),IF(O943&lt;=cota_s*100+fi_s/20,0,(OFFSET('Base de dados'!$A$4,IF(O943&lt;20,1,IF(O943&gt;1000,10,MATCH(O943,Cargas,1))),Coluna_fis,1,1))*(PI()*(fi_s/1000)^2/4)*(2*9.81*(O943/100-cota_s-fi_s/2/1000))^0.5*1000)))</f>
        <v>2552.8072307707648</v>
      </c>
      <c r="R943" s="19">
        <f t="shared" ca="1" si="158"/>
        <v>2593.6103028609759</v>
      </c>
      <c r="S943" s="19">
        <f t="shared" ca="1" si="155"/>
        <v>5294.9120640259553</v>
      </c>
    </row>
    <row r="944" spans="13:19">
      <c r="M944" s="81">
        <f t="shared" ca="1" si="154"/>
        <v>7900.3227755940115</v>
      </c>
      <c r="N944" s="19">
        <f t="shared" si="156"/>
        <v>159.03700893801337</v>
      </c>
      <c r="O944" s="17">
        <f t="shared" si="157"/>
        <v>235.75</v>
      </c>
      <c r="P944" s="19">
        <f ca="1">IF(ISERROR(IF(O944&lt;fi_h/20,0,(OFFSET('Base de dados'!$A$5,IF(O944&lt;20,1,IF(O944&gt;1000,10,MATCH(O944,Cargas,1))),Coluna_fih,1,1))*(1+0.13*0.25)*(PI()*(fi_h/1000)^2/4)*SQRT(2*9.81*(O944/100-fi_h/2/1000))*1000)),"",IF(O944&lt;fi_h/20,0,(OFFSET('Base de dados'!$A$5,IF(O944&lt;20,1,IF(O944&gt;1000,10,MATCH(O944,Cargas,1))),Coluna_fih,1,1))*(PI()*(fi_h/1000)^2/4)*SQRT(2*9.81*(O944/100-fi_h/2/1000))*1000))</f>
        <v>40.8252551492332</v>
      </c>
      <c r="Q944" s="19">
        <f ca="1">IF(O944="","",IF(Tipo_Vertedor="Retangular",IF(O944&lt;=cota_s*100,0,IF(Tipo_Vertedor="Retangular",Cd_sr*Lef_sr*((O944/100-cota_s)^(3/2))*1000)),IF(O944&lt;=cota_s*100+fi_s/20,0,(OFFSET('Base de dados'!$A$4,IF(O944&lt;20,1,IF(O944&gt;1000,10,MATCH(O944,Cargas,1))),Coluna_fis,1,1))*(PI()*(fi_s/1000)^2/4)*(2*9.81*(O944/100-cota_s-fi_s/2/1000))^0.5*1000)))</f>
        <v>2558.2638891776655</v>
      </c>
      <c r="R944" s="19">
        <f t="shared" ca="1" si="158"/>
        <v>2599.0891443268988</v>
      </c>
      <c r="S944" s="19">
        <f t="shared" ca="1" si="155"/>
        <v>5301.2336312671123</v>
      </c>
    </row>
    <row r="945" spans="13:19">
      <c r="M945" s="81">
        <f t="shared" ca="1" si="154"/>
        <v>7912.1278897780012</v>
      </c>
      <c r="N945" s="19">
        <f t="shared" si="156"/>
        <v>159.22668101010967</v>
      </c>
      <c r="O945" s="17">
        <f t="shared" si="157"/>
        <v>236</v>
      </c>
      <c r="P945" s="19">
        <f ca="1">IF(ISERROR(IF(O945&lt;fi_h/20,0,(OFFSET('Base de dados'!$A$5,IF(O945&lt;20,1,IF(O945&gt;1000,10,MATCH(O945,Cargas,1))),Coluna_fih,1,1))*(1+0.13*0.25)*(PI()*(fi_h/1000)^2/4)*SQRT(2*9.81*(O945/100-fi_h/2/1000))*1000)),"",IF(O945&lt;fi_h/20,0,(OFFSET('Base de dados'!$A$5,IF(O945&lt;20,1,IF(O945&gt;1000,10,MATCH(O945,Cargas,1))),Coluna_fih,1,1))*(PI()*(fi_h/1000)^2/4)*SQRT(2*9.81*(O945/100-fi_h/2/1000))*1000))</f>
        <v>40.84742616127771</v>
      </c>
      <c r="Q945" s="19">
        <f ca="1">IF(O945="","",IF(Tipo_Vertedor="Retangular",IF(O945&lt;=cota_s*100,0,IF(Tipo_Vertedor="Retangular",Cd_sr*Lef_sr*((O945/100-cota_s)^(3/2))*1000)),IF(O945&lt;=cota_s*100+fi_s/20,0,(OFFSET('Base de dados'!$A$4,IF(O945&lt;20,1,IF(O945&gt;1000,10,MATCH(O945,Cargas,1))),Coluna_fis,1,1))*(PI()*(fi_s/1000)^2/4)*(2*9.81*(O945/100-cota_s-fi_s/2/1000))^0.5*1000)))</f>
        <v>2563.7244299464014</v>
      </c>
      <c r="R945" s="19">
        <f t="shared" ca="1" si="158"/>
        <v>2604.5718561076792</v>
      </c>
      <c r="S945" s="19">
        <f t="shared" ca="1" si="155"/>
        <v>5307.556033670322</v>
      </c>
    </row>
    <row r="946" spans="13:19">
      <c r="M946" s="81">
        <f t="shared" ca="1" si="154"/>
        <v>7923.9377059256203</v>
      </c>
      <c r="N946" s="19">
        <f t="shared" si="156"/>
        <v>159.41637811383123</v>
      </c>
      <c r="O946" s="17">
        <f t="shared" si="157"/>
        <v>236.25</v>
      </c>
      <c r="P946" s="19">
        <f ca="1">IF(ISERROR(IF(O946&lt;fi_h/20,0,(OFFSET('Base de dados'!$A$5,IF(O946&lt;20,1,IF(O946&gt;1000,10,MATCH(O946,Cargas,1))),Coluna_fih,1,1))*(1+0.13*0.25)*(PI()*(fi_h/1000)^2/4)*SQRT(2*9.81*(O946/100-fi_h/2/1000))*1000)),"",IF(O946&lt;fi_h/20,0,(OFFSET('Base de dados'!$A$5,IF(O946&lt;20,1,IF(O946&gt;1000,10,MATCH(O946,Cargas,1))),Coluna_fih,1,1))*(PI()*(fi_h/1000)^2/4)*SQRT(2*9.81*(O946/100-fi_h/2/1000))*1000))</f>
        <v>40.869585145950253</v>
      </c>
      <c r="Q946" s="19">
        <f ca="1">IF(O946="","",IF(Tipo_Vertedor="Retangular",IF(O946&lt;=cota_s*100,0,IF(Tipo_Vertedor="Retangular",Cd_sr*Lef_sr*((O946/100-cota_s)^(3/2))*1000)),IF(O946&lt;=cota_s*100+fi_s/20,0,(OFFSET('Base de dados'!$A$4,IF(O946&lt;20,1,IF(O946&gt;1000,10,MATCH(O946,Cargas,1))),Coluna_fis,1,1))*(PI()*(fi_s/1000)^2/4)*(2*9.81*(O946/100-cota_s-fi_s/2/1000))^0.5*1000)))</f>
        <v>2569.1888503186296</v>
      </c>
      <c r="R946" s="19">
        <f t="shared" ca="1" si="158"/>
        <v>2610.0584354645798</v>
      </c>
      <c r="S946" s="19">
        <f t="shared" ca="1" si="155"/>
        <v>5313.8792704610405</v>
      </c>
    </row>
    <row r="947" spans="13:19">
      <c r="M947" s="81">
        <f t="shared" ca="1" si="154"/>
        <v>7935.7522205309488</v>
      </c>
      <c r="N947" s="19">
        <f t="shared" si="156"/>
        <v>159.60610022598786</v>
      </c>
      <c r="O947" s="17">
        <f t="shared" si="157"/>
        <v>236.5</v>
      </c>
      <c r="P947" s="19">
        <f ca="1">IF(ISERROR(IF(O947&lt;fi_h/20,0,(OFFSET('Base de dados'!$A$5,IF(O947&lt;20,1,IF(O947&gt;1000,10,MATCH(O947,Cargas,1))),Coluna_fih,1,1))*(1+0.13*0.25)*(PI()*(fi_h/1000)^2/4)*SQRT(2*9.81*(O947/100-fi_h/2/1000))*1000)),"",IF(O947&lt;fi_h/20,0,(OFFSET('Base de dados'!$A$5,IF(O947&lt;20,1,IF(O947&gt;1000,10,MATCH(O947,Cargas,1))),Coluna_fih,1,1))*(PI()*(fi_h/1000)^2/4)*SQRT(2*9.81*(O947/100-fi_h/2/1000))*1000))</f>
        <v>40.891732122803518</v>
      </c>
      <c r="Q947" s="19">
        <f ca="1">IF(O947="","",IF(Tipo_Vertedor="Retangular",IF(O947&lt;=cota_s*100,0,IF(Tipo_Vertedor="Retangular",Cd_sr*Lef_sr*((O947/100-cota_s)^(3/2))*1000)),IF(O947&lt;=cota_s*100+fi_s/20,0,(OFFSET('Base de dados'!$A$4,IF(O947&lt;20,1,IF(O947&gt;1000,10,MATCH(O947,Cargas,1))),Coluna_fis,1,1))*(PI()*(fi_s/1000)^2/4)*(2*9.81*(O947/100-cota_s-fi_s/2/1000))^0.5*1000)))</f>
        <v>2574.6571475418818</v>
      </c>
      <c r="R947" s="19">
        <f t="shared" ca="1" si="158"/>
        <v>2615.5488796646855</v>
      </c>
      <c r="S947" s="19">
        <f t="shared" ca="1" si="155"/>
        <v>5320.2033408662628</v>
      </c>
    </row>
    <row r="948" spans="13:19">
      <c r="M948" s="81">
        <f t="shared" ca="1" si="154"/>
        <v>7947.5714300953823</v>
      </c>
      <c r="N948" s="19">
        <f t="shared" si="156"/>
        <v>159.7958473234352</v>
      </c>
      <c r="O948" s="17">
        <f t="shared" si="157"/>
        <v>236.75</v>
      </c>
      <c r="P948" s="19">
        <f ca="1">IF(ISERROR(IF(O948&lt;fi_h/20,0,(OFFSET('Base de dados'!$A$5,IF(O948&lt;20,1,IF(O948&gt;1000,10,MATCH(O948,Cargas,1))),Coluna_fih,1,1))*(1+0.13*0.25)*(PI()*(fi_h/1000)^2/4)*SQRT(2*9.81*(O948/100-fi_h/2/1000))*1000)),"",IF(O948&lt;fi_h/20,0,(OFFSET('Base de dados'!$A$5,IF(O948&lt;20,1,IF(O948&gt;1000,10,MATCH(O948,Cargas,1))),Coluna_fih,1,1))*(PI()*(fi_h/1000)^2/4)*SQRT(2*9.81*(O948/100-fi_h/2/1000))*1000))</f>
        <v>40.913867111337247</v>
      </c>
      <c r="Q948" s="19">
        <f ca="1">IF(O948="","",IF(Tipo_Vertedor="Retangular",IF(O948&lt;=cota_s*100,0,IF(Tipo_Vertedor="Retangular",Cd_sr*Lef_sr*((O948/100-cota_s)^(3/2))*1000)),IF(O948&lt;=cota_s*100+fi_s/20,0,(OFFSET('Base de dados'!$A$4,IF(O948&lt;20,1,IF(O948&gt;1000,10,MATCH(O948,Cargas,1))),Coluna_fis,1,1))*(PI()*(fi_s/1000)^2/4)*(2*9.81*(O948/100-cota_s-fi_s/2/1000))^0.5*1000)))</f>
        <v>2580.1293188695381</v>
      </c>
      <c r="R948" s="19">
        <f t="shared" ca="1" si="158"/>
        <v>2621.0431859808755</v>
      </c>
      <c r="S948" s="19">
        <f t="shared" ca="1" si="155"/>
        <v>5326.5282441145064</v>
      </c>
    </row>
    <row r="949" spans="13:19">
      <c r="M949" s="81">
        <f t="shared" ca="1" si="154"/>
        <v>7959.3953311276346</v>
      </c>
      <c r="N949" s="19">
        <f t="shared" si="156"/>
        <v>159.98561938307483</v>
      </c>
      <c r="O949" s="17">
        <f t="shared" si="157"/>
        <v>237</v>
      </c>
      <c r="P949" s="19">
        <f ca="1">IF(ISERROR(IF(O949&lt;fi_h/20,0,(OFFSET('Base de dados'!$A$5,IF(O949&lt;20,1,IF(O949&gt;1000,10,MATCH(O949,Cargas,1))),Coluna_fih,1,1))*(1+0.13*0.25)*(PI()*(fi_h/1000)^2/4)*SQRT(2*9.81*(O949/100-fi_h/2/1000))*1000)),"",IF(O949&lt;fi_h/20,0,(OFFSET('Base de dados'!$A$5,IF(O949&lt;20,1,IF(O949&gt;1000,10,MATCH(O949,Cargas,1))),Coluna_fih,1,1))*(PI()*(fi_h/1000)^2/4)*SQRT(2*9.81*(O949/100-fi_h/2/1000))*1000))</f>
        <v>40.935990130998505</v>
      </c>
      <c r="Q949" s="19">
        <f ca="1">IF(O949="","",IF(Tipo_Vertedor="Retangular",IF(O949&lt;=cota_s*100,0,IF(Tipo_Vertedor="Retangular",Cd_sr*Lef_sr*((O949/100-cota_s)^(3/2))*1000)),IF(O949&lt;=cota_s*100+fi_s/20,0,(OFFSET('Base de dados'!$A$4,IF(O949&lt;20,1,IF(O949&gt;1000,10,MATCH(O949,Cargas,1))),Coluna_fis,1,1))*(PI()*(fi_s/1000)^2/4)*(2*9.81*(O949/100-cota_s-fi_s/2/1000))^0.5*1000)))</f>
        <v>2585.6053615608084</v>
      </c>
      <c r="R949" s="19">
        <f t="shared" ca="1" si="158"/>
        <v>2626.541351691807</v>
      </c>
      <c r="S949" s="19">
        <f t="shared" ca="1" si="155"/>
        <v>5332.8539794358276</v>
      </c>
    </row>
    <row r="950" spans="13:19">
      <c r="M950" s="81">
        <f t="shared" ca="1" si="154"/>
        <v>7971.2239201436969</v>
      </c>
      <c r="N950" s="19">
        <f t="shared" si="156"/>
        <v>160.17541638185409</v>
      </c>
      <c r="O950" s="17">
        <f t="shared" si="157"/>
        <v>237.25</v>
      </c>
      <c r="P950" s="19">
        <f ca="1">IF(ISERROR(IF(O950&lt;fi_h/20,0,(OFFSET('Base de dados'!$A$5,IF(O950&lt;20,1,IF(O950&gt;1000,10,MATCH(O950,Cargas,1))),Coluna_fih,1,1))*(1+0.13*0.25)*(PI()*(fi_h/1000)^2/4)*SQRT(2*9.81*(O950/100-fi_h/2/1000))*1000)),"",IF(O950&lt;fi_h/20,0,(OFFSET('Base de dados'!$A$5,IF(O950&lt;20,1,IF(O950&gt;1000,10,MATCH(O950,Cargas,1))),Coluna_fih,1,1))*(PI()*(fi_h/1000)^2/4)*SQRT(2*9.81*(O950/100-fi_h/2/1000))*1000))</f>
        <v>40.958101201181798</v>
      </c>
      <c r="Q950" s="19">
        <f ca="1">IF(O950="","",IF(Tipo_Vertedor="Retangular",IF(O950&lt;=cota_s*100,0,IF(Tipo_Vertedor="Retangular",Cd_sr*Lef_sr*((O950/100-cota_s)^(3/2))*1000)),IF(O950&lt;=cota_s*100+fi_s/20,0,(OFFSET('Base de dados'!$A$4,IF(O950&lt;20,1,IF(O950&gt;1000,10,MATCH(O950,Cargas,1))),Coluna_fis,1,1))*(PI()*(fi_s/1000)^2/4)*(2*9.81*(O950/100-cota_s-fi_s/2/1000))^0.5*1000)))</f>
        <v>2591.0852728807117</v>
      </c>
      <c r="R950" s="19">
        <f t="shared" ca="1" si="158"/>
        <v>2632.0433740818935</v>
      </c>
      <c r="S950" s="19">
        <f t="shared" ca="1" si="155"/>
        <v>5339.1805460618034</v>
      </c>
    </row>
    <row r="951" spans="13:19">
      <c r="M951" s="81">
        <f t="shared" ca="1" si="154"/>
        <v>7983.0571936668121</v>
      </c>
      <c r="N951" s="19">
        <f t="shared" si="156"/>
        <v>160.36523829676582</v>
      </c>
      <c r="O951" s="17">
        <f t="shared" si="157"/>
        <v>237.5</v>
      </c>
      <c r="P951" s="19">
        <f ca="1">IF(ISERROR(IF(O951&lt;fi_h/20,0,(OFFSET('Base de dados'!$A$5,IF(O951&lt;20,1,IF(O951&gt;1000,10,MATCH(O951,Cargas,1))),Coluna_fih,1,1))*(1+0.13*0.25)*(PI()*(fi_h/1000)^2/4)*SQRT(2*9.81*(O951/100-fi_h/2/1000))*1000)),"",IF(O951&lt;fi_h/20,0,(OFFSET('Base de dados'!$A$5,IF(O951&lt;20,1,IF(O951&gt;1000,10,MATCH(O951,Cargas,1))),Coluna_fih,1,1))*(PI()*(fi_h/1000)^2/4)*SQRT(2*9.81*(O951/100-fi_h/2/1000))*1000))</f>
        <v>40.980200341229327</v>
      </c>
      <c r="Q951" s="19">
        <f ca="1">IF(O951="","",IF(Tipo_Vertedor="Retangular",IF(O951&lt;=cota_s*100,0,IF(Tipo_Vertedor="Retangular",Cd_sr*Lef_sr*((O951/100-cota_s)^(3/2))*1000)),IF(O951&lt;=cota_s*100+fi_s/20,0,(OFFSET('Base de dados'!$A$4,IF(O951&lt;20,1,IF(O951&gt;1000,10,MATCH(O951,Cargas,1))),Coluna_fis,1,1))*(PI()*(fi_s/1000)^2/4)*(2*9.81*(O951/100-cota_s-fi_s/2/1000))^0.5*1000)))</f>
        <v>2596.5690501000549</v>
      </c>
      <c r="R951" s="19">
        <f t="shared" ca="1" si="158"/>
        <v>2637.5492504412841</v>
      </c>
      <c r="S951" s="19">
        <f t="shared" ca="1" si="155"/>
        <v>5345.5079432255279</v>
      </c>
    </row>
    <row r="952" spans="13:19">
      <c r="M952" s="81">
        <f t="shared" ca="1" si="154"/>
        <v>7994.8951482274497</v>
      </c>
      <c r="N952" s="19">
        <f t="shared" si="156"/>
        <v>160.55508510484819</v>
      </c>
      <c r="O952" s="17">
        <f t="shared" si="157"/>
        <v>237.75</v>
      </c>
      <c r="P952" s="19">
        <f ca="1">IF(ISERROR(IF(O952&lt;fi_h/20,0,(OFFSET('Base de dados'!$A$5,IF(O952&lt;20,1,IF(O952&gt;1000,10,MATCH(O952,Cargas,1))),Coluna_fih,1,1))*(1+0.13*0.25)*(PI()*(fi_h/1000)^2/4)*SQRT(2*9.81*(O952/100-fi_h/2/1000))*1000)),"",IF(O952&lt;fi_h/20,0,(OFFSET('Base de dados'!$A$5,IF(O952&lt;20,1,IF(O952&gt;1000,10,MATCH(O952,Cargas,1))),Coluna_fih,1,1))*(PI()*(fi_h/1000)^2/4)*SQRT(2*9.81*(O952/100-fi_h/2/1000))*1000))</f>
        <v>41.002287570431186</v>
      </c>
      <c r="Q952" s="19">
        <f ca="1">IF(O952="","",IF(Tipo_Vertedor="Retangular",IF(O952&lt;=cota_s*100,0,IF(Tipo_Vertedor="Retangular",Cd_sr*Lef_sr*((O952/100-cota_s)^(3/2))*1000)),IF(O952&lt;=cota_s*100+fi_s/20,0,(OFFSET('Base de dados'!$A$4,IF(O952&lt;20,1,IF(O952&gt;1000,10,MATCH(O952,Cargas,1))),Coluna_fis,1,1))*(PI()*(fi_s/1000)^2/4)*(2*9.81*(O952/100-cota_s-fi_s/2/1000))^0.5*1000)))</f>
        <v>2602.0566904954121</v>
      </c>
      <c r="R952" s="19">
        <f t="shared" ca="1" si="158"/>
        <v>2643.0589780658433</v>
      </c>
      <c r="S952" s="19">
        <f t="shared" ca="1" si="155"/>
        <v>5351.8361701616068</v>
      </c>
    </row>
    <row r="953" spans="13:19">
      <c r="M953" s="81">
        <f t="shared" ca="1" si="154"/>
        <v>8006.7377803632944</v>
      </c>
      <c r="N953" s="19">
        <f t="shared" si="156"/>
        <v>160.74495678318485</v>
      </c>
      <c r="O953" s="17">
        <f t="shared" si="157"/>
        <v>238</v>
      </c>
      <c r="P953" s="19">
        <f ca="1">IF(ISERROR(IF(O953&lt;fi_h/20,0,(OFFSET('Base de dados'!$A$5,IF(O953&lt;20,1,IF(O953&gt;1000,10,MATCH(O953,Cargas,1))),Coluna_fih,1,1))*(1+0.13*0.25)*(PI()*(fi_h/1000)^2/4)*SQRT(2*9.81*(O953/100-fi_h/2/1000))*1000)),"",IF(O953&lt;fi_h/20,0,(OFFSET('Base de dados'!$A$5,IF(O953&lt;20,1,IF(O953&gt;1000,10,MATCH(O953,Cargas,1))),Coluna_fih,1,1))*(PI()*(fi_h/1000)^2/4)*SQRT(2*9.81*(O953/100-fi_h/2/1000))*1000))</f>
        <v>41.024362908025495</v>
      </c>
      <c r="Q953" s="19">
        <f ca="1">IF(O953="","",IF(Tipo_Vertedor="Retangular",IF(O953&lt;=cota_s*100,0,IF(Tipo_Vertedor="Retangular",Cd_sr*Lef_sr*((O953/100-cota_s)^(3/2))*1000)),IF(O953&lt;=cota_s*100+fi_s/20,0,(OFFSET('Base de dados'!$A$4,IF(O953&lt;20,1,IF(O953&gt;1000,10,MATCH(O953,Cargas,1))),Coluna_fis,1,1))*(PI()*(fi_s/1000)^2/4)*(2*9.81*(O953/100-cota_s-fi_s/2/1000))^0.5*1000)))</f>
        <v>2607.5481913491071</v>
      </c>
      <c r="R953" s="19">
        <f t="shared" ca="1" si="158"/>
        <v>2648.5725542571327</v>
      </c>
      <c r="S953" s="19">
        <f t="shared" ca="1" si="155"/>
        <v>5358.1652261061618</v>
      </c>
    </row>
    <row r="954" spans="13:19">
      <c r="M954" s="81">
        <f t="shared" ca="1" si="154"/>
        <v>8018.5850866192004</v>
      </c>
      <c r="N954" s="19">
        <f t="shared" si="156"/>
        <v>160.93485330890437</v>
      </c>
      <c r="O954" s="17">
        <f t="shared" si="157"/>
        <v>238.25</v>
      </c>
      <c r="P954" s="19">
        <f ca="1">IF(ISERROR(IF(O954&lt;fi_h/20,0,(OFFSET('Base de dados'!$A$5,IF(O954&lt;20,1,IF(O954&gt;1000,10,MATCH(O954,Cargas,1))),Coluna_fih,1,1))*(1+0.13*0.25)*(PI()*(fi_h/1000)^2/4)*SQRT(2*9.81*(O954/100-fi_h/2/1000))*1000)),"",IF(O954&lt;fi_h/20,0,(OFFSET('Base de dados'!$A$5,IF(O954&lt;20,1,IF(O954&gt;1000,10,MATCH(O954,Cargas,1))),Coluna_fih,1,1))*(PI()*(fi_h/1000)^2/4)*SQRT(2*9.81*(O954/100-fi_h/2/1000))*1000))</f>
        <v>41.046426373198699</v>
      </c>
      <c r="Q954" s="19">
        <f ca="1">IF(O954="","",IF(Tipo_Vertedor="Retangular",IF(O954&lt;=cota_s*100,0,IF(Tipo_Vertedor="Retangular",Cd_sr*Lef_sr*((O954/100-cota_s)^(3/2))*1000)),IF(O954&lt;=cota_s*100+fi_s/20,0,(OFFSET('Base de dados'!$A$4,IF(O954&lt;20,1,IF(O954&gt;1000,10,MATCH(O954,Cargas,1))),Coluna_fis,1,1))*(PI()*(fi_s/1000)^2/4)*(2*9.81*(O954/100-cota_s-fi_s/2/1000))^0.5*1000)))</f>
        <v>2613.0435499491891</v>
      </c>
      <c r="R954" s="19">
        <f t="shared" ca="1" si="158"/>
        <v>2654.0899763223879</v>
      </c>
      <c r="S954" s="19">
        <f t="shared" ca="1" si="155"/>
        <v>5364.4951102968125</v>
      </c>
    </row>
    <row r="955" spans="13:19">
      <c r="M955" s="81">
        <f t="shared" ca="1" si="154"/>
        <v>8030.4370635471851</v>
      </c>
      <c r="N955" s="19">
        <f t="shared" si="156"/>
        <v>161.1247746591805</v>
      </c>
      <c r="O955" s="17">
        <f t="shared" si="157"/>
        <v>238.5</v>
      </c>
      <c r="P955" s="19">
        <f ca="1">IF(ISERROR(IF(O955&lt;fi_h/20,0,(OFFSET('Base de dados'!$A$5,IF(O955&lt;20,1,IF(O955&gt;1000,10,MATCH(O955,Cargas,1))),Coluna_fih,1,1))*(1+0.13*0.25)*(PI()*(fi_h/1000)^2/4)*SQRT(2*9.81*(O955/100-fi_h/2/1000))*1000)),"",IF(O955&lt;fi_h/20,0,(OFFSET('Base de dados'!$A$5,IF(O955&lt;20,1,IF(O955&gt;1000,10,MATCH(O955,Cargas,1))),Coluna_fih,1,1))*(PI()*(fi_h/1000)^2/4)*SQRT(2*9.81*(O955/100-fi_h/2/1000))*1000))</f>
        <v>41.068477985085643</v>
      </c>
      <c r="Q955" s="19">
        <f ca="1">IF(O955="","",IF(Tipo_Vertedor="Retangular",IF(O955&lt;=cota_s*100,0,IF(Tipo_Vertedor="Retangular",Cd_sr*Lef_sr*((O955/100-cota_s)^(3/2))*1000)),IF(O955&lt;=cota_s*100+fi_s/20,0,(OFFSET('Base de dados'!$A$4,IF(O955&lt;20,1,IF(O955&gt;1000,10,MATCH(O955,Cargas,1))),Coluna_fis,1,1))*(PI()*(fi_s/1000)^2/4)*(2*9.81*(O955/100-cota_s-fi_s/2/1000))^0.5*1000)))</f>
        <v>2618.5427635894162</v>
      </c>
      <c r="R955" s="19">
        <f t="shared" ca="1" si="158"/>
        <v>2659.6112415745019</v>
      </c>
      <c r="S955" s="19">
        <f t="shared" ca="1" si="155"/>
        <v>5370.8258219726831</v>
      </c>
    </row>
    <row r="956" spans="13:19">
      <c r="M956" s="81">
        <f t="shared" ca="1" si="154"/>
        <v>8042.2937077064016</v>
      </c>
      <c r="N956" s="19">
        <f t="shared" si="156"/>
        <v>161.31472081123189</v>
      </c>
      <c r="O956" s="17">
        <f t="shared" si="157"/>
        <v>238.75</v>
      </c>
      <c r="P956" s="19">
        <f ca="1">IF(ISERROR(IF(O956&lt;fi_h/20,0,(OFFSET('Base de dados'!$A$5,IF(O956&lt;20,1,IF(O956&gt;1000,10,MATCH(O956,Cargas,1))),Coluna_fih,1,1))*(1+0.13*0.25)*(PI()*(fi_h/1000)^2/4)*SQRT(2*9.81*(O956/100-fi_h/2/1000))*1000)),"",IF(O956&lt;fi_h/20,0,(OFFSET('Base de dados'!$A$5,IF(O956&lt;20,1,IF(O956&gt;1000,10,MATCH(O956,Cargas,1))),Coluna_fih,1,1))*(PI()*(fi_h/1000)^2/4)*SQRT(2*9.81*(O956/100-fi_h/2/1000))*1000))</f>
        <v>41.090517762769892</v>
      </c>
      <c r="Q956" s="19">
        <f ca="1">IF(O956="","",IF(Tipo_Vertedor="Retangular",IF(O956&lt;=cota_s*100,0,IF(Tipo_Vertedor="Retangular",Cd_sr*Lef_sr*((O956/100-cota_s)^(3/2))*1000)),IF(O956&lt;=cota_s*100+fi_s/20,0,(OFFSET('Base de dados'!$A$4,IF(O956&lt;20,1,IF(O956&gt;1000,10,MATCH(O956,Cargas,1))),Coluna_fis,1,1))*(PI()*(fi_s/1000)^2/4)*(2*9.81*(O956/100-cota_s-fi_s/2/1000))^0.5*1000)))</f>
        <v>2624.0458295692338</v>
      </c>
      <c r="R956" s="19">
        <f t="shared" ca="1" si="158"/>
        <v>2665.1363473320039</v>
      </c>
      <c r="S956" s="19">
        <f t="shared" ca="1" si="155"/>
        <v>5377.1573603743973</v>
      </c>
    </row>
    <row r="957" spans="13:19">
      <c r="M957" s="81">
        <f t="shared" ca="1" si="154"/>
        <v>8054.1550156630947</v>
      </c>
      <c r="N957" s="19">
        <f t="shared" si="156"/>
        <v>161.50469174232174</v>
      </c>
      <c r="O957" s="17">
        <f t="shared" si="157"/>
        <v>239</v>
      </c>
      <c r="P957" s="19">
        <f ca="1">IF(ISERROR(IF(O957&lt;fi_h/20,0,(OFFSET('Base de dados'!$A$5,IF(O957&lt;20,1,IF(O957&gt;1000,10,MATCH(O957,Cargas,1))),Coluna_fih,1,1))*(1+0.13*0.25)*(PI()*(fi_h/1000)^2/4)*SQRT(2*9.81*(O957/100-fi_h/2/1000))*1000)),"",IF(O957&lt;fi_h/20,0,(OFFSET('Base de dados'!$A$5,IF(O957&lt;20,1,IF(O957&gt;1000,10,MATCH(O957,Cargas,1))),Coluna_fih,1,1))*(PI()*(fi_h/1000)^2/4)*SQRT(2*9.81*(O957/100-fi_h/2/1000))*1000))</f>
        <v>41.112545725283795</v>
      </c>
      <c r="Q957" s="19">
        <f ca="1">IF(O957="","",IF(Tipo_Vertedor="Retangular",IF(O957&lt;=cota_s*100,0,IF(Tipo_Vertedor="Retangular",Cd_sr*Lef_sr*((O957/100-cota_s)^(3/2))*1000)),IF(O957&lt;=cota_s*100+fi_s/20,0,(OFFSET('Base de dados'!$A$4,IF(O957&lt;20,1,IF(O957&gt;1000,10,MATCH(O957,Cargas,1))),Coluna_fis,1,1))*(PI()*(fi_s/1000)^2/4)*(2*9.81*(O957/100-cota_s-fi_s/2/1000))^0.5*1000)))</f>
        <v>2629.5527451937533</v>
      </c>
      <c r="R957" s="19">
        <f t="shared" ca="1" si="158"/>
        <v>2670.665290919037</v>
      </c>
      <c r="S957" s="19">
        <f t="shared" ca="1" si="155"/>
        <v>5383.4897247440576</v>
      </c>
    </row>
    <row r="958" spans="13:19">
      <c r="M958" s="81">
        <f t="shared" ca="1" si="154"/>
        <v>8066.0209839906111</v>
      </c>
      <c r="N958" s="19">
        <f t="shared" si="156"/>
        <v>161.69468742975806</v>
      </c>
      <c r="O958" s="17">
        <f t="shared" si="157"/>
        <v>239.25</v>
      </c>
      <c r="P958" s="19">
        <f ca="1">IF(ISERROR(IF(O958&lt;fi_h/20,0,(OFFSET('Base de dados'!$A$5,IF(O958&lt;20,1,IF(O958&gt;1000,10,MATCH(O958,Cargas,1))),Coluna_fih,1,1))*(1+0.13*0.25)*(PI()*(fi_h/1000)^2/4)*SQRT(2*9.81*(O958/100-fi_h/2/1000))*1000)),"",IF(O958&lt;fi_h/20,0,(OFFSET('Base de dados'!$A$5,IF(O958&lt;20,1,IF(O958&gt;1000,10,MATCH(O958,Cargas,1))),Coluna_fih,1,1))*(PI()*(fi_h/1000)^2/4)*SQRT(2*9.81*(O958/100-fi_h/2/1000))*1000))</f>
        <v>41.134561891608783</v>
      </c>
      <c r="Q958" s="19">
        <f ca="1">IF(O958="","",IF(Tipo_Vertedor="Retangular",IF(O958&lt;=cota_s*100,0,IF(Tipo_Vertedor="Retangular",Cd_sr*Lef_sr*((O958/100-cota_s)^(3/2))*1000)),IF(O958&lt;=cota_s*100+fi_s/20,0,(OFFSET('Base de dados'!$A$4,IF(O958&lt;20,1,IF(O958&gt;1000,10,MATCH(O958,Cargas,1))),Coluna_fis,1,1))*(PI()*(fi_s/1000)^2/4)*(2*9.81*(O958/100-cota_s-fi_s/2/1000))^0.5*1000)))</f>
        <v>2635.0635077737334</v>
      </c>
      <c r="R958" s="19">
        <f t="shared" ca="1" si="158"/>
        <v>2676.1980696653422</v>
      </c>
      <c r="S958" s="19">
        <f t="shared" ca="1" si="155"/>
        <v>5389.8229143252684</v>
      </c>
    </row>
    <row r="959" spans="13:19">
      <c r="M959" s="81">
        <f t="shared" ca="1" si="154"/>
        <v>8077.8916092693462</v>
      </c>
      <c r="N959" s="19">
        <f t="shared" si="156"/>
        <v>161.88470785089316</v>
      </c>
      <c r="O959" s="17">
        <f t="shared" si="157"/>
        <v>239.5</v>
      </c>
      <c r="P959" s="19">
        <f ca="1">IF(ISERROR(IF(O959&lt;fi_h/20,0,(OFFSET('Base de dados'!$A$5,IF(O959&lt;20,1,IF(O959&gt;1000,10,MATCH(O959,Cargas,1))),Coluna_fih,1,1))*(1+0.13*0.25)*(PI()*(fi_h/1000)^2/4)*SQRT(2*9.81*(O959/100-fi_h/2/1000))*1000)),"",IF(O959&lt;fi_h/20,0,(OFFSET('Base de dados'!$A$5,IF(O959&lt;20,1,IF(O959&gt;1000,10,MATCH(O959,Cargas,1))),Coluna_fih,1,1))*(PI()*(fi_h/1000)^2/4)*SQRT(2*9.81*(O959/100-fi_h/2/1000))*1000))</f>
        <v>41.156566280675506</v>
      </c>
      <c r="Q959" s="19">
        <f ca="1">IF(O959="","",IF(Tipo_Vertedor="Retangular",IF(O959&lt;=cota_s*100,0,IF(Tipo_Vertedor="Retangular",Cd_sr*Lef_sr*((O959/100-cota_s)^(3/2))*1000)),IF(O959&lt;=cota_s*100+fi_s/20,0,(OFFSET('Base de dados'!$A$4,IF(O959&lt;20,1,IF(O959&gt;1000,10,MATCH(O959,Cargas,1))),Coluna_fis,1,1))*(PI()*(fi_s/1000)^2/4)*(2*9.81*(O959/100-cota_s-fi_s/2/1000))^0.5*1000)))</f>
        <v>2640.5781146255645</v>
      </c>
      <c r="R959" s="19">
        <f t="shared" ca="1" si="158"/>
        <v>2681.7346809062401</v>
      </c>
      <c r="S959" s="19">
        <f t="shared" ca="1" si="155"/>
        <v>5396.1569283631061</v>
      </c>
    </row>
    <row r="960" spans="13:19">
      <c r="M960" s="81">
        <f t="shared" ca="1" si="154"/>
        <v>8089.7668880867341</v>
      </c>
      <c r="N960" s="19">
        <f t="shared" si="156"/>
        <v>162.07475298312386</v>
      </c>
      <c r="O960" s="17">
        <f t="shared" si="157"/>
        <v>239.75</v>
      </c>
      <c r="P960" s="19">
        <f ca="1">IF(ISERROR(IF(O960&lt;fi_h/20,0,(OFFSET('Base de dados'!$A$5,IF(O960&lt;20,1,IF(O960&gt;1000,10,MATCH(O960,Cargas,1))),Coluna_fih,1,1))*(1+0.13*0.25)*(PI()*(fi_h/1000)^2/4)*SQRT(2*9.81*(O960/100-fi_h/2/1000))*1000)),"",IF(O960&lt;fi_h/20,0,(OFFSET('Base de dados'!$A$5,IF(O960&lt;20,1,IF(O960&gt;1000,10,MATCH(O960,Cargas,1))),Coluna_fih,1,1))*(PI()*(fi_h/1000)^2/4)*SQRT(2*9.81*(O960/100-fi_h/2/1000))*1000))</f>
        <v>41.17855891136405</v>
      </c>
      <c r="Q960" s="19">
        <f ca="1">IF(O960="","",IF(Tipo_Vertedor="Retangular",IF(O960&lt;=cota_s*100,0,IF(Tipo_Vertedor="Retangular",Cd_sr*Lef_sr*((O960/100-cota_s)^(3/2))*1000)),IF(O960&lt;=cota_s*100+fi_s/20,0,(OFFSET('Base de dados'!$A$4,IF(O960&lt;20,1,IF(O960&gt;1000,10,MATCH(O960,Cargas,1))),Coluna_fis,1,1))*(PI()*(fi_s/1000)^2/4)*(2*9.81*(O960/100-cota_s-fi_s/2/1000))^0.5*1000)))</f>
        <v>2646.0965630712417</v>
      </c>
      <c r="R960" s="19">
        <f t="shared" ca="1" si="158"/>
        <v>2687.2751219826059</v>
      </c>
      <c r="S960" s="19">
        <f t="shared" ca="1" si="155"/>
        <v>5402.4917661041281</v>
      </c>
    </row>
    <row r="961" spans="13:19">
      <c r="M961" s="81">
        <f t="shared" ca="1" si="154"/>
        <v>8101.6468170372209</v>
      </c>
      <c r="N961" s="19">
        <f t="shared" si="156"/>
        <v>162.26482280389101</v>
      </c>
      <c r="O961" s="17">
        <f t="shared" si="157"/>
        <v>240</v>
      </c>
      <c r="P961" s="19">
        <f ca="1">IF(ISERROR(IF(O961&lt;fi_h/20,0,(OFFSET('Base de dados'!$A$5,IF(O961&lt;20,1,IF(O961&gt;1000,10,MATCH(O961,Cargas,1))),Coluna_fih,1,1))*(1+0.13*0.25)*(PI()*(fi_h/1000)^2/4)*SQRT(2*9.81*(O961/100-fi_h/2/1000))*1000)),"",IF(O961&lt;fi_h/20,0,(OFFSET('Base de dados'!$A$5,IF(O961&lt;20,1,IF(O961&gt;1000,10,MATCH(O961,Cargas,1))),Coluna_fih,1,1))*(PI()*(fi_h/1000)^2/4)*SQRT(2*9.81*(O961/100-fi_h/2/1000))*1000))</f>
        <v>41.200539802504075</v>
      </c>
      <c r="Q961" s="19">
        <f ca="1">IF(O961="","",IF(Tipo_Vertedor="Retangular",IF(O961&lt;=cota_s*100,0,IF(Tipo_Vertedor="Retangular",Cd_sr*Lef_sr*((O961/100-cota_s)^(3/2))*1000)),IF(O961&lt;=cota_s*100+fi_s/20,0,(OFFSET('Base de dados'!$A$4,IF(O961&lt;20,1,IF(O961&gt;1000,10,MATCH(O961,Cargas,1))),Coluna_fis,1,1))*(PI()*(fi_s/1000)^2/4)*(2*9.81*(O961/100-cota_s-fi_s/2/1000))^0.5*1000)))</f>
        <v>2651.6188504383504</v>
      </c>
      <c r="R961" s="19">
        <f t="shared" ca="1" si="158"/>
        <v>2692.8193902408543</v>
      </c>
      <c r="S961" s="19">
        <f t="shared" ca="1" si="155"/>
        <v>5408.827426796367</v>
      </c>
    </row>
    <row r="962" spans="13:19">
      <c r="M962" s="81">
        <f t="shared" ca="1" si="154"/>
        <v>8113.5313927222451</v>
      </c>
      <c r="N962" s="19">
        <f t="shared" si="156"/>
        <v>162.45491729067976</v>
      </c>
      <c r="O962" s="17">
        <f t="shared" si="157"/>
        <v>240.25</v>
      </c>
      <c r="P962" s="19">
        <f ca="1">IF(ISERROR(IF(O962&lt;fi_h/20,0,(OFFSET('Base de dados'!$A$5,IF(O962&lt;20,1,IF(O962&gt;1000,10,MATCH(O962,Cargas,1))),Coluna_fih,1,1))*(1+0.13*0.25)*(PI()*(fi_h/1000)^2/4)*SQRT(2*9.81*(O962/100-fi_h/2/1000))*1000)),"",IF(O962&lt;fi_h/20,0,(OFFSET('Base de dados'!$A$5,IF(O962&lt;20,1,IF(O962&gt;1000,10,MATCH(O962,Cargas,1))),Coluna_fih,1,1))*(PI()*(fi_h/1000)^2/4)*SQRT(2*9.81*(O962/100-fi_h/2/1000))*1000))</f>
        <v>41.222508972875062</v>
      </c>
      <c r="Q962" s="19">
        <f ca="1">IF(O962="","",IF(Tipo_Vertedor="Retangular",IF(O962&lt;=cota_s*100,0,IF(Tipo_Vertedor="Retangular",Cd_sr*Lef_sr*((O962/100-cota_s)^(3/2))*1000)),IF(O962&lt;=cota_s*100+fi_s/20,0,(OFFSET('Base de dados'!$A$4,IF(O962&lt;20,1,IF(O962&gt;1000,10,MATCH(O962,Cargas,1))),Coluna_fis,1,1))*(PI()*(fi_s/1000)^2/4)*(2*9.81*(O962/100-cota_s-fi_s/2/1000))^0.5*1000)))</f>
        <v>2657.1449740600456</v>
      </c>
      <c r="R962" s="19">
        <f t="shared" ca="1" si="158"/>
        <v>2698.3674830329205</v>
      </c>
      <c r="S962" s="19">
        <f t="shared" ca="1" si="155"/>
        <v>5415.163909689325</v>
      </c>
    </row>
    <row r="963" spans="13:19">
      <c r="M963" s="81">
        <f t="shared" ca="1" si="154"/>
        <v>8125.4206117502035</v>
      </c>
      <c r="N963" s="19">
        <f t="shared" si="156"/>
        <v>162.64503642101894</v>
      </c>
      <c r="O963" s="17">
        <f t="shared" si="157"/>
        <v>240.5</v>
      </c>
      <c r="P963" s="19">
        <f ca="1">IF(ISERROR(IF(O963&lt;fi_h/20,0,(OFFSET('Base de dados'!$A$5,IF(O963&lt;20,1,IF(O963&gt;1000,10,MATCH(O963,Cargas,1))),Coluna_fih,1,1))*(1+0.13*0.25)*(PI()*(fi_h/1000)^2/4)*SQRT(2*9.81*(O963/100-fi_h/2/1000))*1000)),"",IF(O963&lt;fi_h/20,0,(OFFSET('Base de dados'!$A$5,IF(O963&lt;20,1,IF(O963&gt;1000,10,MATCH(O963,Cargas,1))),Coluna_fih,1,1))*(PI()*(fi_h/1000)^2/4)*SQRT(2*9.81*(O963/100-fi_h/2/1000))*1000))</f>
        <v>41.244466441206491</v>
      </c>
      <c r="Q963" s="19">
        <f ca="1">IF(O963="","",IF(Tipo_Vertedor="Retangular",IF(O963&lt;=cota_s*100,0,IF(Tipo_Vertedor="Retangular",Cd_sr*Lef_sr*((O963/100-cota_s)^(3/2))*1000)),IF(O963&lt;=cota_s*100+fi_s/20,0,(OFFSET('Base de dados'!$A$4,IF(O963&lt;20,1,IF(O963&gt;1000,10,MATCH(O963,Cargas,1))),Coluna_fis,1,1))*(PI()*(fi_s/1000)^2/4)*(2*9.81*(O963/100-cota_s-fi_s/2/1000))^0.5*1000)))</f>
        <v>2662.6749312750321</v>
      </c>
      <c r="R963" s="19">
        <f t="shared" ca="1" si="158"/>
        <v>2703.9193977162386</v>
      </c>
      <c r="S963" s="19">
        <f t="shared" ca="1" si="155"/>
        <v>5421.501214033965</v>
      </c>
    </row>
    <row r="964" spans="13:19">
      <c r="M964" s="81">
        <f t="shared" ca="1" si="154"/>
        <v>8137.314470736439</v>
      </c>
      <c r="N964" s="19">
        <f t="shared" si="156"/>
        <v>162.83518017248142</v>
      </c>
      <c r="O964" s="17">
        <f t="shared" si="157"/>
        <v>240.75</v>
      </c>
      <c r="P964" s="19">
        <f ca="1">IF(ISERROR(IF(O964&lt;fi_h/20,0,(OFFSET('Base de dados'!$A$5,IF(O964&lt;20,1,IF(O964&gt;1000,10,MATCH(O964,Cargas,1))),Coluna_fih,1,1))*(1+0.13*0.25)*(PI()*(fi_h/1000)^2/4)*SQRT(2*9.81*(O964/100-fi_h/2/1000))*1000)),"",IF(O964&lt;fi_h/20,0,(OFFSET('Base de dados'!$A$5,IF(O964&lt;20,1,IF(O964&gt;1000,10,MATCH(O964,Cargas,1))),Coluna_fih,1,1))*(PI()*(fi_h/1000)^2/4)*SQRT(2*9.81*(O964/100-fi_h/2/1000))*1000))</f>
        <v>41.266412226177984</v>
      </c>
      <c r="Q964" s="19">
        <f ca="1">IF(O964="","",IF(Tipo_Vertedor="Retangular",IF(O964&lt;=cota_s*100,0,IF(Tipo_Vertedor="Retangular",Cd_sr*Lef_sr*((O964/100-cota_s)^(3/2))*1000)),IF(O964&lt;=cota_s*100+fi_s/20,0,(OFFSET('Base de dados'!$A$4,IF(O964&lt;20,1,IF(O964&gt;1000,10,MATCH(O964,Cargas,1))),Coluna_fis,1,1))*(PI()*(fi_s/1000)^2/4)*(2*9.81*(O964/100-cota_s-fi_s/2/1000))^0.5*1000)))</f>
        <v>2668.2087194275473</v>
      </c>
      <c r="R964" s="19">
        <f t="shared" ca="1" si="158"/>
        <v>2709.4751316537254</v>
      </c>
      <c r="S964" s="19">
        <f t="shared" ca="1" si="155"/>
        <v>5427.8393390827141</v>
      </c>
    </row>
    <row r="965" spans="13:19">
      <c r="M965" s="81">
        <f t="shared" ref="M965:M1028" ca="1" si="159">IF(O965="","",2*N965*1000/(Passo*60)+R965)</f>
        <v>8149.2129663032056</v>
      </c>
      <c r="N965" s="19">
        <f t="shared" si="156"/>
        <v>163.02534852268352</v>
      </c>
      <c r="O965" s="17">
        <f t="shared" si="157"/>
        <v>241</v>
      </c>
      <c r="P965" s="19">
        <f ca="1">IF(ISERROR(IF(O965&lt;fi_h/20,0,(OFFSET('Base de dados'!$A$5,IF(O965&lt;20,1,IF(O965&gt;1000,10,MATCH(O965,Cargas,1))),Coluna_fih,1,1))*(1+0.13*0.25)*(PI()*(fi_h/1000)^2/4)*SQRT(2*9.81*(O965/100-fi_h/2/1000))*1000)),"",IF(O965&lt;fi_h/20,0,(OFFSET('Base de dados'!$A$5,IF(O965&lt;20,1,IF(O965&gt;1000,10,MATCH(O965,Cargas,1))),Coluna_fih,1,1))*(PI()*(fi_h/1000)^2/4)*SQRT(2*9.81*(O965/100-fi_h/2/1000))*1000))</f>
        <v>41.288346346419516</v>
      </c>
      <c r="Q965" s="19">
        <f ca="1">IF(O965="","",IF(Tipo_Vertedor="Retangular",IF(O965&lt;=cota_s*100,0,IF(Tipo_Vertedor="Retangular",Cd_sr*Lef_sr*((O965/100-cota_s)^(3/2))*1000)),IF(O965&lt;=cota_s*100+fi_s/20,0,(OFFSET('Base de dados'!$A$4,IF(O965&lt;20,1,IF(O965&gt;1000,10,MATCH(O965,Cargas,1))),Coluna_fis,1,1))*(PI()*(fi_s/1000)^2/4)*(2*9.81*(O965/100-cota_s-fi_s/2/1000))^0.5*1000)))</f>
        <v>2673.7463358673358</v>
      </c>
      <c r="R965" s="19">
        <f t="shared" ca="1" si="158"/>
        <v>2715.0346822137553</v>
      </c>
      <c r="S965" s="19">
        <f t="shared" ref="S965:S1028" ca="1" si="160">IF(M965="","",2*N965*1000/(Passo*60))</f>
        <v>5434.1782840894502</v>
      </c>
    </row>
    <row r="966" spans="13:19">
      <c r="M966" s="81">
        <f t="shared" ca="1" si="159"/>
        <v>8161.1160950796611</v>
      </c>
      <c r="N966" s="19">
        <f t="shared" ref="N966:N1029" si="161">IF(O966="","",b_0*(O966/100)^c_0)</f>
        <v>163.21554144928533</v>
      </c>
      <c r="O966" s="17">
        <f t="shared" si="157"/>
        <v>241.25</v>
      </c>
      <c r="P966" s="19">
        <f ca="1">IF(ISERROR(IF(O966&lt;fi_h/20,0,(OFFSET('Base de dados'!$A$5,IF(O966&lt;20,1,IF(O966&gt;1000,10,MATCH(O966,Cargas,1))),Coluna_fih,1,1))*(1+0.13*0.25)*(PI()*(fi_h/1000)^2/4)*SQRT(2*9.81*(O966/100-fi_h/2/1000))*1000)),"",IF(O966&lt;fi_h/20,0,(OFFSET('Base de dados'!$A$5,IF(O966&lt;20,1,IF(O966&gt;1000,10,MATCH(O966,Cargas,1))),Coluna_fih,1,1))*(PI()*(fi_h/1000)^2/4)*SQRT(2*9.81*(O966/100-fi_h/2/1000))*1000))</f>
        <v>41.310268820511659</v>
      </c>
      <c r="Q966" s="19">
        <f ca="1">IF(O966="","",IF(Tipo_Vertedor="Retangular",IF(O966&lt;=cota_s*100,0,IF(Tipo_Vertedor="Retangular",Cd_sr*Lef_sr*((O966/100-cota_s)^(3/2))*1000)),IF(O966&lt;=cota_s*100+fi_s/20,0,(OFFSET('Base de dados'!$A$4,IF(O966&lt;20,1,IF(O966&gt;1000,10,MATCH(O966,Cargas,1))),Coluna_fis,1,1))*(PI()*(fi_s/1000)^2/4)*(2*9.81*(O966/100-cota_s-fi_s/2/1000))^0.5*1000)))</f>
        <v>2679.2877779496384</v>
      </c>
      <c r="R966" s="19">
        <f t="shared" ca="1" si="158"/>
        <v>2720.5980467701502</v>
      </c>
      <c r="S966" s="19">
        <f t="shared" ca="1" si="160"/>
        <v>5440.518048309511</v>
      </c>
    </row>
    <row r="967" spans="13:19">
      <c r="M967" s="81">
        <f t="shared" ca="1" si="159"/>
        <v>8173.0238537018313</v>
      </c>
      <c r="N967" s="19">
        <f t="shared" si="161"/>
        <v>163.40575892999024</v>
      </c>
      <c r="O967" s="17">
        <f t="shared" si="157"/>
        <v>241.5</v>
      </c>
      <c r="P967" s="19">
        <f ca="1">IF(ISERROR(IF(O967&lt;fi_h/20,0,(OFFSET('Base de dados'!$A$5,IF(O967&lt;20,1,IF(O967&gt;1000,10,MATCH(O967,Cargas,1))),Coluna_fih,1,1))*(1+0.13*0.25)*(PI()*(fi_h/1000)^2/4)*SQRT(2*9.81*(O967/100-fi_h/2/1000))*1000)),"",IF(O967&lt;fi_h/20,0,(OFFSET('Base de dados'!$A$5,IF(O967&lt;20,1,IF(O967&gt;1000,10,MATCH(O967,Cargas,1))),Coluna_fih,1,1))*(PI()*(fi_h/1000)^2/4)*SQRT(2*9.81*(O967/100-fi_h/2/1000))*1000))</f>
        <v>41.332179666985631</v>
      </c>
      <c r="Q967" s="19">
        <f ca="1">IF(O967="","",IF(Tipo_Vertedor="Retangular",IF(O967&lt;=cota_s*100,0,IF(Tipo_Vertedor="Retangular",Cd_sr*Lef_sr*((O967/100-cota_s)^(3/2))*1000)),IF(O967&lt;=cota_s*100+fi_s/20,0,(OFFSET('Base de dados'!$A$4,IF(O967&lt;20,1,IF(O967&gt;1000,10,MATCH(O967,Cargas,1))),Coluna_fis,1,1))*(PI()*(fi_s/1000)^2/4)*(2*9.81*(O967/100-cota_s-fi_s/2/1000))^0.5*1000)))</f>
        <v>2684.8330430351712</v>
      </c>
      <c r="R967" s="19">
        <f t="shared" ca="1" si="158"/>
        <v>2726.1652227021568</v>
      </c>
      <c r="S967" s="19">
        <f t="shared" ca="1" si="160"/>
        <v>5446.8586309996745</v>
      </c>
    </row>
    <row r="968" spans="13:19">
      <c r="M968" s="81">
        <f t="shared" ca="1" si="159"/>
        <v>8184.9362388125919</v>
      </c>
      <c r="N968" s="19">
        <f t="shared" si="161"/>
        <v>163.59600094254495</v>
      </c>
      <c r="O968" s="17">
        <f t="shared" si="157"/>
        <v>241.75</v>
      </c>
      <c r="P968" s="19">
        <f ca="1">IF(ISERROR(IF(O968&lt;fi_h/20,0,(OFFSET('Base de dados'!$A$5,IF(O968&lt;20,1,IF(O968&gt;1000,10,MATCH(O968,Cargas,1))),Coluna_fih,1,1))*(1+0.13*0.25)*(PI()*(fi_h/1000)^2/4)*SQRT(2*9.81*(O968/100-fi_h/2/1000))*1000)),"",IF(O968&lt;fi_h/20,0,(OFFSET('Base de dados'!$A$5,IF(O968&lt;20,1,IF(O968&gt;1000,10,MATCH(O968,Cargas,1))),Coluna_fih,1,1))*(PI()*(fi_h/1000)^2/4)*SQRT(2*9.81*(O968/100-fi_h/2/1000))*1000))</f>
        <v>41.354078904323615</v>
      </c>
      <c r="Q968" s="19">
        <f ca="1">IF(O968="","",IF(Tipo_Vertedor="Retangular",IF(O968&lt;=cota_s*100,0,IF(Tipo_Vertedor="Retangular",Cd_sr*Lef_sr*((O968/100-cota_s)^(3/2))*1000)),IF(O968&lt;=cota_s*100+fi_s/20,0,(OFFSET('Base de dados'!$A$4,IF(O968&lt;20,1,IF(O968&gt;1000,10,MATCH(O968,Cargas,1))),Coluna_fis,1,1))*(PI()*(fi_s/1000)^2/4)*(2*9.81*(O968/100-cota_s-fi_s/2/1000))^0.5*1000)))</f>
        <v>2690.3821284901032</v>
      </c>
      <c r="R968" s="19">
        <f t="shared" ca="1" si="158"/>
        <v>2731.7362073944269</v>
      </c>
      <c r="S968" s="19">
        <f t="shared" ca="1" si="160"/>
        <v>5453.2000314181651</v>
      </c>
    </row>
    <row r="969" spans="13:19">
      <c r="M969" s="81">
        <f t="shared" ca="1" si="159"/>
        <v>8196.853247061641</v>
      </c>
      <c r="N969" s="19">
        <f t="shared" si="161"/>
        <v>163.7862674647393</v>
      </c>
      <c r="O969" s="17">
        <f t="shared" si="157"/>
        <v>242</v>
      </c>
      <c r="P969" s="19">
        <f ca="1">IF(ISERROR(IF(O969&lt;fi_h/20,0,(OFFSET('Base de dados'!$A$5,IF(O969&lt;20,1,IF(O969&gt;1000,10,MATCH(O969,Cargas,1))),Coluna_fih,1,1))*(1+0.13*0.25)*(PI()*(fi_h/1000)^2/4)*SQRT(2*9.81*(O969/100-fi_h/2/1000))*1000)),"",IF(O969&lt;fi_h/20,0,(OFFSET('Base de dados'!$A$5,IF(O969&lt;20,1,IF(O969&gt;1000,10,MATCH(O969,Cargas,1))),Coluna_fih,1,1))*(PI()*(fi_h/1000)^2/4)*SQRT(2*9.81*(O969/100-fi_h/2/1000))*1000))</f>
        <v>41.375966550958857</v>
      </c>
      <c r="Q969" s="19">
        <f ca="1">IF(O969="","",IF(Tipo_Vertedor="Retangular",IF(O969&lt;=cota_s*100,0,IF(Tipo_Vertedor="Retangular",Cd_sr*Lef_sr*((O969/100-cota_s)^(3/2))*1000)),IF(O969&lt;=cota_s*100+fi_s/20,0,(OFFSET('Base de dados'!$A$4,IF(O969&lt;20,1,IF(O969&gt;1000,10,MATCH(O969,Cargas,1))),Coluna_fis,1,1))*(PI()*(fi_s/1000)^2/4)*(2*9.81*(O969/100-cota_s-fi_s/2/1000))^0.5*1000)))</f>
        <v>2695.9350316860382</v>
      </c>
      <c r="R969" s="19">
        <f t="shared" ca="1" si="158"/>
        <v>2737.310998236997</v>
      </c>
      <c r="S969" s="19">
        <f t="shared" ca="1" si="160"/>
        <v>5459.5422488246431</v>
      </c>
    </row>
    <row r="970" spans="13:19">
      <c r="M970" s="81">
        <f t="shared" ca="1" si="159"/>
        <v>8208.7748751054824</v>
      </c>
      <c r="N970" s="19">
        <f t="shared" si="161"/>
        <v>163.97655847440623</v>
      </c>
      <c r="O970" s="17">
        <f t="shared" si="157"/>
        <v>242.25</v>
      </c>
      <c r="P970" s="19">
        <f ca="1">IF(ISERROR(IF(O970&lt;fi_h/20,0,(OFFSET('Base de dados'!$A$5,IF(O970&lt;20,1,IF(O970&gt;1000,10,MATCH(O970,Cargas,1))),Coluna_fih,1,1))*(1+0.13*0.25)*(PI()*(fi_h/1000)^2/4)*SQRT(2*9.81*(O970/100-fi_h/2/1000))*1000)),"",IF(O970&lt;fi_h/20,0,(OFFSET('Base de dados'!$A$5,IF(O970&lt;20,1,IF(O970&gt;1000,10,MATCH(O970,Cargas,1))),Coluna_fih,1,1))*(PI()*(fi_h/1000)^2/4)*SQRT(2*9.81*(O970/100-fi_h/2/1000))*1000))</f>
        <v>41.397842625275885</v>
      </c>
      <c r="Q970" s="19">
        <f ca="1">IF(O970="","",IF(Tipo_Vertedor="Retangular",IF(O970&lt;=cota_s*100,0,IF(Tipo_Vertedor="Retangular",Cd_sr*Lef_sr*((O970/100-cota_s)^(3/2))*1000)),IF(O970&lt;=cota_s*100+fi_s/20,0,(OFFSET('Base de dados'!$A$4,IF(O970&lt;20,1,IF(O970&gt;1000,10,MATCH(O970,Cargas,1))),Coluna_fis,1,1))*(PI()*(fi_s/1000)^2/4)*(2*9.81*(O970/100-cota_s-fi_s/2/1000))^0.5*1000)))</f>
        <v>2701.4917500000001</v>
      </c>
      <c r="R970" s="19">
        <f t="shared" ca="1" si="158"/>
        <v>2742.8895926252762</v>
      </c>
      <c r="S970" s="19">
        <f t="shared" ca="1" si="160"/>
        <v>5465.885282480207</v>
      </c>
    </row>
    <row r="971" spans="13:19">
      <c r="M971" s="81">
        <f t="shared" ca="1" si="159"/>
        <v>8220.7011196074054</v>
      </c>
      <c r="N971" s="19">
        <f t="shared" si="161"/>
        <v>164.16687394942156</v>
      </c>
      <c r="O971" s="17">
        <f t="shared" si="157"/>
        <v>242.5</v>
      </c>
      <c r="P971" s="19">
        <f ca="1">IF(ISERROR(IF(O971&lt;fi_h/20,0,(OFFSET('Base de dados'!$A$5,IF(O971&lt;20,1,IF(O971&gt;1000,10,MATCH(O971,Cargas,1))),Coluna_fih,1,1))*(1+0.13*0.25)*(PI()*(fi_h/1000)^2/4)*SQRT(2*9.81*(O971/100-fi_h/2/1000))*1000)),"",IF(O971&lt;fi_h/20,0,(OFFSET('Base de dados'!$A$5,IF(O971&lt;20,1,IF(O971&gt;1000,10,MATCH(O971,Cargas,1))),Coluna_fih,1,1))*(PI()*(fi_h/1000)^2/4)*SQRT(2*9.81*(O971/100-fi_h/2/1000))*1000))</f>
        <v>41.419707145610673</v>
      </c>
      <c r="Q971" s="19">
        <f ca="1">IF(O971="","",IF(Tipo_Vertedor="Retangular",IF(O971&lt;=cota_s*100,0,IF(Tipo_Vertedor="Retangular",Cd_sr*Lef_sr*((O971/100-cota_s)^(3/2))*1000)),IF(O971&lt;=cota_s*100+fi_s/20,0,(OFFSET('Base de dados'!$A$4,IF(O971&lt;20,1,IF(O971&gt;1000,10,MATCH(O971,Cargas,1))),Coluna_fis,1,1))*(PI()*(fi_s/1000)^2/4)*(2*9.81*(O971/100-cota_s-fi_s/2/1000))^0.5*1000)))</f>
        <v>2707.0522808144101</v>
      </c>
      <c r="R971" s="19">
        <f t="shared" ca="1" si="158"/>
        <v>2748.4719879600207</v>
      </c>
      <c r="S971" s="19">
        <f t="shared" ca="1" si="160"/>
        <v>5472.2291316473857</v>
      </c>
    </row>
    <row r="972" spans="13:19">
      <c r="M972" s="81">
        <f t="shared" ca="1" si="159"/>
        <v>8232.6319772374518</v>
      </c>
      <c r="N972" s="19">
        <f t="shared" si="161"/>
        <v>164.35721386770385</v>
      </c>
      <c r="O972" s="17">
        <f t="shared" si="157"/>
        <v>242.75</v>
      </c>
      <c r="P972" s="19">
        <f ca="1">IF(ISERROR(IF(O972&lt;fi_h/20,0,(OFFSET('Base de dados'!$A$5,IF(O972&lt;20,1,IF(O972&gt;1000,10,MATCH(O972,Cargas,1))),Coluna_fih,1,1))*(1+0.13*0.25)*(PI()*(fi_h/1000)^2/4)*SQRT(2*9.81*(O972/100-fi_h/2/1000))*1000)),"",IF(O972&lt;fi_h/20,0,(OFFSET('Base de dados'!$A$5,IF(O972&lt;20,1,IF(O972&gt;1000,10,MATCH(O972,Cargas,1))),Coluna_fih,1,1))*(PI()*(fi_h/1000)^2/4)*SQRT(2*9.81*(O972/100-fi_h/2/1000))*1000))</f>
        <v>41.441560130250828</v>
      </c>
      <c r="Q972" s="19">
        <f ca="1">IF(O972="","",IF(Tipo_Vertedor="Retangular",IF(O972&lt;=cota_s*100,0,IF(Tipo_Vertedor="Retangular",Cd_sr*Lef_sr*((O972/100-cota_s)^(3/2))*1000)),IF(O972&lt;=cota_s*100+fi_s/20,0,(OFFSET('Base de dados'!$A$4,IF(O972&lt;20,1,IF(O972&gt;1000,10,MATCH(O972,Cargas,1))),Coluna_fis,1,1))*(PI()*(fi_s/1000)^2/4)*(2*9.81*(O972/100-cota_s-fi_s/2/1000))^0.5*1000)))</f>
        <v>2712.6166215170715</v>
      </c>
      <c r="R972" s="19">
        <f t="shared" ca="1" si="158"/>
        <v>2754.0581816473223</v>
      </c>
      <c r="S972" s="19">
        <f t="shared" ca="1" si="160"/>
        <v>5478.5737955901286</v>
      </c>
    </row>
    <row r="973" spans="13:19">
      <c r="M973" s="81">
        <f t="shared" ca="1" si="159"/>
        <v>8244.5674446723915</v>
      </c>
      <c r="N973" s="19">
        <f t="shared" si="161"/>
        <v>164.54757820721431</v>
      </c>
      <c r="O973" s="17">
        <f t="shared" si="157"/>
        <v>243</v>
      </c>
      <c r="P973" s="19">
        <f ca="1">IF(ISERROR(IF(O973&lt;fi_h/20,0,(OFFSET('Base de dados'!$A$5,IF(O973&lt;20,1,IF(O973&gt;1000,10,MATCH(O973,Cargas,1))),Coluna_fih,1,1))*(1+0.13*0.25)*(PI()*(fi_h/1000)^2/4)*SQRT(2*9.81*(O973/100-fi_h/2/1000))*1000)),"",IF(O973&lt;fi_h/20,0,(OFFSET('Base de dados'!$A$5,IF(O973&lt;20,1,IF(O973&gt;1000,10,MATCH(O973,Cargas,1))),Coluna_fih,1,1))*(PI()*(fi_h/1000)^2/4)*SQRT(2*9.81*(O973/100-fi_h/2/1000))*1000))</f>
        <v>41.463401597435755</v>
      </c>
      <c r="Q973" s="19">
        <f ca="1">IF(O973="","",IF(Tipo_Vertedor="Retangular",IF(O973&lt;=cota_s*100,0,IF(Tipo_Vertedor="Retangular",Cd_sr*Lef_sr*((O973/100-cota_s)^(3/2))*1000)),IF(O973&lt;=cota_s*100+fi_s/20,0,(OFFSET('Base de dados'!$A$4,IF(O973&lt;20,1,IF(O973&gt;1000,10,MATCH(O973,Cargas,1))),Coluna_fis,1,1))*(PI()*(fi_s/1000)^2/4)*(2*9.81*(O973/100-cota_s-fi_s/2/1000))^0.5*1000)))</f>
        <v>2718.1847695011461</v>
      </c>
      <c r="R973" s="19">
        <f t="shared" ca="1" si="158"/>
        <v>2759.6481710985818</v>
      </c>
      <c r="S973" s="19">
        <f t="shared" ca="1" si="160"/>
        <v>5484.9192735738097</v>
      </c>
    </row>
    <row r="974" spans="13:19">
      <c r="M974" s="81">
        <f t="shared" ca="1" si="159"/>
        <v>8256.5075185957248</v>
      </c>
      <c r="N974" s="19">
        <f t="shared" si="161"/>
        <v>164.73796694595671</v>
      </c>
      <c r="O974" s="17">
        <f t="shared" si="157"/>
        <v>243.25</v>
      </c>
      <c r="P974" s="19">
        <f ca="1">IF(ISERROR(IF(O974&lt;fi_h/20,0,(OFFSET('Base de dados'!$A$5,IF(O974&lt;20,1,IF(O974&gt;1000,10,MATCH(O974,Cargas,1))),Coluna_fih,1,1))*(1+0.13*0.25)*(PI()*(fi_h/1000)^2/4)*SQRT(2*9.81*(O974/100-fi_h/2/1000))*1000)),"",IF(O974&lt;fi_h/20,0,(OFFSET('Base de dados'!$A$5,IF(O974&lt;20,1,IF(O974&gt;1000,10,MATCH(O974,Cargas,1))),Coluna_fih,1,1))*(PI()*(fi_h/1000)^2/4)*SQRT(2*9.81*(O974/100-fi_h/2/1000))*1000))</f>
        <v>41.485231565356855</v>
      </c>
      <c r="Q974" s="19">
        <f ca="1">IF(O974="","",IF(Tipo_Vertedor="Retangular",IF(O974&lt;=cota_s*100,0,IF(Tipo_Vertedor="Retangular",Cd_sr*Lef_sr*((O974/100-cota_s)^(3/2))*1000)),IF(O974&lt;=cota_s*100+fi_s/20,0,(OFFSET('Base de dados'!$A$4,IF(O974&lt;20,1,IF(O974&gt;1000,10,MATCH(O974,Cargas,1))),Coluna_fis,1,1))*(PI()*(fi_s/1000)^2/4)*(2*9.81*(O974/100-cota_s-fi_s/2/1000))^0.5*1000)))</f>
        <v>2723.7567221651443</v>
      </c>
      <c r="R974" s="19">
        <f t="shared" ca="1" si="158"/>
        <v>2765.2419537305013</v>
      </c>
      <c r="S974" s="19">
        <f t="shared" ca="1" si="160"/>
        <v>5491.2655648652244</v>
      </c>
    </row>
    <row r="975" spans="13:19">
      <c r="M975" s="81">
        <f t="shared" ca="1" si="159"/>
        <v>8268.4521956976314</v>
      </c>
      <c r="N975" s="19">
        <f t="shared" si="161"/>
        <v>164.92838006197724</v>
      </c>
      <c r="O975" s="17">
        <f t="shared" si="157"/>
        <v>243.5</v>
      </c>
      <c r="P975" s="19">
        <f ca="1">IF(ISERROR(IF(O975&lt;fi_h/20,0,(OFFSET('Base de dados'!$A$5,IF(O975&lt;20,1,IF(O975&gt;1000,10,MATCH(O975,Cargas,1))),Coluna_fih,1,1))*(1+0.13*0.25)*(PI()*(fi_h/1000)^2/4)*SQRT(2*9.81*(O975/100-fi_h/2/1000))*1000)),"",IF(O975&lt;fi_h/20,0,(OFFSET('Base de dados'!$A$5,IF(O975&lt;20,1,IF(O975&gt;1000,10,MATCH(O975,Cargas,1))),Coluna_fih,1,1))*(PI()*(fi_h/1000)^2/4)*SQRT(2*9.81*(O975/100-fi_h/2/1000))*1000))</f>
        <v>41.507050052157695</v>
      </c>
      <c r="Q975" s="19">
        <f ca="1">IF(O975="","",IF(Tipo_Vertedor="Retangular",IF(O975&lt;=cota_s*100,0,IF(Tipo_Vertedor="Retangular",Cd_sr*Lef_sr*((O975/100-cota_s)^(3/2))*1000)),IF(O975&lt;=cota_s*100+fi_s/20,0,(OFFSET('Base de dados'!$A$4,IF(O975&lt;20,1,IF(O975&gt;1000,10,MATCH(O975,Cargas,1))),Coluna_fis,1,1))*(PI()*(fi_s/1000)^2/4)*(2*9.81*(O975/100-cota_s-fi_s/2/1000))^0.5*1000)))</f>
        <v>2729.3324769128994</v>
      </c>
      <c r="R975" s="19">
        <f t="shared" ca="1" si="158"/>
        <v>2770.8395269650573</v>
      </c>
      <c r="S975" s="19">
        <f t="shared" ca="1" si="160"/>
        <v>5497.6126687325741</v>
      </c>
    </row>
    <row r="976" spans="13:19">
      <c r="M976" s="81">
        <f t="shared" ca="1" si="159"/>
        <v>8280.401472674961</v>
      </c>
      <c r="N976" s="19">
        <f t="shared" si="161"/>
        <v>165.11881753336431</v>
      </c>
      <c r="O976" s="17">
        <f t="shared" si="157"/>
        <v>243.75</v>
      </c>
      <c r="P976" s="19">
        <f ca="1">IF(ISERROR(IF(O976&lt;fi_h/20,0,(OFFSET('Base de dados'!$A$5,IF(O976&lt;20,1,IF(O976&gt;1000,10,MATCH(O976,Cargas,1))),Coluna_fih,1,1))*(1+0.13*0.25)*(PI()*(fi_h/1000)^2/4)*SQRT(2*9.81*(O976/100-fi_h/2/1000))*1000)),"",IF(O976&lt;fi_h/20,0,(OFFSET('Base de dados'!$A$5,IF(O976&lt;20,1,IF(O976&gt;1000,10,MATCH(O976,Cargas,1))),Coluna_fih,1,1))*(PI()*(fi_h/1000)^2/4)*SQRT(2*9.81*(O976/100-fi_h/2/1000))*1000))</f>
        <v>41.528857075934155</v>
      </c>
      <c r="Q976" s="19">
        <f ca="1">IF(O976="","",IF(Tipo_Vertedor="Retangular",IF(O976&lt;=cota_s*100,0,IF(Tipo_Vertedor="Retangular",Cd_sr*Lef_sr*((O976/100-cota_s)^(3/2))*1000)),IF(O976&lt;=cota_s*100+fi_s/20,0,(OFFSET('Base de dados'!$A$4,IF(O976&lt;20,1,IF(O976&gt;1000,10,MATCH(O976,Cargas,1))),Coluna_fis,1,1))*(PI()*(fi_s/1000)^2/4)*(2*9.81*(O976/100-cota_s-fi_s/2/1000))^0.5*1000)))</f>
        <v>2734.9120311535503</v>
      </c>
      <c r="R976" s="19">
        <f t="shared" ca="1" si="158"/>
        <v>2776.4408882294842</v>
      </c>
      <c r="S976" s="19">
        <f t="shared" ca="1" si="160"/>
        <v>5503.9605844454773</v>
      </c>
    </row>
    <row r="977" spans="13:19">
      <c r="M977" s="81">
        <f t="shared" ca="1" si="159"/>
        <v>8292.355346231212</v>
      </c>
      <c r="N977" s="19">
        <f t="shared" si="161"/>
        <v>165.30927933824847</v>
      </c>
      <c r="O977" s="17">
        <f t="shared" si="157"/>
        <v>244</v>
      </c>
      <c r="P977" s="19">
        <f ca="1">IF(ISERROR(IF(O977&lt;fi_h/20,0,(OFFSET('Base de dados'!$A$5,IF(O977&lt;20,1,IF(O977&gt;1000,10,MATCH(O977,Cargas,1))),Coluna_fih,1,1))*(1+0.13*0.25)*(PI()*(fi_h/1000)^2/4)*SQRT(2*9.81*(O977/100-fi_h/2/1000))*1000)),"",IF(O977&lt;fi_h/20,0,(OFFSET('Base de dados'!$A$5,IF(O977&lt;20,1,IF(O977&gt;1000,10,MATCH(O977,Cargas,1))),Coluna_fih,1,1))*(PI()*(fi_h/1000)^2/4)*SQRT(2*9.81*(O977/100-fi_h/2/1000))*1000))</f>
        <v>41.550652654734677</v>
      </c>
      <c r="Q977" s="19">
        <f ca="1">IF(O977="","",IF(Tipo_Vertedor="Retangular",IF(O977&lt;=cota_s*100,0,IF(Tipo_Vertedor="Retangular",Cd_sr*Lef_sr*((O977/100-cota_s)^(3/2))*1000)),IF(O977&lt;=cota_s*100+fi_s/20,0,(OFFSET('Base de dados'!$A$4,IF(O977&lt;20,1,IF(O977&gt;1000,10,MATCH(O977,Cargas,1))),Coluna_fis,1,1))*(PI()*(fi_s/1000)^2/4)*(2*9.81*(O977/100-cota_s-fi_s/2/1000))^0.5*1000)))</f>
        <v>2740.4953823015285</v>
      </c>
      <c r="R977" s="19">
        <f t="shared" ca="1" si="158"/>
        <v>2782.0460349562632</v>
      </c>
      <c r="S977" s="19">
        <f t="shared" ca="1" si="160"/>
        <v>5510.3093112749493</v>
      </c>
    </row>
    <row r="978" spans="13:19">
      <c r="M978" s="81">
        <f t="shared" ca="1" si="159"/>
        <v>8304.3138130765092</v>
      </c>
      <c r="N978" s="19">
        <f t="shared" si="161"/>
        <v>165.49976545480243</v>
      </c>
      <c r="O978" s="17">
        <f t="shared" si="157"/>
        <v>244.25</v>
      </c>
      <c r="P978" s="19">
        <f ca="1">IF(ISERROR(IF(O978&lt;fi_h/20,0,(OFFSET('Base de dados'!$A$5,IF(O978&lt;20,1,IF(O978&gt;1000,10,MATCH(O978,Cargas,1))),Coluna_fih,1,1))*(1+0.13*0.25)*(PI()*(fi_h/1000)^2/4)*SQRT(2*9.81*(O978/100-fi_h/2/1000))*1000)),"",IF(O978&lt;fi_h/20,0,(OFFSET('Base de dados'!$A$5,IF(O978&lt;20,1,IF(O978&gt;1000,10,MATCH(O978,Cargas,1))),Coluna_fih,1,1))*(PI()*(fi_h/1000)^2/4)*SQRT(2*9.81*(O978/100-fi_h/2/1000))*1000))</f>
        <v>41.57243680656034</v>
      </c>
      <c r="Q978" s="19">
        <f ca="1">IF(O978="","",IF(Tipo_Vertedor="Retangular",IF(O978&lt;=cota_s*100,0,IF(Tipo_Vertedor="Retangular",Cd_sr*Lef_sr*((O978/100-cota_s)^(3/2))*1000)),IF(O978&lt;=cota_s*100+fi_s/20,0,(OFFSET('Base de dados'!$A$4,IF(O978&lt;20,1,IF(O978&gt;1000,10,MATCH(O978,Cargas,1))),Coluna_fis,1,1))*(PI()*(fi_s/1000)^2/4)*(2*9.81*(O978/100-cota_s-fi_s/2/1000))^0.5*1000)))</f>
        <v>2746.0825277765343</v>
      </c>
      <c r="R978" s="19">
        <f t="shared" ca="1" si="158"/>
        <v>2787.6549645830946</v>
      </c>
      <c r="S978" s="19">
        <f t="shared" ca="1" si="160"/>
        <v>5516.6588484934146</v>
      </c>
    </row>
    <row r="979" spans="13:19">
      <c r="M979" s="81">
        <f t="shared" ca="1" si="159"/>
        <v>8316.2768699275766</v>
      </c>
      <c r="N979" s="19">
        <f t="shared" si="161"/>
        <v>165.69027586124059</v>
      </c>
      <c r="O979" s="17">
        <f t="shared" ref="O979:O1042" si="162">IF(ISERROR(IF(O978+passo_altura&gt;h_max_puls*100,"",O978+passo_altura)),"",IF(O978+passo_altura&gt;h_max_puls*100,"",O978+passo_altura))</f>
        <v>244.5</v>
      </c>
      <c r="P979" s="19">
        <f ca="1">IF(ISERROR(IF(O979&lt;fi_h/20,0,(OFFSET('Base de dados'!$A$5,IF(O979&lt;20,1,IF(O979&gt;1000,10,MATCH(O979,Cargas,1))),Coluna_fih,1,1))*(1+0.13*0.25)*(PI()*(fi_h/1000)^2/4)*SQRT(2*9.81*(O979/100-fi_h/2/1000))*1000)),"",IF(O979&lt;fi_h/20,0,(OFFSET('Base de dados'!$A$5,IF(O979&lt;20,1,IF(O979&gt;1000,10,MATCH(O979,Cargas,1))),Coluna_fih,1,1))*(PI()*(fi_h/1000)^2/4)*SQRT(2*9.81*(O979/100-fi_h/2/1000))*1000))</f>
        <v>41.594209549365111</v>
      </c>
      <c r="Q979" s="19">
        <f ca="1">IF(O979="","",IF(Tipo_Vertedor="Retangular",IF(O979&lt;=cota_s*100,0,IF(Tipo_Vertedor="Retangular",Cd_sr*Lef_sr*((O979/100-cota_s)^(3/2))*1000)),IF(O979&lt;=cota_s*100+fi_s/20,0,(OFFSET('Base de dados'!$A$4,IF(O979&lt;20,1,IF(O979&gt;1000,10,MATCH(O979,Cargas,1))),Coluna_fis,1,1))*(PI()*(fi_s/1000)^2/4)*(2*9.81*(O979/100-cota_s-fi_s/2/1000))^0.5*1000)))</f>
        <v>2751.6734650035246</v>
      </c>
      <c r="R979" s="19">
        <f t="shared" ref="R979:R1042" ca="1" si="163">IF(O979="","",Q979+P979)</f>
        <v>2793.2676745528897</v>
      </c>
      <c r="S979" s="19">
        <f t="shared" ca="1" si="160"/>
        <v>5523.0091953746869</v>
      </c>
    </row>
    <row r="980" spans="13:19">
      <c r="M980" s="81">
        <f t="shared" ca="1" si="159"/>
        <v>8328.2445135077196</v>
      </c>
      <c r="N980" s="19">
        <f t="shared" si="161"/>
        <v>165.88081053581934</v>
      </c>
      <c r="O980" s="17">
        <f t="shared" si="162"/>
        <v>244.75</v>
      </c>
      <c r="P980" s="19">
        <f ca="1">IF(ISERROR(IF(O980&lt;fi_h/20,0,(OFFSET('Base de dados'!$A$5,IF(O980&lt;20,1,IF(O980&gt;1000,10,MATCH(O980,Cargas,1))),Coluna_fih,1,1))*(1+0.13*0.25)*(PI()*(fi_h/1000)^2/4)*SQRT(2*9.81*(O980/100-fi_h/2/1000))*1000)),"",IF(O980&lt;fi_h/20,0,(OFFSET('Base de dados'!$A$5,IF(O980&lt;20,1,IF(O980&gt;1000,10,MATCH(O980,Cargas,1))),Coluna_fih,1,1))*(PI()*(fi_h/1000)^2/4)*SQRT(2*9.81*(O980/100-fi_h/2/1000))*1000))</f>
        <v>41.615970901055988</v>
      </c>
      <c r="Q980" s="19">
        <f ca="1">IF(O980="","",IF(Tipo_Vertedor="Retangular",IF(O980&lt;=cota_s*100,0,IF(Tipo_Vertedor="Retangular",Cd_sr*Lef_sr*((O980/100-cota_s)^(3/2))*1000)),IF(O980&lt;=cota_s*100+fi_s/20,0,(OFFSET('Base de dados'!$A$4,IF(O980&lt;20,1,IF(O980&gt;1000,10,MATCH(O980,Cargas,1))),Coluna_fis,1,1))*(PI()*(fi_s/1000)^2/4)*(2*9.81*(O980/100-cota_s-fi_s/2/1000))^0.5*1000)))</f>
        <v>2757.2681914126861</v>
      </c>
      <c r="R980" s="19">
        <f t="shared" ca="1" si="163"/>
        <v>2798.8841623137419</v>
      </c>
      <c r="S980" s="19">
        <f t="shared" ca="1" si="160"/>
        <v>5529.3603511939773</v>
      </c>
    </row>
    <row r="981" spans="13:19">
      <c r="M981" s="81">
        <f t="shared" ca="1" si="159"/>
        <v>8340.2167405468099</v>
      </c>
      <c r="N981" s="19">
        <f t="shared" si="161"/>
        <v>166.07136945683658</v>
      </c>
      <c r="O981" s="17">
        <f t="shared" si="162"/>
        <v>245</v>
      </c>
      <c r="P981" s="19">
        <f ca="1">IF(ISERROR(IF(O981&lt;fi_h/20,0,(OFFSET('Base de dados'!$A$5,IF(O981&lt;20,1,IF(O981&gt;1000,10,MATCH(O981,Cargas,1))),Coluna_fih,1,1))*(1+0.13*0.25)*(PI()*(fi_h/1000)^2/4)*SQRT(2*9.81*(O981/100-fi_h/2/1000))*1000)),"",IF(O981&lt;fi_h/20,0,(OFFSET('Base de dados'!$A$5,IF(O981&lt;20,1,IF(O981&gt;1000,10,MATCH(O981,Cargas,1))),Coluna_fih,1,1))*(PI()*(fi_h/1000)^2/4)*SQRT(2*9.81*(O981/100-fi_h/2/1000))*1000))</f>
        <v>41.637720879493173</v>
      </c>
      <c r="Q981" s="19">
        <f ca="1">IF(O981="","",IF(Tipo_Vertedor="Retangular",IF(O981&lt;=cota_s*100,0,IF(Tipo_Vertedor="Retangular",Cd_sr*Lef_sr*((O981/100-cota_s)^(3/2))*1000)),IF(O981&lt;=cota_s*100+fi_s/20,0,(OFFSET('Base de dados'!$A$4,IF(O981&lt;20,1,IF(O981&gt;1000,10,MATCH(O981,Cargas,1))),Coluna_fis,1,1))*(PI()*(fi_s/1000)^2/4)*(2*9.81*(O981/100-cota_s-fi_s/2/1000))^0.5*1000)))</f>
        <v>2762.866704439431</v>
      </c>
      <c r="R981" s="19">
        <f t="shared" ca="1" si="163"/>
        <v>2804.5044253189244</v>
      </c>
      <c r="S981" s="19">
        <f t="shared" ca="1" si="160"/>
        <v>5535.7123152278855</v>
      </c>
    </row>
    <row r="982" spans="13:19">
      <c r="M982" s="81">
        <f t="shared" ca="1" si="159"/>
        <v>8352.1935477812476</v>
      </c>
      <c r="N982" s="19">
        <f t="shared" si="161"/>
        <v>166.26195260263179</v>
      </c>
      <c r="O982" s="17">
        <f t="shared" si="162"/>
        <v>245.25</v>
      </c>
      <c r="P982" s="19">
        <f ca="1">IF(ISERROR(IF(O982&lt;fi_h/20,0,(OFFSET('Base de dados'!$A$5,IF(O982&lt;20,1,IF(O982&gt;1000,10,MATCH(O982,Cargas,1))),Coluna_fih,1,1))*(1+0.13*0.25)*(PI()*(fi_h/1000)^2/4)*SQRT(2*9.81*(O982/100-fi_h/2/1000))*1000)),"",IF(O982&lt;fi_h/20,0,(OFFSET('Base de dados'!$A$5,IF(O982&lt;20,1,IF(O982&gt;1000,10,MATCH(O982,Cargas,1))),Coluna_fih,1,1))*(PI()*(fi_h/1000)^2/4)*SQRT(2*9.81*(O982/100-fi_h/2/1000))*1000))</f>
        <v>41.659459502490243</v>
      </c>
      <c r="Q982" s="19">
        <f ca="1">IF(O982="","",IF(Tipo_Vertedor="Retangular",IF(O982&lt;=cota_s*100,0,IF(Tipo_Vertedor="Retangular",Cd_sr*Lef_sr*((O982/100-cota_s)^(3/2))*1000)),IF(O982&lt;=cota_s*100+fi_s/20,0,(OFFSET('Base de dados'!$A$4,IF(O982&lt;20,1,IF(O982&gt;1000,10,MATCH(O982,Cargas,1))),Coluna_fis,1,1))*(PI()*(fi_s/1000)^2/4)*(2*9.81*(O982/100-cota_s-fi_s/2/1000))^0.5*1000)))</f>
        <v>2768.469001524365</v>
      </c>
      <c r="R982" s="19">
        <f t="shared" ca="1" si="163"/>
        <v>2810.1284610268553</v>
      </c>
      <c r="S982" s="19">
        <f t="shared" ca="1" si="160"/>
        <v>5542.0650867543927</v>
      </c>
    </row>
    <row r="983" spans="13:19">
      <c r="M983" s="81">
        <f t="shared" ca="1" si="159"/>
        <v>8364.174931953954</v>
      </c>
      <c r="N983" s="19">
        <f t="shared" si="161"/>
        <v>166.45255995158581</v>
      </c>
      <c r="O983" s="17">
        <f t="shared" si="162"/>
        <v>245.5</v>
      </c>
      <c r="P983" s="19">
        <f ca="1">IF(ISERROR(IF(O983&lt;fi_h/20,0,(OFFSET('Base de dados'!$A$5,IF(O983&lt;20,1,IF(O983&gt;1000,10,MATCH(O983,Cargas,1))),Coluna_fih,1,1))*(1+0.13*0.25)*(PI()*(fi_h/1000)^2/4)*SQRT(2*9.81*(O983/100-fi_h/2/1000))*1000)),"",IF(O983&lt;fi_h/20,0,(OFFSET('Base de dados'!$A$5,IF(O983&lt;20,1,IF(O983&gt;1000,10,MATCH(O983,Cargas,1))),Coluna_fih,1,1))*(PI()*(fi_h/1000)^2/4)*SQRT(2*9.81*(O983/100-fi_h/2/1000))*1000))</f>
        <v>41.681186787814326</v>
      </c>
      <c r="Q983" s="19">
        <f ca="1">IF(O983="","",IF(Tipo_Vertedor="Retangular",IF(O983&lt;=cota_s*100,0,IF(Tipo_Vertedor="Retangular",Cd_sr*Lef_sr*((O983/100-cota_s)^(3/2))*1000)),IF(O983&lt;=cota_s*100+fi_s/20,0,(OFFSET('Base de dados'!$A$4,IF(O983&lt;20,1,IF(O983&gt;1000,10,MATCH(O983,Cargas,1))),Coluna_fis,1,1))*(PI()*(fi_s/1000)^2/4)*(2*9.81*(O983/100-cota_s-fi_s/2/1000))^0.5*1000)))</f>
        <v>2774.0750801132799</v>
      </c>
      <c r="R983" s="19">
        <f t="shared" ca="1" si="163"/>
        <v>2815.756266901094</v>
      </c>
      <c r="S983" s="19">
        <f t="shared" ca="1" si="160"/>
        <v>5548.41866505286</v>
      </c>
    </row>
    <row r="984" spans="13:19">
      <c r="M984" s="81">
        <f t="shared" ca="1" si="159"/>
        <v>8376.1608898143495</v>
      </c>
      <c r="N984" s="19">
        <f t="shared" si="161"/>
        <v>166.6431914821209</v>
      </c>
      <c r="O984" s="17">
        <f t="shared" si="162"/>
        <v>245.75</v>
      </c>
      <c r="P984" s="19">
        <f ca="1">IF(ISERROR(IF(O984&lt;fi_h/20,0,(OFFSET('Base de dados'!$A$5,IF(O984&lt;20,1,IF(O984&gt;1000,10,MATCH(O984,Cargas,1))),Coluna_fih,1,1))*(1+0.13*0.25)*(PI()*(fi_h/1000)^2/4)*SQRT(2*9.81*(O984/100-fi_h/2/1000))*1000)),"",IF(O984&lt;fi_h/20,0,(OFFSET('Base de dados'!$A$5,IF(O984&lt;20,1,IF(O984&gt;1000,10,MATCH(O984,Cargas,1))),Coluna_fih,1,1))*(PI()*(fi_h/1000)^2/4)*SQRT(2*9.81*(O984/100-fi_h/2/1000))*1000))</f>
        <v>41.702902753186272</v>
      </c>
      <c r="Q984" s="19">
        <f ca="1">IF(O984="","",IF(Tipo_Vertedor="Retangular",IF(O984&lt;=cota_s*100,0,IF(Tipo_Vertedor="Retangular",Cd_sr*Lef_sr*((O984/100-cota_s)^(3/2))*1000)),IF(O984&lt;=cota_s*100+fi_s/20,0,(OFFSET('Base de dados'!$A$4,IF(O984&lt;20,1,IF(O984&gt;1000,10,MATCH(O984,Cargas,1))),Coluna_fis,1,1))*(PI()*(fi_s/1000)^2/4)*(2*9.81*(O984/100-cota_s-fi_s/2/1000))^0.5*1000)))</f>
        <v>2779.6849376571327</v>
      </c>
      <c r="R984" s="19">
        <f t="shared" ca="1" si="163"/>
        <v>2821.3878404103189</v>
      </c>
      <c r="S984" s="19">
        <f t="shared" ca="1" si="160"/>
        <v>5554.7730494040297</v>
      </c>
    </row>
    <row r="985" spans="13:19">
      <c r="M985" s="81">
        <f t="shared" ca="1" si="159"/>
        <v>8388.1514181183211</v>
      </c>
      <c r="N985" s="19">
        <f t="shared" si="161"/>
        <v>166.83384717270039</v>
      </c>
      <c r="O985" s="17">
        <f t="shared" si="162"/>
        <v>246</v>
      </c>
      <c r="P985" s="19">
        <f ca="1">IF(ISERROR(IF(O985&lt;fi_h/20,0,(OFFSET('Base de dados'!$A$5,IF(O985&lt;20,1,IF(O985&gt;1000,10,MATCH(O985,Cargas,1))),Coluna_fih,1,1))*(1+0.13*0.25)*(PI()*(fi_h/1000)^2/4)*SQRT(2*9.81*(O985/100-fi_h/2/1000))*1000)),"",IF(O985&lt;fi_h/20,0,(OFFSET('Base de dados'!$A$5,IF(O985&lt;20,1,IF(O985&gt;1000,10,MATCH(O985,Cargas,1))),Coluna_fih,1,1))*(PI()*(fi_h/1000)^2/4)*SQRT(2*9.81*(O985/100-fi_h/2/1000))*1000))</f>
        <v>41.724607416280783</v>
      </c>
      <c r="Q985" s="19">
        <f ca="1">IF(O985="","",IF(Tipo_Vertedor="Retangular",IF(O985&lt;=cota_s*100,0,IF(Tipo_Vertedor="Retangular",Cd_sr*Lef_sr*((O985/100-cota_s)^(3/2))*1000)),IF(O985&lt;=cota_s*100+fi_s/20,0,(OFFSET('Base de dados'!$A$4,IF(O985&lt;20,1,IF(O985&gt;1000,10,MATCH(O985,Cargas,1))),Coluna_fis,1,1))*(PI()*(fi_s/1000)^2/4)*(2*9.81*(O985/100-cota_s-fi_s/2/1000))^0.5*1000)))</f>
        <v>2785.2985716120265</v>
      </c>
      <c r="R985" s="19">
        <f t="shared" ca="1" si="163"/>
        <v>2827.0231790283074</v>
      </c>
      <c r="S985" s="19">
        <f t="shared" ca="1" si="160"/>
        <v>5561.1282390900133</v>
      </c>
    </row>
    <row r="986" spans="13:19">
      <c r="M986" s="81">
        <f t="shared" ca="1" si="159"/>
        <v>8400.146513628215</v>
      </c>
      <c r="N986" s="19">
        <f t="shared" si="161"/>
        <v>167.02452700182869</v>
      </c>
      <c r="O986" s="17">
        <f t="shared" si="162"/>
        <v>246.25</v>
      </c>
      <c r="P986" s="19">
        <f ca="1">IF(ISERROR(IF(O986&lt;fi_h/20,0,(OFFSET('Base de dados'!$A$5,IF(O986&lt;20,1,IF(O986&gt;1000,10,MATCH(O986,Cargas,1))),Coluna_fih,1,1))*(1+0.13*0.25)*(PI()*(fi_h/1000)^2/4)*SQRT(2*9.81*(O986/100-fi_h/2/1000))*1000)),"",IF(O986&lt;fi_h/20,0,(OFFSET('Base de dados'!$A$5,IF(O986&lt;20,1,IF(O986&gt;1000,10,MATCH(O986,Cargas,1))),Coluna_fih,1,1))*(PI()*(fi_h/1000)^2/4)*SQRT(2*9.81*(O986/100-fi_h/2/1000))*1000))</f>
        <v>41.746300794726665</v>
      </c>
      <c r="Q986" s="19">
        <f ca="1">IF(O986="","",IF(Tipo_Vertedor="Retangular",IF(O986&lt;=cota_s*100,0,IF(Tipo_Vertedor="Retangular",Cd_sr*Lef_sr*((O986/100-cota_s)^(3/2))*1000)),IF(O986&lt;=cota_s*100+fi_s/20,0,(OFFSET('Base de dados'!$A$4,IF(O986&lt;20,1,IF(O986&gt;1000,10,MATCH(O986,Cargas,1))),Coluna_fis,1,1))*(PI()*(fi_s/1000)^2/4)*(2*9.81*(O986/100-cota_s-fi_s/2/1000))^0.5*1000)))</f>
        <v>2790.9159794391981</v>
      </c>
      <c r="R986" s="19">
        <f t="shared" ca="1" si="163"/>
        <v>2832.6622802339248</v>
      </c>
      <c r="S986" s="19">
        <f t="shared" ca="1" si="160"/>
        <v>5567.4842333942897</v>
      </c>
    </row>
    <row r="987" spans="13:19">
      <c r="M987" s="81">
        <f t="shared" ca="1" si="159"/>
        <v>8412.1461731128056</v>
      </c>
      <c r="N987" s="19">
        <f t="shared" si="161"/>
        <v>167.21523094805113</v>
      </c>
      <c r="O987" s="17">
        <f t="shared" si="162"/>
        <v>246.5</v>
      </c>
      <c r="P987" s="19">
        <f ca="1">IF(ISERROR(IF(O987&lt;fi_h/20,0,(OFFSET('Base de dados'!$A$5,IF(O987&lt;20,1,IF(O987&gt;1000,10,MATCH(O987,Cargas,1))),Coluna_fih,1,1))*(1+0.13*0.25)*(PI()*(fi_h/1000)^2/4)*SQRT(2*9.81*(O987/100-fi_h/2/1000))*1000)),"",IF(O987&lt;fi_h/20,0,(OFFSET('Base de dados'!$A$5,IF(O987&lt;20,1,IF(O987&gt;1000,10,MATCH(O987,Cargas,1))),Coluna_fih,1,1))*(PI()*(fi_h/1000)^2/4)*SQRT(2*9.81*(O987/100-fi_h/2/1000))*1000))</f>
        <v>41.767982906106916</v>
      </c>
      <c r="Q987" s="19">
        <f ca="1">IF(O987="","",IF(Tipo_Vertedor="Retangular",IF(O987&lt;=cota_s*100,0,IF(Tipo_Vertedor="Retangular",Cd_sr*Lef_sr*((O987/100-cota_s)^(3/2))*1000)),IF(O987&lt;=cota_s*100+fi_s/20,0,(OFFSET('Base de dados'!$A$4,IF(O987&lt;20,1,IF(O987&gt;1000,10,MATCH(O987,Cargas,1))),Coluna_fis,1,1))*(PI()*(fi_s/1000)^2/4)*(2*9.81*(O987/100-cota_s-fi_s/2/1000))^0.5*1000)))</f>
        <v>2796.5371586049946</v>
      </c>
      <c r="R987" s="19">
        <f t="shared" ca="1" si="163"/>
        <v>2838.3051415111017</v>
      </c>
      <c r="S987" s="19">
        <f t="shared" ca="1" si="160"/>
        <v>5573.8410316017043</v>
      </c>
    </row>
    <row r="988" spans="13:19">
      <c r="M988" s="81">
        <f t="shared" ca="1" si="159"/>
        <v>8424.1503933472795</v>
      </c>
      <c r="N988" s="19">
        <f t="shared" si="161"/>
        <v>167.40595898995383</v>
      </c>
      <c r="O988" s="17">
        <f t="shared" si="162"/>
        <v>246.75</v>
      </c>
      <c r="P988" s="19">
        <f ca="1">IF(ISERROR(IF(O988&lt;fi_h/20,0,(OFFSET('Base de dados'!$A$5,IF(O988&lt;20,1,IF(O988&gt;1000,10,MATCH(O988,Cargas,1))),Coluna_fih,1,1))*(1+0.13*0.25)*(PI()*(fi_h/1000)^2/4)*SQRT(2*9.81*(O988/100-fi_h/2/1000))*1000)),"",IF(O988&lt;fi_h/20,0,(OFFSET('Base de dados'!$A$5,IF(O988&lt;20,1,IF(O988&gt;1000,10,MATCH(O988,Cargas,1))),Coluna_fih,1,1))*(PI()*(fi_h/1000)^2/4)*SQRT(2*9.81*(O988/100-fi_h/2/1000))*1000))</f>
        <v>41.78965376795891</v>
      </c>
      <c r="Q988" s="19">
        <f ca="1">IF(O988="","",IF(Tipo_Vertedor="Retangular",IF(O988&lt;=cota_s*100,0,IF(Tipo_Vertedor="Retangular",Cd_sr*Lef_sr*((O988/100-cota_s)^(3/2))*1000)),IF(O988&lt;=cota_s*100+fi_s/20,0,(OFFSET('Base de dados'!$A$4,IF(O988&lt;20,1,IF(O988&gt;1000,10,MATCH(O988,Cargas,1))),Coluna_fis,1,1))*(PI()*(fi_s/1000)^2/4)*(2*9.81*(O988/100-cota_s-fi_s/2/1000))^0.5*1000)))</f>
        <v>2802.1621065808599</v>
      </c>
      <c r="R988" s="19">
        <f t="shared" ca="1" si="163"/>
        <v>2843.9517603488189</v>
      </c>
      <c r="S988" s="19">
        <f t="shared" ca="1" si="160"/>
        <v>5580.1986329984611</v>
      </c>
    </row>
    <row r="989" spans="13:19">
      <c r="M989" s="81">
        <f t="shared" ca="1" si="159"/>
        <v>8436.1591711132169</v>
      </c>
      <c r="N989" s="19">
        <f t="shared" si="161"/>
        <v>167.59671110616372</v>
      </c>
      <c r="O989" s="17">
        <f t="shared" si="162"/>
        <v>247</v>
      </c>
      <c r="P989" s="19">
        <f ca="1">IF(ISERROR(IF(O989&lt;fi_h/20,0,(OFFSET('Base de dados'!$A$5,IF(O989&lt;20,1,IF(O989&gt;1000,10,MATCH(O989,Cargas,1))),Coluna_fih,1,1))*(1+0.13*0.25)*(PI()*(fi_h/1000)^2/4)*SQRT(2*9.81*(O989/100-fi_h/2/1000))*1000)),"",IF(O989&lt;fi_h/20,0,(OFFSET('Base de dados'!$A$5,IF(O989&lt;20,1,IF(O989&gt;1000,10,MATCH(O989,Cargas,1))),Coluna_fih,1,1))*(PI()*(fi_h/1000)^2/4)*SQRT(2*9.81*(O989/100-fi_h/2/1000))*1000))</f>
        <v>41.811313397774597</v>
      </c>
      <c r="Q989" s="19">
        <f ca="1">IF(O989="","",IF(Tipo_Vertedor="Retangular",IF(O989&lt;=cota_s*100,0,IF(Tipo_Vertedor="Retangular",Cd_sr*Lef_sr*((O989/100-cota_s)^(3/2))*1000)),IF(O989&lt;=cota_s*100+fi_s/20,0,(OFFSET('Base de dados'!$A$4,IF(O989&lt;20,1,IF(O989&gt;1000,10,MATCH(O989,Cargas,1))),Coluna_fis,1,1))*(PI()*(fi_s/1000)^2/4)*(2*9.81*(O989/100-cota_s-fi_s/2/1000))^0.5*1000)))</f>
        <v>2807.7908208433196</v>
      </c>
      <c r="R989" s="19">
        <f t="shared" ca="1" si="163"/>
        <v>2849.6021342410941</v>
      </c>
      <c r="S989" s="19">
        <f t="shared" ca="1" si="160"/>
        <v>5586.5570368721237</v>
      </c>
    </row>
    <row r="990" spans="13:19">
      <c r="M990" s="81">
        <f t="shared" ca="1" si="159"/>
        <v>8448.1725031985625</v>
      </c>
      <c r="N990" s="19">
        <f t="shared" si="161"/>
        <v>167.78748727534813</v>
      </c>
      <c r="O990" s="17">
        <f t="shared" si="162"/>
        <v>247.25</v>
      </c>
      <c r="P990" s="19">
        <f ca="1">IF(ISERROR(IF(O990&lt;fi_h/20,0,(OFFSET('Base de dados'!$A$5,IF(O990&lt;20,1,IF(O990&gt;1000,10,MATCH(O990,Cargas,1))),Coluna_fih,1,1))*(1+0.13*0.25)*(PI()*(fi_h/1000)^2/4)*SQRT(2*9.81*(O990/100-fi_h/2/1000))*1000)),"",IF(O990&lt;fi_h/20,0,(OFFSET('Base de dados'!$A$5,IF(O990&lt;20,1,IF(O990&gt;1000,10,MATCH(O990,Cargas,1))),Coluna_fih,1,1))*(PI()*(fi_h/1000)^2/4)*SQRT(2*9.81*(O990/100-fi_h/2/1000))*1000))</f>
        <v>41.832961813000622</v>
      </c>
      <c r="Q990" s="19">
        <f ca="1">IF(O990="","",IF(Tipo_Vertedor="Retangular",IF(O990&lt;=cota_s*100,0,IF(Tipo_Vertedor="Retangular",Cd_sr*Lef_sr*((O990/100-cota_s)^(3/2))*1000)),IF(O990&lt;=cota_s*100+fi_s/20,0,(OFFSET('Base de dados'!$A$4,IF(O990&lt;20,1,IF(O990&gt;1000,10,MATCH(O990,Cargas,1))),Coluna_fis,1,1))*(PI()*(fi_s/1000)^2/4)*(2*9.81*(O990/100-cota_s-fi_s/2/1000))^0.5*1000)))</f>
        <v>2813.4232988739564</v>
      </c>
      <c r="R990" s="19">
        <f t="shared" ca="1" si="163"/>
        <v>2855.2562606869569</v>
      </c>
      <c r="S990" s="19">
        <f t="shared" ca="1" si="160"/>
        <v>5592.9162425116047</v>
      </c>
    </row>
    <row r="991" spans="13:19">
      <c r="M991" s="81">
        <f t="shared" ca="1" si="159"/>
        <v>8460.190386397604</v>
      </c>
      <c r="N991" s="19">
        <f t="shared" si="161"/>
        <v>167.97828747621489</v>
      </c>
      <c r="O991" s="17">
        <f t="shared" si="162"/>
        <v>247.5</v>
      </c>
      <c r="P991" s="19">
        <f ca="1">IF(ISERROR(IF(O991&lt;fi_h/20,0,(OFFSET('Base de dados'!$A$5,IF(O991&lt;20,1,IF(O991&gt;1000,10,MATCH(O991,Cargas,1))),Coluna_fih,1,1))*(1+0.13*0.25)*(PI()*(fi_h/1000)^2/4)*SQRT(2*9.81*(O991/100-fi_h/2/1000))*1000)),"",IF(O991&lt;fi_h/20,0,(OFFSET('Base de dados'!$A$5,IF(O991&lt;20,1,IF(O991&gt;1000,10,MATCH(O991,Cargas,1))),Coluna_fih,1,1))*(PI()*(fi_h/1000)^2/4)*SQRT(2*9.81*(O991/100-fi_h/2/1000))*1000))</f>
        <v>41.854599031038532</v>
      </c>
      <c r="Q991" s="19">
        <f ca="1">IF(O991="","",IF(Tipo_Vertedor="Retangular",IF(O991&lt;=cota_s*100,0,IF(Tipo_Vertedor="Retangular",Cd_sr*Lef_sr*((O991/100-cota_s)^(3/2))*1000)),IF(O991&lt;=cota_s*100+fi_s/20,0,(OFFSET('Base de dados'!$A$4,IF(O991&lt;20,1,IF(O991&gt;1000,10,MATCH(O991,Cargas,1))),Coluna_fis,1,1))*(PI()*(fi_s/1000)^2/4)*(2*9.81*(O991/100-cota_s-fi_s/2/1000))^0.5*1000)))</f>
        <v>2819.0595381594021</v>
      </c>
      <c r="R991" s="19">
        <f t="shared" ca="1" si="163"/>
        <v>2860.9141371904407</v>
      </c>
      <c r="S991" s="19">
        <f t="shared" ca="1" si="160"/>
        <v>5599.2762492071633</v>
      </c>
    </row>
    <row r="992" spans="13:19">
      <c r="M992" s="81">
        <f t="shared" ca="1" si="159"/>
        <v>8472.2128175109683</v>
      </c>
      <c r="N992" s="19">
        <f t="shared" si="161"/>
        <v>168.16911168751224</v>
      </c>
      <c r="O992" s="17">
        <f t="shared" si="162"/>
        <v>247.75</v>
      </c>
      <c r="P992" s="19">
        <f ca="1">IF(ISERROR(IF(O992&lt;fi_h/20,0,(OFFSET('Base de dados'!$A$5,IF(O992&lt;20,1,IF(O992&gt;1000,10,MATCH(O992,Cargas,1))),Coluna_fih,1,1))*(1+0.13*0.25)*(PI()*(fi_h/1000)^2/4)*SQRT(2*9.81*(O992/100-fi_h/2/1000))*1000)),"",IF(O992&lt;fi_h/20,0,(OFFSET('Base de dados'!$A$5,IF(O992&lt;20,1,IF(O992&gt;1000,10,MATCH(O992,Cargas,1))),Coluna_fih,1,1))*(PI()*(fi_h/1000)^2/4)*SQRT(2*9.81*(O992/100-fi_h/2/1000))*1000))</f>
        <v>41.876225069244896</v>
      </c>
      <c r="Q992" s="19">
        <f ca="1">IF(O992="","",IF(Tipo_Vertedor="Retangular",IF(O992&lt;=cota_s*100,0,IF(Tipo_Vertedor="Retangular",Cd_sr*Lef_sr*((O992/100-cota_s)^(3/2))*1000)),IF(O992&lt;=cota_s*100+fi_s/20,0,(OFFSET('Base de dados'!$A$4,IF(O992&lt;20,1,IF(O992&gt;1000,10,MATCH(O992,Cargas,1))),Coluna_fis,1,1))*(PI()*(fi_s/1000)^2/4)*(2*9.81*(O992/100-cota_s-fi_s/2/1000))^0.5*1000)))</f>
        <v>2824.6995361913164</v>
      </c>
      <c r="R992" s="19">
        <f t="shared" ca="1" si="163"/>
        <v>2866.5757612605612</v>
      </c>
      <c r="S992" s="19">
        <f t="shared" ca="1" si="160"/>
        <v>5605.637056250408</v>
      </c>
    </row>
    <row r="993" spans="13:19">
      <c r="M993" s="81">
        <f t="shared" ca="1" si="159"/>
        <v>8484.2397933455886</v>
      </c>
      <c r="N993" s="19">
        <f t="shared" si="161"/>
        <v>168.35995988802861</v>
      </c>
      <c r="O993" s="17">
        <f t="shared" si="162"/>
        <v>248</v>
      </c>
      <c r="P993" s="19">
        <f ca="1">IF(ISERROR(IF(O993&lt;fi_h/20,0,(OFFSET('Base de dados'!$A$5,IF(O993&lt;20,1,IF(O993&gt;1000,10,MATCH(O993,Cargas,1))),Coluna_fih,1,1))*(1+0.13*0.25)*(PI()*(fi_h/1000)^2/4)*SQRT(2*9.81*(O993/100-fi_h/2/1000))*1000)),"",IF(O993&lt;fi_h/20,0,(OFFSET('Base de dados'!$A$5,IF(O993&lt;20,1,IF(O993&gt;1000,10,MATCH(O993,Cargas,1))),Coluna_fih,1,1))*(PI()*(fi_h/1000)^2/4)*SQRT(2*9.81*(O993/100-fi_h/2/1000))*1000))</f>
        <v>41.897839944931491</v>
      </c>
      <c r="Q993" s="19">
        <f ca="1">IF(O993="","",IF(Tipo_Vertedor="Retangular",IF(O993&lt;=cota_s*100,0,IF(Tipo_Vertedor="Retangular",Cd_sr*Lef_sr*((O993/100-cota_s)^(3/2))*1000)),IF(O993&lt;=cota_s*100+fi_s/20,0,(OFFSET('Base de dados'!$A$4,IF(O993&lt;20,1,IF(O993&gt;1000,10,MATCH(O993,Cargas,1))),Coluna_fis,1,1))*(PI()*(fi_s/1000)^2/4)*(2*9.81*(O993/100-cota_s-fi_s/2/1000))^0.5*1000)))</f>
        <v>2830.34329046637</v>
      </c>
      <c r="R993" s="19">
        <f t="shared" ca="1" si="163"/>
        <v>2872.2411304113016</v>
      </c>
      <c r="S993" s="19">
        <f t="shared" ca="1" si="160"/>
        <v>5611.9986629342875</v>
      </c>
    </row>
    <row r="994" spans="13:19">
      <c r="M994" s="81">
        <f t="shared" ca="1" si="159"/>
        <v>8496.2713107146792</v>
      </c>
      <c r="N994" s="19">
        <f t="shared" si="161"/>
        <v>168.55083205659253</v>
      </c>
      <c r="O994" s="17">
        <f t="shared" si="162"/>
        <v>248.25</v>
      </c>
      <c r="P994" s="19">
        <f ca="1">IF(ISERROR(IF(O994&lt;fi_h/20,0,(OFFSET('Base de dados'!$A$5,IF(O994&lt;20,1,IF(O994&gt;1000,10,MATCH(O994,Cargas,1))),Coluna_fih,1,1))*(1+0.13*0.25)*(PI()*(fi_h/1000)^2/4)*SQRT(2*9.81*(O994/100-fi_h/2/1000))*1000)),"",IF(O994&lt;fi_h/20,0,(OFFSET('Base de dados'!$A$5,IF(O994&lt;20,1,IF(O994&gt;1000,10,MATCH(O994,Cargas,1))),Coluna_fih,1,1))*(PI()*(fi_h/1000)^2/4)*SQRT(2*9.81*(O994/100-fi_h/2/1000))*1000))</f>
        <v>41.919443675365493</v>
      </c>
      <c r="Q994" s="19">
        <f ca="1">IF(O994="","",IF(Tipo_Vertedor="Retangular",IF(O994&lt;=cota_s*100,0,IF(Tipo_Vertedor="Retangular",Cd_sr*Lef_sr*((O994/100-cota_s)^(3/2))*1000)),IF(O994&lt;=cota_s*100+fi_s/20,0,(OFFSET('Base de dados'!$A$4,IF(O994&lt;20,1,IF(O994&gt;1000,10,MATCH(O994,Cargas,1))),Coluna_fis,1,1))*(PI()*(fi_s/1000)^2/4)*(2*9.81*(O994/100-cota_s-fi_s/2/1000))^0.5*1000)))</f>
        <v>2835.9907984862293</v>
      </c>
      <c r="R994" s="19">
        <f t="shared" ca="1" si="163"/>
        <v>2877.9102421615949</v>
      </c>
      <c r="S994" s="19">
        <f t="shared" ca="1" si="160"/>
        <v>5618.3610685530848</v>
      </c>
    </row>
    <row r="995" spans="13:19">
      <c r="M995" s="81">
        <f t="shared" ca="1" si="159"/>
        <v>8508.3073664377243</v>
      </c>
      <c r="N995" s="19">
        <f t="shared" si="161"/>
        <v>168.7417281720725</v>
      </c>
      <c r="O995" s="17">
        <f t="shared" si="162"/>
        <v>248.5</v>
      </c>
      <c r="P995" s="19">
        <f ca="1">IF(ISERROR(IF(O995&lt;fi_h/20,0,(OFFSET('Base de dados'!$A$5,IF(O995&lt;20,1,IF(O995&gt;1000,10,MATCH(O995,Cargas,1))),Coluna_fih,1,1))*(1+0.13*0.25)*(PI()*(fi_h/1000)^2/4)*SQRT(2*9.81*(O995/100-fi_h/2/1000))*1000)),"",IF(O995&lt;fi_h/20,0,(OFFSET('Base de dados'!$A$5,IF(O995&lt;20,1,IF(O995&gt;1000,10,MATCH(O995,Cargas,1))),Coluna_fih,1,1))*(PI()*(fi_h/1000)^2/4)*SQRT(2*9.81*(O995/100-fi_h/2/1000))*1000))</f>
        <v>41.94103627776957</v>
      </c>
      <c r="Q995" s="19">
        <f ca="1">IF(O995="","",IF(Tipo_Vertedor="Retangular",IF(O995&lt;=cota_s*100,0,IF(Tipo_Vertedor="Retangular",Cd_sr*Lef_sr*((O995/100-cota_s)^(3/2))*1000)),IF(O995&lt;=cota_s*100+fi_s/20,0,(OFFSET('Base de dados'!$A$4,IF(O995&lt;20,1,IF(O995&gt;1000,10,MATCH(O995,Cargas,1))),Coluna_fis,1,1))*(PI()*(fi_s/1000)^2/4)*(2*9.81*(O995/100-cota_s-fi_s/2/1000))^0.5*1000)))</f>
        <v>2841.6420577575386</v>
      </c>
      <c r="R995" s="19">
        <f t="shared" ca="1" si="163"/>
        <v>2883.583094035308</v>
      </c>
      <c r="S995" s="19">
        <f t="shared" ca="1" si="160"/>
        <v>5624.7242724024163</v>
      </c>
    </row>
    <row r="996" spans="13:19">
      <c r="M996" s="81">
        <f t="shared" ca="1" si="159"/>
        <v>8520.3479573404566</v>
      </c>
      <c r="N996" s="19">
        <f t="shared" si="161"/>
        <v>168.93264821337692</v>
      </c>
      <c r="O996" s="17">
        <f t="shared" si="162"/>
        <v>248.75</v>
      </c>
      <c r="P996" s="19">
        <f ca="1">IF(ISERROR(IF(O996&lt;fi_h/20,0,(OFFSET('Base de dados'!$A$5,IF(O996&lt;20,1,IF(O996&gt;1000,10,MATCH(O996,Cargas,1))),Coluna_fih,1,1))*(1+0.13*0.25)*(PI()*(fi_h/1000)^2/4)*SQRT(2*9.81*(O996/100-fi_h/2/1000))*1000)),"",IF(O996&lt;fi_h/20,0,(OFFSET('Base de dados'!$A$5,IF(O996&lt;20,1,IF(O996&gt;1000,10,MATCH(O996,Cargas,1))),Coluna_fih,1,1))*(PI()*(fi_h/1000)^2/4)*SQRT(2*9.81*(O996/100-fi_h/2/1000))*1000))</f>
        <v>41.962617769322087</v>
      </c>
      <c r="Q996" s="19">
        <f ca="1">IF(O996="","",IF(Tipo_Vertedor="Retangular",IF(O996&lt;=cota_s*100,0,IF(Tipo_Vertedor="Retangular",Cd_sr*Lef_sr*((O996/100-cota_s)^(3/2))*1000)),IF(O996&lt;=cota_s*100+fi_s/20,0,(OFFSET('Base de dados'!$A$4,IF(O996&lt;20,1,IF(O996&gt;1000,10,MATCH(O996,Cargas,1))),Coluna_fis,1,1))*(PI()*(fi_s/1000)^2/4)*(2*9.81*(O996/100-cota_s-fi_s/2/1000))^0.5*1000)))</f>
        <v>2847.2970657919036</v>
      </c>
      <c r="R996" s="19">
        <f t="shared" ca="1" si="163"/>
        <v>2889.2596835612258</v>
      </c>
      <c r="S996" s="19">
        <f t="shared" ca="1" si="160"/>
        <v>5631.0882737792308</v>
      </c>
    </row>
    <row r="997" spans="13:19">
      <c r="M997" s="81">
        <f t="shared" ca="1" si="159"/>
        <v>8532.3930802548348</v>
      </c>
      <c r="N997" s="19">
        <f t="shared" si="161"/>
        <v>169.12359215945398</v>
      </c>
      <c r="O997" s="17">
        <f t="shared" si="162"/>
        <v>249</v>
      </c>
      <c r="P997" s="19">
        <f ca="1">IF(ISERROR(IF(O997&lt;fi_h/20,0,(OFFSET('Base de dados'!$A$5,IF(O997&lt;20,1,IF(O997&gt;1000,10,MATCH(O997,Cargas,1))),Coluna_fih,1,1))*(1+0.13*0.25)*(PI()*(fi_h/1000)^2/4)*SQRT(2*9.81*(O997/100-fi_h/2/1000))*1000)),"",IF(O997&lt;fi_h/20,0,(OFFSET('Base de dados'!$A$5,IF(O997&lt;20,1,IF(O997&gt;1000,10,MATCH(O997,Cargas,1))),Coluna_fih,1,1))*(PI()*(fi_h/1000)^2/4)*SQRT(2*9.81*(O997/100-fi_h/2/1000))*1000))</f>
        <v>41.984188167157278</v>
      </c>
      <c r="Q997" s="19">
        <f ca="1">IF(O997="","",IF(Tipo_Vertedor="Retangular",IF(O997&lt;=cota_s*100,0,IF(Tipo_Vertedor="Retangular",Cd_sr*Lef_sr*((O997/100-cota_s)^(3/2))*1000)),IF(O997&lt;=cota_s*100+fi_s/20,0,(OFFSET('Base de dados'!$A$4,IF(O997&lt;20,1,IF(O997&gt;1000,10,MATCH(O997,Cargas,1))),Coluna_fis,1,1))*(PI()*(fi_s/1000)^2/4)*(2*9.81*(O997/100-cota_s-fi_s/2/1000))^0.5*1000)))</f>
        <v>2852.955820105878</v>
      </c>
      <c r="R997" s="19">
        <f t="shared" ca="1" si="163"/>
        <v>2894.9400082730353</v>
      </c>
      <c r="S997" s="19">
        <f t="shared" ca="1" si="160"/>
        <v>5637.4530719817994</v>
      </c>
    </row>
    <row r="998" spans="13:19">
      <c r="M998" s="81">
        <f t="shared" ca="1" si="159"/>
        <v>8544.4427320190171</v>
      </c>
      <c r="N998" s="19">
        <f t="shared" si="161"/>
        <v>169.31455998929135</v>
      </c>
      <c r="O998" s="17">
        <f t="shared" si="162"/>
        <v>249.25</v>
      </c>
      <c r="P998" s="19">
        <f ca="1">IF(ISERROR(IF(O998&lt;fi_h/20,0,(OFFSET('Base de dados'!$A$5,IF(O998&lt;20,1,IF(O998&gt;1000,10,MATCH(O998,Cargas,1))),Coluna_fih,1,1))*(1+0.13*0.25)*(PI()*(fi_h/1000)^2/4)*SQRT(2*9.81*(O998/100-fi_h/2/1000))*1000)),"",IF(O998&lt;fi_h/20,0,(OFFSET('Base de dados'!$A$5,IF(O998&lt;20,1,IF(O998&gt;1000,10,MATCH(O998,Cargas,1))),Coluna_fih,1,1))*(PI()*(fi_h/1000)^2/4)*SQRT(2*9.81*(O998/100-fi_h/2/1000))*1000))</f>
        <v>42.005747488365351</v>
      </c>
      <c r="Q998" s="19">
        <f ca="1">IF(O998="","",IF(Tipo_Vertedor="Retangular",IF(O998&lt;=cota_s*100,0,IF(Tipo_Vertedor="Retangular",Cd_sr*Lef_sr*((O998/100-cota_s)^(3/2))*1000)),IF(O998&lt;=cota_s*100+fi_s/20,0,(OFFSET('Base de dados'!$A$4,IF(O998&lt;20,1,IF(O998&gt;1000,10,MATCH(O998,Cargas,1))),Coluna_fis,1,1))*(PI()*(fi_s/1000)^2/4)*(2*9.81*(O998/100-cota_s-fi_s/2/1000))^0.5*1000)))</f>
        <v>2858.6183182209402</v>
      </c>
      <c r="R998" s="19">
        <f t="shared" ca="1" si="163"/>
        <v>2900.6240657093053</v>
      </c>
      <c r="S998" s="19">
        <f t="shared" ca="1" si="160"/>
        <v>5643.8186663097122</v>
      </c>
    </row>
    <row r="999" spans="13:19">
      <c r="M999" s="81">
        <f t="shared" ca="1" si="159"/>
        <v>8556.4969094773587</v>
      </c>
      <c r="N999" s="19">
        <f t="shared" si="161"/>
        <v>169.50555168191644</v>
      </c>
      <c r="O999" s="17">
        <f t="shared" si="162"/>
        <v>249.5</v>
      </c>
      <c r="P999" s="19">
        <f ca="1">IF(ISERROR(IF(O999&lt;fi_h/20,0,(OFFSET('Base de dados'!$A$5,IF(O999&lt;20,1,IF(O999&gt;1000,10,MATCH(O999,Cargas,1))),Coluna_fih,1,1))*(1+0.13*0.25)*(PI()*(fi_h/1000)^2/4)*SQRT(2*9.81*(O999/100-fi_h/2/1000))*1000)),"",IF(O999&lt;fi_h/20,0,(OFFSET('Base de dados'!$A$5,IF(O999&lt;20,1,IF(O999&gt;1000,10,MATCH(O999,Cargas,1))),Coluna_fih,1,1))*(PI()*(fi_h/1000)^2/4)*SQRT(2*9.81*(O999/100-fi_h/2/1000))*1000))</f>
        <v>42.02729574999271</v>
      </c>
      <c r="Q999" s="19">
        <f ca="1">IF(O999="","",IF(Tipo_Vertedor="Retangular",IF(O999&lt;=cota_s*100,0,IF(Tipo_Vertedor="Retangular",Cd_sr*Lef_sr*((O999/100-cota_s)^(3/2))*1000)),IF(O999&lt;=cota_s*100+fi_s/20,0,(OFFSET('Base de dados'!$A$4,IF(O999&lt;20,1,IF(O999&gt;1000,10,MATCH(O999,Cargas,1))),Coluna_fis,1,1))*(PI()*(fi_s/1000)^2/4)*(2*9.81*(O999/100-cota_s-fi_s/2/1000))^0.5*1000)))</f>
        <v>2864.2845576634845</v>
      </c>
      <c r="R999" s="19">
        <f t="shared" ca="1" si="163"/>
        <v>2906.3118534134774</v>
      </c>
      <c r="S999" s="19">
        <f t="shared" ca="1" si="160"/>
        <v>5650.1850560638813</v>
      </c>
    </row>
    <row r="1000" spans="13:19">
      <c r="M1000" s="81">
        <f t="shared" ca="1" si="159"/>
        <v>8568.5556094803742</v>
      </c>
      <c r="N1000" s="19">
        <f t="shared" si="161"/>
        <v>169.69656721639592</v>
      </c>
      <c r="O1000" s="17">
        <f t="shared" si="162"/>
        <v>249.75</v>
      </c>
      <c r="P1000" s="19">
        <f ca="1">IF(ISERROR(IF(O1000&lt;fi_h/20,0,(OFFSET('Base de dados'!$A$5,IF(O1000&lt;20,1,IF(O1000&gt;1000,10,MATCH(O1000,Cargas,1))),Coluna_fih,1,1))*(1+0.13*0.25)*(PI()*(fi_h/1000)^2/4)*SQRT(2*9.81*(O1000/100-fi_h/2/1000))*1000)),"",IF(O1000&lt;fi_h/20,0,(OFFSET('Base de dados'!$A$5,IF(O1000&lt;20,1,IF(O1000&gt;1000,10,MATCH(O1000,Cargas,1))),Coluna_fih,1,1))*(PI()*(fi_h/1000)^2/4)*SQRT(2*9.81*(O1000/100-fi_h/2/1000))*1000))</f>
        <v>42.048832969042053</v>
      </c>
      <c r="Q1000" s="19">
        <f ca="1">IF(O1000="","",IF(Tipo_Vertedor="Retangular",IF(O1000&lt;=cota_s*100,0,IF(Tipo_Vertedor="Retangular",Cd_sr*Lef_sr*((O1000/100-cota_s)^(3/2))*1000)),IF(O1000&lt;=cota_s*100+fi_s/20,0,(OFFSET('Base de dados'!$A$4,IF(O1000&lt;20,1,IF(O1000&gt;1000,10,MATCH(O1000,Cargas,1))),Coluna_fis,1,1))*(PI()*(fi_s/1000)^2/4)*(2*9.81*(O1000/100-cota_s-fi_s/2/1000))^0.5*1000)))</f>
        <v>2869.9545359648014</v>
      </c>
      <c r="R1000" s="19">
        <f t="shared" ca="1" si="163"/>
        <v>2912.0033689338434</v>
      </c>
      <c r="S1000" s="19">
        <f t="shared" ca="1" si="160"/>
        <v>5656.5522405465308</v>
      </c>
    </row>
    <row r="1001" spans="13:19">
      <c r="M1001" s="81">
        <f t="shared" ca="1" si="159"/>
        <v>8580.6188288847316</v>
      </c>
      <c r="N1001" s="19">
        <f t="shared" si="161"/>
        <v>169.8876065718359</v>
      </c>
      <c r="O1001" s="17">
        <f t="shared" si="162"/>
        <v>250</v>
      </c>
      <c r="P1001" s="19">
        <f ca="1">IF(ISERROR(IF(O1001&lt;fi_h/20,0,(OFFSET('Base de dados'!$A$5,IF(O1001&lt;20,1,IF(O1001&gt;1000,10,MATCH(O1001,Cargas,1))),Coluna_fih,1,1))*(1+0.13*0.25)*(PI()*(fi_h/1000)^2/4)*SQRT(2*9.81*(O1001/100-fi_h/2/1000))*1000)),"",IF(O1001&lt;fi_h/20,0,(OFFSET('Base de dados'!$A$5,IF(O1001&lt;20,1,IF(O1001&gt;1000,10,MATCH(O1001,Cargas,1))),Coluna_fih,1,1))*(PI()*(fi_h/1000)^2/4)*SQRT(2*9.81*(O1001/100-fi_h/2/1000))*1000))</f>
        <v>42.070359162472585</v>
      </c>
      <c r="Q1001" s="19">
        <f ca="1">IF(O1001="","",IF(Tipo_Vertedor="Retangular",IF(O1001&lt;=cota_s*100,0,IF(Tipo_Vertedor="Retangular",Cd_sr*Lef_sr*((O1001/100-cota_s)^(3/2))*1000)),IF(O1001&lt;=cota_s*100+fi_s/20,0,(OFFSET('Base de dados'!$A$4,IF(O1001&lt;20,1,IF(O1001&gt;1000,10,MATCH(O1001,Cargas,1))),Coluna_fis,1,1))*(PI()*(fi_s/1000)^2/4)*(2*9.81*(O1001/100-cota_s-fi_s/2/1000))^0.5*1000)))</f>
        <v>2875.6282506610619</v>
      </c>
      <c r="R1001" s="19">
        <f t="shared" ca="1" si="163"/>
        <v>2917.6986098235343</v>
      </c>
      <c r="S1001" s="19">
        <f t="shared" ca="1" si="160"/>
        <v>5662.9202190611968</v>
      </c>
    </row>
    <row r="1002" spans="13:19">
      <c r="M1002" s="81">
        <f t="shared" ca="1" si="159"/>
        <v>8592.686564553218</v>
      </c>
      <c r="N1002" s="19">
        <f t="shared" si="161"/>
        <v>170.07866972738151</v>
      </c>
      <c r="O1002" s="17">
        <f t="shared" si="162"/>
        <v>250.25</v>
      </c>
      <c r="P1002" s="19">
        <f ca="1">IF(ISERROR(IF(O1002&lt;fi_h/20,0,(OFFSET('Base de dados'!$A$5,IF(O1002&lt;20,1,IF(O1002&gt;1000,10,MATCH(O1002,Cargas,1))),Coluna_fih,1,1))*(1+0.13*0.25)*(PI()*(fi_h/1000)^2/4)*SQRT(2*9.81*(O1002/100-fi_h/2/1000))*1000)),"",IF(O1002&lt;fi_h/20,0,(OFFSET('Base de dados'!$A$5,IF(O1002&lt;20,1,IF(O1002&gt;1000,10,MATCH(O1002,Cargas,1))),Coluna_fih,1,1))*(PI()*(fi_h/1000)^2/4)*SQRT(2*9.81*(O1002/100-fi_h/2/1000))*1000))</f>
        <v>42.091874347200132</v>
      </c>
      <c r="Q1002" s="19">
        <f ca="1">IF(O1002="","",IF(Tipo_Vertedor="Retangular",IF(O1002&lt;=cota_s*100,0,IF(Tipo_Vertedor="Retangular",Cd_sr*Lef_sr*((O1002/100-cota_s)^(3/2))*1000)),IF(O1002&lt;=cota_s*100+fi_s/20,0,(OFFSET('Base de dados'!$A$4,IF(O1002&lt;20,1,IF(O1002&gt;1000,10,MATCH(O1002,Cargas,1))),Coluna_fis,1,1))*(PI()*(fi_s/1000)^2/4)*(2*9.81*(O1002/100-cota_s-fi_s/2/1000))^0.5*1000)))</f>
        <v>2881.3056992933011</v>
      </c>
      <c r="R1002" s="19">
        <f t="shared" ca="1" si="163"/>
        <v>2923.3975736405014</v>
      </c>
      <c r="S1002" s="19">
        <f t="shared" ca="1" si="160"/>
        <v>5669.2889909127171</v>
      </c>
    </row>
    <row r="1003" spans="13:19">
      <c r="M1003" s="81">
        <f t="shared" ca="1" si="159"/>
        <v>8604.758813354736</v>
      </c>
      <c r="N1003" s="19">
        <f t="shared" si="161"/>
        <v>170.26975666221708</v>
      </c>
      <c r="O1003" s="17">
        <f t="shared" si="162"/>
        <v>250.5</v>
      </c>
      <c r="P1003" s="19">
        <f ca="1">IF(ISERROR(IF(O1003&lt;fi_h/20,0,(OFFSET('Base de dados'!$A$5,IF(O1003&lt;20,1,IF(O1003&gt;1000,10,MATCH(O1003,Cargas,1))),Coluna_fih,1,1))*(1+0.13*0.25)*(PI()*(fi_h/1000)^2/4)*SQRT(2*9.81*(O1003/100-fi_h/2/1000))*1000)),"",IF(O1003&lt;fi_h/20,0,(OFFSET('Base de dados'!$A$5,IF(O1003&lt;20,1,IF(O1003&gt;1000,10,MATCH(O1003,Cargas,1))),Coluna_fih,1,1))*(PI()*(fi_h/1000)^2/4)*SQRT(2*9.81*(O1003/100-fi_h/2/1000))*1000))</f>
        <v>42.113378540097287</v>
      </c>
      <c r="Q1003" s="19">
        <f ca="1">IF(O1003="","",IF(Tipo_Vertedor="Retangular",IF(O1003&lt;=cota_s*100,0,IF(Tipo_Vertedor="Retangular",Cd_sr*Lef_sr*((O1003/100-cota_s)^(3/2))*1000)),IF(O1003&lt;=cota_s*100+fi_s/20,0,(OFFSET('Base de dados'!$A$4,IF(O1003&lt;20,1,IF(O1003&gt;1000,10,MATCH(O1003,Cargas,1))),Coluna_fis,1,1))*(PI()*(fi_s/1000)^2/4)*(2*9.81*(O1003/100-cota_s-fi_s/2/1000))^0.5*1000)))</f>
        <v>2886.9868794074036</v>
      </c>
      <c r="R1003" s="19">
        <f t="shared" ca="1" si="163"/>
        <v>2929.1002579475007</v>
      </c>
      <c r="S1003" s="19">
        <f t="shared" ca="1" si="160"/>
        <v>5675.6585554072362</v>
      </c>
    </row>
    <row r="1004" spans="13:19">
      <c r="M1004" s="81">
        <f t="shared" ca="1" si="159"/>
        <v>8616.8355721642711</v>
      </c>
      <c r="N1004" s="19">
        <f t="shared" si="161"/>
        <v>170.4608673555658</v>
      </c>
      <c r="O1004" s="17">
        <f t="shared" si="162"/>
        <v>250.75</v>
      </c>
      <c r="P1004" s="19">
        <f ca="1">IF(ISERROR(IF(O1004&lt;fi_h/20,0,(OFFSET('Base de dados'!$A$5,IF(O1004&lt;20,1,IF(O1004&gt;1000,10,MATCH(O1004,Cargas,1))),Coluna_fih,1,1))*(1+0.13*0.25)*(PI()*(fi_h/1000)^2/4)*SQRT(2*9.81*(O1004/100-fi_h/2/1000))*1000)),"",IF(O1004&lt;fi_h/20,0,(OFFSET('Base de dados'!$A$5,IF(O1004&lt;20,1,IF(O1004&gt;1000,10,MATCH(O1004,Cargas,1))),Coluna_fih,1,1))*(PI()*(fi_h/1000)^2/4)*SQRT(2*9.81*(O1004/100-fi_h/2/1000))*1000))</f>
        <v>42.134871757993636</v>
      </c>
      <c r="Q1004" s="19">
        <f ca="1">IF(O1004="","",IF(Tipo_Vertedor="Retangular",IF(O1004&lt;=cota_s*100,0,IF(Tipo_Vertedor="Retangular",Cd_sr*Lef_sr*((O1004/100-cota_s)^(3/2))*1000)),IF(O1004&lt;=cota_s*100+fi_s/20,0,(OFFSET('Base de dados'!$A$4,IF(O1004&lt;20,1,IF(O1004&gt;1000,10,MATCH(O1004,Cargas,1))),Coluna_fis,1,1))*(PI()*(fi_s/1000)^2/4)*(2*9.81*(O1004/100-cota_s-fi_s/2/1000))^0.5*1000)))</f>
        <v>2892.6717885540843</v>
      </c>
      <c r="R1004" s="19">
        <f t="shared" ca="1" si="163"/>
        <v>2934.8066603120778</v>
      </c>
      <c r="S1004" s="19">
        <f t="shared" ca="1" si="160"/>
        <v>5682.0289118521932</v>
      </c>
    </row>
    <row r="1005" spans="13:19">
      <c r="M1005" s="81">
        <f t="shared" ca="1" si="159"/>
        <v>8628.9168378628819</v>
      </c>
      <c r="N1005" s="19">
        <f t="shared" si="161"/>
        <v>170.65200178668988</v>
      </c>
      <c r="O1005" s="17">
        <f t="shared" si="162"/>
        <v>251</v>
      </c>
      <c r="P1005" s="19">
        <f ca="1">IF(ISERROR(IF(O1005&lt;fi_h/20,0,(OFFSET('Base de dados'!$A$5,IF(O1005&lt;20,1,IF(O1005&gt;1000,10,MATCH(O1005,Cargas,1))),Coluna_fih,1,1))*(1+0.13*0.25)*(PI()*(fi_h/1000)^2/4)*SQRT(2*9.81*(O1005/100-fi_h/2/1000))*1000)),"",IF(O1005&lt;fi_h/20,0,(OFFSET('Base de dados'!$A$5,IF(O1005&lt;20,1,IF(O1005&gt;1000,10,MATCH(O1005,Cargas,1))),Coluna_fih,1,1))*(PI()*(fi_h/1000)^2/4)*SQRT(2*9.81*(O1005/100-fi_h/2/1000))*1000))</f>
        <v>42.156354017675824</v>
      </c>
      <c r="Q1005" s="19">
        <f ca="1">IF(O1005="","",IF(Tipo_Vertedor="Retangular",IF(O1005&lt;=cota_s*100,0,IF(Tipo_Vertedor="Retangular",Cd_sr*Lef_sr*((O1005/100-cota_s)^(3/2))*1000)),IF(O1005&lt;=cota_s*100+fi_s/20,0,(OFFSET('Base de dados'!$A$4,IF(O1005&lt;20,1,IF(O1005&gt;1000,10,MATCH(O1005,Cargas,1))),Coluna_fis,1,1))*(PI()*(fi_s/1000)^2/4)*(2*9.81*(O1005/100-cota_s-fi_s/2/1000))^0.5*1000)))</f>
        <v>2898.3604242888764</v>
      </c>
      <c r="R1005" s="19">
        <f t="shared" ca="1" si="163"/>
        <v>2940.5167783065522</v>
      </c>
      <c r="S1005" s="19">
        <f t="shared" ca="1" si="160"/>
        <v>5688.4000595563293</v>
      </c>
    </row>
    <row r="1006" spans="13:19">
      <c r="M1006" s="81">
        <f t="shared" ca="1" si="159"/>
        <v>8641.0026073376757</v>
      </c>
      <c r="N1006" s="19">
        <f t="shared" si="161"/>
        <v>170.84315993489017</v>
      </c>
      <c r="O1006" s="17">
        <f t="shared" si="162"/>
        <v>251.25</v>
      </c>
      <c r="P1006" s="19">
        <f ca="1">IF(ISERROR(IF(O1006&lt;fi_h/20,0,(OFFSET('Base de dados'!$A$5,IF(O1006&lt;20,1,IF(O1006&gt;1000,10,MATCH(O1006,Cargas,1))),Coluna_fih,1,1))*(1+0.13*0.25)*(PI()*(fi_h/1000)^2/4)*SQRT(2*9.81*(O1006/100-fi_h/2/1000))*1000)),"",IF(O1006&lt;fi_h/20,0,(OFFSET('Base de dados'!$A$5,IF(O1006&lt;20,1,IF(O1006&gt;1000,10,MATCH(O1006,Cargas,1))),Coluna_fih,1,1))*(PI()*(fi_h/1000)^2/4)*SQRT(2*9.81*(O1006/100-fi_h/2/1000))*1000))</f>
        <v>42.177825335887761</v>
      </c>
      <c r="Q1006" s="19">
        <f ca="1">IF(O1006="","",IF(Tipo_Vertedor="Retangular",IF(O1006&lt;=cota_s*100,0,IF(Tipo_Vertedor="Retangular",Cd_sr*Lef_sr*((O1006/100-cota_s)^(3/2))*1000)),IF(O1006&lt;=cota_s*100+fi_s/20,0,(OFFSET('Base de dados'!$A$4,IF(O1006&lt;20,1,IF(O1006&gt;1000,10,MATCH(O1006,Cargas,1))),Coluna_fis,1,1))*(PI()*(fi_s/1000)^2/4)*(2*9.81*(O1006/100-cota_s-fi_s/2/1000))^0.5*1000)))</f>
        <v>2904.052784172115</v>
      </c>
      <c r="R1006" s="19">
        <f t="shared" ca="1" si="163"/>
        <v>2946.230609508003</v>
      </c>
      <c r="S1006" s="19">
        <f t="shared" ca="1" si="160"/>
        <v>5694.7719978296718</v>
      </c>
    </row>
    <row r="1007" spans="13:19">
      <c r="M1007" s="81">
        <f t="shared" ca="1" si="159"/>
        <v>8653.0928774817839</v>
      </c>
      <c r="N1007" s="19">
        <f t="shared" si="161"/>
        <v>171.03434177950604</v>
      </c>
      <c r="O1007" s="17">
        <f t="shared" si="162"/>
        <v>251.5</v>
      </c>
      <c r="P1007" s="19">
        <f ca="1">IF(ISERROR(IF(O1007&lt;fi_h/20,0,(OFFSET('Base de dados'!$A$5,IF(O1007&lt;20,1,IF(O1007&gt;1000,10,MATCH(O1007,Cargas,1))),Coluna_fih,1,1))*(1+0.13*0.25)*(PI()*(fi_h/1000)^2/4)*SQRT(2*9.81*(O1007/100-fi_h/2/1000))*1000)),"",IF(O1007&lt;fi_h/20,0,(OFFSET('Base de dados'!$A$5,IF(O1007&lt;20,1,IF(O1007&gt;1000,10,MATCH(O1007,Cargas,1))),Coluna_fih,1,1))*(PI()*(fi_h/1000)^2/4)*SQRT(2*9.81*(O1007/100-fi_h/2/1000))*1000))</f>
        <v>42.199285729330768</v>
      </c>
      <c r="Q1007" s="19">
        <f ca="1">IF(O1007="","",IF(Tipo_Vertedor="Retangular",IF(O1007&lt;=cota_s*100,0,IF(Tipo_Vertedor="Retangular",Cd_sr*Lef_sr*((O1007/100-cota_s)^(3/2))*1000)),IF(O1007&lt;=cota_s*100+fi_s/20,0,(OFFSET('Base de dados'!$A$4,IF(O1007&lt;20,1,IF(O1007&gt;1000,10,MATCH(O1007,Cargas,1))),Coluna_fis,1,1))*(PI()*(fi_s/1000)^2/4)*(2*9.81*(O1007/100-cota_s-fi_s/2/1000))^0.5*1000)))</f>
        <v>2909.7488657689173</v>
      </c>
      <c r="R1007" s="19">
        <f t="shared" ca="1" si="163"/>
        <v>2951.9481514982481</v>
      </c>
      <c r="S1007" s="19">
        <f t="shared" ca="1" si="160"/>
        <v>5701.144725983535</v>
      </c>
    </row>
    <row r="1008" spans="13:19">
      <c r="M1008" s="81">
        <f t="shared" ca="1" si="159"/>
        <v>8665.1876451943535</v>
      </c>
      <c r="N1008" s="19">
        <f t="shared" si="161"/>
        <v>171.22554729991552</v>
      </c>
      <c r="O1008" s="17">
        <f t="shared" si="162"/>
        <v>251.75</v>
      </c>
      <c r="P1008" s="19">
        <f ca="1">IF(ISERROR(IF(O1008&lt;fi_h/20,0,(OFFSET('Base de dados'!$A$5,IF(O1008&lt;20,1,IF(O1008&gt;1000,10,MATCH(O1008,Cargas,1))),Coluna_fih,1,1))*(1+0.13*0.25)*(PI()*(fi_h/1000)^2/4)*SQRT(2*9.81*(O1008/100-fi_h/2/1000))*1000)),"",IF(O1008&lt;fi_h/20,0,(OFFSET('Base de dados'!$A$5,IF(O1008&lt;20,1,IF(O1008&gt;1000,10,MATCH(O1008,Cargas,1))),Coluna_fih,1,1))*(PI()*(fi_h/1000)^2/4)*SQRT(2*9.81*(O1008/100-fi_h/2/1000))*1000))</f>
        <v>42.220735214663677</v>
      </c>
      <c r="Q1008" s="19">
        <f ca="1">IF(O1008="","",IF(Tipo_Vertedor="Retangular",IF(O1008&lt;=cota_s*100,0,IF(Tipo_Vertedor="Retangular",Cd_sr*Lef_sr*((O1008/100-cota_s)^(3/2))*1000)),IF(O1008&lt;=cota_s*100+fi_s/20,0,(OFFSET('Base de dados'!$A$4,IF(O1008&lt;20,1,IF(O1008&gt;1000,10,MATCH(O1008,Cargas,1))),Coluna_fis,1,1))*(PI()*(fi_s/1000)^2/4)*(2*9.81*(O1008/100-cota_s-fi_s/2/1000))^0.5*1000)))</f>
        <v>2915.4486666491725</v>
      </c>
      <c r="R1008" s="19">
        <f t="shared" ca="1" si="163"/>
        <v>2957.6694018638364</v>
      </c>
      <c r="S1008" s="19">
        <f t="shared" ca="1" si="160"/>
        <v>5707.5182433305172</v>
      </c>
    </row>
    <row r="1009" spans="13:19">
      <c r="M1009" s="81">
        <f t="shared" ca="1" si="159"/>
        <v>8677.2869073805286</v>
      </c>
      <c r="N1009" s="19">
        <f t="shared" si="161"/>
        <v>171.41677647553507</v>
      </c>
      <c r="O1009" s="17">
        <f t="shared" si="162"/>
        <v>252</v>
      </c>
      <c r="P1009" s="19">
        <f ca="1">IF(ISERROR(IF(O1009&lt;fi_h/20,0,(OFFSET('Base de dados'!$A$5,IF(O1009&lt;20,1,IF(O1009&gt;1000,10,MATCH(O1009,Cargas,1))),Coluna_fih,1,1))*(1+0.13*0.25)*(PI()*(fi_h/1000)^2/4)*SQRT(2*9.81*(O1009/100-fi_h/2/1000))*1000)),"",IF(O1009&lt;fi_h/20,0,(OFFSET('Base de dados'!$A$5,IF(O1009&lt;20,1,IF(O1009&gt;1000,10,MATCH(O1009,Cargas,1))),Coluna_fih,1,1))*(PI()*(fi_h/1000)^2/4)*SQRT(2*9.81*(O1009/100-fi_h/2/1000))*1000))</f>
        <v>42.242173808503097</v>
      </c>
      <c r="Q1009" s="19">
        <f ca="1">IF(O1009="","",IF(Tipo_Vertedor="Retangular",IF(O1009&lt;=cota_s*100,0,IF(Tipo_Vertedor="Retangular",Cd_sr*Lef_sr*((O1009/100-cota_s)^(3/2))*1000)),IF(O1009&lt;=cota_s*100+fi_s/20,0,(OFFSET('Base de dados'!$A$4,IF(O1009&lt;20,1,IF(O1009&gt;1000,10,MATCH(O1009,Cargas,1))),Coluna_fis,1,1))*(PI()*(fi_s/1000)^2/4)*(2*9.81*(O1009/100-cota_s-fi_s/2/1000))^0.5*1000)))</f>
        <v>2921.1521843875234</v>
      </c>
      <c r="R1009" s="19">
        <f t="shared" ca="1" si="163"/>
        <v>2963.3943581960266</v>
      </c>
      <c r="S1009" s="19">
        <f t="shared" ca="1" si="160"/>
        <v>5713.8925491845021</v>
      </c>
    </row>
    <row r="1010" spans="13:19">
      <c r="M1010" s="81">
        <f t="shared" ca="1" si="159"/>
        <v>8689.3906609514197</v>
      </c>
      <c r="N1010" s="19">
        <f t="shared" si="161"/>
        <v>171.60802928581936</v>
      </c>
      <c r="O1010" s="17">
        <f t="shared" si="162"/>
        <v>252.25</v>
      </c>
      <c r="P1010" s="19">
        <f ca="1">IF(ISERROR(IF(O1010&lt;fi_h/20,0,(OFFSET('Base de dados'!$A$5,IF(O1010&lt;20,1,IF(O1010&gt;1000,10,MATCH(O1010,Cargas,1))),Coluna_fih,1,1))*(1+0.13*0.25)*(PI()*(fi_h/1000)^2/4)*SQRT(2*9.81*(O1010/100-fi_h/2/1000))*1000)),"",IF(O1010&lt;fi_h/20,0,(OFFSET('Base de dados'!$A$5,IF(O1010&lt;20,1,IF(O1010&gt;1000,10,MATCH(O1010,Cargas,1))),Coluna_fih,1,1))*(PI()*(fi_h/1000)^2/4)*SQRT(2*9.81*(O1010/100-fi_h/2/1000))*1000))</f>
        <v>42.263601527423432</v>
      </c>
      <c r="Q1010" s="19">
        <f ca="1">IF(O1010="","",IF(Tipo_Vertedor="Retangular",IF(O1010&lt;=cota_s*100,0,IF(Tipo_Vertedor="Retangular",Cd_sr*Lef_sr*((O1010/100-cota_s)^(3/2))*1000)),IF(O1010&lt;=cota_s*100+fi_s/20,0,(OFFSET('Base de dados'!$A$4,IF(O1010&lt;20,1,IF(O1010&gt;1000,10,MATCH(O1010,Cargas,1))),Coluna_fis,1,1))*(PI()*(fi_s/1000)^2/4)*(2*9.81*(O1010/100-cota_s-fi_s/2/1000))^0.5*1000)))</f>
        <v>2926.8594165633517</v>
      </c>
      <c r="R1010" s="19">
        <f t="shared" ca="1" si="163"/>
        <v>2969.1230180907751</v>
      </c>
      <c r="S1010" s="19">
        <f t="shared" ca="1" si="160"/>
        <v>5720.2676428606455</v>
      </c>
    </row>
    <row r="1011" spans="13:19">
      <c r="M1011" s="81">
        <f t="shared" ca="1" si="159"/>
        <v>8701.4989028240925</v>
      </c>
      <c r="N1011" s="19">
        <f t="shared" si="161"/>
        <v>171.79930571026119</v>
      </c>
      <c r="O1011" s="17">
        <f t="shared" si="162"/>
        <v>252.5</v>
      </c>
      <c r="P1011" s="19">
        <f ca="1">IF(ISERROR(IF(O1011&lt;fi_h/20,0,(OFFSET('Base de dados'!$A$5,IF(O1011&lt;20,1,IF(O1011&gt;1000,10,MATCH(O1011,Cargas,1))),Coluna_fih,1,1))*(1+0.13*0.25)*(PI()*(fi_h/1000)^2/4)*SQRT(2*9.81*(O1011/100-fi_h/2/1000))*1000)),"",IF(O1011&lt;fi_h/20,0,(OFFSET('Base de dados'!$A$5,IF(O1011&lt;20,1,IF(O1011&gt;1000,10,MATCH(O1011,Cargas,1))),Coluna_fih,1,1))*(PI()*(fi_h/1000)^2/4)*SQRT(2*9.81*(O1011/100-fi_h/2/1000))*1000))</f>
        <v>42.285018387957102</v>
      </c>
      <c r="Q1011" s="19">
        <f ca="1">IF(O1011="","",IF(Tipo_Vertedor="Retangular",IF(O1011&lt;=cota_s*100,0,IF(Tipo_Vertedor="Retangular",Cd_sr*Lef_sr*((O1011/100-cota_s)^(3/2))*1000)),IF(O1011&lt;=cota_s*100+fi_s/20,0,(OFFSET('Base de dados'!$A$4,IF(O1011&lt;20,1,IF(O1011&gt;1000,10,MATCH(O1011,Cargas,1))),Coluna_fis,1,1))*(PI()*(fi_s/1000)^2/4)*(2*9.81*(O1011/100-cota_s-fi_s/2/1000))^0.5*1000)))</f>
        <v>2932.5703607607611</v>
      </c>
      <c r="R1011" s="19">
        <f t="shared" ca="1" si="163"/>
        <v>2974.8553791487184</v>
      </c>
      <c r="S1011" s="19">
        <f t="shared" ca="1" si="160"/>
        <v>5726.6435236753732</v>
      </c>
    </row>
    <row r="1012" spans="13:19">
      <c r="M1012" s="81">
        <f t="shared" ca="1" si="159"/>
        <v>8713.6116299215482</v>
      </c>
      <c r="N1012" s="19">
        <f t="shared" si="161"/>
        <v>171.99060572839167</v>
      </c>
      <c r="O1012" s="17">
        <f t="shared" si="162"/>
        <v>252.75</v>
      </c>
      <c r="P1012" s="19">
        <f ca="1">IF(ISERROR(IF(O1012&lt;fi_h/20,0,(OFFSET('Base de dados'!$A$5,IF(O1012&lt;20,1,IF(O1012&gt;1000,10,MATCH(O1012,Cargas,1))),Coluna_fih,1,1))*(1+0.13*0.25)*(PI()*(fi_h/1000)^2/4)*SQRT(2*9.81*(O1012/100-fi_h/2/1000))*1000)),"",IF(O1012&lt;fi_h/20,0,(OFFSET('Base de dados'!$A$5,IF(O1012&lt;20,1,IF(O1012&gt;1000,10,MATCH(O1012,Cargas,1))),Coluna_fih,1,1))*(PI()*(fi_h/1000)^2/4)*SQRT(2*9.81*(O1012/100-fi_h/2/1000))*1000))</f>
        <v>42.306424406594722</v>
      </c>
      <c r="Q1012" s="19">
        <f ca="1">IF(O1012="","",IF(Tipo_Vertedor="Retangular",IF(O1012&lt;=cota_s*100,0,IF(Tipo_Vertedor="Retangular",Cd_sr*Lef_sr*((O1012/100-cota_s)^(3/2))*1000)),IF(O1012&lt;=cota_s*100+fi_s/20,0,(OFFSET('Base de dados'!$A$4,IF(O1012&lt;20,1,IF(O1012&gt;1000,10,MATCH(O1012,Cargas,1))),Coluna_fis,1,1))*(PI()*(fi_s/1000)^2/4)*(2*9.81*(O1012/100-cota_s-fi_s/2/1000))^0.5*1000)))</f>
        <v>2938.2850145685638</v>
      </c>
      <c r="R1012" s="19">
        <f t="shared" ca="1" si="163"/>
        <v>2980.5914389751588</v>
      </c>
      <c r="S1012" s="19">
        <f t="shared" ca="1" si="160"/>
        <v>5733.0201909463894</v>
      </c>
    </row>
    <row r="1013" spans="13:19">
      <c r="M1013" s="81">
        <f t="shared" ca="1" si="159"/>
        <v>8725.7288391727052</v>
      </c>
      <c r="N1013" s="19">
        <f t="shared" si="161"/>
        <v>172.18192931977964</v>
      </c>
      <c r="O1013" s="17">
        <f t="shared" si="162"/>
        <v>253</v>
      </c>
      <c r="P1013" s="19">
        <f ca="1">IF(ISERROR(IF(O1013&lt;fi_h/20,0,(OFFSET('Base de dados'!$A$5,IF(O1013&lt;20,1,IF(O1013&gt;1000,10,MATCH(O1013,Cargas,1))),Coluna_fih,1,1))*(1+0.13*0.25)*(PI()*(fi_h/1000)^2/4)*SQRT(2*9.81*(O1013/100-fi_h/2/1000))*1000)),"",IF(O1013&lt;fi_h/20,0,(OFFSET('Base de dados'!$A$5,IF(O1013&lt;20,1,IF(O1013&gt;1000,10,MATCH(O1013,Cargas,1))),Coluna_fih,1,1))*(PI()*(fi_h/1000)^2/4)*SQRT(2*9.81*(O1013/100-fi_h/2/1000))*1000))</f>
        <v>42.327819599785158</v>
      </c>
      <c r="Q1013" s="19">
        <f ca="1">IF(O1013="","",IF(Tipo_Vertedor="Retangular",IF(O1013&lt;=cota_s*100,0,IF(Tipo_Vertedor="Retangular",Cd_sr*Lef_sr*((O1013/100-cota_s)^(3/2))*1000)),IF(O1013&lt;=cota_s*100+fi_s/20,0,(OFFSET('Base de dados'!$A$4,IF(O1013&lt;20,1,IF(O1013&gt;1000,10,MATCH(O1013,Cargas,1))),Coluna_fis,1,1))*(PI()*(fi_s/1000)^2/4)*(2*9.81*(O1013/100-cota_s-fi_s/2/1000))^0.5*1000)))</f>
        <v>2944.0033755802651</v>
      </c>
      <c r="R1013" s="19">
        <f t="shared" ca="1" si="163"/>
        <v>2986.3311951800501</v>
      </c>
      <c r="S1013" s="19">
        <f t="shared" ca="1" si="160"/>
        <v>5739.3976439926546</v>
      </c>
    </row>
    <row r="1014" spans="13:19">
      <c r="M1014" s="81">
        <f t="shared" ca="1" si="159"/>
        <v>8737.8505275123844</v>
      </c>
      <c r="N1014" s="19">
        <f t="shared" si="161"/>
        <v>172.37327646403202</v>
      </c>
      <c r="O1014" s="17">
        <f t="shared" si="162"/>
        <v>253.25</v>
      </c>
      <c r="P1014" s="19">
        <f ca="1">IF(ISERROR(IF(O1014&lt;fi_h/20,0,(OFFSET('Base de dados'!$A$5,IF(O1014&lt;20,1,IF(O1014&gt;1000,10,MATCH(O1014,Cargas,1))),Coluna_fih,1,1))*(1+0.13*0.25)*(PI()*(fi_h/1000)^2/4)*SQRT(2*9.81*(O1014/100-fi_h/2/1000))*1000)),"",IF(O1014&lt;fi_h/20,0,(OFFSET('Base de dados'!$A$5,IF(O1014&lt;20,1,IF(O1014&gt;1000,10,MATCH(O1014,Cargas,1))),Coluna_fih,1,1))*(PI()*(fi_h/1000)^2/4)*SQRT(2*9.81*(O1014/100-fi_h/2/1000))*1000))</f>
        <v>42.349203983935752</v>
      </c>
      <c r="Q1014" s="19">
        <f ca="1">IF(O1014="","",IF(Tipo_Vertedor="Retangular",IF(O1014&lt;=cota_s*100,0,IF(Tipo_Vertedor="Retangular",Cd_sr*Lef_sr*((O1014/100-cota_s)^(3/2))*1000)),IF(O1014&lt;=cota_s*100+fi_s/20,0,(OFFSET('Base de dados'!$A$4,IF(O1014&lt;20,1,IF(O1014&gt;1000,10,MATCH(O1014,Cargas,1))),Coluna_fis,1,1))*(PI()*(fi_s/1000)^2/4)*(2*9.81*(O1014/100-cota_s-fi_s/2/1000))^0.5*1000)))</f>
        <v>2949.7254413940482</v>
      </c>
      <c r="R1014" s="19">
        <f t="shared" ca="1" si="163"/>
        <v>2992.0746453779839</v>
      </c>
      <c r="S1014" s="19">
        <f t="shared" ca="1" si="160"/>
        <v>5745.7758821344005</v>
      </c>
    </row>
    <row r="1015" spans="13:19">
      <c r="M1015" s="81">
        <f t="shared" ca="1" si="159"/>
        <v>8749.9766918812766</v>
      </c>
      <c r="N1015" s="19">
        <f t="shared" si="161"/>
        <v>172.56464714079326</v>
      </c>
      <c r="O1015" s="17">
        <f t="shared" si="162"/>
        <v>253.5</v>
      </c>
      <c r="P1015" s="19">
        <f ca="1">IF(ISERROR(IF(O1015&lt;fi_h/20,0,(OFFSET('Base de dados'!$A$5,IF(O1015&lt;20,1,IF(O1015&gt;1000,10,MATCH(O1015,Cargas,1))),Coluna_fih,1,1))*(1+0.13*0.25)*(PI()*(fi_h/1000)^2/4)*SQRT(2*9.81*(O1015/100-fi_h/2/1000))*1000)),"",IF(O1015&lt;fi_h/20,0,(OFFSET('Base de dados'!$A$5,IF(O1015&lt;20,1,IF(O1015&gt;1000,10,MATCH(O1015,Cargas,1))),Coluna_fih,1,1))*(PI()*(fi_h/1000)^2/4)*SQRT(2*9.81*(O1015/100-fi_h/2/1000))*1000))</f>
        <v>42.370577575412426</v>
      </c>
      <c r="Q1015" s="19">
        <f ca="1">IF(O1015="","",IF(Tipo_Vertedor="Retangular",IF(O1015&lt;=cota_s*100,0,IF(Tipo_Vertedor="Retangular",Cd_sr*Lef_sr*((O1015/100-cota_s)^(3/2))*1000)),IF(O1015&lt;=cota_s*100+fi_s/20,0,(OFFSET('Base de dados'!$A$4,IF(O1015&lt;20,1,IF(O1015&gt;1000,10,MATCH(O1015,Cargas,1))),Coluna_fis,1,1))*(PI()*(fi_s/1000)^2/4)*(2*9.81*(O1015/100-cota_s-fi_s/2/1000))^0.5*1000)))</f>
        <v>2955.451209612756</v>
      </c>
      <c r="R1015" s="19">
        <f t="shared" ca="1" si="163"/>
        <v>2997.8217871881684</v>
      </c>
      <c r="S1015" s="19">
        <f t="shared" ca="1" si="160"/>
        <v>5752.1549046931086</v>
      </c>
    </row>
    <row r="1016" spans="13:19">
      <c r="M1016" s="81">
        <f t="shared" ca="1" si="159"/>
        <v>8762.1073292259389</v>
      </c>
      <c r="N1016" s="19">
        <f t="shared" si="161"/>
        <v>172.75604132974561</v>
      </c>
      <c r="O1016" s="17">
        <f t="shared" si="162"/>
        <v>253.75</v>
      </c>
      <c r="P1016" s="19">
        <f ca="1">IF(ISERROR(IF(O1016&lt;fi_h/20,0,(OFFSET('Base de dados'!$A$5,IF(O1016&lt;20,1,IF(O1016&gt;1000,10,MATCH(O1016,Cargas,1))),Coluna_fih,1,1))*(1+0.13*0.25)*(PI()*(fi_h/1000)^2/4)*SQRT(2*9.81*(O1016/100-fi_h/2/1000))*1000)),"",IF(O1016&lt;fi_h/20,0,(OFFSET('Base de dados'!$A$5,IF(O1016&lt;20,1,IF(O1016&gt;1000,10,MATCH(O1016,Cargas,1))),Coluna_fih,1,1))*(PI()*(fi_h/1000)^2/4)*SQRT(2*9.81*(O1016/100-fi_h/2/1000))*1000))</f>
        <v>42.391940390539872</v>
      </c>
      <c r="Q1016" s="19">
        <f ca="1">IF(O1016="","",IF(Tipo_Vertedor="Retangular",IF(O1016&lt;=cota_s*100,0,IF(Tipo_Vertedor="Retangular",Cd_sr*Lef_sr*((O1016/100-cota_s)^(3/2))*1000)),IF(O1016&lt;=cota_s*100+fi_s/20,0,(OFFSET('Base de dados'!$A$4,IF(O1016&lt;20,1,IF(O1016&gt;1000,10,MATCH(O1016,Cargas,1))),Coluna_fis,1,1))*(PI()*(fi_s/1000)^2/4)*(2*9.81*(O1016/100-cota_s-fi_s/2/1000))^0.5*1000)))</f>
        <v>2961.1806778438795</v>
      </c>
      <c r="R1016" s="19">
        <f t="shared" ca="1" si="163"/>
        <v>3003.5726182344192</v>
      </c>
      <c r="S1016" s="19">
        <f t="shared" ca="1" si="160"/>
        <v>5758.5347109915201</v>
      </c>
    </row>
    <row r="1017" spans="13:19">
      <c r="M1017" s="81">
        <f t="shared" ca="1" si="159"/>
        <v>8774.2424364987746</v>
      </c>
      <c r="N1017" s="19">
        <f t="shared" si="161"/>
        <v>172.9474590106089</v>
      </c>
      <c r="O1017" s="17">
        <f t="shared" si="162"/>
        <v>254</v>
      </c>
      <c r="P1017" s="19">
        <f ca="1">IF(ISERROR(IF(O1017&lt;fi_h/20,0,(OFFSET('Base de dados'!$A$5,IF(O1017&lt;20,1,IF(O1017&gt;1000,10,MATCH(O1017,Cargas,1))),Coluna_fih,1,1))*(1+0.13*0.25)*(PI()*(fi_h/1000)^2/4)*SQRT(2*9.81*(O1017/100-fi_h/2/1000))*1000)),"",IF(O1017&lt;fi_h/20,0,(OFFSET('Base de dados'!$A$5,IF(O1017&lt;20,1,IF(O1017&gt;1000,10,MATCH(O1017,Cargas,1))),Coluna_fih,1,1))*(PI()*(fi_h/1000)^2/4)*SQRT(2*9.81*(O1017/100-fi_h/2/1000))*1000))</f>
        <v>42.413292445601627</v>
      </c>
      <c r="Q1017" s="19">
        <f ca="1">IF(O1017="","",IF(Tipo_Vertedor="Retangular",IF(O1017&lt;=cota_s*100,0,IF(Tipo_Vertedor="Retangular",Cd_sr*Lef_sr*((O1017/100-cota_s)^(3/2))*1000)),IF(O1017&lt;=cota_s*100+fi_s/20,0,(OFFSET('Base de dados'!$A$4,IF(O1017&lt;20,1,IF(O1017&gt;1000,10,MATCH(O1017,Cargas,1))),Coluna_fis,1,1))*(PI()*(fi_s/1000)^2/4)*(2*9.81*(O1017/100-cota_s-fi_s/2/1000))^0.5*1000)))</f>
        <v>2966.9138436995436</v>
      </c>
      <c r="R1017" s="19">
        <f t="shared" ca="1" si="163"/>
        <v>3009.3271361451452</v>
      </c>
      <c r="S1017" s="19">
        <f t="shared" ca="1" si="160"/>
        <v>5764.9153003536303</v>
      </c>
    </row>
    <row r="1018" spans="13:19">
      <c r="M1018" s="81">
        <f t="shared" ca="1" si="159"/>
        <v>8786.3820106580024</v>
      </c>
      <c r="N1018" s="19">
        <f t="shared" si="161"/>
        <v>173.13890016314022</v>
      </c>
      <c r="O1018" s="17">
        <f t="shared" si="162"/>
        <v>254.25</v>
      </c>
      <c r="P1018" s="19">
        <f ca="1">IF(ISERROR(IF(O1018&lt;fi_h/20,0,(OFFSET('Base de dados'!$A$5,IF(O1018&lt;20,1,IF(O1018&gt;1000,10,MATCH(O1018,Cargas,1))),Coluna_fih,1,1))*(1+0.13*0.25)*(PI()*(fi_h/1000)^2/4)*SQRT(2*9.81*(O1018/100-fi_h/2/1000))*1000)),"",IF(O1018&lt;fi_h/20,0,(OFFSET('Base de dados'!$A$5,IF(O1018&lt;20,1,IF(O1018&gt;1000,10,MATCH(O1018,Cargas,1))),Coluna_fih,1,1))*(PI()*(fi_h/1000)^2/4)*SQRT(2*9.81*(O1018/100-fi_h/2/1000))*1000))</f>
        <v>42.434633756840313</v>
      </c>
      <c r="Q1018" s="19">
        <f ca="1">IF(O1018="","",IF(Tipo_Vertedor="Retangular",IF(O1018&lt;=cota_s*100,0,IF(Tipo_Vertedor="Retangular",Cd_sr*Lef_sr*((O1018/100-cota_s)^(3/2))*1000)),IF(O1018&lt;=cota_s*100+fi_s/20,0,(OFFSET('Base de dados'!$A$4,IF(O1018&lt;20,1,IF(O1018&gt;1000,10,MATCH(O1018,Cargas,1))),Coluna_fis,1,1))*(PI()*(fi_s/1000)^2/4)*(2*9.81*(O1018/100-cota_s-fi_s/2/1000))^0.5*1000)))</f>
        <v>2972.6507047964888</v>
      </c>
      <c r="R1018" s="19">
        <f t="shared" ca="1" si="163"/>
        <v>3015.0853385533292</v>
      </c>
      <c r="S1018" s="19">
        <f t="shared" ca="1" si="160"/>
        <v>5771.2966721046741</v>
      </c>
    </row>
    <row r="1019" spans="13:19">
      <c r="M1019" s="81">
        <f t="shared" ca="1" si="159"/>
        <v>8798.5260486676561</v>
      </c>
      <c r="N1019" s="19">
        <f t="shared" si="161"/>
        <v>173.33036476713417</v>
      </c>
      <c r="O1019" s="17">
        <f t="shared" si="162"/>
        <v>254.5</v>
      </c>
      <c r="P1019" s="19">
        <f ca="1">IF(ISERROR(IF(O1019&lt;fi_h/20,0,(OFFSET('Base de dados'!$A$5,IF(O1019&lt;20,1,IF(O1019&gt;1000,10,MATCH(O1019,Cargas,1))),Coluna_fih,1,1))*(1+0.13*0.25)*(PI()*(fi_h/1000)^2/4)*SQRT(2*9.81*(O1019/100-fi_h/2/1000))*1000)),"",IF(O1019&lt;fi_h/20,0,(OFFSET('Base de dados'!$A$5,IF(O1019&lt;20,1,IF(O1019&gt;1000,10,MATCH(O1019,Cargas,1))),Coluna_fih,1,1))*(PI()*(fi_h/1000)^2/4)*SQRT(2*9.81*(O1019/100-fi_h/2/1000))*1000))</f>
        <v>42.45596434045769</v>
      </c>
      <c r="Q1019" s="19">
        <f ca="1">IF(O1019="","",IF(Tipo_Vertedor="Retangular",IF(O1019&lt;=cota_s*100,0,IF(Tipo_Vertedor="Retangular",Cd_sr*Lef_sr*((O1019/100-cota_s)^(3/2))*1000)),IF(O1019&lt;=cota_s*100+fi_s/20,0,(OFFSET('Base de dados'!$A$4,IF(O1019&lt;20,1,IF(O1019&gt;1000,10,MATCH(O1019,Cargas,1))),Coluna_fis,1,1))*(PI()*(fi_s/1000)^2/4)*(2*9.81*(O1019/100-cota_s-fi_s/2/1000))^0.5*1000)))</f>
        <v>2978.391258756059</v>
      </c>
      <c r="R1019" s="19">
        <f t="shared" ca="1" si="163"/>
        <v>3020.8472230965167</v>
      </c>
      <c r="S1019" s="19">
        <f t="shared" ca="1" si="160"/>
        <v>5777.678825571139</v>
      </c>
    </row>
    <row r="1020" spans="13:19">
      <c r="M1020" s="81">
        <f t="shared" ca="1" si="159"/>
        <v>8810.6745474975487</v>
      </c>
      <c r="N1020" s="19">
        <f t="shared" si="161"/>
        <v>173.5218528024225</v>
      </c>
      <c r="O1020" s="17">
        <f t="shared" si="162"/>
        <v>254.75</v>
      </c>
      <c r="P1020" s="19">
        <f ca="1">IF(ISERROR(IF(O1020&lt;fi_h/20,0,(OFFSET('Base de dados'!$A$5,IF(O1020&lt;20,1,IF(O1020&gt;1000,10,MATCH(O1020,Cargas,1))),Coluna_fih,1,1))*(1+0.13*0.25)*(PI()*(fi_h/1000)^2/4)*SQRT(2*9.81*(O1020/100-fi_h/2/1000))*1000)),"",IF(O1020&lt;fi_h/20,0,(OFFSET('Base de dados'!$A$5,IF(O1020&lt;20,1,IF(O1020&gt;1000,10,MATCH(O1020,Cargas,1))),Coluna_fih,1,1))*(PI()*(fi_h/1000)^2/4)*SQRT(2*9.81*(O1020/100-fi_h/2/1000))*1000))</f>
        <v>42.47728421261484</v>
      </c>
      <c r="Q1020" s="19">
        <f ca="1">IF(O1020="","",IF(Tipo_Vertedor="Retangular",IF(O1020&lt;=cota_s*100,0,IF(Tipo_Vertedor="Retangular",Cd_sr*Lef_sr*((O1020/100-cota_s)^(3/2))*1000)),IF(O1020&lt;=cota_s*100+fi_s/20,0,(OFFSET('Base de dados'!$A$4,IF(O1020&lt;20,1,IF(O1020&gt;1000,10,MATCH(O1020,Cargas,1))),Coluna_fis,1,1))*(PI()*(fi_s/1000)^2/4)*(2*9.81*(O1020/100-cota_s-fi_s/2/1000))^0.5*1000)))</f>
        <v>2984.1355032041834</v>
      </c>
      <c r="R1020" s="19">
        <f t="shared" ca="1" si="163"/>
        <v>3026.6127874167983</v>
      </c>
      <c r="S1020" s="19">
        <f t="shared" ca="1" si="160"/>
        <v>5784.06176008075</v>
      </c>
    </row>
    <row r="1021" spans="13:19">
      <c r="M1021" s="81">
        <f t="shared" ca="1" si="159"/>
        <v>8822.82750412327</v>
      </c>
      <c r="N1021" s="19">
        <f t="shared" si="161"/>
        <v>173.71336424887409</v>
      </c>
      <c r="O1021" s="17">
        <f t="shared" si="162"/>
        <v>255</v>
      </c>
      <c r="P1021" s="19">
        <f ca="1">IF(ISERROR(IF(O1021&lt;fi_h/20,0,(OFFSET('Base de dados'!$A$5,IF(O1021&lt;20,1,IF(O1021&gt;1000,10,MATCH(O1021,Cargas,1))),Coluna_fih,1,1))*(1+0.13*0.25)*(PI()*(fi_h/1000)^2/4)*SQRT(2*9.81*(O1021/100-fi_h/2/1000))*1000)),"",IF(O1021&lt;fi_h/20,0,(OFFSET('Base de dados'!$A$5,IF(O1021&lt;20,1,IF(O1021&gt;1000,10,MATCH(O1021,Cargas,1))),Coluna_fih,1,1))*(PI()*(fi_h/1000)^2/4)*SQRT(2*9.81*(O1021/100-fi_h/2/1000))*1000))</f>
        <v>42.498593389432315</v>
      </c>
      <c r="Q1021" s="19">
        <f ca="1">IF(O1021="","",IF(Tipo_Vertedor="Retangular",IF(O1021&lt;=cota_s*100,0,IF(Tipo_Vertedor="Retangular",Cd_sr*Lef_sr*((O1021/100-cota_s)^(3/2))*1000)),IF(O1021&lt;=cota_s*100+fi_s/20,0,(OFFSET('Base de dados'!$A$4,IF(O1021&lt;20,1,IF(O1021&gt;1000,10,MATCH(O1021,Cargas,1))),Coluna_fis,1,1))*(PI()*(fi_s/1000)^2/4)*(2*9.81*(O1021/100-cota_s-fi_s/2/1000))^0.5*1000)))</f>
        <v>2989.8834357713677</v>
      </c>
      <c r="R1021" s="19">
        <f t="shared" ca="1" si="163"/>
        <v>3032.3820291607999</v>
      </c>
      <c r="S1021" s="19">
        <f t="shared" ca="1" si="160"/>
        <v>5790.4454749624692</v>
      </c>
    </row>
    <row r="1022" spans="13:19">
      <c r="M1022" s="81">
        <f t="shared" ca="1" si="159"/>
        <v>8834.9849155261581</v>
      </c>
      <c r="N1022" s="19">
        <f t="shared" si="161"/>
        <v>173.90489908639481</v>
      </c>
      <c r="O1022" s="17">
        <f t="shared" si="162"/>
        <v>255.25</v>
      </c>
      <c r="P1022" s="19">
        <f ca="1">IF(ISERROR(IF(O1022&lt;fi_h/20,0,(OFFSET('Base de dados'!$A$5,IF(O1022&lt;20,1,IF(O1022&gt;1000,10,MATCH(O1022,Cargas,1))),Coluna_fih,1,1))*(1+0.13*0.25)*(PI()*(fi_h/1000)^2/4)*SQRT(2*9.81*(O1022/100-fi_h/2/1000))*1000)),"",IF(O1022&lt;fi_h/20,0,(OFFSET('Base de dados'!$A$5,IF(O1022&lt;20,1,IF(O1022&gt;1000,10,MATCH(O1022,Cargas,1))),Coluna_fih,1,1))*(PI()*(fi_h/1000)^2/4)*SQRT(2*9.81*(O1022/100-fi_h/2/1000))*1000))</f>
        <v>42.519891886990301</v>
      </c>
      <c r="Q1022" s="19">
        <f ca="1">IF(O1022="","",IF(Tipo_Vertedor="Retangular",IF(O1022&lt;=cota_s*100,0,IF(Tipo_Vertedor="Retangular",Cd_sr*Lef_sr*((O1022/100-cota_s)^(3/2))*1000)),IF(O1022&lt;=cota_s*100+fi_s/20,0,(OFFSET('Base de dados'!$A$4,IF(O1022&lt;20,1,IF(O1022&gt;1000,10,MATCH(O1022,Cargas,1))),Coluna_fis,1,1))*(PI()*(fi_s/1000)^2/4)*(2*9.81*(O1022/100-cota_s-fi_s/2/1000))^0.5*1000)))</f>
        <v>2995.6350540926737</v>
      </c>
      <c r="R1022" s="19">
        <f t="shared" ca="1" si="163"/>
        <v>3038.1549459796638</v>
      </c>
      <c r="S1022" s="19">
        <f t="shared" ca="1" si="160"/>
        <v>5796.8299695464939</v>
      </c>
    </row>
    <row r="1023" spans="13:19">
      <c r="M1023" s="81">
        <f t="shared" ca="1" si="159"/>
        <v>8847.1467786932826</v>
      </c>
      <c r="N1023" s="19">
        <f t="shared" si="161"/>
        <v>174.09645729492746</v>
      </c>
      <c r="O1023" s="17">
        <f t="shared" si="162"/>
        <v>255.5</v>
      </c>
      <c r="P1023" s="19">
        <f ca="1">IF(ISERROR(IF(O1023&lt;fi_h/20,0,(OFFSET('Base de dados'!$A$5,IF(O1023&lt;20,1,IF(O1023&gt;1000,10,MATCH(O1023,Cargas,1))),Coluna_fih,1,1))*(1+0.13*0.25)*(PI()*(fi_h/1000)^2/4)*SQRT(2*9.81*(O1023/100-fi_h/2/1000))*1000)),"",IF(O1023&lt;fi_h/20,0,(OFFSET('Base de dados'!$A$5,IF(O1023&lt;20,1,IF(O1023&gt;1000,10,MATCH(O1023,Cargas,1))),Coluna_fih,1,1))*(PI()*(fi_h/1000)^2/4)*SQRT(2*9.81*(O1023/100-fi_h/2/1000))*1000))</f>
        <v>42.541179721328675</v>
      </c>
      <c r="Q1023" s="19">
        <f ca="1">IF(O1023="","",IF(Tipo_Vertedor="Retangular",IF(O1023&lt;=cota_s*100,0,IF(Tipo_Vertedor="Retangular",Cd_sr*Lef_sr*((O1023/100-cota_s)^(3/2))*1000)),IF(O1023&lt;=cota_s*100+fi_s/20,0,(OFFSET('Base de dados'!$A$4,IF(O1023&lt;20,1,IF(O1023&gt;1000,10,MATCH(O1023,Cargas,1))),Coluna_fis,1,1))*(PI()*(fi_s/1000)^2/4)*(2*9.81*(O1023/100-cota_s-fi_s/2/1000))^0.5*1000)))</f>
        <v>3001.390355807705</v>
      </c>
      <c r="R1023" s="19">
        <f t="shared" ca="1" si="163"/>
        <v>3043.9315355290337</v>
      </c>
      <c r="S1023" s="19">
        <f t="shared" ca="1" si="160"/>
        <v>5803.2152431642489</v>
      </c>
    </row>
    <row r="1024" spans="13:19">
      <c r="M1024" s="81">
        <f t="shared" ca="1" si="159"/>
        <v>8859.313090617432</v>
      </c>
      <c r="N1024" s="19">
        <f t="shared" si="161"/>
        <v>174.28803885445166</v>
      </c>
      <c r="O1024" s="17">
        <f t="shared" si="162"/>
        <v>255.75</v>
      </c>
      <c r="P1024" s="19">
        <f ca="1">IF(ISERROR(IF(O1024&lt;fi_h/20,0,(OFFSET('Base de dados'!$A$5,IF(O1024&lt;20,1,IF(O1024&gt;1000,10,MATCH(O1024,Cargas,1))),Coluna_fih,1,1))*(1+0.13*0.25)*(PI()*(fi_h/1000)^2/4)*SQRT(2*9.81*(O1024/100-fi_h/2/1000))*1000)),"",IF(O1024&lt;fi_h/20,0,(OFFSET('Base de dados'!$A$5,IF(O1024&lt;20,1,IF(O1024&gt;1000,10,MATCH(O1024,Cargas,1))),Coluna_fih,1,1))*(PI()*(fi_h/1000)^2/4)*SQRT(2*9.81*(O1024/100-fi_h/2/1000))*1000))</f>
        <v>42.56245690844726</v>
      </c>
      <c r="Q1024" s="19">
        <f ca="1">IF(O1024="","",IF(Tipo_Vertedor="Retangular",IF(O1024&lt;=cota_s*100,0,IF(Tipo_Vertedor="Retangular",Cd_sr*Lef_sr*((O1024/100-cota_s)^(3/2))*1000)),IF(O1024&lt;=cota_s*100+fi_s/20,0,(OFFSET('Base de dados'!$A$4,IF(O1024&lt;20,1,IF(O1024&gt;1000,10,MATCH(O1024,Cargas,1))),Coluna_fis,1,1))*(PI()*(fi_s/1000)^2/4)*(2*9.81*(O1024/100-cota_s-fi_s/2/1000))^0.5*1000)))</f>
        <v>3007.1493385605972</v>
      </c>
      <c r="R1024" s="19">
        <f t="shared" ca="1" si="163"/>
        <v>3049.7117954690443</v>
      </c>
      <c r="S1024" s="19">
        <f t="shared" ca="1" si="160"/>
        <v>5809.6012951483881</v>
      </c>
    </row>
    <row r="1025" spans="13:19">
      <c r="M1025" s="81">
        <f t="shared" ca="1" si="159"/>
        <v>8871.4838482970954</v>
      </c>
      <c r="N1025" s="19">
        <f t="shared" si="161"/>
        <v>174.47964374498372</v>
      </c>
      <c r="O1025" s="17">
        <f t="shared" si="162"/>
        <v>256</v>
      </c>
      <c r="P1025" s="19">
        <f ca="1">IF(ISERROR(IF(O1025&lt;fi_h/20,0,(OFFSET('Base de dados'!$A$5,IF(O1025&lt;20,1,IF(O1025&gt;1000,10,MATCH(O1025,Cargas,1))),Coluna_fih,1,1))*(1+0.13*0.25)*(PI()*(fi_h/1000)^2/4)*SQRT(2*9.81*(O1025/100-fi_h/2/1000))*1000)),"",IF(O1025&lt;fi_h/20,0,(OFFSET('Base de dados'!$A$5,IF(O1025&lt;20,1,IF(O1025&gt;1000,10,MATCH(O1025,Cargas,1))),Coluna_fih,1,1))*(PI()*(fi_h/1000)^2/4)*SQRT(2*9.81*(O1025/100-fi_h/2/1000))*1000))</f>
        <v>42.583723464305848</v>
      </c>
      <c r="Q1025" s="19">
        <f ca="1">IF(O1025="","",IF(Tipo_Vertedor="Retangular",IF(O1025&lt;=cota_s*100,0,IF(Tipo_Vertedor="Retangular",Cd_sr*Lef_sr*((O1025/100-cota_s)^(3/2))*1000)),IF(O1025&lt;=cota_s*100+fi_s/20,0,(OFFSET('Base de dados'!$A$4,IF(O1025&lt;20,1,IF(O1025&gt;1000,10,MATCH(O1025,Cargas,1))),Coluna_fis,1,1))*(PI()*(fi_s/1000)^2/4)*(2*9.81*(O1025/100-cota_s-fi_s/2/1000))^0.5*1000)))</f>
        <v>3012.9120000000003</v>
      </c>
      <c r="R1025" s="19">
        <f t="shared" ca="1" si="163"/>
        <v>3055.4957234643061</v>
      </c>
      <c r="S1025" s="19">
        <f t="shared" ca="1" si="160"/>
        <v>5815.9881248327902</v>
      </c>
    </row>
    <row r="1026" spans="13:19">
      <c r="M1026" s="81">
        <f t="shared" ca="1" si="159"/>
        <v>8883.659048736441</v>
      </c>
      <c r="N1026" s="19">
        <f t="shared" si="161"/>
        <v>174.67127194657664</v>
      </c>
      <c r="O1026" s="17">
        <f t="shared" si="162"/>
        <v>256.25</v>
      </c>
      <c r="P1026" s="19">
        <f ca="1">IF(ISERROR(IF(O1026&lt;fi_h/20,0,(OFFSET('Base de dados'!$A$5,IF(O1026&lt;20,1,IF(O1026&gt;1000,10,MATCH(O1026,Cargas,1))),Coluna_fih,1,1))*(1+0.13*0.25)*(PI()*(fi_h/1000)^2/4)*SQRT(2*9.81*(O1026/100-fi_h/2/1000))*1000)),"",IF(O1026&lt;fi_h/20,0,(OFFSET('Base de dados'!$A$5,IF(O1026&lt;20,1,IF(O1026&gt;1000,10,MATCH(O1026,Cargas,1))),Coluna_fih,1,1))*(PI()*(fi_h/1000)^2/4)*SQRT(2*9.81*(O1026/100-fi_h/2/1000))*1000))</f>
        <v>42.604979404824448</v>
      </c>
      <c r="Q1026" s="19">
        <f ca="1">IF(O1026="","",IF(Tipo_Vertedor="Retangular",IF(O1026&lt;=cota_s*100,0,IF(Tipo_Vertedor="Retangular",Cd_sr*Lef_sr*((O1026/100-cota_s)^(3/2))*1000)),IF(O1026&lt;=cota_s*100+fi_s/20,0,(OFFSET('Base de dados'!$A$4,IF(O1026&lt;20,1,IF(O1026&gt;1000,10,MATCH(O1026,Cargas,1))),Coluna_fis,1,1))*(PI()*(fi_s/1000)^2/4)*(2*9.81*(O1026/100-cota_s-fi_s/2/1000))^0.5*1000)))</f>
        <v>3018.6783377790621</v>
      </c>
      <c r="R1026" s="19">
        <f t="shared" ca="1" si="163"/>
        <v>3061.2833171838865</v>
      </c>
      <c r="S1026" s="19">
        <f t="shared" ca="1" si="160"/>
        <v>5822.3757315525545</v>
      </c>
    </row>
    <row r="1027" spans="13:19">
      <c r="M1027" s="81">
        <f t="shared" ca="1" si="159"/>
        <v>8895.8386889452941</v>
      </c>
      <c r="N1027" s="19">
        <f t="shared" si="161"/>
        <v>174.86292343931973</v>
      </c>
      <c r="O1027" s="17">
        <f t="shared" si="162"/>
        <v>256.5</v>
      </c>
      <c r="P1027" s="19">
        <f ca="1">IF(ISERROR(IF(O1027&lt;fi_h/20,0,(OFFSET('Base de dados'!$A$5,IF(O1027&lt;20,1,IF(O1027&gt;1000,10,MATCH(O1027,Cargas,1))),Coluna_fih,1,1))*(1+0.13*0.25)*(PI()*(fi_h/1000)^2/4)*SQRT(2*9.81*(O1027/100-fi_h/2/1000))*1000)),"",IF(O1027&lt;fi_h/20,0,(OFFSET('Base de dados'!$A$5,IF(O1027&lt;20,1,IF(O1027&gt;1000,10,MATCH(O1027,Cargas,1))),Coluna_fih,1,1))*(PI()*(fi_h/1000)^2/4)*SQRT(2*9.81*(O1027/100-fi_h/2/1000))*1000))</f>
        <v>42.626224745883356</v>
      </c>
      <c r="Q1027" s="19">
        <f ca="1">IF(O1027="","",IF(Tipo_Vertedor="Retangular",IF(O1027&lt;=cota_s*100,0,IF(Tipo_Vertedor="Retangular",Cd_sr*Lef_sr*((O1027/100-cota_s)^(3/2))*1000)),IF(O1027&lt;=cota_s*100+fi_s/20,0,(OFFSET('Base de dados'!$A$4,IF(O1027&lt;20,1,IF(O1027&gt;1000,10,MATCH(O1027,Cargas,1))),Coluna_fis,1,1))*(PI()*(fi_s/1000)^2/4)*(2*9.81*(O1027/100-cota_s-fi_s/2/1000))^0.5*1000)))</f>
        <v>3024.4483495554196</v>
      </c>
      <c r="R1027" s="19">
        <f t="shared" ca="1" si="163"/>
        <v>3067.0745743013031</v>
      </c>
      <c r="S1027" s="19">
        <f t="shared" ca="1" si="160"/>
        <v>5828.764114643991</v>
      </c>
    </row>
    <row r="1028" spans="13:19">
      <c r="M1028" s="81">
        <f t="shared" ca="1" si="159"/>
        <v>8908.0227659391276</v>
      </c>
      <c r="N1028" s="19">
        <f t="shared" si="161"/>
        <v>175.05459820333883</v>
      </c>
      <c r="O1028" s="17">
        <f t="shared" si="162"/>
        <v>256.75</v>
      </c>
      <c r="P1028" s="19">
        <f ca="1">IF(ISERROR(IF(O1028&lt;fi_h/20,0,(OFFSET('Base de dados'!$A$5,IF(O1028&lt;20,1,IF(O1028&gt;1000,10,MATCH(O1028,Cargas,1))),Coluna_fih,1,1))*(1+0.13*0.25)*(PI()*(fi_h/1000)^2/4)*SQRT(2*9.81*(O1028/100-fi_h/2/1000))*1000)),"",IF(O1028&lt;fi_h/20,0,(OFFSET('Base de dados'!$A$5,IF(O1028&lt;20,1,IF(O1028&gt;1000,10,MATCH(O1028,Cargas,1))),Coluna_fih,1,1))*(PI()*(fi_h/1000)^2/4)*SQRT(2*9.81*(O1028/100-fi_h/2/1000))*1000))</f>
        <v>42.647459503323304</v>
      </c>
      <c r="Q1028" s="19">
        <f ca="1">IF(O1028="","",IF(Tipo_Vertedor="Retangular",IF(O1028&lt;=cota_s*100,0,IF(Tipo_Vertedor="Retangular",Cd_sr*Lef_sr*((O1028/100-cota_s)^(3/2))*1000)),IF(O1028&lt;=cota_s*100+fi_s/20,0,(OFFSET('Base de dados'!$A$4,IF(O1028&lt;20,1,IF(O1028&gt;1000,10,MATCH(O1028,Cargas,1))),Coluna_fis,1,1))*(PI()*(fi_s/1000)^2/4)*(2*9.81*(O1028/100-cota_s-fi_s/2/1000))^0.5*1000)))</f>
        <v>3030.2220329911779</v>
      </c>
      <c r="R1028" s="19">
        <f t="shared" ca="1" si="163"/>
        <v>3072.8694924945012</v>
      </c>
      <c r="S1028" s="19">
        <f t="shared" ca="1" si="160"/>
        <v>5835.1532734446273</v>
      </c>
    </row>
    <row r="1029" spans="13:19">
      <c r="M1029" s="81">
        <f t="shared" ref="M1029:M1092" ca="1" si="164">IF(O1029="","",2*N1029*1000/(Passo*60)+R1029)</f>
        <v>8920.2112767390499</v>
      </c>
      <c r="N1029" s="19">
        <f t="shared" si="161"/>
        <v>175.24629621879609</v>
      </c>
      <c r="O1029" s="17">
        <f t="shared" si="162"/>
        <v>257</v>
      </c>
      <c r="P1029" s="19">
        <f ca="1">IF(ISERROR(IF(O1029&lt;fi_h/20,0,(OFFSET('Base de dados'!$A$5,IF(O1029&lt;20,1,IF(O1029&gt;1000,10,MATCH(O1029,Cargas,1))),Coluna_fih,1,1))*(1+0.13*0.25)*(PI()*(fi_h/1000)^2/4)*SQRT(2*9.81*(O1029/100-fi_h/2/1000))*1000)),"",IF(O1029&lt;fi_h/20,0,(OFFSET('Base de dados'!$A$5,IF(O1029&lt;20,1,IF(O1029&gt;1000,10,MATCH(O1029,Cargas,1))),Coluna_fih,1,1))*(PI()*(fi_h/1000)^2/4)*SQRT(2*9.81*(O1029/100-fi_h/2/1000))*1000))</f>
        <v>42.668683692945621</v>
      </c>
      <c r="Q1029" s="19">
        <f ca="1">IF(O1029="","",IF(Tipo_Vertedor="Retangular",IF(O1029&lt;=cota_s*100,0,IF(Tipo_Vertedor="Retangular",Cd_sr*Lef_sr*((O1029/100-cota_s)^(3/2))*1000)),IF(O1029&lt;=cota_s*100+fi_s/20,0,(OFFSET('Base de dados'!$A$4,IF(O1029&lt;20,1,IF(O1029&gt;1000,10,MATCH(O1029,Cargas,1))),Coluna_fis,1,1))*(PI()*(fi_s/1000)^2/4)*(2*9.81*(O1029/100-cota_s-fi_s/2/1000))^0.5*1000)))</f>
        <v>3035.9993857529016</v>
      </c>
      <c r="R1029" s="19">
        <f t="shared" ca="1" si="163"/>
        <v>3078.6680694458473</v>
      </c>
      <c r="S1029" s="19">
        <f t="shared" ref="S1029:S1092" ca="1" si="165">IF(M1029="","",2*N1029*1000/(Passo*60))</f>
        <v>5841.5432072932026</v>
      </c>
    </row>
    <row r="1030" spans="13:19">
      <c r="M1030" s="81">
        <f t="shared" ca="1" si="164"/>
        <v>8932.404218371772</v>
      </c>
      <c r="N1030" s="19">
        <f t="shared" ref="N1030:N1093" si="166">IF(O1030="","",b_0*(O1030/100)^c_0)</f>
        <v>175.43801746588977</v>
      </c>
      <c r="O1030" s="17">
        <f t="shared" si="162"/>
        <v>257.25</v>
      </c>
      <c r="P1030" s="19">
        <f ca="1">IF(ISERROR(IF(O1030&lt;fi_h/20,0,(OFFSET('Base de dados'!$A$5,IF(O1030&lt;20,1,IF(O1030&gt;1000,10,MATCH(O1030,Cargas,1))),Coluna_fih,1,1))*(1+0.13*0.25)*(PI()*(fi_h/1000)^2/4)*SQRT(2*9.81*(O1030/100-fi_h/2/1000))*1000)),"",IF(O1030&lt;fi_h/20,0,(OFFSET('Base de dados'!$A$5,IF(O1030&lt;20,1,IF(O1030&gt;1000,10,MATCH(O1030,Cargas,1))),Coluna_fih,1,1))*(PI()*(fi_h/1000)^2/4)*SQRT(2*9.81*(O1030/100-fi_h/2/1000))*1000))</f>
        <v>42.689897330512373</v>
      </c>
      <c r="Q1030" s="19">
        <f ca="1">IF(O1030="","",IF(Tipo_Vertedor="Retangular",IF(O1030&lt;=cota_s*100,0,IF(Tipo_Vertedor="Retangular",Cd_sr*Lef_sr*((O1030/100-cota_s)^(3/2))*1000)),IF(O1030&lt;=cota_s*100+fi_s/20,0,(OFFSET('Base de dados'!$A$4,IF(O1030&lt;20,1,IF(O1030&gt;1000,10,MATCH(O1030,Cargas,1))),Coluna_fis,1,1))*(PI()*(fi_s/1000)^2/4)*(2*9.81*(O1030/100-cota_s-fi_s/2/1000))^0.5*1000)))</f>
        <v>3041.7804055115994</v>
      </c>
      <c r="R1030" s="19">
        <f t="shared" ca="1" si="163"/>
        <v>3084.4703028421118</v>
      </c>
      <c r="S1030" s="19">
        <f t="shared" ca="1" si="165"/>
        <v>5847.9339155296593</v>
      </c>
    </row>
    <row r="1031" spans="13:19">
      <c r="M1031" s="81">
        <f t="shared" ca="1" si="164"/>
        <v>8944.6015878696016</v>
      </c>
      <c r="N1031" s="19">
        <f t="shared" si="166"/>
        <v>175.62976192485442</v>
      </c>
      <c r="O1031" s="17">
        <f t="shared" si="162"/>
        <v>257.5</v>
      </c>
      <c r="P1031" s="19">
        <f ca="1">IF(ISERROR(IF(O1031&lt;fi_h/20,0,(OFFSET('Base de dados'!$A$5,IF(O1031&lt;20,1,IF(O1031&gt;1000,10,MATCH(O1031,Cargas,1))),Coluna_fih,1,1))*(1+0.13*0.25)*(PI()*(fi_h/1000)^2/4)*SQRT(2*9.81*(O1031/100-fi_h/2/1000))*1000)),"",IF(O1031&lt;fi_h/20,0,(OFFSET('Base de dados'!$A$5,IF(O1031&lt;20,1,IF(O1031&gt;1000,10,MATCH(O1031,Cargas,1))),Coluna_fih,1,1))*(PI()*(fi_h/1000)^2/4)*SQRT(2*9.81*(O1031/100-fi_h/2/1000))*1000))</f>
        <v>42.711100431746431</v>
      </c>
      <c r="Q1031" s="19">
        <f ca="1">IF(O1031="","",IF(Tipo_Vertedor="Retangular",IF(O1031&lt;=cota_s*100,0,IF(Tipo_Vertedor="Retangular",Cd_sr*Lef_sr*((O1031/100-cota_s)^(3/2))*1000)),IF(O1031&lt;=cota_s*100+fi_s/20,0,(OFFSET('Base de dados'!$A$4,IF(O1031&lt;20,1,IF(O1031&gt;1000,10,MATCH(O1031,Cargas,1))),Coluna_fis,1,1))*(PI()*(fi_s/1000)^2/4)*(2*9.81*(O1031/100-cota_s-fi_s/2/1000))^0.5*1000)))</f>
        <v>3047.5650899427073</v>
      </c>
      <c r="R1031" s="19">
        <f t="shared" ca="1" si="163"/>
        <v>3090.2761903744536</v>
      </c>
      <c r="S1031" s="19">
        <f t="shared" ca="1" si="165"/>
        <v>5854.3253974951476</v>
      </c>
    </row>
    <row r="1032" spans="13:19">
      <c r="M1032" s="81">
        <f t="shared" ca="1" si="164"/>
        <v>8956.8033822704165</v>
      </c>
      <c r="N1032" s="19">
        <f t="shared" si="166"/>
        <v>175.82152957596023</v>
      </c>
      <c r="O1032" s="17">
        <f t="shared" si="162"/>
        <v>257.75</v>
      </c>
      <c r="P1032" s="19">
        <f ca="1">IF(ISERROR(IF(O1032&lt;fi_h/20,0,(OFFSET('Base de dados'!$A$5,IF(O1032&lt;20,1,IF(O1032&gt;1000,10,MATCH(O1032,Cargas,1))),Coluna_fih,1,1))*(1+0.13*0.25)*(PI()*(fi_h/1000)^2/4)*SQRT(2*9.81*(O1032/100-fi_h/2/1000))*1000)),"",IF(O1032&lt;fi_h/20,0,(OFFSET('Base de dados'!$A$5,IF(O1032&lt;20,1,IF(O1032&gt;1000,10,MATCH(O1032,Cargas,1))),Coluna_fih,1,1))*(PI()*(fi_h/1000)^2/4)*SQRT(2*9.81*(O1032/100-fi_h/2/1000))*1000))</f>
        <v>42.732293012331709</v>
      </c>
      <c r="Q1032" s="19">
        <f ca="1">IF(O1032="","",IF(Tipo_Vertedor="Retangular",IF(O1032&lt;=cota_s*100,0,IF(Tipo_Vertedor="Retangular",Cd_sr*Lef_sr*((O1032/100-cota_s)^(3/2))*1000)),IF(O1032&lt;=cota_s*100+fi_s/20,0,(OFFSET('Base de dados'!$A$4,IF(O1032&lt;20,1,IF(O1032&gt;1000,10,MATCH(O1032,Cargas,1))),Coluna_fis,1,1))*(PI()*(fi_s/1000)^2/4)*(2*9.81*(O1032/100-cota_s-fi_s/2/1000))^0.5*1000)))</f>
        <v>3053.3534367260763</v>
      </c>
      <c r="R1032" s="19">
        <f t="shared" ca="1" si="163"/>
        <v>3096.0857297384082</v>
      </c>
      <c r="S1032" s="19">
        <f t="shared" ca="1" si="165"/>
        <v>5860.7176525320074</v>
      </c>
    </row>
    <row r="1033" spans="13:19">
      <c r="M1033" s="81">
        <f t="shared" ca="1" si="164"/>
        <v>8969.0095986176548</v>
      </c>
      <c r="N1033" s="19">
        <f t="shared" si="166"/>
        <v>176.01332039951347</v>
      </c>
      <c r="O1033" s="17">
        <f t="shared" si="162"/>
        <v>258</v>
      </c>
      <c r="P1033" s="19">
        <f ca="1">IF(ISERROR(IF(O1033&lt;fi_h/20,0,(OFFSET('Base de dados'!$A$5,IF(O1033&lt;20,1,IF(O1033&gt;1000,10,MATCH(O1033,Cargas,1))),Coluna_fih,1,1))*(1+0.13*0.25)*(PI()*(fi_h/1000)^2/4)*SQRT(2*9.81*(O1033/100-fi_h/2/1000))*1000)),"",IF(O1033&lt;fi_h/20,0,(OFFSET('Base de dados'!$A$5,IF(O1033&lt;20,1,IF(O1033&gt;1000,10,MATCH(O1033,Cargas,1))),Coluna_fih,1,1))*(PI()*(fi_h/1000)^2/4)*SQRT(2*9.81*(O1033/100-fi_h/2/1000))*1000))</f>
        <v>42.753475087913216</v>
      </c>
      <c r="Q1033" s="19">
        <f ca="1">IF(O1033="","",IF(Tipo_Vertedor="Retangular",IF(O1033&lt;=cota_s*100,0,IF(Tipo_Vertedor="Retangular",Cd_sr*Lef_sr*((O1033/100-cota_s)^(3/2))*1000)),IF(O1033&lt;=cota_s*100+fi_s/20,0,(OFFSET('Base de dados'!$A$4,IF(O1033&lt;20,1,IF(O1033&gt;1000,10,MATCH(O1033,Cargas,1))),Coluna_fis,1,1))*(PI()*(fi_s/1000)^2/4)*(2*9.81*(O1033/100-cota_s-fi_s/2/1000))^0.5*1000)))</f>
        <v>3059.1454435459586</v>
      </c>
      <c r="R1033" s="19">
        <f t="shared" ca="1" si="163"/>
        <v>3101.8989186338717</v>
      </c>
      <c r="S1033" s="19">
        <f t="shared" ca="1" si="165"/>
        <v>5867.1106799837826</v>
      </c>
    </row>
    <row r="1034" spans="13:19">
      <c r="M1034" s="81">
        <f t="shared" ca="1" si="164"/>
        <v>8981.2202339603064</v>
      </c>
      <c r="N1034" s="19">
        <f t="shared" si="166"/>
        <v>176.20513437585637</v>
      </c>
      <c r="O1034" s="17">
        <f t="shared" si="162"/>
        <v>258.25</v>
      </c>
      <c r="P1034" s="19">
        <f ca="1">IF(ISERROR(IF(O1034&lt;fi_h/20,0,(OFFSET('Base de dados'!$A$5,IF(O1034&lt;20,1,IF(O1034&gt;1000,10,MATCH(O1034,Cargas,1))),Coluna_fih,1,1))*(1+0.13*0.25)*(PI()*(fi_h/1000)^2/4)*SQRT(2*9.81*(O1034/100-fi_h/2/1000))*1000)),"",IF(O1034&lt;fi_h/20,0,(OFFSET('Base de dados'!$A$5,IF(O1034&lt;20,1,IF(O1034&gt;1000,10,MATCH(O1034,Cargas,1))),Coluna_fih,1,1))*(PI()*(fi_h/1000)^2/4)*SQRT(2*9.81*(O1034/100-fi_h/2/1000))*1000))</f>
        <v>42.774646674097248</v>
      </c>
      <c r="Q1034" s="19">
        <f ca="1">IF(O1034="","",IF(Tipo_Vertedor="Retangular",IF(O1034&lt;=cota_s*100,0,IF(Tipo_Vertedor="Retangular",Cd_sr*Lef_sr*((O1034/100-cota_s)^(3/2))*1000)),IF(O1034&lt;=cota_s*100+fi_s/20,0,(OFFSET('Base de dados'!$A$4,IF(O1034&lt;20,1,IF(O1034&gt;1000,10,MATCH(O1034,Cargas,1))),Coluna_fis,1,1))*(PI()*(fi_s/1000)^2/4)*(2*9.81*(O1034/100-cota_s-fi_s/2/1000))^0.5*1000)))</f>
        <v>3064.9411080909963</v>
      </c>
      <c r="R1034" s="19">
        <f t="shared" ca="1" si="163"/>
        <v>3107.7157547650936</v>
      </c>
      <c r="S1034" s="19">
        <f t="shared" ca="1" si="165"/>
        <v>5873.5044791952123</v>
      </c>
    </row>
    <row r="1035" spans="13:19">
      <c r="M1035" s="81">
        <f t="shared" ca="1" si="164"/>
        <v>8993.4352853528726</v>
      </c>
      <c r="N1035" s="19">
        <f t="shared" si="166"/>
        <v>176.39697148536658</v>
      </c>
      <c r="O1035" s="17">
        <f t="shared" si="162"/>
        <v>258.5</v>
      </c>
      <c r="P1035" s="19">
        <f ca="1">IF(ISERROR(IF(O1035&lt;fi_h/20,0,(OFFSET('Base de dados'!$A$5,IF(O1035&lt;20,1,IF(O1035&gt;1000,10,MATCH(O1035,Cargas,1))),Coluna_fih,1,1))*(1+0.13*0.25)*(PI()*(fi_h/1000)^2/4)*SQRT(2*9.81*(O1035/100-fi_h/2/1000))*1000)),"",IF(O1035&lt;fi_h/20,0,(OFFSET('Base de dados'!$A$5,IF(O1035&lt;20,1,IF(O1035&gt;1000,10,MATCH(O1035,Cargas,1))),Coluna_fih,1,1))*(PI()*(fi_h/1000)^2/4)*SQRT(2*9.81*(O1035/100-fi_h/2/1000))*1000))</f>
        <v>42.795807786451491</v>
      </c>
      <c r="Q1035" s="19">
        <f ca="1">IF(O1035="","",IF(Tipo_Vertedor="Retangular",IF(O1035&lt;=cota_s*100,0,IF(Tipo_Vertedor="Retangular",Cd_sr*Lef_sr*((O1035/100-cota_s)^(3/2))*1000)),IF(O1035&lt;=cota_s*100+fi_s/20,0,(OFFSET('Base de dados'!$A$4,IF(O1035&lt;20,1,IF(O1035&gt;1000,10,MATCH(O1035,Cargas,1))),Coluna_fis,1,1))*(PI()*(fi_s/1000)^2/4)*(2*9.81*(O1035/100-cota_s-fi_s/2/1000))^0.5*1000)))</f>
        <v>3070.7404280542014</v>
      </c>
      <c r="R1035" s="19">
        <f t="shared" ca="1" si="163"/>
        <v>3113.5362358406528</v>
      </c>
      <c r="S1035" s="19">
        <f t="shared" ca="1" si="165"/>
        <v>5879.8990495122189</v>
      </c>
    </row>
    <row r="1036" spans="13:19">
      <c r="M1036" s="81">
        <f t="shared" ca="1" si="164"/>
        <v>9005.65474985537</v>
      </c>
      <c r="N1036" s="19">
        <f t="shared" si="166"/>
        <v>176.58883170845749</v>
      </c>
      <c r="O1036" s="17">
        <f t="shared" si="162"/>
        <v>258.75</v>
      </c>
      <c r="P1036" s="19">
        <f ca="1">IF(ISERROR(IF(O1036&lt;fi_h/20,0,(OFFSET('Base de dados'!$A$5,IF(O1036&lt;20,1,IF(O1036&gt;1000,10,MATCH(O1036,Cargas,1))),Coluna_fih,1,1))*(1+0.13*0.25)*(PI()*(fi_h/1000)^2/4)*SQRT(2*9.81*(O1036/100-fi_h/2/1000))*1000)),"",IF(O1036&lt;fi_h/20,0,(OFFSET('Base de dados'!$A$5,IF(O1036&lt;20,1,IF(O1036&gt;1000,10,MATCH(O1036,Cargas,1))),Coluna_fih,1,1))*(PI()*(fi_h/1000)^2/4)*SQRT(2*9.81*(O1036/100-fi_h/2/1000))*1000))</f>
        <v>42.816958440505147</v>
      </c>
      <c r="Q1036" s="19">
        <f ca="1">IF(O1036="","",IF(Tipo_Vertedor="Retangular",IF(O1036&lt;=cota_s*100,0,IF(Tipo_Vertedor="Retangular",Cd_sr*Lef_sr*((O1036/100-cota_s)^(3/2))*1000)),IF(O1036&lt;=cota_s*100+fi_s/20,0,(OFFSET('Base de dados'!$A$4,IF(O1036&lt;20,1,IF(O1036&gt;1000,10,MATCH(O1036,Cargas,1))),Coluna_fis,1,1))*(PI()*(fi_s/1000)^2/4)*(2*9.81*(O1036/100-cota_s-fi_s/2/1000))^0.5*1000)))</f>
        <v>3076.543401132948</v>
      </c>
      <c r="R1036" s="19">
        <f t="shared" ca="1" si="163"/>
        <v>3119.360359573453</v>
      </c>
      <c r="S1036" s="19">
        <f t="shared" ca="1" si="165"/>
        <v>5886.2943902819161</v>
      </c>
    </row>
    <row r="1037" spans="13:19">
      <c r="M1037" s="81">
        <f t="shared" ca="1" si="164"/>
        <v>9017.8786245333031</v>
      </c>
      <c r="N1037" s="19">
        <f t="shared" si="166"/>
        <v>176.78071502557796</v>
      </c>
      <c r="O1037" s="17">
        <f t="shared" si="162"/>
        <v>259</v>
      </c>
      <c r="P1037" s="19">
        <f ca="1">IF(ISERROR(IF(O1037&lt;fi_h/20,0,(OFFSET('Base de dados'!$A$5,IF(O1037&lt;20,1,IF(O1037&gt;1000,10,MATCH(O1037,Cargas,1))),Coluna_fih,1,1))*(1+0.13*0.25)*(PI()*(fi_h/1000)^2/4)*SQRT(2*9.81*(O1037/100-fi_h/2/1000))*1000)),"",IF(O1037&lt;fi_h/20,0,(OFFSET('Base de dados'!$A$5,IF(O1037&lt;20,1,IF(O1037&gt;1000,10,MATCH(O1037,Cargas,1))),Coluna_fih,1,1))*(PI()*(fi_h/1000)^2/4)*SQRT(2*9.81*(O1037/100-fi_h/2/1000))*1000))</f>
        <v>42.8380986517491</v>
      </c>
      <c r="Q1037" s="19">
        <f ca="1">IF(O1037="","",IF(Tipo_Vertedor="Retangular",IF(O1037&lt;=cota_s*100,0,IF(Tipo_Vertedor="Retangular",Cd_sr*Lef_sr*((O1037/100-cota_s)^(3/2))*1000)),IF(O1037&lt;=cota_s*100+fi_s/20,0,(OFFSET('Base de dados'!$A$4,IF(O1037&lt;20,1,IF(O1037&gt;1000,10,MATCH(O1037,Cargas,1))),Coluna_fis,1,1))*(PI()*(fi_s/1000)^2/4)*(2*9.81*(O1037/100-cota_s-fi_s/2/1000))^0.5*1000)))</f>
        <v>3082.3500250289549</v>
      </c>
      <c r="R1037" s="19">
        <f t="shared" ca="1" si="163"/>
        <v>3125.1881236807039</v>
      </c>
      <c r="S1037" s="19">
        <f t="shared" ca="1" si="165"/>
        <v>5892.6905008525982</v>
      </c>
    </row>
    <row r="1038" spans="13:19">
      <c r="M1038" s="81">
        <f t="shared" ca="1" si="164"/>
        <v>9030.1069064576495</v>
      </c>
      <c r="N1038" s="19">
        <f t="shared" si="166"/>
        <v>176.9726214172122</v>
      </c>
      <c r="O1038" s="17">
        <f t="shared" si="162"/>
        <v>259.25</v>
      </c>
      <c r="P1038" s="19">
        <f ca="1">IF(ISERROR(IF(O1038&lt;fi_h/20,0,(OFFSET('Base de dados'!$A$5,IF(O1038&lt;20,1,IF(O1038&gt;1000,10,MATCH(O1038,Cargas,1))),Coluna_fih,1,1))*(1+0.13*0.25)*(PI()*(fi_h/1000)^2/4)*SQRT(2*9.81*(O1038/100-fi_h/2/1000))*1000)),"",IF(O1038&lt;fi_h/20,0,(OFFSET('Base de dados'!$A$5,IF(O1038&lt;20,1,IF(O1038&gt;1000,10,MATCH(O1038,Cargas,1))),Coluna_fih,1,1))*(PI()*(fi_h/1000)^2/4)*SQRT(2*9.81*(O1038/100-fi_h/2/1000))*1000))</f>
        <v>42.859228435636012</v>
      </c>
      <c r="Q1038" s="19">
        <f ca="1">IF(O1038="","",IF(Tipo_Vertedor="Retangular",IF(O1038&lt;=cota_s*100,0,IF(Tipo_Vertedor="Retangular",Cd_sr*Lef_sr*((O1038/100-cota_s)^(3/2))*1000)),IF(O1038&lt;=cota_s*100+fi_s/20,0,(OFFSET('Base de dados'!$A$4,IF(O1038&lt;20,1,IF(O1038&gt;1000,10,MATCH(O1038,Cargas,1))),Coluna_fis,1,1))*(PI()*(fi_s/1000)^2/4)*(2*9.81*(O1038/100-cota_s-fi_s/2/1000))^0.5*1000)))</f>
        <v>3088.1602974482739</v>
      </c>
      <c r="R1038" s="19">
        <f t="shared" ca="1" si="163"/>
        <v>3131.0195258839099</v>
      </c>
      <c r="S1038" s="19">
        <f t="shared" ca="1" si="165"/>
        <v>5899.0873805737392</v>
      </c>
    </row>
    <row r="1039" spans="13:19">
      <c r="M1039" s="81">
        <f t="shared" ca="1" si="164"/>
        <v>9042.3395927048477</v>
      </c>
      <c r="N1039" s="19">
        <f t="shared" si="166"/>
        <v>177.16455086387975</v>
      </c>
      <c r="O1039" s="17">
        <f t="shared" si="162"/>
        <v>259.5</v>
      </c>
      <c r="P1039" s="19">
        <f ca="1">IF(ISERROR(IF(O1039&lt;fi_h/20,0,(OFFSET('Base de dados'!$A$5,IF(O1039&lt;20,1,IF(O1039&gt;1000,10,MATCH(O1039,Cargas,1))),Coluna_fih,1,1))*(1+0.13*0.25)*(PI()*(fi_h/1000)^2/4)*SQRT(2*9.81*(O1039/100-fi_h/2/1000))*1000)),"",IF(O1039&lt;fi_h/20,0,(OFFSET('Base de dados'!$A$5,IF(O1039&lt;20,1,IF(O1039&gt;1000,10,MATCH(O1039,Cargas,1))),Coluna_fih,1,1))*(PI()*(fi_h/1000)^2/4)*SQRT(2*9.81*(O1039/100-fi_h/2/1000))*1000))</f>
        <v>42.880347807580499</v>
      </c>
      <c r="Q1039" s="19">
        <f ca="1">IF(O1039="","",IF(Tipo_Vertedor="Retangular",IF(O1039&lt;=cota_s*100,0,IF(Tipo_Vertedor="Retangular",Cd_sr*Lef_sr*((O1039/100-cota_s)^(3/2))*1000)),IF(O1039&lt;=cota_s*100+fi_s/20,0,(OFFSET('Base de dados'!$A$4,IF(O1039&lt;20,1,IF(O1039&gt;1000,10,MATCH(O1039,Cargas,1))),Coluna_fis,1,1))*(PI()*(fi_s/1000)^2/4)*(2*9.81*(O1039/100-cota_s-fi_s/2/1000))^0.5*1000)))</f>
        <v>3093.9742161012755</v>
      </c>
      <c r="R1039" s="19">
        <f t="shared" ca="1" si="163"/>
        <v>3136.8545639088561</v>
      </c>
      <c r="S1039" s="19">
        <f t="shared" ca="1" si="165"/>
        <v>5905.4850287959916</v>
      </c>
    </row>
    <row r="1040" spans="13:19">
      <c r="M1040" s="81">
        <f t="shared" ca="1" si="164"/>
        <v>9054.5766803567731</v>
      </c>
      <c r="N1040" s="19">
        <f t="shared" si="166"/>
        <v>177.35650334613541</v>
      </c>
      <c r="O1040" s="17">
        <f t="shared" si="162"/>
        <v>259.75</v>
      </c>
      <c r="P1040" s="19">
        <f ca="1">IF(ISERROR(IF(O1040&lt;fi_h/20,0,(OFFSET('Base de dados'!$A$5,IF(O1040&lt;20,1,IF(O1040&gt;1000,10,MATCH(O1040,Cargas,1))),Coluna_fih,1,1))*(1+0.13*0.25)*(PI()*(fi_h/1000)^2/4)*SQRT(2*9.81*(O1040/100-fi_h/2/1000))*1000)),"",IF(O1040&lt;fi_h/20,0,(OFFSET('Base de dados'!$A$5,IF(O1040&lt;20,1,IF(O1040&gt;1000,10,MATCH(O1040,Cargas,1))),Coluna_fih,1,1))*(PI()*(fi_h/1000)^2/4)*SQRT(2*9.81*(O1040/100-fi_h/2/1000))*1000))</f>
        <v>42.901456782959208</v>
      </c>
      <c r="Q1040" s="19">
        <f ca="1">IF(O1040="","",IF(Tipo_Vertedor="Retangular",IF(O1040&lt;=cota_s*100,0,IF(Tipo_Vertedor="Retangular",Cd_sr*Lef_sr*((O1040/100-cota_s)^(3/2))*1000)),IF(O1040&lt;=cota_s*100+fi_s/20,0,(OFFSET('Base de dados'!$A$4,IF(O1040&lt;20,1,IF(O1040&gt;1000,10,MATCH(O1040,Cargas,1))),Coluna_fis,1,1))*(PI()*(fi_s/1000)^2/4)*(2*9.81*(O1040/100-cota_s-fi_s/2/1000))^0.5*1000)))</f>
        <v>3099.7917787026336</v>
      </c>
      <c r="R1040" s="19">
        <f t="shared" ca="1" si="163"/>
        <v>3142.6932354855926</v>
      </c>
      <c r="S1040" s="19">
        <f t="shared" ca="1" si="165"/>
        <v>5911.8834448711805</v>
      </c>
    </row>
    <row r="1041" spans="13:19">
      <c r="M1041" s="81">
        <f t="shared" ca="1" si="164"/>
        <v>9066.8181665007251</v>
      </c>
      <c r="N1041" s="19">
        <f t="shared" si="166"/>
        <v>177.54847884456893</v>
      </c>
      <c r="O1041" s="17">
        <f t="shared" si="162"/>
        <v>260</v>
      </c>
      <c r="P1041" s="19">
        <f ca="1">IF(ISERROR(IF(O1041&lt;fi_h/20,0,(OFFSET('Base de dados'!$A$5,IF(O1041&lt;20,1,IF(O1041&gt;1000,10,MATCH(O1041,Cargas,1))),Coluna_fih,1,1))*(1+0.13*0.25)*(PI()*(fi_h/1000)^2/4)*SQRT(2*9.81*(O1041/100-fi_h/2/1000))*1000)),"",IF(O1041&lt;fi_h/20,0,(OFFSET('Base de dados'!$A$5,IF(O1041&lt;20,1,IF(O1041&gt;1000,10,MATCH(O1041,Cargas,1))),Coluna_fih,1,1))*(PI()*(fi_h/1000)^2/4)*SQRT(2*9.81*(O1041/100-fi_h/2/1000))*1000))</f>
        <v>42.922555377110996</v>
      </c>
      <c r="Q1041" s="19">
        <f ca="1">IF(O1041="","",IF(Tipo_Vertedor="Retangular",IF(O1041&lt;=cota_s*100,0,IF(Tipo_Vertedor="Retangular",Cd_sr*Lef_sr*((O1041/100-cota_s)^(3/2))*1000)),IF(O1041&lt;=cota_s*100+fi_s/20,0,(OFFSET('Base de dados'!$A$4,IF(O1041&lt;20,1,IF(O1041&gt;1000,10,MATCH(O1041,Cargas,1))),Coluna_fis,1,1))*(PI()*(fi_s/1000)^2/4)*(2*9.81*(O1041/100-cota_s-fi_s/2/1000))^0.5*1000)))</f>
        <v>3105.6129829713168</v>
      </c>
      <c r="R1041" s="19">
        <f t="shared" ca="1" si="163"/>
        <v>3148.535538348428</v>
      </c>
      <c r="S1041" s="19">
        <f t="shared" ca="1" si="165"/>
        <v>5918.2826281522975</v>
      </c>
    </row>
    <row r="1042" spans="13:19">
      <c r="M1042" s="81">
        <f t="shared" ca="1" si="164"/>
        <v>9079.0640482294129</v>
      </c>
      <c r="N1042" s="19">
        <f t="shared" si="166"/>
        <v>177.74047733980518</v>
      </c>
      <c r="O1042" s="17">
        <f t="shared" si="162"/>
        <v>260.25</v>
      </c>
      <c r="P1042" s="19">
        <f ca="1">IF(ISERROR(IF(O1042&lt;fi_h/20,0,(OFFSET('Base de dados'!$A$5,IF(O1042&lt;20,1,IF(O1042&gt;1000,10,MATCH(O1042,Cargas,1))),Coluna_fih,1,1))*(1+0.13*0.25)*(PI()*(fi_h/1000)^2/4)*SQRT(2*9.81*(O1042/100-fi_h/2/1000))*1000)),"",IF(O1042&lt;fi_h/20,0,(OFFSET('Base de dados'!$A$5,IF(O1042&lt;20,1,IF(O1042&gt;1000,10,MATCH(O1042,Cargas,1))),Coluna_fih,1,1))*(PI()*(fi_h/1000)^2/4)*SQRT(2*9.81*(O1042/100-fi_h/2/1000))*1000))</f>
        <v>42.943643605337023</v>
      </c>
      <c r="Q1042" s="19">
        <f ca="1">IF(O1042="","",IF(Tipo_Vertedor="Retangular",IF(O1042&lt;=cota_s*100,0,IF(Tipo_Vertedor="Retangular",Cd_sr*Lef_sr*((O1042/100-cota_s)^(3/2))*1000)),IF(O1042&lt;=cota_s*100+fi_s/20,0,(OFFSET('Base de dados'!$A$4,IF(O1042&lt;20,1,IF(O1042&gt;1000,10,MATCH(O1042,Cargas,1))),Coluna_fis,1,1))*(PI()*(fi_s/1000)^2/4)*(2*9.81*(O1042/100-cota_s-fi_s/2/1000))^0.5*1000)))</f>
        <v>3111.4378266305698</v>
      </c>
      <c r="R1042" s="19">
        <f t="shared" ca="1" si="163"/>
        <v>3154.3814702359068</v>
      </c>
      <c r="S1042" s="19">
        <f t="shared" ca="1" si="165"/>
        <v>5924.6825779935061</v>
      </c>
    </row>
    <row r="1043" spans="13:19">
      <c r="M1043" s="81">
        <f t="shared" ca="1" si="164"/>
        <v>9091.3143226409338</v>
      </c>
      <c r="N1043" s="19">
        <f t="shared" si="166"/>
        <v>177.93249881250395</v>
      </c>
      <c r="O1043" s="17">
        <f t="shared" ref="O1043:O1106" si="167">IF(ISERROR(IF(O1042+passo_altura&gt;h_max_puls*100,"",O1042+passo_altura)),"",IF(O1042+passo_altura&gt;h_max_puls*100,"",O1042+passo_altura))</f>
        <v>260.5</v>
      </c>
      <c r="P1043" s="19">
        <f ca="1">IF(ISERROR(IF(O1043&lt;fi_h/20,0,(OFFSET('Base de dados'!$A$5,IF(O1043&lt;20,1,IF(O1043&gt;1000,10,MATCH(O1043,Cargas,1))),Coluna_fih,1,1))*(1+0.13*0.25)*(PI()*(fi_h/1000)^2/4)*SQRT(2*9.81*(O1043/100-fi_h/2/1000))*1000)),"",IF(O1043&lt;fi_h/20,0,(OFFSET('Base de dados'!$A$5,IF(O1043&lt;20,1,IF(O1043&gt;1000,10,MATCH(O1043,Cargas,1))),Coluna_fih,1,1))*(PI()*(fi_h/1000)^2/4)*SQRT(2*9.81*(O1043/100-fi_h/2/1000))*1000))</f>
        <v>42.964721482900899</v>
      </c>
      <c r="Q1043" s="19">
        <f ca="1">IF(O1043="","",IF(Tipo_Vertedor="Retangular",IF(O1043&lt;=cota_s*100,0,IF(Tipo_Vertedor="Retangular",Cd_sr*Lef_sr*((O1043/100-cota_s)^(3/2))*1000)),IF(O1043&lt;=cota_s*100+fi_s/20,0,(OFFSET('Base de dados'!$A$4,IF(O1043&lt;20,1,IF(O1043&gt;1000,10,MATCH(O1043,Cargas,1))),Coluna_fis,1,1))*(PI()*(fi_s/1000)^2/4)*(2*9.81*(O1043/100-cota_s-fi_s/2/1000))^0.5*1000)))</f>
        <v>3117.2663074079028</v>
      </c>
      <c r="R1043" s="19">
        <f t="shared" ref="R1043:R1106" ca="1" si="168">IF(O1043="","",Q1043+P1043)</f>
        <v>3160.2310288908038</v>
      </c>
      <c r="S1043" s="19">
        <f t="shared" ca="1" si="165"/>
        <v>5931.0832937501309</v>
      </c>
    </row>
    <row r="1044" spans="13:19">
      <c r="M1044" s="81">
        <f t="shared" ca="1" si="164"/>
        <v>9103.5689868387635</v>
      </c>
      <c r="N1044" s="19">
        <f t="shared" si="166"/>
        <v>178.12454324335971</v>
      </c>
      <c r="O1044" s="17">
        <f t="shared" si="167"/>
        <v>260.75</v>
      </c>
      <c r="P1044" s="19">
        <f ca="1">IF(ISERROR(IF(O1044&lt;fi_h/20,0,(OFFSET('Base de dados'!$A$5,IF(O1044&lt;20,1,IF(O1044&gt;1000,10,MATCH(O1044,Cargas,1))),Coluna_fih,1,1))*(1+0.13*0.25)*(PI()*(fi_h/1000)^2/4)*SQRT(2*9.81*(O1044/100-fi_h/2/1000))*1000)),"",IF(O1044&lt;fi_h/20,0,(OFFSET('Base de dados'!$A$5,IF(O1044&lt;20,1,IF(O1044&gt;1000,10,MATCH(O1044,Cargas,1))),Coluna_fih,1,1))*(PI()*(fi_h/1000)^2/4)*SQRT(2*9.81*(O1044/100-fi_h/2/1000))*1000))</f>
        <v>42.985789025028822</v>
      </c>
      <c r="Q1044" s="19">
        <f ca="1">IF(O1044="","",IF(Tipo_Vertedor="Retangular",IF(O1044&lt;=cota_s*100,0,IF(Tipo_Vertedor="Retangular",Cd_sr*Lef_sr*((O1044/100-cota_s)^(3/2))*1000)),IF(O1044&lt;=cota_s*100+fi_s/20,0,(OFFSET('Base de dados'!$A$4,IF(O1044&lt;20,1,IF(O1044&gt;1000,10,MATCH(O1044,Cargas,1))),Coluna_fis,1,1))*(PI()*(fi_s/1000)^2/4)*(2*9.81*(O1044/100-cota_s-fi_s/2/1000))^0.5*1000)))</f>
        <v>3123.0984230350773</v>
      </c>
      <c r="R1044" s="19">
        <f t="shared" ca="1" si="168"/>
        <v>3166.084212060106</v>
      </c>
      <c r="S1044" s="19">
        <f t="shared" ca="1" si="165"/>
        <v>5937.4847747786571</v>
      </c>
    </row>
    <row r="1045" spans="13:19">
      <c r="M1045" s="81">
        <f t="shared" ca="1" si="164"/>
        <v>9115.828037931733</v>
      </c>
      <c r="N1045" s="19">
        <f t="shared" si="166"/>
        <v>178.31661061310189</v>
      </c>
      <c r="O1045" s="17">
        <f t="shared" si="167"/>
        <v>261</v>
      </c>
      <c r="P1045" s="19">
        <f ca="1">IF(ISERROR(IF(O1045&lt;fi_h/20,0,(OFFSET('Base de dados'!$A$5,IF(O1045&lt;20,1,IF(O1045&gt;1000,10,MATCH(O1045,Cargas,1))),Coluna_fih,1,1))*(1+0.13*0.25)*(PI()*(fi_h/1000)^2/4)*SQRT(2*9.81*(O1045/100-fi_h/2/1000))*1000)),"",IF(O1045&lt;fi_h/20,0,(OFFSET('Base de dados'!$A$5,IF(O1045&lt;20,1,IF(O1045&gt;1000,10,MATCH(O1045,Cargas,1))),Coluna_fih,1,1))*(PI()*(fi_h/1000)^2/4)*SQRT(2*9.81*(O1045/100-fi_h/2/1000))*1000))</f>
        <v>43.00684624690971</v>
      </c>
      <c r="Q1045" s="19">
        <f ca="1">IF(O1045="","",IF(Tipo_Vertedor="Retangular",IF(O1045&lt;=cota_s*100,0,IF(Tipo_Vertedor="Retangular",Cd_sr*Lef_sr*((O1045/100-cota_s)^(3/2))*1000)),IF(O1045&lt;=cota_s*100+fi_s/20,0,(OFFSET('Base de dados'!$A$4,IF(O1045&lt;20,1,IF(O1045&gt;1000,10,MATCH(O1045,Cargas,1))),Coluna_fis,1,1))*(PI()*(fi_s/1000)^2/4)*(2*9.81*(O1045/100-cota_s-fi_s/2/1000))^0.5*1000)))</f>
        <v>3128.9341712480941</v>
      </c>
      <c r="R1045" s="19">
        <f t="shared" ca="1" si="168"/>
        <v>3171.941017495004</v>
      </c>
      <c r="S1045" s="19">
        <f t="shared" ca="1" si="165"/>
        <v>5943.8870204367295</v>
      </c>
    </row>
    <row r="1046" spans="13:19">
      <c r="M1046" s="81">
        <f t="shared" ca="1" si="164"/>
        <v>9128.0914730340155</v>
      </c>
      <c r="N1046" s="19">
        <f t="shared" si="166"/>
        <v>178.50870090249421</v>
      </c>
      <c r="O1046" s="17">
        <f t="shared" si="167"/>
        <v>261.25</v>
      </c>
      <c r="P1046" s="19">
        <f ca="1">IF(ISERROR(IF(O1046&lt;fi_h/20,0,(OFFSET('Base de dados'!$A$5,IF(O1046&lt;20,1,IF(O1046&gt;1000,10,MATCH(O1046,Cargas,1))),Coluna_fih,1,1))*(1+0.13*0.25)*(PI()*(fi_h/1000)^2/4)*SQRT(2*9.81*(O1046/100-fi_h/2/1000))*1000)),"",IF(O1046&lt;fi_h/20,0,(OFFSET('Base de dados'!$A$5,IF(O1046&lt;20,1,IF(O1046&gt;1000,10,MATCH(O1046,Cargas,1))),Coluna_fih,1,1))*(PI()*(fi_h/1000)^2/4)*SQRT(2*9.81*(O1046/100-fi_h/2/1000))*1000))</f>
        <v>43.027893163695275</v>
      </c>
      <c r="Q1046" s="19">
        <f ca="1">IF(O1046="","",IF(Tipo_Vertedor="Retangular",IF(O1046&lt;=cota_s*100,0,IF(Tipo_Vertedor="Retangular",Cd_sr*Lef_sr*((O1046/100-cota_s)^(3/2))*1000)),IF(O1046&lt;=cota_s*100+fi_s/20,0,(OFFSET('Base de dados'!$A$4,IF(O1046&lt;20,1,IF(O1046&gt;1000,10,MATCH(O1046,Cargas,1))),Coluna_fis,1,1))*(PI()*(fi_s/1000)^2/4)*(2*9.81*(O1046/100-cota_s-fi_s/2/1000))^0.5*1000)))</f>
        <v>3134.773549787179</v>
      </c>
      <c r="R1046" s="19">
        <f t="shared" ca="1" si="168"/>
        <v>3177.8014429508744</v>
      </c>
      <c r="S1046" s="19">
        <f t="shared" ca="1" si="165"/>
        <v>5950.2900300831407</v>
      </c>
    </row>
    <row r="1047" spans="13:19">
      <c r="M1047" s="81">
        <f t="shared" ca="1" si="164"/>
        <v>9140.3592892651122</v>
      </c>
      <c r="N1047" s="19">
        <f t="shared" si="166"/>
        <v>178.70081409233526</v>
      </c>
      <c r="O1047" s="17">
        <f t="shared" si="167"/>
        <v>261.5</v>
      </c>
      <c r="P1047" s="19">
        <f ca="1">IF(ISERROR(IF(O1047&lt;fi_h/20,0,(OFFSET('Base de dados'!$A$5,IF(O1047&lt;20,1,IF(O1047&gt;1000,10,MATCH(O1047,Cargas,1))),Coluna_fih,1,1))*(1+0.13*0.25)*(PI()*(fi_h/1000)^2/4)*SQRT(2*9.81*(O1047/100-fi_h/2/1000))*1000)),"",IF(O1047&lt;fi_h/20,0,(OFFSET('Base de dados'!$A$5,IF(O1047&lt;20,1,IF(O1047&gt;1000,10,MATCH(O1047,Cargas,1))),Coluna_fih,1,1))*(PI()*(fi_h/1000)^2/4)*SQRT(2*9.81*(O1047/100-fi_h/2/1000))*1000))</f>
        <v>43.048929790500225</v>
      </c>
      <c r="Q1047" s="19">
        <f ca="1">IF(O1047="","",IF(Tipo_Vertedor="Retangular",IF(O1047&lt;=cota_s*100,0,IF(Tipo_Vertedor="Retangular",Cd_sr*Lef_sr*((O1047/100-cota_s)^(3/2))*1000)),IF(O1047&lt;=cota_s*100+fi_s/20,0,(OFFSET('Base de dados'!$A$4,IF(O1047&lt;20,1,IF(O1047&gt;1000,10,MATCH(O1047,Cargas,1))),Coluna_fis,1,1))*(PI()*(fi_s/1000)^2/4)*(2*9.81*(O1047/100-cota_s-fi_s/2/1000))^0.5*1000)))</f>
        <v>3140.6165563967697</v>
      </c>
      <c r="R1047" s="19">
        <f t="shared" ca="1" si="168"/>
        <v>3183.6654861872698</v>
      </c>
      <c r="S1047" s="19">
        <f t="shared" ca="1" si="165"/>
        <v>5956.6938030778419</v>
      </c>
    </row>
    <row r="1048" spans="13:19">
      <c r="M1048" s="81">
        <f t="shared" ca="1" si="164"/>
        <v>9152.6314837498285</v>
      </c>
      <c r="N1048" s="19">
        <f t="shared" si="166"/>
        <v>178.89295016345778</v>
      </c>
      <c r="O1048" s="17">
        <f t="shared" si="167"/>
        <v>261.75</v>
      </c>
      <c r="P1048" s="19">
        <f ca="1">IF(ISERROR(IF(O1048&lt;fi_h/20,0,(OFFSET('Base de dados'!$A$5,IF(O1048&lt;20,1,IF(O1048&gt;1000,10,MATCH(O1048,Cargas,1))),Coluna_fih,1,1))*(1+0.13*0.25)*(PI()*(fi_h/1000)^2/4)*SQRT(2*9.81*(O1048/100-fi_h/2/1000))*1000)),"",IF(O1048&lt;fi_h/20,0,(OFFSET('Base de dados'!$A$5,IF(O1048&lt;20,1,IF(O1048&gt;1000,10,MATCH(O1048,Cargas,1))),Coluna_fih,1,1))*(PI()*(fi_h/1000)^2/4)*SQRT(2*9.81*(O1048/100-fi_h/2/1000))*1000))</f>
        <v>43.06995614240234</v>
      </c>
      <c r="Q1048" s="19">
        <f ca="1">IF(O1048="","",IF(Tipo_Vertedor="Retangular",IF(O1048&lt;=cota_s*100,0,IF(Tipo_Vertedor="Retangular",Cd_sr*Lef_sr*((O1048/100-cota_s)^(3/2))*1000)),IF(O1048&lt;=cota_s*100+fi_s/20,0,(OFFSET('Base de dados'!$A$4,IF(O1048&lt;20,1,IF(O1048&gt;1000,10,MATCH(O1048,Cargas,1))),Coluna_fis,1,1))*(PI()*(fi_s/1000)^2/4)*(2*9.81*(O1048/100-cota_s-fi_s/2/1000))^0.5*1000)))</f>
        <v>3146.4631888255008</v>
      </c>
      <c r="R1048" s="19">
        <f t="shared" ca="1" si="168"/>
        <v>3189.5331449679029</v>
      </c>
      <c r="S1048" s="19">
        <f t="shared" ca="1" si="165"/>
        <v>5963.098338781926</v>
      </c>
    </row>
    <row r="1049" spans="13:19">
      <c r="M1049" s="81">
        <f t="shared" ca="1" si="164"/>
        <v>9164.9080536182719</v>
      </c>
      <c r="N1049" s="19">
        <f t="shared" si="166"/>
        <v>179.08510909672896</v>
      </c>
      <c r="O1049" s="17">
        <f t="shared" si="167"/>
        <v>262</v>
      </c>
      <c r="P1049" s="19">
        <f ca="1">IF(ISERROR(IF(O1049&lt;fi_h/20,0,(OFFSET('Base de dados'!$A$5,IF(O1049&lt;20,1,IF(O1049&gt;1000,10,MATCH(O1049,Cargas,1))),Coluna_fih,1,1))*(1+0.13*0.25)*(PI()*(fi_h/1000)^2/4)*SQRT(2*9.81*(O1049/100-fi_h/2/1000))*1000)),"",IF(O1049&lt;fi_h/20,0,(OFFSET('Base de dados'!$A$5,IF(O1049&lt;20,1,IF(O1049&gt;1000,10,MATCH(O1049,Cargas,1))),Coluna_fih,1,1))*(PI()*(fi_h/1000)^2/4)*SQRT(2*9.81*(O1049/100-fi_h/2/1000))*1000))</f>
        <v>43.09097223444261</v>
      </c>
      <c r="Q1049" s="19">
        <f ca="1">IF(O1049="","",IF(Tipo_Vertedor="Retangular",IF(O1049&lt;=cota_s*100,0,IF(Tipo_Vertedor="Retangular",Cd_sr*Lef_sr*((O1049/100-cota_s)^(3/2))*1000)),IF(O1049&lt;=cota_s*100+fi_s/20,0,(OFFSET('Base de dados'!$A$4,IF(O1049&lt;20,1,IF(O1049&gt;1000,10,MATCH(O1049,Cargas,1))),Coluna_fis,1,1))*(PI()*(fi_s/1000)^2/4)*(2*9.81*(O1049/100-cota_s-fi_s/2/1000))^0.5*1000)))</f>
        <v>3152.3134448261967</v>
      </c>
      <c r="R1049" s="19">
        <f t="shared" ca="1" si="168"/>
        <v>3195.4044170606394</v>
      </c>
      <c r="S1049" s="19">
        <f t="shared" ca="1" si="165"/>
        <v>5969.5036365576325</v>
      </c>
    </row>
    <row r="1050" spans="13:19">
      <c r="M1050" s="81">
        <f t="shared" ca="1" si="164"/>
        <v>9177.1889960058179</v>
      </c>
      <c r="N1050" s="19">
        <f t="shared" si="166"/>
        <v>179.27729087305022</v>
      </c>
      <c r="O1050" s="17">
        <f t="shared" si="167"/>
        <v>262.25</v>
      </c>
      <c r="P1050" s="19">
        <f ca="1">IF(ISERROR(IF(O1050&lt;fi_h/20,0,(OFFSET('Base de dados'!$A$5,IF(O1050&lt;20,1,IF(O1050&gt;1000,10,MATCH(O1050,Cargas,1))),Coluna_fih,1,1))*(1+0.13*0.25)*(PI()*(fi_h/1000)^2/4)*SQRT(2*9.81*(O1050/100-fi_h/2/1000))*1000)),"",IF(O1050&lt;fi_h/20,0,(OFFSET('Base de dados'!$A$5,IF(O1050&lt;20,1,IF(O1050&gt;1000,10,MATCH(O1050,Cargas,1))),Coluna_fih,1,1))*(PI()*(fi_h/1000)^2/4)*SQRT(2*9.81*(O1050/100-fi_h/2/1000))*1000))</f>
        <v>43.111978081625374</v>
      </c>
      <c r="Q1050" s="19">
        <f ca="1">IF(O1050="","",IF(Tipo_Vertedor="Retangular",IF(O1050&lt;=cota_s*100,0,IF(Tipo_Vertedor="Retangular",Cd_sr*Lef_sr*((O1050/100-cota_s)^(3/2))*1000)),IF(O1050&lt;=cota_s*100+fi_s/20,0,(OFFSET('Base de dados'!$A$4,IF(O1050&lt;20,1,IF(O1050&gt;1000,10,MATCH(O1050,Cargas,1))),Coluna_fis,1,1))*(PI()*(fi_s/1000)^2/4)*(2*9.81*(O1050/100-cota_s-fi_s/2/1000))^0.5*1000)))</f>
        <v>3158.1673221558522</v>
      </c>
      <c r="R1050" s="19">
        <f t="shared" ca="1" si="168"/>
        <v>3201.2793002374774</v>
      </c>
      <c r="S1050" s="19">
        <f t="shared" ca="1" si="165"/>
        <v>5975.9096957683405</v>
      </c>
    </row>
    <row r="1051" spans="13:19">
      <c r="M1051" s="81">
        <f t="shared" ca="1" si="164"/>
        <v>9189.4743080531152</v>
      </c>
      <c r="N1051" s="19">
        <f t="shared" si="166"/>
        <v>179.46949547335723</v>
      </c>
      <c r="O1051" s="17">
        <f t="shared" si="167"/>
        <v>262.5</v>
      </c>
      <c r="P1051" s="19">
        <f ca="1">IF(ISERROR(IF(O1051&lt;fi_h/20,0,(OFFSET('Base de dados'!$A$5,IF(O1051&lt;20,1,IF(O1051&gt;1000,10,MATCH(O1051,Cargas,1))),Coluna_fih,1,1))*(1+0.13*0.25)*(PI()*(fi_h/1000)^2/4)*SQRT(2*9.81*(O1051/100-fi_h/2/1000))*1000)),"",IF(O1051&lt;fi_h/20,0,(OFFSET('Base de dados'!$A$5,IF(O1051&lt;20,1,IF(O1051&gt;1000,10,MATCH(O1051,Cargas,1))),Coluna_fih,1,1))*(PI()*(fi_h/1000)^2/4)*SQRT(2*9.81*(O1051/100-fi_h/2/1000))*1000))</f>
        <v>43.132973698918434</v>
      </c>
      <c r="Q1051" s="19">
        <f ca="1">IF(O1051="","",IF(Tipo_Vertedor="Retangular",IF(O1051&lt;=cota_s*100,0,IF(Tipo_Vertedor="Retangular",Cd_sr*Lef_sr*((O1051/100-cota_s)^(3/2))*1000)),IF(O1051&lt;=cota_s*100+fi_s/20,0,(OFFSET('Base de dados'!$A$4,IF(O1051&lt;20,1,IF(O1051&gt;1000,10,MATCH(O1051,Cargas,1))),Coluna_fis,1,1))*(PI()*(fi_s/1000)^2/4)*(2*9.81*(O1051/100-cota_s-fi_s/2/1000))^0.5*1000)))</f>
        <v>3164.0248185756222</v>
      </c>
      <c r="R1051" s="19">
        <f t="shared" ca="1" si="168"/>
        <v>3207.1577922745405</v>
      </c>
      <c r="S1051" s="19">
        <f t="shared" ca="1" si="165"/>
        <v>5982.3165157785743</v>
      </c>
    </row>
    <row r="1052" spans="13:19">
      <c r="M1052" s="81">
        <f t="shared" ca="1" si="164"/>
        <v>9201.7639869060476</v>
      </c>
      <c r="N1052" s="19">
        <f t="shared" si="166"/>
        <v>179.66172287861951</v>
      </c>
      <c r="O1052" s="17">
        <f t="shared" si="167"/>
        <v>262.75</v>
      </c>
      <c r="P1052" s="19">
        <f ca="1">IF(ISERROR(IF(O1052&lt;fi_h/20,0,(OFFSET('Base de dados'!$A$5,IF(O1052&lt;20,1,IF(O1052&gt;1000,10,MATCH(O1052,Cargas,1))),Coluna_fih,1,1))*(1+0.13*0.25)*(PI()*(fi_h/1000)^2/4)*SQRT(2*9.81*(O1052/100-fi_h/2/1000))*1000)),"",IF(O1052&lt;fi_h/20,0,(OFFSET('Base de dados'!$A$5,IF(O1052&lt;20,1,IF(O1052&gt;1000,10,MATCH(O1052,Cargas,1))),Coluna_fih,1,1))*(PI()*(fi_h/1000)^2/4)*SQRT(2*9.81*(O1052/100-fi_h/2/1000))*1000))</f>
        <v>43.153959101253186</v>
      </c>
      <c r="Q1052" s="19">
        <f ca="1">IF(O1052="","",IF(Tipo_Vertedor="Retangular",IF(O1052&lt;=cota_s*100,0,IF(Tipo_Vertedor="Retangular",Cd_sr*Lef_sr*((O1052/100-cota_s)^(3/2))*1000)),IF(O1052&lt;=cota_s*100+fi_s/20,0,(OFFSET('Base de dados'!$A$4,IF(O1052&lt;20,1,IF(O1052&gt;1000,10,MATCH(O1052,Cargas,1))),Coluna_fis,1,1))*(PI()*(fi_s/1000)^2/4)*(2*9.81*(O1052/100-cota_s-fi_s/2/1000))^0.5*1000)))</f>
        <v>3169.8859318508112</v>
      </c>
      <c r="R1052" s="19">
        <f t="shared" ca="1" si="168"/>
        <v>3213.0398909520645</v>
      </c>
      <c r="S1052" s="19">
        <f t="shared" ca="1" si="165"/>
        <v>5988.7240959539831</v>
      </c>
    </row>
    <row r="1053" spans="13:19">
      <c r="M1053" s="81">
        <f t="shared" ca="1" si="164"/>
        <v>9214.0580297157376</v>
      </c>
      <c r="N1053" s="19">
        <f t="shared" si="166"/>
        <v>179.85397306984069</v>
      </c>
      <c r="O1053" s="17">
        <f t="shared" si="167"/>
        <v>263</v>
      </c>
      <c r="P1053" s="19">
        <f ca="1">IF(ISERROR(IF(O1053&lt;fi_h/20,0,(OFFSET('Base de dados'!$A$5,IF(O1053&lt;20,1,IF(O1053&gt;1000,10,MATCH(O1053,Cargas,1))),Coluna_fih,1,1))*(1+0.13*0.25)*(PI()*(fi_h/1000)^2/4)*SQRT(2*9.81*(O1053/100-fi_h/2/1000))*1000)),"",IF(O1053&lt;fi_h/20,0,(OFFSET('Base de dados'!$A$5,IF(O1053&lt;20,1,IF(O1053&gt;1000,10,MATCH(O1053,Cargas,1))),Coluna_fih,1,1))*(PI()*(fi_h/1000)^2/4)*SQRT(2*9.81*(O1053/100-fi_h/2/1000))*1000))</f>
        <v>43.174934303524715</v>
      </c>
      <c r="Q1053" s="19">
        <f ca="1">IF(O1053="","",IF(Tipo_Vertedor="Retangular",IF(O1053&lt;=cota_s*100,0,IF(Tipo_Vertedor="Retangular",Cd_sr*Lef_sr*((O1053/100-cota_s)^(3/2))*1000)),IF(O1053&lt;=cota_s*100+fi_s/20,0,(OFFSET('Base de dados'!$A$4,IF(O1053&lt;20,1,IF(O1053&gt;1000,10,MATCH(O1053,Cargas,1))),Coluna_fis,1,1))*(PI()*(fi_s/1000)^2/4)*(2*9.81*(O1053/100-cota_s-fi_s/2/1000))^0.5*1000)))</f>
        <v>3175.7506597508564</v>
      </c>
      <c r="R1053" s="19">
        <f t="shared" ca="1" si="168"/>
        <v>3218.9255940543812</v>
      </c>
      <c r="S1053" s="19">
        <f t="shared" ca="1" si="165"/>
        <v>5995.1324356613568</v>
      </c>
    </row>
    <row r="1054" spans="13:19">
      <c r="M1054" s="81">
        <f t="shared" ca="1" si="164"/>
        <v>9226.3564336385152</v>
      </c>
      <c r="N1054" s="19">
        <f t="shared" si="166"/>
        <v>180.04624602805822</v>
      </c>
      <c r="O1054" s="17">
        <f t="shared" si="167"/>
        <v>263.25</v>
      </c>
      <c r="P1054" s="19">
        <f ca="1">IF(ISERROR(IF(O1054&lt;fi_h/20,0,(OFFSET('Base de dados'!$A$5,IF(O1054&lt;20,1,IF(O1054&gt;1000,10,MATCH(O1054,Cargas,1))),Coluna_fih,1,1))*(1+0.13*0.25)*(PI()*(fi_h/1000)^2/4)*SQRT(2*9.81*(O1054/100-fi_h/2/1000))*1000)),"",IF(O1054&lt;fi_h/20,0,(OFFSET('Base de dados'!$A$5,IF(O1054&lt;20,1,IF(O1054&gt;1000,10,MATCH(O1054,Cargas,1))),Coluna_fih,1,1))*(PI()*(fi_h/1000)^2/4)*SQRT(2*9.81*(O1054/100-fi_h/2/1000))*1000))</f>
        <v>43.195899320591977</v>
      </c>
      <c r="Q1054" s="19">
        <f ca="1">IF(O1054="","",IF(Tipo_Vertedor="Retangular",IF(O1054&lt;=cota_s*100,0,IF(Tipo_Vertedor="Retangular",Cd_sr*Lef_sr*((O1054/100-cota_s)^(3/2))*1000)),IF(O1054&lt;=cota_s*100+fi_s/20,0,(OFFSET('Base de dados'!$A$4,IF(O1054&lt;20,1,IF(O1054&gt;1000,10,MATCH(O1054,Cargas,1))),Coluna_fis,1,1))*(PI()*(fi_s/1000)^2/4)*(2*9.81*(O1054/100-cota_s-fi_s/2/1000))^0.5*1000)))</f>
        <v>3181.6190000493161</v>
      </c>
      <c r="R1054" s="19">
        <f t="shared" ca="1" si="168"/>
        <v>3224.8148993699083</v>
      </c>
      <c r="S1054" s="19">
        <f t="shared" ca="1" si="165"/>
        <v>6001.5415342686074</v>
      </c>
    </row>
    <row r="1055" spans="13:19">
      <c r="M1055" s="81">
        <f t="shared" ca="1" si="164"/>
        <v>9238.6591958359168</v>
      </c>
      <c r="N1055" s="19">
        <f t="shared" si="166"/>
        <v>180.23854173434336</v>
      </c>
      <c r="O1055" s="17">
        <f t="shared" si="167"/>
        <v>263.5</v>
      </c>
      <c r="P1055" s="19">
        <f ca="1">IF(ISERROR(IF(O1055&lt;fi_h/20,0,(OFFSET('Base de dados'!$A$5,IF(O1055&lt;20,1,IF(O1055&gt;1000,10,MATCH(O1055,Cargas,1))),Coluna_fih,1,1))*(1+0.13*0.25)*(PI()*(fi_h/1000)^2/4)*SQRT(2*9.81*(O1055/100-fi_h/2/1000))*1000)),"",IF(O1055&lt;fi_h/20,0,(OFFSET('Base de dados'!$A$5,IF(O1055&lt;20,1,IF(O1055&gt;1000,10,MATCH(O1055,Cargas,1))),Coluna_fih,1,1))*(PI()*(fi_h/1000)^2/4)*SQRT(2*9.81*(O1055/100-fi_h/2/1000))*1000))</f>
        <v>43.216854167277859</v>
      </c>
      <c r="Q1055" s="19">
        <f ca="1">IF(O1055="","",IF(Tipo_Vertedor="Retangular",IF(O1055&lt;=cota_s*100,0,IF(Tipo_Vertedor="Retangular",Cd_sr*Lef_sr*((O1055/100-cota_s)^(3/2))*1000)),IF(O1055&lt;=cota_s*100+fi_s/20,0,(OFFSET('Base de dados'!$A$4,IF(O1055&lt;20,1,IF(O1055&gt;1000,10,MATCH(O1055,Cargas,1))),Coluna_fis,1,1))*(PI()*(fi_s/1000)^2/4)*(2*9.81*(O1055/100-cota_s-fi_s/2/1000))^0.5*1000)))</f>
        <v>3187.4909505238597</v>
      </c>
      <c r="R1055" s="19">
        <f t="shared" ca="1" si="168"/>
        <v>3230.7078046911374</v>
      </c>
      <c r="S1055" s="19">
        <f t="shared" ca="1" si="165"/>
        <v>6007.9513911447784</v>
      </c>
    </row>
    <row r="1056" spans="13:19">
      <c r="M1056" s="81">
        <f t="shared" ca="1" si="164"/>
        <v>9250.9663134746552</v>
      </c>
      <c r="N1056" s="19">
        <f t="shared" si="166"/>
        <v>180.43086016980098</v>
      </c>
      <c r="O1056" s="17">
        <f t="shared" si="167"/>
        <v>263.75</v>
      </c>
      <c r="P1056" s="19">
        <f ca="1">IF(ISERROR(IF(O1056&lt;fi_h/20,0,(OFFSET('Base de dados'!$A$5,IF(O1056&lt;20,1,IF(O1056&gt;1000,10,MATCH(O1056,Cargas,1))),Coluna_fih,1,1))*(1+0.13*0.25)*(PI()*(fi_h/1000)^2/4)*SQRT(2*9.81*(O1056/100-fi_h/2/1000))*1000)),"",IF(O1056&lt;fi_h/20,0,(OFFSET('Base de dados'!$A$5,IF(O1056&lt;20,1,IF(O1056&gt;1000,10,MATCH(O1056,Cargas,1))),Coluna_fih,1,1))*(PI()*(fi_h/1000)^2/4)*SQRT(2*9.81*(O1056/100-fi_h/2/1000))*1000))</f>
        <v>43.237798858369338</v>
      </c>
      <c r="Q1056" s="19">
        <f ca="1">IF(O1056="","",IF(Tipo_Vertedor="Retangular",IF(O1056&lt;=cota_s*100,0,IF(Tipo_Vertedor="Retangular",Cd_sr*Lef_sr*((O1056/100-cota_s)^(3/2))*1000)),IF(O1056&lt;=cota_s*100+fi_s/20,0,(OFFSET('Base de dados'!$A$4,IF(O1056&lt;20,1,IF(O1056&gt;1000,10,MATCH(O1056,Cargas,1))),Coluna_fis,1,1))*(PI()*(fi_s/1000)^2/4)*(2*9.81*(O1056/100-cota_s-fi_s/2/1000))^0.5*1000)))</f>
        <v>3193.3665089562523</v>
      </c>
      <c r="R1056" s="19">
        <f t="shared" ca="1" si="168"/>
        <v>3236.6043078146217</v>
      </c>
      <c r="S1056" s="19">
        <f t="shared" ca="1" si="165"/>
        <v>6014.362005660033</v>
      </c>
    </row>
    <row r="1057" spans="13:19">
      <c r="M1057" s="81">
        <f t="shared" ca="1" si="164"/>
        <v>9263.2777837266094</v>
      </c>
      <c r="N1057" s="19">
        <f t="shared" si="166"/>
        <v>180.62320131556956</v>
      </c>
      <c r="O1057" s="17">
        <f t="shared" si="167"/>
        <v>264</v>
      </c>
      <c r="P1057" s="19">
        <f ca="1">IF(ISERROR(IF(O1057&lt;fi_h/20,0,(OFFSET('Base de dados'!$A$5,IF(O1057&lt;20,1,IF(O1057&gt;1000,10,MATCH(O1057,Cargas,1))),Coluna_fih,1,1))*(1+0.13*0.25)*(PI()*(fi_h/1000)^2/4)*SQRT(2*9.81*(O1057/100-fi_h/2/1000))*1000)),"",IF(O1057&lt;fi_h/20,0,(OFFSET('Base de dados'!$A$5,IF(O1057&lt;20,1,IF(O1057&gt;1000,10,MATCH(O1057,Cargas,1))),Coluna_fih,1,1))*(PI()*(fi_h/1000)^2/4)*SQRT(2*9.81*(O1057/100-fi_h/2/1000))*1000))</f>
        <v>43.258733408617587</v>
      </c>
      <c r="Q1057" s="19">
        <f ca="1">IF(O1057="","",IF(Tipo_Vertedor="Retangular",IF(O1057&lt;=cota_s*100,0,IF(Tipo_Vertedor="Retangular",Cd_sr*Lef_sr*((O1057/100-cota_s)^(3/2))*1000)),IF(O1057&lt;=cota_s*100+fi_s/20,0,(OFFSET('Base de dados'!$A$4,IF(O1057&lt;20,1,IF(O1057&gt;1000,10,MATCH(O1057,Cargas,1))),Coluna_fis,1,1))*(PI()*(fi_s/1000)^2/4)*(2*9.81*(O1057/100-cota_s-fi_s/2/1000))^0.5*1000)))</f>
        <v>3199.2456731323405</v>
      </c>
      <c r="R1057" s="19">
        <f t="shared" ca="1" si="168"/>
        <v>3242.5044065409579</v>
      </c>
      <c r="S1057" s="19">
        <f t="shared" ca="1" si="165"/>
        <v>6020.773377185652</v>
      </c>
    </row>
    <row r="1058" spans="13:19">
      <c r="M1058" s="81">
        <f t="shared" ca="1" si="164"/>
        <v>9275.5936037688225</v>
      </c>
      <c r="N1058" s="19">
        <f t="shared" si="166"/>
        <v>180.81556515282116</v>
      </c>
      <c r="O1058" s="17">
        <f t="shared" si="167"/>
        <v>264.25</v>
      </c>
      <c r="P1058" s="19">
        <f ca="1">IF(ISERROR(IF(O1058&lt;fi_h/20,0,(OFFSET('Base de dados'!$A$5,IF(O1058&lt;20,1,IF(O1058&gt;1000,10,MATCH(O1058,Cargas,1))),Coluna_fih,1,1))*(1+0.13*0.25)*(PI()*(fi_h/1000)^2/4)*SQRT(2*9.81*(O1058/100-fi_h/2/1000))*1000)),"",IF(O1058&lt;fi_h/20,0,(OFFSET('Base de dados'!$A$5,IF(O1058&lt;20,1,IF(O1058&gt;1000,10,MATCH(O1058,Cargas,1))),Coluna_fih,1,1))*(PI()*(fi_h/1000)^2/4)*SQRT(2*9.81*(O1058/100-fi_h/2/1000))*1000))</f>
        <v>43.279657832738124</v>
      </c>
      <c r="Q1058" s="19">
        <f ca="1">IF(O1058="","",IF(Tipo_Vertedor="Retangular",IF(O1058&lt;=cota_s*100,0,IF(Tipo_Vertedor="Retangular",Cd_sr*Lef_sr*((O1058/100-cota_s)^(3/2))*1000)),IF(O1058&lt;=cota_s*100+fi_s/20,0,(OFFSET('Base de dados'!$A$4,IF(O1058&lt;20,1,IF(O1058&gt;1000,10,MATCH(O1058,Cargas,1))),Coluna_fis,1,1))*(PI()*(fi_s/1000)^2/4)*(2*9.81*(O1058/100-cota_s-fi_s/2/1000))^0.5*1000)))</f>
        <v>3205.1284408420456</v>
      </c>
      <c r="R1058" s="19">
        <f t="shared" ca="1" si="168"/>
        <v>3248.4080986747836</v>
      </c>
      <c r="S1058" s="19">
        <f t="shared" ca="1" si="165"/>
        <v>6027.1855050940385</v>
      </c>
    </row>
    <row r="1059" spans="13:19">
      <c r="M1059" s="81">
        <f t="shared" ca="1" si="164"/>
        <v>9287.9137707834634</v>
      </c>
      <c r="N1059" s="19">
        <f t="shared" si="166"/>
        <v>181.00795166276114</v>
      </c>
      <c r="O1059" s="17">
        <f t="shared" si="167"/>
        <v>264.5</v>
      </c>
      <c r="P1059" s="19">
        <f ca="1">IF(ISERROR(IF(O1059&lt;fi_h/20,0,(OFFSET('Base de dados'!$A$5,IF(O1059&lt;20,1,IF(O1059&gt;1000,10,MATCH(O1059,Cargas,1))),Coluna_fih,1,1))*(1+0.13*0.25)*(PI()*(fi_h/1000)^2/4)*SQRT(2*9.81*(O1059/100-fi_h/2/1000))*1000)),"",IF(O1059&lt;fi_h/20,0,(OFFSET('Base de dados'!$A$5,IF(O1059&lt;20,1,IF(O1059&gt;1000,10,MATCH(O1059,Cargas,1))),Coluna_fih,1,1))*(PI()*(fi_h/1000)^2/4)*SQRT(2*9.81*(O1059/100-fi_h/2/1000))*1000))</f>
        <v>43.300572145410896</v>
      </c>
      <c r="Q1059" s="19">
        <f ca="1">IF(O1059="","",IF(Tipo_Vertedor="Retangular",IF(O1059&lt;=cota_s*100,0,IF(Tipo_Vertedor="Retangular",Cd_sr*Lef_sr*((O1059/100-cota_s)^(3/2))*1000)),IF(O1059&lt;=cota_s*100+fi_s/20,0,(OFFSET('Base de dados'!$A$4,IF(O1059&lt;20,1,IF(O1059&gt;1000,10,MATCH(O1059,Cargas,1))),Coluna_fis,1,1))*(PI()*(fi_s/1000)^2/4)*(2*9.81*(O1059/100-cota_s-fi_s/2/1000))^0.5*1000)))</f>
        <v>3211.0148098793475</v>
      </c>
      <c r="R1059" s="19">
        <f t="shared" ca="1" si="168"/>
        <v>3254.3153820247585</v>
      </c>
      <c r="S1059" s="19">
        <f t="shared" ca="1" si="165"/>
        <v>6033.5983887587045</v>
      </c>
    </row>
    <row r="1060" spans="13:19">
      <c r="M1060" s="81">
        <f t="shared" ca="1" si="164"/>
        <v>9300.238281957827</v>
      </c>
      <c r="N1060" s="19">
        <f t="shared" si="166"/>
        <v>181.2003608266283</v>
      </c>
      <c r="O1060" s="17">
        <f t="shared" si="167"/>
        <v>264.75</v>
      </c>
      <c r="P1060" s="19">
        <f ca="1">IF(ISERROR(IF(O1060&lt;fi_h/20,0,(OFFSET('Base de dados'!$A$5,IF(O1060&lt;20,1,IF(O1060&gt;1000,10,MATCH(O1060,Cargas,1))),Coluna_fih,1,1))*(1+0.13*0.25)*(PI()*(fi_h/1000)^2/4)*SQRT(2*9.81*(O1060/100-fi_h/2/1000))*1000)),"",IF(O1060&lt;fi_h/20,0,(OFFSET('Base de dados'!$A$5,IF(O1060&lt;20,1,IF(O1060&gt;1000,10,MATCH(O1060,Cargas,1))),Coluna_fih,1,1))*(PI()*(fi_h/1000)^2/4)*SQRT(2*9.81*(O1060/100-fi_h/2/1000))*1000))</f>
        <v>43.321476361280396</v>
      </c>
      <c r="Q1060" s="19">
        <f ca="1">IF(O1060="","",IF(Tipo_Vertedor="Retangular",IF(O1060&lt;=cota_s*100,0,IF(Tipo_Vertedor="Retangular",Cd_sr*Lef_sr*((O1060/100-cota_s)^(3/2))*1000)),IF(O1060&lt;=cota_s*100+fi_s/20,0,(OFFSET('Base de dados'!$A$4,IF(O1060&lt;20,1,IF(O1060&gt;1000,10,MATCH(O1060,Cargas,1))),Coluna_fis,1,1))*(PI()*(fi_s/1000)^2/4)*(2*9.81*(O1060/100-cota_s-fi_s/2/1000))^0.5*1000)))</f>
        <v>3216.9047780422707</v>
      </c>
      <c r="R1060" s="19">
        <f t="shared" ca="1" si="168"/>
        <v>3260.2262544035511</v>
      </c>
      <c r="S1060" s="19">
        <f t="shared" ca="1" si="165"/>
        <v>6040.0120275542768</v>
      </c>
    </row>
    <row r="1061" spans="13:19">
      <c r="M1061" s="81">
        <f t="shared" ca="1" si="164"/>
        <v>9312.567134484314</v>
      </c>
      <c r="N1061" s="19">
        <f t="shared" si="166"/>
        <v>181.39279262569448</v>
      </c>
      <c r="O1061" s="17">
        <f t="shared" si="167"/>
        <v>265</v>
      </c>
      <c r="P1061" s="19">
        <f ca="1">IF(ISERROR(IF(O1061&lt;fi_h/20,0,(OFFSET('Base de dados'!$A$5,IF(O1061&lt;20,1,IF(O1061&gt;1000,10,MATCH(O1061,Cargas,1))),Coluna_fih,1,1))*(1+0.13*0.25)*(PI()*(fi_h/1000)^2/4)*SQRT(2*9.81*(O1061/100-fi_h/2/1000))*1000)),"",IF(O1061&lt;fi_h/20,0,(OFFSET('Base de dados'!$A$5,IF(O1061&lt;20,1,IF(O1061&gt;1000,10,MATCH(O1061,Cargas,1))),Coluna_fih,1,1))*(PI()*(fi_h/1000)^2/4)*SQRT(2*9.81*(O1061/100-fi_h/2/1000))*1000))</f>
        <v>43.342370494955851</v>
      </c>
      <c r="Q1061" s="19">
        <f ca="1">IF(O1061="","",IF(Tipo_Vertedor="Retangular",IF(O1061&lt;=cota_s*100,0,IF(Tipo_Vertedor="Retangular",Cd_sr*Lef_sr*((O1061/100-cota_s)^(3/2))*1000)),IF(O1061&lt;=cota_s*100+fi_s/20,0,(OFFSET('Base de dados'!$A$4,IF(O1061&lt;20,1,IF(O1061&gt;1000,10,MATCH(O1061,Cargas,1))),Coluna_fis,1,1))*(PI()*(fi_s/1000)^2/4)*(2*9.81*(O1061/100-cota_s-fi_s/2/1000))^0.5*1000)))</f>
        <v>3222.7983431328748</v>
      </c>
      <c r="R1061" s="19">
        <f t="shared" ca="1" si="168"/>
        <v>3266.1407136278308</v>
      </c>
      <c r="S1061" s="19">
        <f t="shared" ca="1" si="165"/>
        <v>6046.4264208564828</v>
      </c>
    </row>
    <row r="1062" spans="13:19">
      <c r="M1062" s="81">
        <f t="shared" ca="1" si="164"/>
        <v>9324.9003255604166</v>
      </c>
      <c r="N1062" s="19">
        <f t="shared" si="166"/>
        <v>181.58524704126492</v>
      </c>
      <c r="O1062" s="17">
        <f t="shared" si="167"/>
        <v>265.25</v>
      </c>
      <c r="P1062" s="19">
        <f ca="1">IF(ISERROR(IF(O1062&lt;fi_h/20,0,(OFFSET('Base de dados'!$A$5,IF(O1062&lt;20,1,IF(O1062&gt;1000,10,MATCH(O1062,Cargas,1))),Coluna_fih,1,1))*(1+0.13*0.25)*(PI()*(fi_h/1000)^2/4)*SQRT(2*9.81*(O1062/100-fi_h/2/1000))*1000)),"",IF(O1062&lt;fi_h/20,0,(OFFSET('Base de dados'!$A$5,IF(O1062&lt;20,1,IF(O1062&gt;1000,10,MATCH(O1062,Cargas,1))),Coluna_fih,1,1))*(PI()*(fi_h/1000)^2/4)*SQRT(2*9.81*(O1062/100-fi_h/2/1000))*1000))</f>
        <v>43.363254561011239</v>
      </c>
      <c r="Q1062" s="19">
        <f ca="1">IF(O1062="","",IF(Tipo_Vertedor="Retangular",IF(O1062&lt;=cota_s*100,0,IF(Tipo_Vertedor="Retangular",Cd_sr*Lef_sr*((O1062/100-cota_s)^(3/2))*1000)),IF(O1062&lt;=cota_s*100+fi_s/20,0,(OFFSET('Base de dados'!$A$4,IF(O1062&lt;20,1,IF(O1062&gt;1000,10,MATCH(O1062,Cargas,1))),Coluna_fis,1,1))*(PI()*(fi_s/1000)^2/4)*(2*9.81*(O1062/100-cota_s-fi_s/2/1000))^0.5*1000)))</f>
        <v>3228.6955029572409</v>
      </c>
      <c r="R1062" s="19">
        <f t="shared" ca="1" si="168"/>
        <v>3272.0587575182522</v>
      </c>
      <c r="S1062" s="19">
        <f t="shared" ca="1" si="165"/>
        <v>6052.841568042164</v>
      </c>
    </row>
    <row r="1063" spans="13:19">
      <c r="M1063" s="81">
        <f t="shared" ca="1" si="164"/>
        <v>9337.2378523887019</v>
      </c>
      <c r="N1063" s="19">
        <f t="shared" si="166"/>
        <v>181.77772405467766</v>
      </c>
      <c r="O1063" s="17">
        <f t="shared" si="167"/>
        <v>265.5</v>
      </c>
      <c r="P1063" s="19">
        <f ca="1">IF(ISERROR(IF(O1063&lt;fi_h/20,0,(OFFSET('Base de dados'!$A$5,IF(O1063&lt;20,1,IF(O1063&gt;1000,10,MATCH(O1063,Cargas,1))),Coluna_fih,1,1))*(1+0.13*0.25)*(PI()*(fi_h/1000)^2/4)*SQRT(2*9.81*(O1063/100-fi_h/2/1000))*1000)),"",IF(O1063&lt;fi_h/20,0,(OFFSET('Base de dados'!$A$5,IF(O1063&lt;20,1,IF(O1063&gt;1000,10,MATCH(O1063,Cargas,1))),Coluna_fih,1,1))*(PI()*(fi_h/1000)^2/4)*SQRT(2*9.81*(O1063/100-fi_h/2/1000))*1000))</f>
        <v>43.3841285739855</v>
      </c>
      <c r="Q1063" s="19">
        <f ca="1">IF(O1063="","",IF(Tipo_Vertedor="Retangular",IF(O1063&lt;=cota_s*100,0,IF(Tipo_Vertedor="Retangular",Cd_sr*Lef_sr*((O1063/100-cota_s)^(3/2))*1000)),IF(O1063&lt;=cota_s*100+fi_s/20,0,(OFFSET('Base de dados'!$A$4,IF(O1063&lt;20,1,IF(O1063&gt;1000,10,MATCH(O1063,Cargas,1))),Coluna_fis,1,1))*(PI()*(fi_s/1000)^2/4)*(2*9.81*(O1063/100-cota_s-fi_s/2/1000))^0.5*1000)))</f>
        <v>3234.5962553254612</v>
      </c>
      <c r="R1063" s="19">
        <f t="shared" ca="1" si="168"/>
        <v>3277.9803838994467</v>
      </c>
      <c r="S1063" s="19">
        <f t="shared" ca="1" si="165"/>
        <v>6059.2574684892561</v>
      </c>
    </row>
    <row r="1064" spans="13:19">
      <c r="M1064" s="81">
        <f t="shared" ca="1" si="164"/>
        <v>9349.5797121768046</v>
      </c>
      <c r="N1064" s="19">
        <f t="shared" si="166"/>
        <v>181.97022364730387</v>
      </c>
      <c r="O1064" s="17">
        <f t="shared" si="167"/>
        <v>265.75</v>
      </c>
      <c r="P1064" s="19">
        <f ca="1">IF(ISERROR(IF(O1064&lt;fi_h/20,0,(OFFSET('Base de dados'!$A$5,IF(O1064&lt;20,1,IF(O1064&gt;1000,10,MATCH(O1064,Cargas,1))),Coluna_fih,1,1))*(1+0.13*0.25)*(PI()*(fi_h/1000)^2/4)*SQRT(2*9.81*(O1064/100-fi_h/2/1000))*1000)),"",IF(O1064&lt;fi_h/20,0,(OFFSET('Base de dados'!$A$5,IF(O1064&lt;20,1,IF(O1064&gt;1000,10,MATCH(O1064,Cargas,1))),Coluna_fih,1,1))*(PI()*(fi_h/1000)^2/4)*SQRT(2*9.81*(O1064/100-fi_h/2/1000))*1000))</f>
        <v>43.404992548382594</v>
      </c>
      <c r="Q1064" s="19">
        <f ca="1">IF(O1064="","",IF(Tipo_Vertedor="Retangular",IF(O1064&lt;=cota_s*100,0,IF(Tipo_Vertedor="Retangular",Cd_sr*Lef_sr*((O1064/100-cota_s)^(3/2))*1000)),IF(O1064&lt;=cota_s*100+fi_s/20,0,(OFFSET('Base de dados'!$A$4,IF(O1064&lt;20,1,IF(O1064&gt;1000,10,MATCH(O1064,Cargas,1))),Coluna_fis,1,1))*(PI()*(fi_s/1000)^2/4)*(2*9.81*(O1064/100-cota_s-fi_s/2/1000))^0.5*1000)))</f>
        <v>3240.5005980516248</v>
      </c>
      <c r="R1064" s="19">
        <f t="shared" ca="1" si="168"/>
        <v>3283.9055906000076</v>
      </c>
      <c r="S1064" s="19">
        <f t="shared" ca="1" si="165"/>
        <v>6065.6741215767961</v>
      </c>
    </row>
    <row r="1065" spans="13:19">
      <c r="M1065" s="81">
        <f t="shared" ca="1" si="164"/>
        <v>9361.9259021373891</v>
      </c>
      <c r="N1065" s="19">
        <f t="shared" si="166"/>
        <v>182.16274580054741</v>
      </c>
      <c r="O1065" s="17">
        <f t="shared" si="167"/>
        <v>266</v>
      </c>
      <c r="P1065" s="19">
        <f ca="1">IF(ISERROR(IF(O1065&lt;fi_h/20,0,(OFFSET('Base de dados'!$A$5,IF(O1065&lt;20,1,IF(O1065&gt;1000,10,MATCH(O1065,Cargas,1))),Coluna_fih,1,1))*(1+0.13*0.25)*(PI()*(fi_h/1000)^2/4)*SQRT(2*9.81*(O1065/100-fi_h/2/1000))*1000)),"",IF(O1065&lt;fi_h/20,0,(OFFSET('Base de dados'!$A$5,IF(O1065&lt;20,1,IF(O1065&gt;1000,10,MATCH(O1065,Cargas,1))),Coluna_fih,1,1))*(PI()*(fi_h/1000)^2/4)*SQRT(2*9.81*(O1065/100-fi_h/2/1000))*1000))</f>
        <v>43.425846498671639</v>
      </c>
      <c r="Q1065" s="19">
        <f ca="1">IF(O1065="","",IF(Tipo_Vertedor="Retangular",IF(O1065&lt;=cota_s*100,0,IF(Tipo_Vertedor="Retangular",Cd_sr*Lef_sr*((O1065/100-cota_s)^(3/2))*1000)),IF(O1065&lt;=cota_s*100+fi_s/20,0,(OFFSET('Base de dados'!$A$4,IF(O1065&lt;20,1,IF(O1065&gt;1000,10,MATCH(O1065,Cargas,1))),Coluna_fis,1,1))*(PI()*(fi_s/1000)^2/4)*(2*9.81*(O1065/100-cota_s-fi_s/2/1000))^0.5*1000)))</f>
        <v>3246.4085289538039</v>
      </c>
      <c r="R1065" s="19">
        <f t="shared" ca="1" si="168"/>
        <v>3289.8343754524753</v>
      </c>
      <c r="S1065" s="19">
        <f t="shared" ca="1" si="165"/>
        <v>6072.0915266849142</v>
      </c>
    </row>
    <row r="1066" spans="13:19">
      <c r="M1066" s="81">
        <f t="shared" ca="1" si="164"/>
        <v>9374.2764194881674</v>
      </c>
      <c r="N1066" s="19">
        <f t="shared" si="166"/>
        <v>182.35529049584505</v>
      </c>
      <c r="O1066" s="17">
        <f t="shared" si="167"/>
        <v>266.25</v>
      </c>
      <c r="P1066" s="19">
        <f ca="1">IF(ISERROR(IF(O1066&lt;fi_h/20,0,(OFFSET('Base de dados'!$A$5,IF(O1066&lt;20,1,IF(O1066&gt;1000,10,MATCH(O1066,Cargas,1))),Coluna_fih,1,1))*(1+0.13*0.25)*(PI()*(fi_h/1000)^2/4)*SQRT(2*9.81*(O1066/100-fi_h/2/1000))*1000)),"",IF(O1066&lt;fi_h/20,0,(OFFSET('Base de dados'!$A$5,IF(O1066&lt;20,1,IF(O1066&gt;1000,10,MATCH(O1066,Cargas,1))),Coluna_fih,1,1))*(PI()*(fi_h/1000)^2/4)*SQRT(2*9.81*(O1066/100-fi_h/2/1000))*1000))</f>
        <v>43.446690439287018</v>
      </c>
      <c r="Q1066" s="19">
        <f ca="1">IF(O1066="","",IF(Tipo_Vertedor="Retangular",IF(O1066&lt;=cota_s*100,0,IF(Tipo_Vertedor="Retangular",Cd_sr*Lef_sr*((O1066/100-cota_s)^(3/2))*1000)),IF(O1066&lt;=cota_s*100+fi_s/20,0,(OFFSET('Base de dados'!$A$4,IF(O1066&lt;20,1,IF(O1066&gt;1000,10,MATCH(O1066,Cargas,1))),Coluna_fis,1,1))*(PI()*(fi_s/1000)^2/4)*(2*9.81*(O1066/100-cota_s-fi_s/2/1000))^0.5*1000)))</f>
        <v>3252.3200458540459</v>
      </c>
      <c r="R1066" s="19">
        <f t="shared" ca="1" si="168"/>
        <v>3295.766736293333</v>
      </c>
      <c r="S1066" s="19">
        <f t="shared" ca="1" si="165"/>
        <v>6078.5096831948349</v>
      </c>
    </row>
    <row r="1067" spans="13:19">
      <c r="M1067" s="81">
        <f t="shared" ca="1" si="164"/>
        <v>9386.6312614518647</v>
      </c>
      <c r="N1067" s="19">
        <f t="shared" si="166"/>
        <v>182.54785771466629</v>
      </c>
      <c r="O1067" s="17">
        <f t="shared" si="167"/>
        <v>266.5</v>
      </c>
      <c r="P1067" s="19">
        <f ca="1">IF(ISERROR(IF(O1067&lt;fi_h/20,0,(OFFSET('Base de dados'!$A$5,IF(O1067&lt;20,1,IF(O1067&gt;1000,10,MATCH(O1067,Cargas,1))),Coluna_fih,1,1))*(1+0.13*0.25)*(PI()*(fi_h/1000)^2/4)*SQRT(2*9.81*(O1067/100-fi_h/2/1000))*1000)),"",IF(O1067&lt;fi_h/20,0,(OFFSET('Base de dados'!$A$5,IF(O1067&lt;20,1,IF(O1067&gt;1000,10,MATCH(O1067,Cargas,1))),Coluna_fih,1,1))*(PI()*(fi_h/1000)^2/4)*SQRT(2*9.81*(O1067/100-fi_h/2/1000))*1000))</f>
        <v>43.467524384628547</v>
      </c>
      <c r="Q1067" s="19">
        <f ca="1">IF(O1067="","",IF(Tipo_Vertedor="Retangular",IF(O1067&lt;=cota_s*100,0,IF(Tipo_Vertedor="Retangular",Cd_sr*Lef_sr*((O1067/100-cota_s)^(3/2))*1000)),IF(O1067&lt;=cota_s*100+fi_s/20,0,(OFFSET('Base de dados'!$A$4,IF(O1067&lt;20,1,IF(O1067&gt;1000,10,MATCH(O1067,Cargas,1))),Coluna_fis,1,1))*(PI()*(fi_s/1000)^2/4)*(2*9.81*(O1067/100-cota_s-fi_s/2/1000))^0.5*1000)))</f>
        <v>3258.235146578359</v>
      </c>
      <c r="R1067" s="19">
        <f t="shared" ca="1" si="168"/>
        <v>3301.7026709629877</v>
      </c>
      <c r="S1067" s="19">
        <f t="shared" ca="1" si="165"/>
        <v>6084.9285904888766</v>
      </c>
    </row>
    <row r="1068" spans="13:19">
      <c r="M1068" s="81">
        <f t="shared" ca="1" si="164"/>
        <v>9398.9904252561973</v>
      </c>
      <c r="N1068" s="19">
        <f t="shared" si="166"/>
        <v>182.74044743851312</v>
      </c>
      <c r="O1068" s="17">
        <f t="shared" si="167"/>
        <v>266.75</v>
      </c>
      <c r="P1068" s="19">
        <f ca="1">IF(ISERROR(IF(O1068&lt;fi_h/20,0,(OFFSET('Base de dados'!$A$5,IF(O1068&lt;20,1,IF(O1068&gt;1000,10,MATCH(O1068,Cargas,1))),Coluna_fih,1,1))*(1+0.13*0.25)*(PI()*(fi_h/1000)^2/4)*SQRT(2*9.81*(O1068/100-fi_h/2/1000))*1000)),"",IF(O1068&lt;fi_h/20,0,(OFFSET('Base de dados'!$A$5,IF(O1068&lt;20,1,IF(O1068&gt;1000,10,MATCH(O1068,Cargas,1))),Coluna_fih,1,1))*(PI()*(fi_h/1000)^2/4)*SQRT(2*9.81*(O1068/100-fi_h/2/1000))*1000))</f>
        <v>43.488348349061496</v>
      </c>
      <c r="Q1068" s="19">
        <f ca="1">IF(O1068="","",IF(Tipo_Vertedor="Retangular",IF(O1068&lt;=cota_s*100,0,IF(Tipo_Vertedor="Retangular",Cd_sr*Lef_sr*((O1068/100-cota_s)^(3/2))*1000)),IF(O1068&lt;=cota_s*100+fi_s/20,0,(OFFSET('Base de dados'!$A$4,IF(O1068&lt;20,1,IF(O1068&gt;1000,10,MATCH(O1068,Cargas,1))),Coluna_fis,1,1))*(PI()*(fi_s/1000)^2/4)*(2*9.81*(O1068/100-cota_s-fi_s/2/1000))^0.5*1000)))</f>
        <v>3264.1538289567002</v>
      </c>
      <c r="R1068" s="19">
        <f t="shared" ca="1" si="168"/>
        <v>3307.6421773057618</v>
      </c>
      <c r="S1068" s="19">
        <f t="shared" ca="1" si="165"/>
        <v>6091.3482479504364</v>
      </c>
    </row>
    <row r="1069" spans="13:19">
      <c r="M1069" s="81">
        <f t="shared" ca="1" si="164"/>
        <v>9411.3539081338859</v>
      </c>
      <c r="N1069" s="19">
        <f t="shared" si="166"/>
        <v>182.93305964892016</v>
      </c>
      <c r="O1069" s="17">
        <f t="shared" si="167"/>
        <v>267</v>
      </c>
      <c r="P1069" s="19">
        <f ca="1">IF(ISERROR(IF(O1069&lt;fi_h/20,0,(OFFSET('Base de dados'!$A$5,IF(O1069&lt;20,1,IF(O1069&gt;1000,10,MATCH(O1069,Cargas,1))),Coluna_fih,1,1))*(1+0.13*0.25)*(PI()*(fi_h/1000)^2/4)*SQRT(2*9.81*(O1069/100-fi_h/2/1000))*1000)),"",IF(O1069&lt;fi_h/20,0,(OFFSET('Base de dados'!$A$5,IF(O1069&lt;20,1,IF(O1069&gt;1000,10,MATCH(O1069,Cargas,1))),Coluna_fih,1,1))*(PI()*(fi_h/1000)^2/4)*SQRT(2*9.81*(O1069/100-fi_h/2/1000))*1000))</f>
        <v>43.509162346916803</v>
      </c>
      <c r="Q1069" s="19">
        <f ca="1">IF(O1069="","",IF(Tipo_Vertedor="Retangular",IF(O1069&lt;=cota_s*100,0,IF(Tipo_Vertedor="Retangular",Cd_sr*Lef_sr*((O1069/100-cota_s)^(3/2))*1000)),IF(O1069&lt;=cota_s*100+fi_s/20,0,(OFFSET('Base de dados'!$A$4,IF(O1069&lt;20,1,IF(O1069&gt;1000,10,MATCH(O1069,Cargas,1))),Coluna_fis,1,1))*(PI()*(fi_s/1000)^2/4)*(2*9.81*(O1069/100-cota_s-fi_s/2/1000))^0.5*1000)))</f>
        <v>3270.0760908229636</v>
      </c>
      <c r="R1069" s="19">
        <f t="shared" ca="1" si="168"/>
        <v>3313.5852531698802</v>
      </c>
      <c r="S1069" s="19">
        <f t="shared" ca="1" si="165"/>
        <v>6097.7686549640057</v>
      </c>
    </row>
    <row r="1070" spans="13:19">
      <c r="M1070" s="81">
        <f t="shared" ca="1" si="164"/>
        <v>9423.7217073226038</v>
      </c>
      <c r="N1070" s="19">
        <f t="shared" si="166"/>
        <v>183.12569432745428</v>
      </c>
      <c r="O1070" s="17">
        <f t="shared" si="167"/>
        <v>267.25</v>
      </c>
      <c r="P1070" s="19">
        <f ca="1">IF(ISERROR(IF(O1070&lt;fi_h/20,0,(OFFSET('Base de dados'!$A$5,IF(O1070&lt;20,1,IF(O1070&gt;1000,10,MATCH(O1070,Cargas,1))),Coluna_fih,1,1))*(1+0.13*0.25)*(PI()*(fi_h/1000)^2/4)*SQRT(2*9.81*(O1070/100-fi_h/2/1000))*1000)),"",IF(O1070&lt;fi_h/20,0,(OFFSET('Base de dados'!$A$5,IF(O1070&lt;20,1,IF(O1070&gt;1000,10,MATCH(O1070,Cargas,1))),Coluna_fih,1,1))*(PI()*(fi_h/1000)^2/4)*SQRT(2*9.81*(O1070/100-fi_h/2/1000))*1000))</f>
        <v>43.529966392491112</v>
      </c>
      <c r="Q1070" s="19">
        <f ca="1">IF(O1070="","",IF(Tipo_Vertedor="Retangular",IF(O1070&lt;=cota_s*100,0,IF(Tipo_Vertedor="Retangular",Cd_sr*Lef_sr*((O1070/100-cota_s)^(3/2))*1000)),IF(O1070&lt;=cota_s*100+fi_s/20,0,(OFFSET('Base de dados'!$A$4,IF(O1070&lt;20,1,IF(O1070&gt;1000,10,MATCH(O1070,Cargas,1))),Coluna_fis,1,1))*(PI()*(fi_s/1000)^2/4)*(2*9.81*(O1070/100-cota_s-fi_s/2/1000))^0.5*1000)))</f>
        <v>3276.0019300149702</v>
      </c>
      <c r="R1070" s="19">
        <f t="shared" ca="1" si="168"/>
        <v>3319.5318964074613</v>
      </c>
      <c r="S1070" s="19">
        <f t="shared" ca="1" si="165"/>
        <v>6104.1898109151425</v>
      </c>
    </row>
    <row r="1071" spans="13:19">
      <c r="M1071" s="81">
        <f t="shared" ca="1" si="164"/>
        <v>9436.0938200649944</v>
      </c>
      <c r="N1071" s="19">
        <f t="shared" si="166"/>
        <v>183.31835145571489</v>
      </c>
      <c r="O1071" s="17">
        <f t="shared" si="167"/>
        <v>267.5</v>
      </c>
      <c r="P1071" s="19">
        <f ca="1">IF(ISERROR(IF(O1071&lt;fi_h/20,0,(OFFSET('Base de dados'!$A$5,IF(O1071&lt;20,1,IF(O1071&gt;1000,10,MATCH(O1071,Cargas,1))),Coluna_fih,1,1))*(1+0.13*0.25)*(PI()*(fi_h/1000)^2/4)*SQRT(2*9.81*(O1071/100-fi_h/2/1000))*1000)),"",IF(O1071&lt;fi_h/20,0,(OFFSET('Base de dados'!$A$5,IF(O1071&lt;20,1,IF(O1071&gt;1000,10,MATCH(O1071,Cargas,1))),Coluna_fih,1,1))*(PI()*(fi_h/1000)^2/4)*SQRT(2*9.81*(O1071/100-fi_h/2/1000))*1000))</f>
        <v>43.550760500046941</v>
      </c>
      <c r="Q1071" s="19">
        <f ca="1">IF(O1071="","",IF(Tipo_Vertedor="Retangular",IF(O1071&lt;=cota_s*100,0,IF(Tipo_Vertedor="Retangular",Cd_sr*Lef_sr*((O1071/100-cota_s)^(3/2))*1000)),IF(O1071&lt;=cota_s*100+fi_s/20,0,(OFFSET('Base de dados'!$A$4,IF(O1071&lt;20,1,IF(O1071&gt;1000,10,MATCH(O1071,Cargas,1))),Coluna_fis,1,1))*(PI()*(fi_s/1000)^2/4)*(2*9.81*(O1071/100-cota_s-fi_s/2/1000))^0.5*1000)))</f>
        <v>3281.9313443744513</v>
      </c>
      <c r="R1071" s="19">
        <f t="shared" ca="1" si="168"/>
        <v>3325.4821048744984</v>
      </c>
      <c r="S1071" s="19">
        <f t="shared" ca="1" si="165"/>
        <v>6110.6117151904964</v>
      </c>
    </row>
    <row r="1072" spans="13:19">
      <c r="M1072" s="81">
        <f t="shared" ca="1" si="164"/>
        <v>9448.4702436086409</v>
      </c>
      <c r="N1072" s="19">
        <f t="shared" si="166"/>
        <v>183.51103101533354</v>
      </c>
      <c r="O1072" s="17">
        <f t="shared" si="167"/>
        <v>267.75</v>
      </c>
      <c r="P1072" s="19">
        <f ca="1">IF(ISERROR(IF(O1072&lt;fi_h/20,0,(OFFSET('Base de dados'!$A$5,IF(O1072&lt;20,1,IF(O1072&gt;1000,10,MATCH(O1072,Cargas,1))),Coluna_fih,1,1))*(1+0.13*0.25)*(PI()*(fi_h/1000)^2/4)*SQRT(2*9.81*(O1072/100-fi_h/2/1000))*1000)),"",IF(O1072&lt;fi_h/20,0,(OFFSET('Base de dados'!$A$5,IF(O1072&lt;20,1,IF(O1072&gt;1000,10,MATCH(O1072,Cargas,1))),Coluna_fih,1,1))*(PI()*(fi_h/1000)^2/4)*SQRT(2*9.81*(O1072/100-fi_h/2/1000))*1000))</f>
        <v>43.57154468381276</v>
      </c>
      <c r="Q1072" s="19">
        <f ca="1">IF(O1072="","",IF(Tipo_Vertedor="Retangular",IF(O1072&lt;=cota_s*100,0,IF(Tipo_Vertedor="Retangular",Cd_sr*Lef_sr*((O1072/100-cota_s)^(3/2))*1000)),IF(O1072&lt;=cota_s*100+fi_s/20,0,(OFFSET('Base de dados'!$A$4,IF(O1072&lt;20,1,IF(O1072&gt;1000,10,MATCH(O1072,Cargas,1))),Coluna_fis,1,1))*(PI()*(fi_s/1000)^2/4)*(2*9.81*(O1072/100-cota_s-fi_s/2/1000))^0.5*1000)))</f>
        <v>3287.8643317470446</v>
      </c>
      <c r="R1072" s="19">
        <f t="shared" ca="1" si="168"/>
        <v>3331.4358764308572</v>
      </c>
      <c r="S1072" s="19">
        <f t="shared" ca="1" si="165"/>
        <v>6117.0343671777846</v>
      </c>
    </row>
    <row r="1073" spans="13:19">
      <c r="M1073" s="81">
        <f t="shared" ca="1" si="164"/>
        <v>9460.8509752060545</v>
      </c>
      <c r="N1073" s="19">
        <f t="shared" si="166"/>
        <v>183.70373298797401</v>
      </c>
      <c r="O1073" s="17">
        <f t="shared" si="167"/>
        <v>268</v>
      </c>
      <c r="P1073" s="19">
        <f ca="1">IF(ISERROR(IF(O1073&lt;fi_h/20,0,(OFFSET('Base de dados'!$A$5,IF(O1073&lt;20,1,IF(O1073&gt;1000,10,MATCH(O1073,Cargas,1))),Coluna_fih,1,1))*(1+0.13*0.25)*(PI()*(fi_h/1000)^2/4)*SQRT(2*9.81*(O1073/100-fi_h/2/1000))*1000)),"",IF(O1073&lt;fi_h/20,0,(OFFSET('Base de dados'!$A$5,IF(O1073&lt;20,1,IF(O1073&gt;1000,10,MATCH(O1073,Cargas,1))),Coluna_fih,1,1))*(PI()*(fi_h/1000)^2/4)*SQRT(2*9.81*(O1073/100-fi_h/2/1000))*1000))</f>
        <v>43.592318957983125</v>
      </c>
      <c r="Q1073" s="19">
        <f ca="1">IF(O1073="","",IF(Tipo_Vertedor="Retangular",IF(O1073&lt;=cota_s*100,0,IF(Tipo_Vertedor="Retangular",Cd_sr*Lef_sr*((O1073/100-cota_s)^(3/2))*1000)),IF(O1073&lt;=cota_s*100+fi_s/20,0,(OFFSET('Base de dados'!$A$4,IF(O1073&lt;20,1,IF(O1073&gt;1000,10,MATCH(O1073,Cargas,1))),Coluna_fis,1,1))*(PI()*(fi_s/1000)^2/4)*(2*9.81*(O1073/100-cota_s-fi_s/2/1000))^0.5*1000)))</f>
        <v>3293.8008899822717</v>
      </c>
      <c r="R1073" s="19">
        <f t="shared" ca="1" si="168"/>
        <v>3337.3932089402547</v>
      </c>
      <c r="S1073" s="19">
        <f t="shared" ca="1" si="165"/>
        <v>6123.4577662658003</v>
      </c>
    </row>
    <row r="1074" spans="13:19">
      <c r="M1074" s="81">
        <f t="shared" ca="1" si="164"/>
        <v>9473.2360121146539</v>
      </c>
      <c r="N1074" s="19">
        <f t="shared" si="166"/>
        <v>183.89645735533202</v>
      </c>
      <c r="O1074" s="17">
        <f t="shared" si="167"/>
        <v>268.25</v>
      </c>
      <c r="P1074" s="19">
        <f ca="1">IF(ISERROR(IF(O1074&lt;fi_h/20,0,(OFFSET('Base de dados'!$A$5,IF(O1074&lt;20,1,IF(O1074&gt;1000,10,MATCH(O1074,Cargas,1))),Coluna_fih,1,1))*(1+0.13*0.25)*(PI()*(fi_h/1000)^2/4)*SQRT(2*9.81*(O1074/100-fi_h/2/1000))*1000)),"",IF(O1074&lt;fi_h/20,0,(OFFSET('Base de dados'!$A$5,IF(O1074&lt;20,1,IF(O1074&gt;1000,10,MATCH(O1074,Cargas,1))),Coluna_fih,1,1))*(PI()*(fi_h/1000)^2/4)*SQRT(2*9.81*(O1074/100-fi_h/2/1000))*1000))</f>
        <v>43.613083336718788</v>
      </c>
      <c r="Q1074" s="19">
        <f ca="1">IF(O1074="","",IF(Tipo_Vertedor="Retangular",IF(O1074&lt;=cota_s*100,0,IF(Tipo_Vertedor="Retangular",Cd_sr*Lef_sr*((O1074/100-cota_s)^(3/2))*1000)),IF(O1074&lt;=cota_s*100+fi_s/20,0,(OFFSET('Base de dados'!$A$4,IF(O1074&lt;20,1,IF(O1074&gt;1000,10,MATCH(O1074,Cargas,1))),Coluna_fis,1,1))*(PI()*(fi_s/1000)^2/4)*(2*9.81*(O1074/100-cota_s-fi_s/2/1000))^0.5*1000)))</f>
        <v>3299.7410169335358</v>
      </c>
      <c r="R1074" s="19">
        <f t="shared" ca="1" si="168"/>
        <v>3343.3541002702545</v>
      </c>
      <c r="S1074" s="19">
        <f t="shared" ca="1" si="165"/>
        <v>6129.8819118443998</v>
      </c>
    </row>
    <row r="1075" spans="13:19">
      <c r="M1075" s="81">
        <f t="shared" ca="1" si="164"/>
        <v>9485.6253515967692</v>
      </c>
      <c r="N1075" s="19">
        <f t="shared" si="166"/>
        <v>184.08920409913546</v>
      </c>
      <c r="O1075" s="17">
        <f t="shared" si="167"/>
        <v>268.5</v>
      </c>
      <c r="P1075" s="19">
        <f ca="1">IF(ISERROR(IF(O1075&lt;fi_h/20,0,(OFFSET('Base de dados'!$A$5,IF(O1075&lt;20,1,IF(O1075&gt;1000,10,MATCH(O1075,Cargas,1))),Coluna_fih,1,1))*(1+0.13*0.25)*(PI()*(fi_h/1000)^2/4)*SQRT(2*9.81*(O1075/100-fi_h/2/1000))*1000)),"",IF(O1075&lt;fi_h/20,0,(OFFSET('Base de dados'!$A$5,IF(O1075&lt;20,1,IF(O1075&gt;1000,10,MATCH(O1075,Cargas,1))),Coluna_fih,1,1))*(PI()*(fi_h/1000)^2/4)*SQRT(2*9.81*(O1075/100-fi_h/2/1000))*1000))</f>
        <v>43.633837834146803</v>
      </c>
      <c r="Q1075" s="19">
        <f ca="1">IF(O1075="","",IF(Tipo_Vertedor="Retangular",IF(O1075&lt;=cota_s*100,0,IF(Tipo_Vertedor="Retangular",Cd_sr*Lef_sr*((O1075/100-cota_s)^(3/2))*1000)),IF(O1075&lt;=cota_s*100+fi_s/20,0,(OFFSET('Base de dados'!$A$4,IF(O1075&lt;20,1,IF(O1075&gt;1000,10,MATCH(O1075,Cargas,1))),Coluna_fis,1,1))*(PI()*(fi_s/1000)^2/4)*(2*9.81*(O1075/100-cota_s-fi_s/2/1000))^0.5*1000)))</f>
        <v>3305.6847104581075</v>
      </c>
      <c r="R1075" s="19">
        <f t="shared" ca="1" si="168"/>
        <v>3349.3185482922545</v>
      </c>
      <c r="S1075" s="19">
        <f t="shared" ca="1" si="165"/>
        <v>6136.3068033045147</v>
      </c>
    </row>
    <row r="1076" spans="13:19">
      <c r="M1076" s="81">
        <f t="shared" ca="1" si="164"/>
        <v>9498.0189909196088</v>
      </c>
      <c r="N1076" s="19">
        <f t="shared" si="166"/>
        <v>184.2819732011441</v>
      </c>
      <c r="O1076" s="17">
        <f t="shared" si="167"/>
        <v>268.75</v>
      </c>
      <c r="P1076" s="19">
        <f ca="1">IF(ISERROR(IF(O1076&lt;fi_h/20,0,(OFFSET('Base de dados'!$A$5,IF(O1076&lt;20,1,IF(O1076&gt;1000,10,MATCH(O1076,Cargas,1))),Coluna_fih,1,1))*(1+0.13*0.25)*(PI()*(fi_h/1000)^2/4)*SQRT(2*9.81*(O1076/100-fi_h/2/1000))*1000)),"",IF(O1076&lt;fi_h/20,0,(OFFSET('Base de dados'!$A$5,IF(O1076&lt;20,1,IF(O1076&gt;1000,10,MATCH(O1076,Cargas,1))),Coluna_fih,1,1))*(PI()*(fi_h/1000)^2/4)*SQRT(2*9.81*(O1076/100-fi_h/2/1000))*1000))</f>
        <v>43.654582464360644</v>
      </c>
      <c r="Q1076" s="19">
        <f ca="1">IF(O1076="","",IF(Tipo_Vertedor="Retangular",IF(O1076&lt;=cota_s*100,0,IF(Tipo_Vertedor="Retangular",Cd_sr*Lef_sr*((O1076/100-cota_s)^(3/2))*1000)),IF(O1076&lt;=cota_s*100+fi_s/20,0,(OFFSET('Base de dados'!$A$4,IF(O1076&lt;20,1,IF(O1076&gt;1000,10,MATCH(O1076,Cargas,1))),Coluna_fis,1,1))*(PI()*(fi_s/1000)^2/4)*(2*9.81*(O1076/100-cota_s-fi_s/2/1000))^0.5*1000)))</f>
        <v>3311.6319684171108</v>
      </c>
      <c r="R1076" s="19">
        <f t="shared" ca="1" si="168"/>
        <v>3355.2865508814716</v>
      </c>
      <c r="S1076" s="19">
        <f t="shared" ca="1" si="165"/>
        <v>6142.7324400381367</v>
      </c>
    </row>
    <row r="1077" spans="13:19">
      <c r="M1077" s="81">
        <f t="shared" ca="1" si="164"/>
        <v>9510.4169273552452</v>
      </c>
      <c r="N1077" s="19">
        <f t="shared" si="166"/>
        <v>184.47476464314934</v>
      </c>
      <c r="O1077" s="17">
        <f t="shared" si="167"/>
        <v>269</v>
      </c>
      <c r="P1077" s="19">
        <f ca="1">IF(ISERROR(IF(O1077&lt;fi_h/20,0,(OFFSET('Base de dados'!$A$5,IF(O1077&lt;20,1,IF(O1077&gt;1000,10,MATCH(O1077,Cargas,1))),Coluna_fih,1,1))*(1+0.13*0.25)*(PI()*(fi_h/1000)^2/4)*SQRT(2*9.81*(O1077/100-fi_h/2/1000))*1000)),"",IF(O1077&lt;fi_h/20,0,(OFFSET('Base de dados'!$A$5,IF(O1077&lt;20,1,IF(O1077&gt;1000,10,MATCH(O1077,Cargas,1))),Coluna_fih,1,1))*(PI()*(fi_h/1000)^2/4)*SQRT(2*9.81*(O1077/100-fi_h/2/1000))*1000))</f>
        <v>43.675317241420309</v>
      </c>
      <c r="Q1077" s="19">
        <f ca="1">IF(O1077="","",IF(Tipo_Vertedor="Retangular",IF(O1077&lt;=cota_s*100,0,IF(Tipo_Vertedor="Retangular",Cd_sr*Lef_sr*((O1077/100-cota_s)^(3/2))*1000)),IF(O1077&lt;=cota_s*100+fi_s/20,0,(OFFSET('Base de dados'!$A$4,IF(O1077&lt;20,1,IF(O1077&gt;1000,10,MATCH(O1077,Cargas,1))),Coluna_fis,1,1))*(PI()*(fi_s/1000)^2/4)*(2*9.81*(O1077/100-cota_s-fi_s/2/1000))^0.5*1000)))</f>
        <v>3317.5827886755142</v>
      </c>
      <c r="R1077" s="19">
        <f t="shared" ca="1" si="168"/>
        <v>3361.2581059169343</v>
      </c>
      <c r="S1077" s="19">
        <f t="shared" ca="1" si="165"/>
        <v>6149.158821438311</v>
      </c>
    </row>
    <row r="1078" spans="13:19">
      <c r="M1078" s="81">
        <f t="shared" ca="1" si="164"/>
        <v>9522.8191581806223</v>
      </c>
      <c r="N1078" s="19">
        <f t="shared" si="166"/>
        <v>184.66757840697463</v>
      </c>
      <c r="O1078" s="17">
        <f t="shared" si="167"/>
        <v>269.25</v>
      </c>
      <c r="P1078" s="19">
        <f ca="1">IF(ISERROR(IF(O1078&lt;fi_h/20,0,(OFFSET('Base de dados'!$A$5,IF(O1078&lt;20,1,IF(O1078&gt;1000,10,MATCH(O1078,Cargas,1))),Coluna_fih,1,1))*(1+0.13*0.25)*(PI()*(fi_h/1000)^2/4)*SQRT(2*9.81*(O1078/100-fi_h/2/1000))*1000)),"",IF(O1078&lt;fi_h/20,0,(OFFSET('Base de dados'!$A$5,IF(O1078&lt;20,1,IF(O1078&gt;1000,10,MATCH(O1078,Cargas,1))),Coluna_fih,1,1))*(PI()*(fi_h/1000)^2/4)*SQRT(2*9.81*(O1078/100-fi_h/2/1000))*1000))</f>
        <v>43.69604217935246</v>
      </c>
      <c r="Q1078" s="19">
        <f ca="1">IF(O1078="","",IF(Tipo_Vertedor="Retangular",IF(O1078&lt;=cota_s*100,0,IF(Tipo_Vertedor="Retangular",Cd_sr*Lef_sr*((O1078/100-cota_s)^(3/2))*1000)),IF(O1078&lt;=cota_s*100+fi_s/20,0,(OFFSET('Base de dados'!$A$4,IF(O1078&lt;20,1,IF(O1078&gt;1000,10,MATCH(O1078,Cargas,1))),Coluna_fis,1,1))*(PI()*(fi_s/1000)^2/4)*(2*9.81*(O1078/100-cota_s-fi_s/2/1000))^0.5*1000)))</f>
        <v>3323.5371691021164</v>
      </c>
      <c r="R1078" s="19">
        <f t="shared" ca="1" si="168"/>
        <v>3367.2332112814688</v>
      </c>
      <c r="S1078" s="19">
        <f t="shared" ca="1" si="165"/>
        <v>6155.5859468991539</v>
      </c>
    </row>
    <row r="1079" spans="13:19">
      <c r="M1079" s="81">
        <f t="shared" ca="1" si="164"/>
        <v>9535.2256806775167</v>
      </c>
      <c r="N1079" s="19">
        <f t="shared" si="166"/>
        <v>184.86041447447485</v>
      </c>
      <c r="O1079" s="17">
        <f t="shared" si="167"/>
        <v>269.5</v>
      </c>
      <c r="P1079" s="19">
        <f ca="1">IF(ISERROR(IF(O1079&lt;fi_h/20,0,(OFFSET('Base de dados'!$A$5,IF(O1079&lt;20,1,IF(O1079&gt;1000,10,MATCH(O1079,Cargas,1))),Coluna_fih,1,1))*(1+0.13*0.25)*(PI()*(fi_h/1000)^2/4)*SQRT(2*9.81*(O1079/100-fi_h/2/1000))*1000)),"",IF(O1079&lt;fi_h/20,0,(OFFSET('Base de dados'!$A$5,IF(O1079&lt;20,1,IF(O1079&gt;1000,10,MATCH(O1079,Cargas,1))),Coluna_fih,1,1))*(PI()*(fi_h/1000)^2/4)*SQRT(2*9.81*(O1079/100-fi_h/2/1000))*1000))</f>
        <v>43.716757292150483</v>
      </c>
      <c r="Q1079" s="19">
        <f ca="1">IF(O1079="","",IF(Tipo_Vertedor="Retangular",IF(O1079&lt;=cota_s*100,0,IF(Tipo_Vertedor="Retangular",Cd_sr*Lef_sr*((O1079/100-cota_s)^(3/2))*1000)),IF(O1079&lt;=cota_s*100+fi_s/20,0,(OFFSET('Base de dados'!$A$4,IF(O1079&lt;20,1,IF(O1079&gt;1000,10,MATCH(O1079,Cargas,1))),Coluna_fis,1,1))*(PI()*(fi_s/1000)^2/4)*(2*9.81*(O1079/100-cota_s-fi_s/2/1000))^0.5*1000)))</f>
        <v>3329.4951075695385</v>
      </c>
      <c r="R1079" s="19">
        <f t="shared" ca="1" si="168"/>
        <v>3373.2118648616888</v>
      </c>
      <c r="S1079" s="19">
        <f t="shared" ca="1" si="165"/>
        <v>6162.0138158158279</v>
      </c>
    </row>
    <row r="1080" spans="13:19">
      <c r="M1080" s="81">
        <f t="shared" ca="1" si="164"/>
        <v>9547.6364921325348</v>
      </c>
      <c r="N1080" s="19">
        <f t="shared" si="166"/>
        <v>185.05327282753649</v>
      </c>
      <c r="O1080" s="17">
        <f t="shared" si="167"/>
        <v>269.75</v>
      </c>
      <c r="P1080" s="19">
        <f ca="1">IF(ISERROR(IF(O1080&lt;fi_h/20,0,(OFFSET('Base de dados'!$A$5,IF(O1080&lt;20,1,IF(O1080&gt;1000,10,MATCH(O1080,Cargas,1))),Coluna_fih,1,1))*(1+0.13*0.25)*(PI()*(fi_h/1000)^2/4)*SQRT(2*9.81*(O1080/100-fi_h/2/1000))*1000)),"",IF(O1080&lt;fi_h/20,0,(OFFSET('Base de dados'!$A$5,IF(O1080&lt;20,1,IF(O1080&gt;1000,10,MATCH(O1080,Cargas,1))),Coluna_fih,1,1))*(PI()*(fi_h/1000)^2/4)*SQRT(2*9.81*(O1080/100-fi_h/2/1000))*1000))</f>
        <v>43.737462593774637</v>
      </c>
      <c r="Q1080" s="19">
        <f ca="1">IF(O1080="","",IF(Tipo_Vertedor="Retangular",IF(O1080&lt;=cota_s*100,0,IF(Tipo_Vertedor="Retangular",Cd_sr*Lef_sr*((O1080/100-cota_s)^(3/2))*1000)),IF(O1080&lt;=cota_s*100+fi_s/20,0,(OFFSET('Base de dados'!$A$4,IF(O1080&lt;20,1,IF(O1080&gt;1000,10,MATCH(O1080,Cargas,1))),Coluna_fis,1,1))*(PI()*(fi_s/1000)^2/4)*(2*9.81*(O1080/100-cota_s-fi_s/2/1000))^0.5*1000)))</f>
        <v>3335.4566019542112</v>
      </c>
      <c r="R1080" s="19">
        <f t="shared" ca="1" si="168"/>
        <v>3379.1940645479858</v>
      </c>
      <c r="S1080" s="19">
        <f t="shared" ca="1" si="165"/>
        <v>6168.4424275845495</v>
      </c>
    </row>
    <row r="1081" spans="13:19">
      <c r="M1081" s="81">
        <f t="shared" ca="1" si="164"/>
        <v>9560.0515898370995</v>
      </c>
      <c r="N1081" s="19">
        <f t="shared" si="166"/>
        <v>185.24615344807759</v>
      </c>
      <c r="O1081" s="17">
        <f t="shared" si="167"/>
        <v>270</v>
      </c>
      <c r="P1081" s="19">
        <f ca="1">IF(ISERROR(IF(O1081&lt;fi_h/20,0,(OFFSET('Base de dados'!$A$5,IF(O1081&lt;20,1,IF(O1081&gt;1000,10,MATCH(O1081,Cargas,1))),Coluna_fih,1,1))*(1+0.13*0.25)*(PI()*(fi_h/1000)^2/4)*SQRT(2*9.81*(O1081/100-fi_h/2/1000))*1000)),"",IF(O1081&lt;fi_h/20,0,(OFFSET('Base de dados'!$A$5,IF(O1081&lt;20,1,IF(O1081&gt;1000,10,MATCH(O1081,Cargas,1))),Coluna_fih,1,1))*(PI()*(fi_h/1000)^2/4)*SQRT(2*9.81*(O1081/100-fi_h/2/1000))*1000))</f>
        <v>43.758158098152151</v>
      </c>
      <c r="Q1081" s="19">
        <f ca="1">IF(O1081="","",IF(Tipo_Vertedor="Retangular",IF(O1081&lt;=cota_s*100,0,IF(Tipo_Vertedor="Retangular",Cd_sr*Lef_sr*((O1081/100-cota_s)^(3/2))*1000)),IF(O1081&lt;=cota_s*100+fi_s/20,0,(OFFSET('Base de dados'!$A$4,IF(O1081&lt;20,1,IF(O1081&gt;1000,10,MATCH(O1081,Cargas,1))),Coluna_fis,1,1))*(PI()*(fi_s/1000)^2/4)*(2*9.81*(O1081/100-cota_s-fi_s/2/1000))^0.5*1000)))</f>
        <v>3341.4216501363608</v>
      </c>
      <c r="R1081" s="19">
        <f t="shared" ca="1" si="168"/>
        <v>3385.1798082345131</v>
      </c>
      <c r="S1081" s="19">
        <f t="shared" ca="1" si="165"/>
        <v>6174.8717816025865</v>
      </c>
    </row>
    <row r="1082" spans="13:19">
      <c r="M1082" s="81">
        <f t="shared" ca="1" si="164"/>
        <v>9572.4709710874267</v>
      </c>
      <c r="N1082" s="19">
        <f t="shared" si="166"/>
        <v>185.43905631804748</v>
      </c>
      <c r="O1082" s="17">
        <f t="shared" si="167"/>
        <v>270.25</v>
      </c>
      <c r="P1082" s="19">
        <f ca="1">IF(ISERROR(IF(O1082&lt;fi_h/20,0,(OFFSET('Base de dados'!$A$5,IF(O1082&lt;20,1,IF(O1082&gt;1000,10,MATCH(O1082,Cargas,1))),Coluna_fih,1,1))*(1+0.13*0.25)*(PI()*(fi_h/1000)^2/4)*SQRT(2*9.81*(O1082/100-fi_h/2/1000))*1000)),"",IF(O1082&lt;fi_h/20,0,(OFFSET('Base de dados'!$A$5,IF(O1082&lt;20,1,IF(O1082&gt;1000,10,MATCH(O1082,Cargas,1))),Coluna_fih,1,1))*(PI()*(fi_h/1000)^2/4)*SQRT(2*9.81*(O1082/100-fi_h/2/1000))*1000))</f>
        <v>43.778843819177332</v>
      </c>
      <c r="Q1082" s="19">
        <f ca="1">IF(O1082="","",IF(Tipo_Vertedor="Retangular",IF(O1082&lt;=cota_s*100,0,IF(Tipo_Vertedor="Retangular",Cd_sr*Lef_sr*((O1082/100-cota_s)^(3/2))*1000)),IF(O1082&lt;=cota_s*100+fi_s/20,0,(OFFSET('Base de dados'!$A$4,IF(O1082&lt;20,1,IF(O1082&gt;1000,10,MATCH(O1082,Cargas,1))),Coluna_fis,1,1))*(PI()*(fi_s/1000)^2/4)*(2*9.81*(O1082/100-cota_s-fi_s/2/1000))^0.5*1000)))</f>
        <v>3347.3902500000004</v>
      </c>
      <c r="R1082" s="19">
        <f t="shared" ca="1" si="168"/>
        <v>3391.1690938191778</v>
      </c>
      <c r="S1082" s="19">
        <f t="shared" ca="1" si="165"/>
        <v>6181.3018772682499</v>
      </c>
    </row>
    <row r="1083" spans="13:19">
      <c r="M1083" s="81">
        <f t="shared" ca="1" si="164"/>
        <v>9584.8946331845291</v>
      </c>
      <c r="N1083" s="19">
        <f t="shared" si="166"/>
        <v>185.63198141942695</v>
      </c>
      <c r="O1083" s="17">
        <f t="shared" si="167"/>
        <v>270.5</v>
      </c>
      <c r="P1083" s="19">
        <f ca="1">IF(ISERROR(IF(O1083&lt;fi_h/20,0,(OFFSET('Base de dados'!$A$5,IF(O1083&lt;20,1,IF(O1083&gt;1000,10,MATCH(O1083,Cargas,1))),Coluna_fih,1,1))*(1+0.13*0.25)*(PI()*(fi_h/1000)^2/4)*SQRT(2*9.81*(O1083/100-fi_h/2/1000))*1000)),"",IF(O1083&lt;fi_h/20,0,(OFFSET('Base de dados'!$A$5,IF(O1083&lt;20,1,IF(O1083&gt;1000,10,MATCH(O1083,Cargas,1))),Coluna_fih,1,1))*(PI()*(fi_h/1000)^2/4)*SQRT(2*9.81*(O1083/100-fi_h/2/1000))*1000))</f>
        <v>43.79951977071169</v>
      </c>
      <c r="Q1083" s="19">
        <f ca="1">IF(O1083="","",IF(Tipo_Vertedor="Retangular",IF(O1083&lt;=cota_s*100,0,IF(Tipo_Vertedor="Retangular",Cd_sr*Lef_sr*((O1083/100-cota_s)^(3/2))*1000)),IF(O1083&lt;=cota_s*100+fi_s/20,0,(OFFSET('Base de dados'!$A$4,IF(O1083&lt;20,1,IF(O1083&gt;1000,10,MATCH(O1083,Cargas,1))),Coluna_fis,1,1))*(PI()*(fi_s/1000)^2/4)*(2*9.81*(O1083/100-cota_s-fi_s/2/1000))^0.5*1000)))</f>
        <v>3353.3623994329187</v>
      </c>
      <c r="R1083" s="19">
        <f t="shared" ca="1" si="168"/>
        <v>3397.1619192036305</v>
      </c>
      <c r="S1083" s="19">
        <f t="shared" ca="1" si="165"/>
        <v>6187.7327139808976</v>
      </c>
    </row>
    <row r="1084" spans="13:19">
      <c r="M1084" s="81">
        <f t="shared" ca="1" si="164"/>
        <v>9597.3225734341831</v>
      </c>
      <c r="N1084" s="19">
        <f t="shared" si="166"/>
        <v>185.82492873422788</v>
      </c>
      <c r="O1084" s="17">
        <f t="shared" si="167"/>
        <v>270.75</v>
      </c>
      <c r="P1084" s="19">
        <f ca="1">IF(ISERROR(IF(O1084&lt;fi_h/20,0,(OFFSET('Base de dados'!$A$5,IF(O1084&lt;20,1,IF(O1084&gt;1000,10,MATCH(O1084,Cargas,1))),Coluna_fih,1,1))*(1+0.13*0.25)*(PI()*(fi_h/1000)^2/4)*SQRT(2*9.81*(O1084/100-fi_h/2/1000))*1000)),"",IF(O1084&lt;fi_h/20,0,(OFFSET('Base de dados'!$A$5,IF(O1084&lt;20,1,IF(O1084&gt;1000,10,MATCH(O1084,Cargas,1))),Coluna_fih,1,1))*(PI()*(fi_h/1000)^2/4)*SQRT(2*9.81*(O1084/100-fi_h/2/1000))*1000))</f>
        <v>43.820185966584027</v>
      </c>
      <c r="Q1084" s="19">
        <f ca="1">IF(O1084="","",IF(Tipo_Vertedor="Retangular",IF(O1084&lt;=cota_s*100,0,IF(Tipo_Vertedor="Retangular",Cd_sr*Lef_sr*((O1084/100-cota_s)^(3/2))*1000)),IF(O1084&lt;=cota_s*100+fi_s/20,0,(OFFSET('Base de dados'!$A$4,IF(O1084&lt;20,1,IF(O1084&gt;1000,10,MATCH(O1084,Cargas,1))),Coluna_fis,1,1))*(PI()*(fi_s/1000)^2/4)*(2*9.81*(O1084/100-cota_s-fi_s/2/1000))^0.5*1000)))</f>
        <v>3359.3380963266691</v>
      </c>
      <c r="R1084" s="19">
        <f t="shared" ca="1" si="168"/>
        <v>3403.1582822932533</v>
      </c>
      <c r="S1084" s="19">
        <f t="shared" ca="1" si="165"/>
        <v>6194.164291140929</v>
      </c>
    </row>
    <row r="1085" spans="13:19">
      <c r="M1085" s="81">
        <f t="shared" ca="1" si="164"/>
        <v>9609.7547891469294</v>
      </c>
      <c r="N1085" s="19">
        <f t="shared" si="166"/>
        <v>186.01789824449344</v>
      </c>
      <c r="O1085" s="17">
        <f t="shared" si="167"/>
        <v>271</v>
      </c>
      <c r="P1085" s="19">
        <f ca="1">IF(ISERROR(IF(O1085&lt;fi_h/20,0,(OFFSET('Base de dados'!$A$5,IF(O1085&lt;20,1,IF(O1085&gt;1000,10,MATCH(O1085,Cargas,1))),Coluna_fih,1,1))*(1+0.13*0.25)*(PI()*(fi_h/1000)^2/4)*SQRT(2*9.81*(O1085/100-fi_h/2/1000))*1000)),"",IF(O1085&lt;fi_h/20,0,(OFFSET('Base de dados'!$A$5,IF(O1085&lt;20,1,IF(O1085&gt;1000,10,MATCH(O1085,Cargas,1))),Coluna_fih,1,1))*(PI()*(fi_h/1000)^2/4)*SQRT(2*9.81*(O1085/100-fi_h/2/1000))*1000))</f>
        <v>43.84084242059054</v>
      </c>
      <c r="Q1085" s="19">
        <f ca="1">IF(O1085="","",IF(Tipo_Vertedor="Retangular",IF(O1085&lt;=cota_s*100,0,IF(Tipo_Vertedor="Retangular",Cd_sr*Lef_sr*((O1085/100-cota_s)^(3/2))*1000)),IF(O1085&lt;=cota_s*100+fi_s/20,0,(OFFSET('Base de dados'!$A$4,IF(O1085&lt;20,1,IF(O1085&gt;1000,10,MATCH(O1085,Cargas,1))),Coluna_fis,1,1))*(PI()*(fi_s/1000)^2/4)*(2*9.81*(O1085/100-cota_s-fi_s/2/1000))^0.5*1000)))</f>
        <v>3365.3173385765576</v>
      </c>
      <c r="R1085" s="19">
        <f t="shared" ca="1" si="168"/>
        <v>3409.1581809971481</v>
      </c>
      <c r="S1085" s="19">
        <f t="shared" ca="1" si="165"/>
        <v>6200.5966081497809</v>
      </c>
    </row>
    <row r="1086" spans="13:19">
      <c r="M1086" s="81">
        <f t="shared" ca="1" si="164"/>
        <v>9622.1912776380486</v>
      </c>
      <c r="N1086" s="19">
        <f t="shared" si="166"/>
        <v>186.2108899322977</v>
      </c>
      <c r="O1086" s="17">
        <f t="shared" si="167"/>
        <v>271.25</v>
      </c>
      <c r="P1086" s="19">
        <f ca="1">IF(ISERROR(IF(O1086&lt;fi_h/20,0,(OFFSET('Base de dados'!$A$5,IF(O1086&lt;20,1,IF(O1086&gt;1000,10,MATCH(O1086,Cargas,1))),Coluna_fih,1,1))*(1+0.13*0.25)*(PI()*(fi_h/1000)^2/4)*SQRT(2*9.81*(O1086/100-fi_h/2/1000))*1000)),"",IF(O1086&lt;fi_h/20,0,(OFFSET('Base de dados'!$A$5,IF(O1086&lt;20,1,IF(O1086&gt;1000,10,MATCH(O1086,Cargas,1))),Coluna_fih,1,1))*(PI()*(fi_h/1000)^2/4)*SQRT(2*9.81*(O1086/100-fi_h/2/1000))*1000))</f>
        <v>43.861489146494947</v>
      </c>
      <c r="Q1086" s="19">
        <f ca="1">IF(O1086="","",IF(Tipo_Vertedor="Retangular",IF(O1086&lt;=cota_s*100,0,IF(Tipo_Vertedor="Retangular",Cd_sr*Lef_sr*((O1086/100-cota_s)^(3/2))*1000)),IF(O1086&lt;=cota_s*100+fi_s/20,0,(OFFSET('Base de dados'!$A$4,IF(O1086&lt;20,1,IF(O1086&gt;1000,10,MATCH(O1086,Cargas,1))),Coluna_fis,1,1))*(PI()*(fi_s/1000)^2/4)*(2*9.81*(O1086/100-cota_s-fi_s/2/1000))^0.5*1000)))</f>
        <v>3371.3001240816297</v>
      </c>
      <c r="R1086" s="19">
        <f t="shared" ca="1" si="168"/>
        <v>3415.1616132281247</v>
      </c>
      <c r="S1086" s="19">
        <f t="shared" ca="1" si="165"/>
        <v>6207.0296644099235</v>
      </c>
    </row>
    <row r="1087" spans="13:19">
      <c r="M1087" s="81">
        <f t="shared" ca="1" si="164"/>
        <v>9634.6320362275583</v>
      </c>
      <c r="N1087" s="19">
        <f t="shared" si="166"/>
        <v>186.40390377974597</v>
      </c>
      <c r="O1087" s="17">
        <f t="shared" si="167"/>
        <v>271.5</v>
      </c>
      <c r="P1087" s="19">
        <f ca="1">IF(ISERROR(IF(O1087&lt;fi_h/20,0,(OFFSET('Base de dados'!$A$5,IF(O1087&lt;20,1,IF(O1087&gt;1000,10,MATCH(O1087,Cargas,1))),Coluna_fih,1,1))*(1+0.13*0.25)*(PI()*(fi_h/1000)^2/4)*SQRT(2*9.81*(O1087/100-fi_h/2/1000))*1000)),"",IF(O1087&lt;fi_h/20,0,(OFFSET('Base de dados'!$A$5,IF(O1087&lt;20,1,IF(O1087&gt;1000,10,MATCH(O1087,Cargas,1))),Coluna_fih,1,1))*(PI()*(fi_h/1000)^2/4)*SQRT(2*9.81*(O1087/100-fi_h/2/1000))*1000))</f>
        <v>43.882126158028584</v>
      </c>
      <c r="Q1087" s="19">
        <f ca="1">IF(O1087="","",IF(Tipo_Vertedor="Retangular",IF(O1087&lt;=cota_s*100,0,IF(Tipo_Vertedor="Retangular",Cd_sr*Lef_sr*((O1087/100-cota_s)^(3/2))*1000)),IF(O1087&lt;=cota_s*100+fi_s/20,0,(OFFSET('Base de dados'!$A$4,IF(O1087&lt;20,1,IF(O1087&gt;1000,10,MATCH(O1087,Cargas,1))),Coluna_fis,1,1))*(PI()*(fi_s/1000)^2/4)*(2*9.81*(O1087/100-cota_s-fi_s/2/1000))^0.5*1000)))</f>
        <v>3377.2864507446643</v>
      </c>
      <c r="R1087" s="19">
        <f t="shared" ca="1" si="168"/>
        <v>3421.1685769026931</v>
      </c>
      <c r="S1087" s="19">
        <f t="shared" ca="1" si="165"/>
        <v>6213.4634593248657</v>
      </c>
    </row>
    <row r="1088" spans="13:19">
      <c r="M1088" s="81">
        <f t="shared" ca="1" si="164"/>
        <v>9647.0770622401924</v>
      </c>
      <c r="N1088" s="19">
        <f t="shared" si="166"/>
        <v>186.59693976897421</v>
      </c>
      <c r="O1088" s="17">
        <f t="shared" si="167"/>
        <v>271.75</v>
      </c>
      <c r="P1088" s="19">
        <f ca="1">IF(ISERROR(IF(O1088&lt;fi_h/20,0,(OFFSET('Base de dados'!$A$5,IF(O1088&lt;20,1,IF(O1088&gt;1000,10,MATCH(O1088,Cargas,1))),Coluna_fih,1,1))*(1+0.13*0.25)*(PI()*(fi_h/1000)^2/4)*SQRT(2*9.81*(O1088/100-fi_h/2/1000))*1000)),"",IF(O1088&lt;fi_h/20,0,(OFFSET('Base de dados'!$A$5,IF(O1088&lt;20,1,IF(O1088&gt;1000,10,MATCH(O1088,Cargas,1))),Coluna_fih,1,1))*(PI()*(fi_h/1000)^2/4)*SQRT(2*9.81*(O1088/100-fi_h/2/1000))*1000))</f>
        <v>43.902753468890523</v>
      </c>
      <c r="Q1088" s="19">
        <f ca="1">IF(O1088="","",IF(Tipo_Vertedor="Retangular",IF(O1088&lt;=cota_s*100,0,IF(Tipo_Vertedor="Retangular",Cd_sr*Lef_sr*((O1088/100-cota_s)^(3/2))*1000)),IF(O1088&lt;=cota_s*100+fi_s/20,0,(OFFSET('Base de dados'!$A$4,IF(O1088&lt;20,1,IF(O1088&gt;1000,10,MATCH(O1088,Cargas,1))),Coluna_fis,1,1))*(PI()*(fi_s/1000)^2/4)*(2*9.81*(O1088/100-cota_s-fi_s/2/1000))^0.5*1000)))</f>
        <v>3383.2763164721614</v>
      </c>
      <c r="R1088" s="19">
        <f t="shared" ca="1" si="168"/>
        <v>3427.1790699410521</v>
      </c>
      <c r="S1088" s="19">
        <f t="shared" ca="1" si="165"/>
        <v>6219.8979922991402</v>
      </c>
    </row>
    <row r="1089" spans="13:19">
      <c r="M1089" s="81">
        <f t="shared" ca="1" si="164"/>
        <v>9659.5263530053817</v>
      </c>
      <c r="N1089" s="19">
        <f t="shared" si="166"/>
        <v>186.78999788214929</v>
      </c>
      <c r="O1089" s="17">
        <f t="shared" si="167"/>
        <v>272</v>
      </c>
      <c r="P1089" s="19">
        <f ca="1">IF(ISERROR(IF(O1089&lt;fi_h/20,0,(OFFSET('Base de dados'!$A$5,IF(O1089&lt;20,1,IF(O1089&gt;1000,10,MATCH(O1089,Cargas,1))),Coluna_fih,1,1))*(1+0.13*0.25)*(PI()*(fi_h/1000)^2/4)*SQRT(2*9.81*(O1089/100-fi_h/2/1000))*1000)),"",IF(O1089&lt;fi_h/20,0,(OFFSET('Base de dados'!$A$5,IF(O1089&lt;20,1,IF(O1089&gt;1000,10,MATCH(O1089,Cargas,1))),Coluna_fih,1,1))*(PI()*(fi_h/1000)^2/4)*SQRT(2*9.81*(O1089/100-fi_h/2/1000))*1000))</f>
        <v>43.923371092747679</v>
      </c>
      <c r="Q1089" s="19">
        <f ca="1">IF(O1089="","",IF(Tipo_Vertedor="Retangular",IF(O1089&lt;=cota_s*100,0,IF(Tipo_Vertedor="Retangular",Cd_sr*Lef_sr*((O1089/100-cota_s)^(3/2))*1000)),IF(O1089&lt;=cota_s*100+fi_s/20,0,(OFFSET('Base de dados'!$A$4,IF(O1089&lt;20,1,IF(O1089&gt;1000,10,MATCH(O1089,Cargas,1))),Coluna_fis,1,1))*(PI()*(fi_s/1000)^2/4)*(2*9.81*(O1089/100-cota_s-fi_s/2/1000))^0.5*1000)))</f>
        <v>3389.2697191743241</v>
      </c>
      <c r="R1089" s="19">
        <f t="shared" ca="1" si="168"/>
        <v>3433.193090267072</v>
      </c>
      <c r="S1089" s="19">
        <f t="shared" ca="1" si="165"/>
        <v>6226.3332627383097</v>
      </c>
    </row>
    <row r="1090" spans="13:19">
      <c r="M1090" s="81">
        <f t="shared" ca="1" si="164"/>
        <v>9671.9799058572553</v>
      </c>
      <c r="N1090" s="19">
        <f t="shared" si="166"/>
        <v>186.98307810146892</v>
      </c>
      <c r="O1090" s="17">
        <f t="shared" si="167"/>
        <v>272.25</v>
      </c>
      <c r="P1090" s="19">
        <f ca="1">IF(ISERROR(IF(O1090&lt;fi_h/20,0,(OFFSET('Base de dados'!$A$5,IF(O1090&lt;20,1,IF(O1090&gt;1000,10,MATCH(O1090,Cargas,1))),Coluna_fih,1,1))*(1+0.13*0.25)*(PI()*(fi_h/1000)^2/4)*SQRT(2*9.81*(O1090/100-fi_h/2/1000))*1000)),"",IF(O1090&lt;fi_h/20,0,(OFFSET('Base de dados'!$A$5,IF(O1090&lt;20,1,IF(O1090&gt;1000,10,MATCH(O1090,Cargas,1))),Coluna_fih,1,1))*(PI()*(fi_h/1000)^2/4)*SQRT(2*9.81*(O1090/100-fi_h/2/1000))*1000))</f>
        <v>43.943979043234876</v>
      </c>
      <c r="Q1090" s="19">
        <f ca="1">IF(O1090="","",IF(Tipo_Vertedor="Retangular",IF(O1090&lt;=cota_s*100,0,IF(Tipo_Vertedor="Retangular",Cd_sr*Lef_sr*((O1090/100-cota_s)^(3/2))*1000)),IF(O1090&lt;=cota_s*100+fi_s/20,0,(OFFSET('Base de dados'!$A$4,IF(O1090&lt;20,1,IF(O1090&gt;1000,10,MATCH(O1090,Cargas,1))),Coluna_fis,1,1))*(PI()*(fi_s/1000)^2/4)*(2*9.81*(O1090/100-cota_s-fi_s/2/1000))^0.5*1000)))</f>
        <v>3395.2666567650567</v>
      </c>
      <c r="R1090" s="19">
        <f t="shared" ca="1" si="168"/>
        <v>3439.2106358082915</v>
      </c>
      <c r="S1090" s="19">
        <f t="shared" ca="1" si="165"/>
        <v>6232.7692700489633</v>
      </c>
    </row>
    <row r="1091" spans="13:19">
      <c r="M1091" s="81">
        <f t="shared" ca="1" si="164"/>
        <v>9684.4377181346154</v>
      </c>
      <c r="N1091" s="19">
        <f t="shared" si="166"/>
        <v>187.1761804091613</v>
      </c>
      <c r="O1091" s="17">
        <f t="shared" si="167"/>
        <v>272.5</v>
      </c>
      <c r="P1091" s="19">
        <f ca="1">IF(ISERROR(IF(O1091&lt;fi_h/20,0,(OFFSET('Base de dados'!$A$5,IF(O1091&lt;20,1,IF(O1091&gt;1000,10,MATCH(O1091,Cargas,1))),Coluna_fih,1,1))*(1+0.13*0.25)*(PI()*(fi_h/1000)^2/4)*SQRT(2*9.81*(O1091/100-fi_h/2/1000))*1000)),"",IF(O1091&lt;fi_h/20,0,(OFFSET('Base de dados'!$A$5,IF(O1091&lt;20,1,IF(O1091&gt;1000,10,MATCH(O1091,Cargas,1))),Coluna_fih,1,1))*(PI()*(fi_h/1000)^2/4)*SQRT(2*9.81*(O1091/100-fi_h/2/1000))*1000))</f>
        <v>43.964577333954985</v>
      </c>
      <c r="Q1091" s="19">
        <f ca="1">IF(O1091="","",IF(Tipo_Vertedor="Retangular",IF(O1091&lt;=cota_s*100,0,IF(Tipo_Vertedor="Retangular",Cd_sr*Lef_sr*((O1091/100-cota_s)^(3/2))*1000)),IF(O1091&lt;=cota_s*100+fi_s/20,0,(OFFSET('Base de dados'!$A$4,IF(O1091&lt;20,1,IF(O1091&gt;1000,10,MATCH(O1091,Cargas,1))),Coluna_fis,1,1))*(PI()*(fi_s/1000)^2/4)*(2*9.81*(O1091/100-cota_s-fi_s/2/1000))^0.5*1000)))</f>
        <v>3401.2671271619502</v>
      </c>
      <c r="R1091" s="19">
        <f t="shared" ca="1" si="168"/>
        <v>3445.231704495905</v>
      </c>
      <c r="S1091" s="19">
        <f t="shared" ca="1" si="165"/>
        <v>6239.2060136387108</v>
      </c>
    </row>
    <row r="1092" spans="13:19">
      <c r="M1092" s="81">
        <f t="shared" ca="1" si="164"/>
        <v>9696.8997871809261</v>
      </c>
      <c r="N1092" s="19">
        <f t="shared" si="166"/>
        <v>187.36930478748533</v>
      </c>
      <c r="O1092" s="17">
        <f t="shared" si="167"/>
        <v>272.75</v>
      </c>
      <c r="P1092" s="19">
        <f ca="1">IF(ISERROR(IF(O1092&lt;fi_h/20,0,(OFFSET('Base de dados'!$A$5,IF(O1092&lt;20,1,IF(O1092&gt;1000,10,MATCH(O1092,Cargas,1))),Coluna_fih,1,1))*(1+0.13*0.25)*(PI()*(fi_h/1000)^2/4)*SQRT(2*9.81*(O1092/100-fi_h/2/1000))*1000)),"",IF(O1092&lt;fi_h/20,0,(OFFSET('Base de dados'!$A$5,IF(O1092&lt;20,1,IF(O1092&gt;1000,10,MATCH(O1092,Cargas,1))),Coluna_fih,1,1))*(PI()*(fi_h/1000)^2/4)*SQRT(2*9.81*(O1092/100-fi_h/2/1000))*1000))</f>
        <v>43.985165978479053</v>
      </c>
      <c r="Q1092" s="19">
        <f ca="1">IF(O1092="","",IF(Tipo_Vertedor="Retangular",IF(O1092&lt;=cota_s*100,0,IF(Tipo_Vertedor="Retangular",Cd_sr*Lef_sr*((O1092/100-cota_s)^(3/2))*1000)),IF(O1092&lt;=cota_s*100+fi_s/20,0,(OFFSET('Base de dados'!$A$4,IF(O1092&lt;20,1,IF(O1092&gt;1000,10,MATCH(O1092,Cargas,1))),Coluna_fis,1,1))*(PI()*(fi_s/1000)^2/4)*(2*9.81*(O1092/100-cota_s-fi_s/2/1000))^0.5*1000)))</f>
        <v>3407.2711282862697</v>
      </c>
      <c r="R1092" s="19">
        <f t="shared" ca="1" si="168"/>
        <v>3451.2562942647487</v>
      </c>
      <c r="S1092" s="19">
        <f t="shared" ca="1" si="165"/>
        <v>6245.6434929161778</v>
      </c>
    </row>
    <row r="1093" spans="13:19">
      <c r="M1093" s="81">
        <f t="shared" ref="M1093:M1156" ca="1" si="169">IF(O1093="","",2*N1093*1000/(Passo*60)+R1093)</f>
        <v>9709.3661103443064</v>
      </c>
      <c r="N1093" s="19">
        <f t="shared" si="166"/>
        <v>187.56245121873036</v>
      </c>
      <c r="O1093" s="17">
        <f t="shared" si="167"/>
        <v>273</v>
      </c>
      <c r="P1093" s="19">
        <f ca="1">IF(ISERROR(IF(O1093&lt;fi_h/20,0,(OFFSET('Base de dados'!$A$5,IF(O1093&lt;20,1,IF(O1093&gt;1000,10,MATCH(O1093,Cargas,1))),Coluna_fih,1,1))*(1+0.13*0.25)*(PI()*(fi_h/1000)^2/4)*SQRT(2*9.81*(O1093/100-fi_h/2/1000))*1000)),"",IF(O1093&lt;fi_h/20,0,(OFFSET('Base de dados'!$A$5,IF(O1093&lt;20,1,IF(O1093&gt;1000,10,MATCH(O1093,Cargas,1))),Coluna_fih,1,1))*(PI()*(fi_h/1000)^2/4)*SQRT(2*9.81*(O1093/100-fi_h/2/1000))*1000))</f>
        <v>44.005744990346365</v>
      </c>
      <c r="Q1093" s="19">
        <f ca="1">IF(O1093="","",IF(Tipo_Vertedor="Retangular",IF(O1093&lt;=cota_s*100,0,IF(Tipo_Vertedor="Retangular",Cd_sr*Lef_sr*((O1093/100-cota_s)^(3/2))*1000)),IF(O1093&lt;=cota_s*100+fi_s/20,0,(OFFSET('Base de dados'!$A$4,IF(O1093&lt;20,1,IF(O1093&gt;1000,10,MATCH(O1093,Cargas,1))),Coluna_fis,1,1))*(PI()*(fi_s/1000)^2/4)*(2*9.81*(O1093/100-cota_s-fi_s/2/1000))^0.5*1000)))</f>
        <v>3413.2786580629481</v>
      </c>
      <c r="R1093" s="19">
        <f t="shared" ca="1" si="168"/>
        <v>3457.2844030532947</v>
      </c>
      <c r="S1093" s="19">
        <f t="shared" ref="S1093:S1156" ca="1" si="170">IF(M1093="","",2*N1093*1000/(Passo*60))</f>
        <v>6252.0817072910122</v>
      </c>
    </row>
    <row r="1094" spans="13:19">
      <c r="M1094" s="81">
        <f t="shared" ca="1" si="169"/>
        <v>9721.8366849775084</v>
      </c>
      <c r="N1094" s="19">
        <f t="shared" ref="N1094:N1157" si="171">IF(O1094="","",b_0*(O1094/100)^c_0)</f>
        <v>187.7556196852162</v>
      </c>
      <c r="O1094" s="17">
        <f t="shared" si="167"/>
        <v>273.25</v>
      </c>
      <c r="P1094" s="19">
        <f ca="1">IF(ISERROR(IF(O1094&lt;fi_h/20,0,(OFFSET('Base de dados'!$A$5,IF(O1094&lt;20,1,IF(O1094&gt;1000,10,MATCH(O1094,Cargas,1))),Coluna_fih,1,1))*(1+0.13*0.25)*(PI()*(fi_h/1000)^2/4)*SQRT(2*9.81*(O1094/100-fi_h/2/1000))*1000)),"",IF(O1094&lt;fi_h/20,0,(OFFSET('Base de dados'!$A$5,IF(O1094&lt;20,1,IF(O1094&gt;1000,10,MATCH(O1094,Cargas,1))),Coluna_fih,1,1))*(PI()*(fi_h/1000)^2/4)*SQRT(2*9.81*(O1094/100-fi_h/2/1000))*1000))</f>
        <v>44.026314383064566</v>
      </c>
      <c r="Q1094" s="19">
        <f ca="1">IF(O1094="","",IF(Tipo_Vertedor="Retangular",IF(O1094&lt;=cota_s*100,0,IF(Tipo_Vertedor="Retangular",Cd_sr*Lef_sr*((O1094/100-cota_s)^(3/2))*1000)),IF(O1094&lt;=cota_s*100+fi_s/20,0,(OFFSET('Base de dados'!$A$4,IF(O1094&lt;20,1,IF(O1094&gt;1000,10,MATCH(O1094,Cargas,1))),Coluna_fis,1,1))*(PI()*(fi_s/1000)^2/4)*(2*9.81*(O1094/100-cota_s-fi_s/2/1000))^0.5*1000)))</f>
        <v>3419.2897144205708</v>
      </c>
      <c r="R1094" s="19">
        <f t="shared" ca="1" si="168"/>
        <v>3463.3160288036352</v>
      </c>
      <c r="S1094" s="19">
        <f t="shared" ca="1" si="170"/>
        <v>6258.5206561738732</v>
      </c>
    </row>
    <row r="1095" spans="13:19">
      <c r="M1095" s="81">
        <f t="shared" ca="1" si="169"/>
        <v>9734.3115084379097</v>
      </c>
      <c r="N1095" s="19">
        <f t="shared" si="171"/>
        <v>187.94881016929293</v>
      </c>
      <c r="O1095" s="17">
        <f t="shared" si="167"/>
        <v>273.5</v>
      </c>
      <c r="P1095" s="19">
        <f ca="1">IF(ISERROR(IF(O1095&lt;fi_h/20,0,(OFFSET('Base de dados'!$A$5,IF(O1095&lt;20,1,IF(O1095&gt;1000,10,MATCH(O1095,Cargas,1))),Coluna_fih,1,1))*(1+0.13*0.25)*(PI()*(fi_h/1000)^2/4)*SQRT(2*9.81*(O1095/100-fi_h/2/1000))*1000)),"",IF(O1095&lt;fi_h/20,0,(OFFSET('Base de dados'!$A$5,IF(O1095&lt;20,1,IF(O1095&gt;1000,10,MATCH(O1095,Cargas,1))),Coluna_fih,1,1))*(PI()*(fi_h/1000)^2/4)*SQRT(2*9.81*(O1095/100-fi_h/2/1000))*1000))</f>
        <v>44.046874170109739</v>
      </c>
      <c r="Q1095" s="19">
        <f ca="1">IF(O1095="","",IF(Tipo_Vertedor="Retangular",IF(O1095&lt;=cota_s*100,0,IF(Tipo_Vertedor="Retangular",Cd_sr*Lef_sr*((O1095/100-cota_s)^(3/2))*1000)),IF(O1095&lt;=cota_s*100+fi_s/20,0,(OFFSET('Base de dados'!$A$4,IF(O1095&lt;20,1,IF(O1095&gt;1000,10,MATCH(O1095,Cargas,1))),Coluna_fis,1,1))*(PI()*(fi_s/1000)^2/4)*(2*9.81*(O1095/100-cota_s-fi_s/2/1000))^0.5*1000)))</f>
        <v>3425.3042952913693</v>
      </c>
      <c r="R1095" s="19">
        <f t="shared" ca="1" si="168"/>
        <v>3469.351169461479</v>
      </c>
      <c r="S1095" s="19">
        <f t="shared" ca="1" si="170"/>
        <v>6264.9603389764316</v>
      </c>
    </row>
    <row r="1096" spans="13:19">
      <c r="M1096" s="81">
        <f t="shared" ca="1" si="169"/>
        <v>9746.7905780874935</v>
      </c>
      <c r="N1096" s="19">
        <f t="shared" si="171"/>
        <v>188.14202265334097</v>
      </c>
      <c r="O1096" s="17">
        <f t="shared" si="167"/>
        <v>273.75</v>
      </c>
      <c r="P1096" s="19">
        <f ca="1">IF(ISERROR(IF(O1096&lt;fi_h/20,0,(OFFSET('Base de dados'!$A$5,IF(O1096&lt;20,1,IF(O1096&gt;1000,10,MATCH(O1096,Cargas,1))),Coluna_fih,1,1))*(1+0.13*0.25)*(PI()*(fi_h/1000)^2/4)*SQRT(2*9.81*(O1096/100-fi_h/2/1000))*1000)),"",IF(O1096&lt;fi_h/20,0,(OFFSET('Base de dados'!$A$5,IF(O1096&lt;20,1,IF(O1096&gt;1000,10,MATCH(O1096,Cargas,1))),Coluna_fih,1,1))*(PI()*(fi_h/1000)^2/4)*SQRT(2*9.81*(O1096/100-fi_h/2/1000))*1000))</f>
        <v>44.067424364926559</v>
      </c>
      <c r="Q1096" s="19">
        <f ca="1">IF(O1096="","",IF(Tipo_Vertedor="Retangular",IF(O1096&lt;=cota_s*100,0,IF(Tipo_Vertedor="Retangular",Cd_sr*Lef_sr*((O1096/100-cota_s)^(3/2))*1000)),IF(O1096&lt;=cota_s*100+fi_s/20,0,(OFFSET('Base de dados'!$A$4,IF(O1096&lt;20,1,IF(O1096&gt;1000,10,MATCH(O1096,Cargas,1))),Coluna_fis,1,1))*(PI()*(fi_s/1000)^2/4)*(2*9.81*(O1096/100-cota_s-fi_s/2/1000))^0.5*1000)))</f>
        <v>3431.3223986112016</v>
      </c>
      <c r="R1096" s="19">
        <f t="shared" ca="1" si="168"/>
        <v>3475.389822976128</v>
      </c>
      <c r="S1096" s="19">
        <f t="shared" ca="1" si="170"/>
        <v>6271.4007551113655</v>
      </c>
    </row>
    <row r="1097" spans="13:19">
      <c r="M1097" s="81">
        <f t="shared" ca="1" si="169"/>
        <v>9759.2738912928507</v>
      </c>
      <c r="N1097" s="19">
        <f t="shared" si="171"/>
        <v>188.33525711977089</v>
      </c>
      <c r="O1097" s="17">
        <f t="shared" si="167"/>
        <v>274</v>
      </c>
      <c r="P1097" s="19">
        <f ca="1">IF(ISERROR(IF(O1097&lt;fi_h/20,0,(OFFSET('Base de dados'!$A$5,IF(O1097&lt;20,1,IF(O1097&gt;1000,10,MATCH(O1097,Cargas,1))),Coluna_fih,1,1))*(1+0.13*0.25)*(PI()*(fi_h/1000)^2/4)*SQRT(2*9.81*(O1097/100-fi_h/2/1000))*1000)),"",IF(O1097&lt;fi_h/20,0,(OFFSET('Base de dados'!$A$5,IF(O1097&lt;20,1,IF(O1097&gt;1000,10,MATCH(O1097,Cargas,1))),Coluna_fih,1,1))*(PI()*(fi_h/1000)^2/4)*SQRT(2*9.81*(O1097/100-fi_h/2/1000))*1000))</f>
        <v>44.087964980928376</v>
      </c>
      <c r="Q1097" s="19">
        <f ca="1">IF(O1097="","",IF(Tipo_Vertedor="Retangular",IF(O1097&lt;=cota_s*100,0,IF(Tipo_Vertedor="Retangular",Cd_sr*Lef_sr*((O1097/100-cota_s)^(3/2))*1000)),IF(O1097&lt;=cota_s*100+fi_s/20,0,(OFFSET('Base de dados'!$A$4,IF(O1097&lt;20,1,IF(O1097&gt;1000,10,MATCH(O1097,Cargas,1))),Coluna_fis,1,1))*(PI()*(fi_s/1000)^2/4)*(2*9.81*(O1097/100-cota_s-fi_s/2/1000))^0.5*1000)))</f>
        <v>3437.3440223195585</v>
      </c>
      <c r="R1097" s="19">
        <f t="shared" ca="1" si="168"/>
        <v>3481.431987300487</v>
      </c>
      <c r="S1097" s="19">
        <f t="shared" ca="1" si="170"/>
        <v>6277.8419039923629</v>
      </c>
    </row>
    <row r="1098" spans="13:19">
      <c r="M1098" s="81">
        <f t="shared" ca="1" si="169"/>
        <v>9771.7614454251416</v>
      </c>
      <c r="N1098" s="19">
        <f t="shared" si="171"/>
        <v>188.52851355102331</v>
      </c>
      <c r="O1098" s="17">
        <f t="shared" si="167"/>
        <v>274.25</v>
      </c>
      <c r="P1098" s="19">
        <f ca="1">IF(ISERROR(IF(O1098&lt;fi_h/20,0,(OFFSET('Base de dados'!$A$5,IF(O1098&lt;20,1,IF(O1098&gt;1000,10,MATCH(O1098,Cargas,1))),Coluna_fih,1,1))*(1+0.13*0.25)*(PI()*(fi_h/1000)^2/4)*SQRT(2*9.81*(O1098/100-fi_h/2/1000))*1000)),"",IF(O1098&lt;fi_h/20,0,(OFFSET('Base de dados'!$A$5,IF(O1098&lt;20,1,IF(O1098&gt;1000,10,MATCH(O1098,Cargas,1))),Coluna_fih,1,1))*(PI()*(fi_h/1000)^2/4)*SQRT(2*9.81*(O1098/100-fi_h/2/1000))*1000))</f>
        <v>44.108496031497261</v>
      </c>
      <c r="Q1098" s="19">
        <f ca="1">IF(O1098="","",IF(Tipo_Vertedor="Retangular",IF(O1098&lt;=cota_s*100,0,IF(Tipo_Vertedor="Retangular",Cd_sr*Lef_sr*((O1098/100-cota_s)^(3/2))*1000)),IF(O1098&lt;=cota_s*100+fi_s/20,0,(OFFSET('Base de dados'!$A$4,IF(O1098&lt;20,1,IF(O1098&gt;1000,10,MATCH(O1098,Cargas,1))),Coluna_fis,1,1))*(PI()*(fi_s/1000)^2/4)*(2*9.81*(O1098/100-cota_s-fi_s/2/1000))^0.5*1000)))</f>
        <v>3443.3691643595325</v>
      </c>
      <c r="R1098" s="19">
        <f t="shared" ca="1" si="168"/>
        <v>3487.47766039103</v>
      </c>
      <c r="S1098" s="19">
        <f t="shared" ca="1" si="170"/>
        <v>6284.2837850341111</v>
      </c>
    </row>
    <row r="1099" spans="13:19">
      <c r="M1099" s="81">
        <f t="shared" ca="1" si="169"/>
        <v>9784.2532378601045</v>
      </c>
      <c r="N1099" s="19">
        <f t="shared" si="171"/>
        <v>188.72179192956892</v>
      </c>
      <c r="O1099" s="17">
        <f t="shared" si="167"/>
        <v>274.5</v>
      </c>
      <c r="P1099" s="19">
        <f ca="1">IF(ISERROR(IF(O1099&lt;fi_h/20,0,(OFFSET('Base de dados'!$A$5,IF(O1099&lt;20,1,IF(O1099&gt;1000,10,MATCH(O1099,Cargas,1))),Coluna_fih,1,1))*(1+0.13*0.25)*(PI()*(fi_h/1000)^2/4)*SQRT(2*9.81*(O1099/100-fi_h/2/1000))*1000)),"",IF(O1099&lt;fi_h/20,0,(OFFSET('Base de dados'!$A$5,IF(O1099&lt;20,1,IF(O1099&gt;1000,10,MATCH(O1099,Cargas,1))),Coluna_fih,1,1))*(PI()*(fi_h/1000)^2/4)*SQRT(2*9.81*(O1099/100-fi_h/2/1000))*1000))</f>
        <v>44.129017529984196</v>
      </c>
      <c r="Q1099" s="19">
        <f ca="1">IF(O1099="","",IF(Tipo_Vertedor="Retangular",IF(O1099&lt;=cota_s*100,0,IF(Tipo_Vertedor="Retangular",Cd_sr*Lef_sr*((O1099/100-cota_s)^(3/2))*1000)),IF(O1099&lt;=cota_s*100+fi_s/20,0,(OFFSET('Base de dados'!$A$4,IF(O1099&lt;20,1,IF(O1099&gt;1000,10,MATCH(O1099,Cargas,1))),Coluna_fis,1,1))*(PI()*(fi_s/1000)^2/4)*(2*9.81*(O1099/100-cota_s-fi_s/2/1000))^0.5*1000)))</f>
        <v>3449.3978226778231</v>
      </c>
      <c r="R1099" s="19">
        <f t="shared" ca="1" si="168"/>
        <v>3493.5268402078073</v>
      </c>
      <c r="S1099" s="19">
        <f t="shared" ca="1" si="170"/>
        <v>6290.7263976522972</v>
      </c>
    </row>
    <row r="1100" spans="13:19">
      <c r="M1100" s="81">
        <f t="shared" ca="1" si="169"/>
        <v>9796.7492659780401</v>
      </c>
      <c r="N1100" s="19">
        <f t="shared" si="171"/>
        <v>188.9150922379084</v>
      </c>
      <c r="O1100" s="17">
        <f t="shared" si="167"/>
        <v>274.75</v>
      </c>
      <c r="P1100" s="19">
        <f ca="1">IF(ISERROR(IF(O1100&lt;fi_h/20,0,(OFFSET('Base de dados'!$A$5,IF(O1100&lt;20,1,IF(O1100&gt;1000,10,MATCH(O1100,Cargas,1))),Coluna_fih,1,1))*(1+0.13*0.25)*(PI()*(fi_h/1000)^2/4)*SQRT(2*9.81*(O1100/100-fi_h/2/1000))*1000)),"",IF(O1100&lt;fi_h/20,0,(OFFSET('Base de dados'!$A$5,IF(O1100&lt;20,1,IF(O1100&gt;1000,10,MATCH(O1100,Cargas,1))),Coluna_fih,1,1))*(PI()*(fi_h/1000)^2/4)*SQRT(2*9.81*(O1100/100-fi_h/2/1000))*1000))</f>
        <v>44.14952948970911</v>
      </c>
      <c r="Q1100" s="19">
        <f ca="1">IF(O1100="","",IF(Tipo_Vertedor="Retangular",IF(O1100&lt;=cota_s*100,0,IF(Tipo_Vertedor="Retangular",Cd_sr*Lef_sr*((O1100/100-cota_s)^(3/2))*1000)),IF(O1100&lt;=cota_s*100+fi_s/20,0,(OFFSET('Base de dados'!$A$4,IF(O1100&lt;20,1,IF(O1100&gt;1000,10,MATCH(O1100,Cargas,1))),Coluna_fis,1,1))*(PI()*(fi_s/1000)^2/4)*(2*9.81*(O1100/100-cota_s-fi_s/2/1000))^0.5*1000)))</f>
        <v>3455.429995224717</v>
      </c>
      <c r="R1100" s="19">
        <f t="shared" ca="1" si="168"/>
        <v>3499.579524714426</v>
      </c>
      <c r="S1100" s="19">
        <f t="shared" ca="1" si="170"/>
        <v>6297.1697412636131</v>
      </c>
    </row>
    <row r="1101" spans="13:19">
      <c r="M1101" s="81">
        <f t="shared" ca="1" si="169"/>
        <v>9809.2495271637817</v>
      </c>
      <c r="N1101" s="19">
        <f t="shared" si="171"/>
        <v>189.10841445857207</v>
      </c>
      <c r="O1101" s="17">
        <f t="shared" si="167"/>
        <v>275</v>
      </c>
      <c r="P1101" s="19">
        <f ca="1">IF(ISERROR(IF(O1101&lt;fi_h/20,0,(OFFSET('Base de dados'!$A$5,IF(O1101&lt;20,1,IF(O1101&gt;1000,10,MATCH(O1101,Cargas,1))),Coluna_fih,1,1))*(1+0.13*0.25)*(PI()*(fi_h/1000)^2/4)*SQRT(2*9.81*(O1101/100-fi_h/2/1000))*1000)),"",IF(O1101&lt;fi_h/20,0,(OFFSET('Base de dados'!$A$5,IF(O1101&lt;20,1,IF(O1101&gt;1000,10,MATCH(O1101,Cargas,1))),Coluna_fih,1,1))*(PI()*(fi_h/1000)^2/4)*SQRT(2*9.81*(O1101/100-fi_h/2/1000))*1000))</f>
        <v>44.170031923961048</v>
      </c>
      <c r="Q1101" s="19">
        <f ca="1">IF(O1101="","",IF(Tipo_Vertedor="Retangular",IF(O1101&lt;=cota_s*100,0,IF(Tipo_Vertedor="Retangular",Cd_sr*Lef_sr*((O1101/100-cota_s)^(3/2))*1000)),IF(O1101&lt;=cota_s*100+fi_s/20,0,(OFFSET('Base de dados'!$A$4,IF(O1101&lt;20,1,IF(O1101&gt;1000,10,MATCH(O1101,Cargas,1))),Coluna_fis,1,1))*(PI()*(fi_s/1000)^2/4)*(2*9.81*(O1101/100-cota_s-fi_s/2/1000))^0.5*1000)))</f>
        <v>3461.4656799540853</v>
      </c>
      <c r="R1101" s="19">
        <f t="shared" ca="1" si="168"/>
        <v>3505.6357118780465</v>
      </c>
      <c r="S1101" s="19">
        <f t="shared" ca="1" si="170"/>
        <v>6303.6138152857357</v>
      </c>
    </row>
    <row r="1102" spans="13:19">
      <c r="M1102" s="81">
        <f t="shared" ca="1" si="169"/>
        <v>9821.7540188067105</v>
      </c>
      <c r="N1102" s="19">
        <f t="shared" si="171"/>
        <v>189.30175857412038</v>
      </c>
      <c r="O1102" s="17">
        <f t="shared" si="167"/>
        <v>275.25</v>
      </c>
      <c r="P1102" s="19">
        <f ca="1">IF(ISERROR(IF(O1102&lt;fi_h/20,0,(OFFSET('Base de dados'!$A$5,IF(O1102&lt;20,1,IF(O1102&gt;1000,10,MATCH(O1102,Cargas,1))),Coluna_fih,1,1))*(1+0.13*0.25)*(PI()*(fi_h/1000)^2/4)*SQRT(2*9.81*(O1102/100-fi_h/2/1000))*1000)),"",IF(O1102&lt;fi_h/20,0,(OFFSET('Base de dados'!$A$5,IF(O1102&lt;20,1,IF(O1102&gt;1000,10,MATCH(O1102,Cargas,1))),Coluna_fih,1,1))*(PI()*(fi_h/1000)^2/4)*SQRT(2*9.81*(O1102/100-fi_h/2/1000))*1000))</f>
        <v>44.190524845998162</v>
      </c>
      <c r="Q1102" s="19">
        <f ca="1">IF(O1102="","",IF(Tipo_Vertedor="Retangular",IF(O1102&lt;=cota_s*100,0,IF(Tipo_Vertedor="Retangular",Cd_sr*Lef_sr*((O1102/100-cota_s)^(3/2))*1000)),IF(O1102&lt;=cota_s*100+fi_s/20,0,(OFFSET('Base de dados'!$A$4,IF(O1102&lt;20,1,IF(O1102&gt;1000,10,MATCH(O1102,Cargas,1))),Coluna_fis,1,1))*(PI()*(fi_s/1000)^2/4)*(2*9.81*(O1102/100-cota_s-fi_s/2/1000))^0.5*1000)))</f>
        <v>3467.5048748233662</v>
      </c>
      <c r="R1102" s="19">
        <f t="shared" ca="1" si="168"/>
        <v>3511.6953996693642</v>
      </c>
      <c r="S1102" s="19">
        <f t="shared" ca="1" si="170"/>
        <v>6310.0586191373459</v>
      </c>
    </row>
    <row r="1103" spans="13:19">
      <c r="M1103" s="81">
        <f t="shared" ca="1" si="169"/>
        <v>9834.2627383007148</v>
      </c>
      <c r="N1103" s="19">
        <f t="shared" si="171"/>
        <v>189.49512456714328</v>
      </c>
      <c r="O1103" s="17">
        <f t="shared" si="167"/>
        <v>275.5</v>
      </c>
      <c r="P1103" s="19">
        <f ca="1">IF(ISERROR(IF(O1103&lt;fi_h/20,0,(OFFSET('Base de dados'!$A$5,IF(O1103&lt;20,1,IF(O1103&gt;1000,10,MATCH(O1103,Cargas,1))),Coluna_fih,1,1))*(1+0.13*0.25)*(PI()*(fi_h/1000)^2/4)*SQRT(2*9.81*(O1103/100-fi_h/2/1000))*1000)),"",IF(O1103&lt;fi_h/20,0,(OFFSET('Base de dados'!$A$5,IF(O1103&lt;20,1,IF(O1103&gt;1000,10,MATCH(O1103,Cargas,1))),Coluna_fih,1,1))*(PI()*(fi_h/1000)^2/4)*SQRT(2*9.81*(O1103/100-fi_h/2/1000))*1000))</f>
        <v>44.211008269047923</v>
      </c>
      <c r="Q1103" s="19">
        <f ca="1">IF(O1103="","",IF(Tipo_Vertedor="Retangular",IF(O1103&lt;=cota_s*100,0,IF(Tipo_Vertedor="Retangular",Cd_sr*Lef_sr*((O1103/100-cota_s)^(3/2))*1000)),IF(O1103&lt;=cota_s*100+fi_s/20,0,(OFFSET('Base de dados'!$A$4,IF(O1103&lt;20,1,IF(O1103&gt;1000,10,MATCH(O1103,Cargas,1))),Coluna_fis,1,1))*(PI()*(fi_s/1000)^2/4)*(2*9.81*(O1103/100-cota_s-fi_s/2/1000))^0.5*1000)))</f>
        <v>3473.547577793558</v>
      </c>
      <c r="R1103" s="19">
        <f t="shared" ca="1" si="168"/>
        <v>3517.7585860626059</v>
      </c>
      <c r="S1103" s="19">
        <f t="shared" ca="1" si="170"/>
        <v>6316.5041522381089</v>
      </c>
    </row>
    <row r="1104" spans="13:19">
      <c r="M1104" s="81">
        <f t="shared" ca="1" si="169"/>
        <v>9846.7756830441922</v>
      </c>
      <c r="N1104" s="19">
        <f t="shared" si="171"/>
        <v>189.68851242026028</v>
      </c>
      <c r="O1104" s="17">
        <f t="shared" si="167"/>
        <v>275.75</v>
      </c>
      <c r="P1104" s="19">
        <f ca="1">IF(ISERROR(IF(O1104&lt;fi_h/20,0,(OFFSET('Base de dados'!$A$5,IF(O1104&lt;20,1,IF(O1104&gt;1000,10,MATCH(O1104,Cargas,1))),Coluna_fih,1,1))*(1+0.13*0.25)*(PI()*(fi_h/1000)^2/4)*SQRT(2*9.81*(O1104/100-fi_h/2/1000))*1000)),"",IF(O1104&lt;fi_h/20,0,(OFFSET('Base de dados'!$A$5,IF(O1104&lt;20,1,IF(O1104&gt;1000,10,MATCH(O1104,Cargas,1))),Coluna_fih,1,1))*(PI()*(fi_h/1000)^2/4)*SQRT(2*9.81*(O1104/100-fi_h/2/1000))*1000))</f>
        <v>44.231482206307163</v>
      </c>
      <c r="Q1104" s="19">
        <f ca="1">IF(O1104="","",IF(Tipo_Vertedor="Retangular",IF(O1104&lt;=cota_s*100,0,IF(Tipo_Vertedor="Retangular",Cd_sr*Lef_sr*((O1104/100-cota_s)^(3/2))*1000)),IF(O1104&lt;=cota_s*100+fi_s/20,0,(OFFSET('Base de dados'!$A$4,IF(O1104&lt;20,1,IF(O1104&gt;1000,10,MATCH(O1104,Cargas,1))),Coluna_fis,1,1))*(PI()*(fi_s/1000)^2/4)*(2*9.81*(O1104/100-cota_s-fi_s/2/1000))^0.5*1000)))</f>
        <v>3479.5937868292085</v>
      </c>
      <c r="R1104" s="19">
        <f t="shared" ca="1" si="168"/>
        <v>3523.8252690355157</v>
      </c>
      <c r="S1104" s="19">
        <f t="shared" ca="1" si="170"/>
        <v>6322.9504140086765</v>
      </c>
    </row>
    <row r="1105" spans="13:19">
      <c r="M1105" s="81">
        <f t="shared" ca="1" si="169"/>
        <v>9859.2928504400315</v>
      </c>
      <c r="N1105" s="19">
        <f t="shared" si="171"/>
        <v>189.88192211612056</v>
      </c>
      <c r="O1105" s="17">
        <f t="shared" si="167"/>
        <v>276</v>
      </c>
      <c r="P1105" s="19">
        <f ca="1">IF(ISERROR(IF(O1105&lt;fi_h/20,0,(OFFSET('Base de dados'!$A$5,IF(O1105&lt;20,1,IF(O1105&gt;1000,10,MATCH(O1105,Cargas,1))),Coluna_fih,1,1))*(1+0.13*0.25)*(PI()*(fi_h/1000)^2/4)*SQRT(2*9.81*(O1105/100-fi_h/2/1000))*1000)),"",IF(O1105&lt;fi_h/20,0,(OFFSET('Base de dados'!$A$5,IF(O1105&lt;20,1,IF(O1105&gt;1000,10,MATCH(O1105,Cargas,1))),Coluna_fih,1,1))*(PI()*(fi_h/1000)^2/4)*SQRT(2*9.81*(O1105/100-fi_h/2/1000))*1000))</f>
        <v>44.251946670942168</v>
      </c>
      <c r="Q1105" s="19">
        <f ca="1">IF(O1105="","",IF(Tipo_Vertedor="Retangular",IF(O1105&lt;=cota_s*100,0,IF(Tipo_Vertedor="Retangular",Cd_sr*Lef_sr*((O1105/100-cota_s)^(3/2))*1000)),IF(O1105&lt;=cota_s*100+fi_s/20,0,(OFFSET('Base de dados'!$A$4,IF(O1105&lt;20,1,IF(O1105&gt;1000,10,MATCH(O1105,Cargas,1))),Coluna_fis,1,1))*(PI()*(fi_s/1000)^2/4)*(2*9.81*(O1105/100-cota_s-fi_s/2/1000))^0.5*1000)))</f>
        <v>3485.6434998984046</v>
      </c>
      <c r="R1105" s="19">
        <f t="shared" ca="1" si="168"/>
        <v>3529.8954465693469</v>
      </c>
      <c r="S1105" s="19">
        <f t="shared" ca="1" si="170"/>
        <v>6329.3974038706847</v>
      </c>
    </row>
    <row r="1106" spans="13:19">
      <c r="M1106" s="81">
        <f t="shared" ca="1" si="169"/>
        <v>9871.8142378956145</v>
      </c>
      <c r="N1106" s="19">
        <f t="shared" si="171"/>
        <v>190.07535363740294</v>
      </c>
      <c r="O1106" s="17">
        <f t="shared" si="167"/>
        <v>276.25</v>
      </c>
      <c r="P1106" s="19">
        <f ca="1">IF(ISERROR(IF(O1106&lt;fi_h/20,0,(OFFSET('Base de dados'!$A$5,IF(O1106&lt;20,1,IF(O1106&gt;1000,10,MATCH(O1106,Cargas,1))),Coluna_fih,1,1))*(1+0.13*0.25)*(PI()*(fi_h/1000)^2/4)*SQRT(2*9.81*(O1106/100-fi_h/2/1000))*1000)),"",IF(O1106&lt;fi_h/20,0,(OFFSET('Base de dados'!$A$5,IF(O1106&lt;20,1,IF(O1106&gt;1000,10,MATCH(O1106,Cargas,1))),Coluna_fih,1,1))*(PI()*(fi_h/1000)^2/4)*SQRT(2*9.81*(O1106/100-fi_h/2/1000))*1000))</f>
        <v>44.272401676088833</v>
      </c>
      <c r="Q1106" s="19">
        <f ca="1">IF(O1106="","",IF(Tipo_Vertedor="Retangular",IF(O1106&lt;=cota_s*100,0,IF(Tipo_Vertedor="Retangular",Cd_sr*Lef_sr*((O1106/100-cota_s)^(3/2))*1000)),IF(O1106&lt;=cota_s*100+fi_s/20,0,(OFFSET('Base de dados'!$A$4,IF(O1106&lt;20,1,IF(O1106&gt;1000,10,MATCH(O1106,Cargas,1))),Coluna_fis,1,1))*(PI()*(fi_s/1000)^2/4)*(2*9.81*(O1106/100-cota_s-fi_s/2/1000))^0.5*1000)))</f>
        <v>3491.6967149727611</v>
      </c>
      <c r="R1106" s="19">
        <f t="shared" ca="1" si="168"/>
        <v>3535.9691166488501</v>
      </c>
      <c r="S1106" s="19">
        <f t="shared" ca="1" si="170"/>
        <v>6335.8451212467644</v>
      </c>
    </row>
    <row r="1107" spans="13:19">
      <c r="M1107" s="81">
        <f t="shared" ca="1" si="169"/>
        <v>9884.3398428227702</v>
      </c>
      <c r="N1107" s="19">
        <f t="shared" si="171"/>
        <v>190.26880696681528</v>
      </c>
      <c r="O1107" s="17">
        <f t="shared" ref="O1107:O1170" si="172">IF(ISERROR(IF(O1106+passo_altura&gt;h_max_puls*100,"",O1106+passo_altura)),"",IF(O1106+passo_altura&gt;h_max_puls*100,"",O1106+passo_altura))</f>
        <v>276.5</v>
      </c>
      <c r="P1107" s="19">
        <f ca="1">IF(ISERROR(IF(O1107&lt;fi_h/20,0,(OFFSET('Base de dados'!$A$5,IF(O1107&lt;20,1,IF(O1107&gt;1000,10,MATCH(O1107,Cargas,1))),Coluna_fih,1,1))*(1+0.13*0.25)*(PI()*(fi_h/1000)^2/4)*SQRT(2*9.81*(O1107/100-fi_h/2/1000))*1000)),"",IF(O1107&lt;fi_h/20,0,(OFFSET('Base de dados'!$A$5,IF(O1107&lt;20,1,IF(O1107&gt;1000,10,MATCH(O1107,Cargas,1))),Coluna_fih,1,1))*(PI()*(fi_h/1000)^2/4)*SQRT(2*9.81*(O1107/100-fi_h/2/1000))*1000))</f>
        <v>44.292847234852672</v>
      </c>
      <c r="Q1107" s="19">
        <f ca="1">IF(O1107="","",IF(Tipo_Vertedor="Retangular",IF(O1107&lt;=cota_s*100,0,IF(Tipo_Vertedor="Retangular",Cd_sr*Lef_sr*((O1107/100-cota_s)^(3/2))*1000)),IF(O1107&lt;=cota_s*100+fi_s/20,0,(OFFSET('Base de dados'!$A$4,IF(O1107&lt;20,1,IF(O1107&gt;1000,10,MATCH(O1107,Cargas,1))),Coluna_fis,1,1))*(PI()*(fi_s/1000)^2/4)*(2*9.81*(O1107/100-cota_s-fi_s/2/1000))^0.5*1000)))</f>
        <v>3497.7534300274083</v>
      </c>
      <c r="R1107" s="19">
        <f t="shared" ref="R1107:R1170" ca="1" si="173">IF(O1107="","",Q1107+P1107)</f>
        <v>3542.0462772622609</v>
      </c>
      <c r="S1107" s="19">
        <f t="shared" ca="1" si="170"/>
        <v>6342.2935655605097</v>
      </c>
    </row>
    <row r="1108" spans="13:19">
      <c r="M1108" s="81">
        <f t="shared" ca="1" si="169"/>
        <v>9896.8696626378023</v>
      </c>
      <c r="N1108" s="19">
        <f t="shared" si="171"/>
        <v>190.46228208709502</v>
      </c>
      <c r="O1108" s="17">
        <f t="shared" si="172"/>
        <v>276.75</v>
      </c>
      <c r="P1108" s="19">
        <f ca="1">IF(ISERROR(IF(O1108&lt;fi_h/20,0,(OFFSET('Base de dados'!$A$5,IF(O1108&lt;20,1,IF(O1108&gt;1000,10,MATCH(O1108,Cargas,1))),Coluna_fih,1,1))*(1+0.13*0.25)*(PI()*(fi_h/1000)^2/4)*SQRT(2*9.81*(O1108/100-fi_h/2/1000))*1000)),"",IF(O1108&lt;fi_h/20,0,(OFFSET('Base de dados'!$A$5,IF(O1108&lt;20,1,IF(O1108&gt;1000,10,MATCH(O1108,Cargas,1))),Coluna_fih,1,1))*(PI()*(fi_h/1000)^2/4)*SQRT(2*9.81*(O1108/100-fi_h/2/1000))*1000))</f>
        <v>44.313283360309008</v>
      </c>
      <c r="Q1108" s="19">
        <f ca="1">IF(O1108="","",IF(Tipo_Vertedor="Retangular",IF(O1108&lt;=cota_s*100,0,IF(Tipo_Vertedor="Retangular",Cd_sr*Lef_sr*((O1108/100-cota_s)^(3/2))*1000)),IF(O1108&lt;=cota_s*100+fi_s/20,0,(OFFSET('Base de dados'!$A$4,IF(O1108&lt;20,1,IF(O1108&gt;1000,10,MATCH(O1108,Cargas,1))),Coluna_fis,1,1))*(PI()*(fi_s/1000)^2/4)*(2*9.81*(O1108/100-cota_s-fi_s/2/1000))^0.5*1000)))</f>
        <v>3503.8136430409922</v>
      </c>
      <c r="R1108" s="19">
        <f t="shared" ca="1" si="173"/>
        <v>3548.1269264013013</v>
      </c>
      <c r="S1108" s="19">
        <f t="shared" ca="1" si="170"/>
        <v>6348.7427362365006</v>
      </c>
    </row>
    <row r="1109" spans="13:19">
      <c r="M1109" s="81">
        <f t="shared" ca="1" si="169"/>
        <v>9909.4036947614441</v>
      </c>
      <c r="N1109" s="19">
        <f t="shared" si="171"/>
        <v>190.65577898100869</v>
      </c>
      <c r="O1109" s="17">
        <f t="shared" si="172"/>
        <v>277</v>
      </c>
      <c r="P1109" s="19">
        <f ca="1">IF(ISERROR(IF(O1109&lt;fi_h/20,0,(OFFSET('Base de dados'!$A$5,IF(O1109&lt;20,1,IF(O1109&gt;1000,10,MATCH(O1109,Cargas,1))),Coluna_fih,1,1))*(1+0.13*0.25)*(PI()*(fi_h/1000)^2/4)*SQRT(2*9.81*(O1109/100-fi_h/2/1000))*1000)),"",IF(O1109&lt;fi_h/20,0,(OFFSET('Base de dados'!$A$5,IF(O1109&lt;20,1,IF(O1109&gt;1000,10,MATCH(O1109,Cargas,1))),Coluna_fih,1,1))*(PI()*(fi_h/1000)^2/4)*SQRT(2*9.81*(O1109/100-fi_h/2/1000))*1000))</f>
        <v>44.333710065502999</v>
      </c>
      <c r="Q1109" s="19">
        <f ca="1">IF(O1109="","",IF(Tipo_Vertedor="Retangular",IF(O1109&lt;=cota_s*100,0,IF(Tipo_Vertedor="Retangular",Cd_sr*Lef_sr*((O1109/100-cota_s)^(3/2))*1000)),IF(O1109&lt;=cota_s*100+fi_s/20,0,(OFFSET('Base de dados'!$A$4,IF(O1109&lt;20,1,IF(O1109&gt;1000,10,MATCH(O1109,Cargas,1))),Coluna_fis,1,1))*(PI()*(fi_s/1000)^2/4)*(2*9.81*(O1109/100-cota_s-fi_s/2/1000))^0.5*1000)))</f>
        <v>3509.8773519956512</v>
      </c>
      <c r="R1109" s="19">
        <f t="shared" ca="1" si="173"/>
        <v>3554.2110620611543</v>
      </c>
      <c r="S1109" s="19">
        <f t="shared" ca="1" si="170"/>
        <v>6355.1926327002893</v>
      </c>
    </row>
    <row r="1110" spans="13:19">
      <c r="M1110" s="81">
        <f t="shared" ca="1" si="169"/>
        <v>9921.9419366188667</v>
      </c>
      <c r="N1110" s="19">
        <f t="shared" si="171"/>
        <v>190.84929763135216</v>
      </c>
      <c r="O1110" s="17">
        <f t="shared" si="172"/>
        <v>277.25</v>
      </c>
      <c r="P1110" s="19">
        <f ca="1">IF(ISERROR(IF(O1110&lt;fi_h/20,0,(OFFSET('Base de dados'!$A$5,IF(O1110&lt;20,1,IF(O1110&gt;1000,10,MATCH(O1110,Cargas,1))),Coluna_fih,1,1))*(1+0.13*0.25)*(PI()*(fi_h/1000)^2/4)*SQRT(2*9.81*(O1110/100-fi_h/2/1000))*1000)),"",IF(O1110&lt;fi_h/20,0,(OFFSET('Base de dados'!$A$5,IF(O1110&lt;20,1,IF(O1110&gt;1000,10,MATCH(O1110,Cargas,1))),Coluna_fih,1,1))*(PI()*(fi_h/1000)^2/4)*SQRT(2*9.81*(O1110/100-fi_h/2/1000))*1000))</f>
        <v>44.354127363449784</v>
      </c>
      <c r="Q1110" s="19">
        <f ca="1">IF(O1110="","",IF(Tipo_Vertedor="Retangular",IF(O1110&lt;=cota_s*100,0,IF(Tipo_Vertedor="Retangular",Cd_sr*Lef_sr*((O1110/100-cota_s)^(3/2))*1000)),IF(O1110&lt;=cota_s*100+fi_s/20,0,(OFFSET('Base de dados'!$A$4,IF(O1110&lt;20,1,IF(O1110&gt;1000,10,MATCH(O1110,Cargas,1))),Coluna_fis,1,1))*(PI()*(fi_s/1000)^2/4)*(2*9.81*(O1110/100-cota_s-fi_s/2/1000))^0.5*1000)))</f>
        <v>3515.9445548770127</v>
      </c>
      <c r="R1110" s="19">
        <f t="shared" ca="1" si="173"/>
        <v>3560.2986822404623</v>
      </c>
      <c r="S1110" s="19">
        <f t="shared" ca="1" si="170"/>
        <v>6361.6432543784049</v>
      </c>
    </row>
    <row r="1111" spans="13:19">
      <c r="M1111" s="81">
        <f t="shared" ca="1" si="169"/>
        <v>9934.4843856396601</v>
      </c>
      <c r="N1111" s="19">
        <f t="shared" si="171"/>
        <v>191.04283802095028</v>
      </c>
      <c r="O1111" s="17">
        <f t="shared" si="172"/>
        <v>277.5</v>
      </c>
      <c r="P1111" s="19">
        <f ca="1">IF(ISERROR(IF(O1111&lt;fi_h/20,0,(OFFSET('Base de dados'!$A$5,IF(O1111&lt;20,1,IF(O1111&gt;1000,10,MATCH(O1111,Cargas,1))),Coluna_fih,1,1))*(1+0.13*0.25)*(PI()*(fi_h/1000)^2/4)*SQRT(2*9.81*(O1111/100-fi_h/2/1000))*1000)),"",IF(O1111&lt;fi_h/20,0,(OFFSET('Base de dados'!$A$5,IF(O1111&lt;20,1,IF(O1111&gt;1000,10,MATCH(O1111,Cargas,1))),Coluna_fih,1,1))*(PI()*(fi_h/1000)^2/4)*SQRT(2*9.81*(O1111/100-fi_h/2/1000))*1000))</f>
        <v>44.374535267134547</v>
      </c>
      <c r="Q1111" s="19">
        <f ca="1">IF(O1111="","",IF(Tipo_Vertedor="Retangular",IF(O1111&lt;=cota_s*100,0,IF(Tipo_Vertedor="Retangular",Cd_sr*Lef_sr*((O1111/100-cota_s)^(3/2))*1000)),IF(O1111&lt;=cota_s*100+fi_s/20,0,(OFFSET('Base de dados'!$A$4,IF(O1111&lt;20,1,IF(O1111&gt;1000,10,MATCH(O1111,Cargas,1))),Coluna_fis,1,1))*(PI()*(fi_s/1000)^2/4)*(2*9.81*(O1111/100-cota_s-fi_s/2/1000))^0.5*1000)))</f>
        <v>3522.015249674183</v>
      </c>
      <c r="R1111" s="19">
        <f t="shared" ca="1" si="173"/>
        <v>3566.3897849413174</v>
      </c>
      <c r="S1111" s="19">
        <f t="shared" ca="1" si="170"/>
        <v>6368.0946006983431</v>
      </c>
    </row>
    <row r="1112" spans="13:19">
      <c r="M1112" s="81">
        <f t="shared" ca="1" si="169"/>
        <v>9947.0310392578158</v>
      </c>
      <c r="N1112" s="19">
        <f t="shared" si="171"/>
        <v>191.23640013265694</v>
      </c>
      <c r="O1112" s="17">
        <f t="shared" si="172"/>
        <v>277.75</v>
      </c>
      <c r="P1112" s="19">
        <f ca="1">IF(ISERROR(IF(O1112&lt;fi_h/20,0,(OFFSET('Base de dados'!$A$5,IF(O1112&lt;20,1,IF(O1112&gt;1000,10,MATCH(O1112,Cargas,1))),Coluna_fih,1,1))*(1+0.13*0.25)*(PI()*(fi_h/1000)^2/4)*SQRT(2*9.81*(O1112/100-fi_h/2/1000))*1000)),"",IF(O1112&lt;fi_h/20,0,(OFFSET('Base de dados'!$A$5,IF(O1112&lt;20,1,IF(O1112&gt;1000,10,MATCH(O1112,Cargas,1))),Coluna_fih,1,1))*(PI()*(fi_h/1000)^2/4)*SQRT(2*9.81*(O1112/100-fi_h/2/1000))*1000))</f>
        <v>44.394933789512635</v>
      </c>
      <c r="Q1112" s="19">
        <f ca="1">IF(O1112="","",IF(Tipo_Vertedor="Retangular",IF(O1112&lt;=cota_s*100,0,IF(Tipo_Vertedor="Retangular",Cd_sr*Lef_sr*((O1112/100-cota_s)^(3/2))*1000)),IF(O1112&lt;=cota_s*100+fi_s/20,0,(OFFSET('Base de dados'!$A$4,IF(O1112&lt;20,1,IF(O1112&gt;1000,10,MATCH(O1112,Cargas,1))),Coluna_fis,1,1))*(PI()*(fi_s/1000)^2/4)*(2*9.81*(O1112/100-cota_s-fi_s/2/1000))^0.5*1000)))</f>
        <v>3528.0894343797381</v>
      </c>
      <c r="R1112" s="19">
        <f t="shared" ca="1" si="173"/>
        <v>3572.484368169251</v>
      </c>
      <c r="S1112" s="19">
        <f t="shared" ca="1" si="170"/>
        <v>6374.5466710885648</v>
      </c>
    </row>
    <row r="1113" spans="13:19">
      <c r="M1113" s="81">
        <f t="shared" ca="1" si="169"/>
        <v>9959.5818949117147</v>
      </c>
      <c r="N1113" s="19">
        <f t="shared" si="171"/>
        <v>191.42998394935495</v>
      </c>
      <c r="O1113" s="17">
        <f t="shared" si="172"/>
        <v>278</v>
      </c>
      <c r="P1113" s="19">
        <f ca="1">IF(ISERROR(IF(O1113&lt;fi_h/20,0,(OFFSET('Base de dados'!$A$5,IF(O1113&lt;20,1,IF(O1113&gt;1000,10,MATCH(O1113,Cargas,1))),Coluna_fih,1,1))*(1+0.13*0.25)*(PI()*(fi_h/1000)^2/4)*SQRT(2*9.81*(O1113/100-fi_h/2/1000))*1000)),"",IF(O1113&lt;fi_h/20,0,(OFFSET('Base de dados'!$A$5,IF(O1113&lt;20,1,IF(O1113&gt;1000,10,MATCH(O1113,Cargas,1))),Coluna_fih,1,1))*(PI()*(fi_h/1000)^2/4)*SQRT(2*9.81*(O1113/100-fi_h/2/1000))*1000))</f>
        <v>44.415322943509636</v>
      </c>
      <c r="Q1113" s="19">
        <f ca="1">IF(O1113="","",IF(Tipo_Vertedor="Retangular",IF(O1113&lt;=cota_s*100,0,IF(Tipo_Vertedor="Retangular",Cd_sr*Lef_sr*((O1113/100-cota_s)^(3/2))*1000)),IF(O1113&lt;=cota_s*100+fi_s/20,0,(OFFSET('Base de dados'!$A$4,IF(O1113&lt;20,1,IF(O1113&gt;1000,10,MATCH(O1113,Cargas,1))),Coluna_fis,1,1))*(PI()*(fi_s/1000)^2/4)*(2*9.81*(O1113/100-cota_s-fi_s/2/1000))^0.5*1000)))</f>
        <v>3534.167106989707</v>
      </c>
      <c r="R1113" s="19">
        <f t="shared" ca="1" si="173"/>
        <v>3578.5824299332166</v>
      </c>
      <c r="S1113" s="19">
        <f t="shared" ca="1" si="170"/>
        <v>6380.9994649784976</v>
      </c>
    </row>
    <row r="1114" spans="13:19">
      <c r="M1114" s="81">
        <f t="shared" ca="1" si="169"/>
        <v>9972.136950044136</v>
      </c>
      <c r="N1114" s="19">
        <f t="shared" si="171"/>
        <v>191.62358945395619</v>
      </c>
      <c r="O1114" s="17">
        <f t="shared" si="172"/>
        <v>278.25</v>
      </c>
      <c r="P1114" s="19">
        <f ca="1">IF(ISERROR(IF(O1114&lt;fi_h/20,0,(OFFSET('Base de dados'!$A$5,IF(O1114&lt;20,1,IF(O1114&gt;1000,10,MATCH(O1114,Cargas,1))),Coluna_fih,1,1))*(1+0.13*0.25)*(PI()*(fi_h/1000)^2/4)*SQRT(2*9.81*(O1114/100-fi_h/2/1000))*1000)),"",IF(O1114&lt;fi_h/20,0,(OFFSET('Base de dados'!$A$5,IF(O1114&lt;20,1,IF(O1114&gt;1000,10,MATCH(O1114,Cargas,1))),Coluna_fih,1,1))*(PI()*(fi_h/1000)^2/4)*SQRT(2*9.81*(O1114/100-fi_h/2/1000))*1000))</f>
        <v>44.435702742021491</v>
      </c>
      <c r="Q1114" s="19">
        <f ca="1">IF(O1114="","",IF(Tipo_Vertedor="Retangular",IF(O1114&lt;=cota_s*100,0,IF(Tipo_Vertedor="Retangular",Cd_sr*Lef_sr*((O1114/100-cota_s)^(3/2))*1000)),IF(O1114&lt;=cota_s*100+fi_s/20,0,(OFFSET('Base de dados'!$A$4,IF(O1114&lt;20,1,IF(O1114&gt;1000,10,MATCH(O1114,Cargas,1))),Coluna_fis,1,1))*(PI()*(fi_s/1000)^2/4)*(2*9.81*(O1114/100-cota_s-fi_s/2/1000))^0.5*1000)))</f>
        <v>3540.2482655035742</v>
      </c>
      <c r="R1114" s="19">
        <f t="shared" ca="1" si="173"/>
        <v>3584.6839682455957</v>
      </c>
      <c r="S1114" s="19">
        <f t="shared" ca="1" si="170"/>
        <v>6387.4529817985403</v>
      </c>
    </row>
    <row r="1115" spans="13:19">
      <c r="M1115" s="81">
        <f t="shared" ca="1" si="169"/>
        <v>9984.6962021022027</v>
      </c>
      <c r="N1115" s="19">
        <f t="shared" si="171"/>
        <v>191.817216629401</v>
      </c>
      <c r="O1115" s="17">
        <f t="shared" si="172"/>
        <v>278.5</v>
      </c>
      <c r="P1115" s="19">
        <f ca="1">IF(ISERROR(IF(O1115&lt;fi_h/20,0,(OFFSET('Base de dados'!$A$5,IF(O1115&lt;20,1,IF(O1115&gt;1000,10,MATCH(O1115,Cargas,1))),Coluna_fih,1,1))*(1+0.13*0.25)*(PI()*(fi_h/1000)^2/4)*SQRT(2*9.81*(O1115/100-fi_h/2/1000))*1000)),"",IF(O1115&lt;fi_h/20,0,(OFFSET('Base de dados'!$A$5,IF(O1115&lt;20,1,IF(O1115&gt;1000,10,MATCH(O1115,Cargas,1))),Coluna_fih,1,1))*(PI()*(fi_h/1000)^2/4)*SQRT(2*9.81*(O1115/100-fi_h/2/1000))*1000))</f>
        <v>44.456073197914584</v>
      </c>
      <c r="Q1115" s="19">
        <f ca="1">IF(O1115="","",IF(Tipo_Vertedor="Retangular",IF(O1115&lt;=cota_s*100,0,IF(Tipo_Vertedor="Retangular",Cd_sr*Lef_sr*((O1115/100-cota_s)^(3/2))*1000)),IF(O1115&lt;=cota_s*100+fi_s/20,0,(OFFSET('Base de dados'!$A$4,IF(O1115&lt;20,1,IF(O1115&gt;1000,10,MATCH(O1115,Cargas,1))),Coluna_fis,1,1))*(PI()*(fi_s/1000)^2/4)*(2*9.81*(O1115/100-cota_s-fi_s/2/1000))^0.5*1000)))</f>
        <v>3546.3329079242553</v>
      </c>
      <c r="R1115" s="19">
        <f t="shared" ca="1" si="173"/>
        <v>3590.7889811221698</v>
      </c>
      <c r="S1115" s="19">
        <f t="shared" ca="1" si="170"/>
        <v>6393.9072209800333</v>
      </c>
    </row>
    <row r="1116" spans="13:19">
      <c r="M1116" s="81">
        <f t="shared" ca="1" si="169"/>
        <v>9997.2596485374124</v>
      </c>
      <c r="N1116" s="19">
        <f t="shared" si="171"/>
        <v>192.01086545865863</v>
      </c>
      <c r="O1116" s="17">
        <f t="shared" si="172"/>
        <v>278.75</v>
      </c>
      <c r="P1116" s="19">
        <f ca="1">IF(ISERROR(IF(O1116&lt;fi_h/20,0,(OFFSET('Base de dados'!$A$5,IF(O1116&lt;20,1,IF(O1116&gt;1000,10,MATCH(O1116,Cargas,1))),Coluna_fih,1,1))*(1+0.13*0.25)*(PI()*(fi_h/1000)^2/4)*SQRT(2*9.81*(O1116/100-fi_h/2/1000))*1000)),"",IF(O1116&lt;fi_h/20,0,(OFFSET('Base de dados'!$A$5,IF(O1116&lt;20,1,IF(O1116&gt;1000,10,MATCH(O1116,Cargas,1))),Coluna_fih,1,1))*(PI()*(fi_h/1000)^2/4)*SQRT(2*9.81*(O1116/100-fi_h/2/1000))*1000))</f>
        <v>44.476434324025831</v>
      </c>
      <c r="Q1116" s="19">
        <f ca="1">IF(O1116="","",IF(Tipo_Vertedor="Retangular",IF(O1116&lt;=cota_s*100,0,IF(Tipo_Vertedor="Retangular",Cd_sr*Lef_sr*((O1116/100-cota_s)^(3/2))*1000)),IF(O1116&lt;=cota_s*100+fi_s/20,0,(OFFSET('Base de dados'!$A$4,IF(O1116&lt;20,1,IF(O1116&gt;1000,10,MATCH(O1116,Cargas,1))),Coluna_fis,1,1))*(PI()*(fi_s/1000)^2/4)*(2*9.81*(O1116/100-cota_s-fi_s/2/1000))^0.5*1000)))</f>
        <v>3552.4210322580984</v>
      </c>
      <c r="R1116" s="19">
        <f t="shared" ca="1" si="173"/>
        <v>3596.8974665821243</v>
      </c>
      <c r="S1116" s="19">
        <f t="shared" ca="1" si="170"/>
        <v>6400.3621819552882</v>
      </c>
    </row>
    <row r="1117" spans="13:19">
      <c r="M1117" s="81">
        <f t="shared" ca="1" si="169"/>
        <v>10009.827286805597</v>
      </c>
      <c r="N1117" s="19">
        <f t="shared" si="171"/>
        <v>192.20453592472694</v>
      </c>
      <c r="O1117" s="17">
        <f t="shared" si="172"/>
        <v>279</v>
      </c>
      <c r="P1117" s="19">
        <f ca="1">IF(ISERROR(IF(O1117&lt;fi_h/20,0,(OFFSET('Base de dados'!$A$5,IF(O1117&lt;20,1,IF(O1117&gt;1000,10,MATCH(O1117,Cargas,1))),Coluna_fih,1,1))*(1+0.13*0.25)*(PI()*(fi_h/1000)^2/4)*SQRT(2*9.81*(O1117/100-fi_h/2/1000))*1000)),"",IF(O1117&lt;fi_h/20,0,(OFFSET('Base de dados'!$A$5,IF(O1117&lt;20,1,IF(O1117&gt;1000,10,MATCH(O1117,Cargas,1))),Coluna_fih,1,1))*(PI()*(fi_h/1000)^2/4)*SQRT(2*9.81*(O1117/100-fi_h/2/1000))*1000))</f>
        <v>44.496786133162765</v>
      </c>
      <c r="Q1117" s="19">
        <f ca="1">IF(O1117="","",IF(Tipo_Vertedor="Retangular",IF(O1117&lt;=cota_s*100,0,IF(Tipo_Vertedor="Retangular",Cd_sr*Lef_sr*((O1117/100-cota_s)^(3/2))*1000)),IF(O1117&lt;=cota_s*100+fi_s/20,0,(OFFSET('Base de dados'!$A$4,IF(O1117&lt;20,1,IF(O1117&gt;1000,10,MATCH(O1117,Cargas,1))),Coluna_fis,1,1))*(PI()*(fi_s/1000)^2/4)*(2*9.81*(O1117/100-cota_s-fi_s/2/1000))^0.5*1000)))</f>
        <v>3558.5126365148685</v>
      </c>
      <c r="R1117" s="19">
        <f t="shared" ca="1" si="173"/>
        <v>3603.0094226480314</v>
      </c>
      <c r="S1117" s="19">
        <f t="shared" ca="1" si="170"/>
        <v>6406.8178641575651</v>
      </c>
    </row>
    <row r="1118" spans="13:19">
      <c r="M1118" s="81">
        <f t="shared" ca="1" si="169"/>
        <v>10022.39911436693</v>
      </c>
      <c r="N1118" s="19">
        <f t="shared" si="171"/>
        <v>192.39822801063252</v>
      </c>
      <c r="O1118" s="17">
        <f t="shared" si="172"/>
        <v>279.25</v>
      </c>
      <c r="P1118" s="19">
        <f ca="1">IF(ISERROR(IF(O1118&lt;fi_h/20,0,(OFFSET('Base de dados'!$A$5,IF(O1118&lt;20,1,IF(O1118&gt;1000,10,MATCH(O1118,Cargas,1))),Coluna_fih,1,1))*(1+0.13*0.25)*(PI()*(fi_h/1000)^2/4)*SQRT(2*9.81*(O1118/100-fi_h/2/1000))*1000)),"",IF(O1118&lt;fi_h/20,0,(OFFSET('Base de dados'!$A$5,IF(O1118&lt;20,1,IF(O1118&gt;1000,10,MATCH(O1118,Cargas,1))),Coluna_fih,1,1))*(PI()*(fi_h/1000)^2/4)*SQRT(2*9.81*(O1118/100-fi_h/2/1000))*1000))</f>
        <v>44.51712863810365</v>
      </c>
      <c r="Q1118" s="19">
        <f ca="1">IF(O1118="","",IF(Tipo_Vertedor="Retangular",IF(O1118&lt;=cota_s*100,0,IF(Tipo_Vertedor="Retangular",Cd_sr*Lef_sr*((O1118/100-cota_s)^(3/2))*1000)),IF(O1118&lt;=cota_s*100+fi_s/20,0,(OFFSET('Base de dados'!$A$4,IF(O1118&lt;20,1,IF(O1118&gt;1000,10,MATCH(O1118,Cargas,1))),Coluna_fis,1,1))*(PI()*(fi_s/1000)^2/4)*(2*9.81*(O1118/100-cota_s-fi_s/2/1000))^0.5*1000)))</f>
        <v>3564.6077187077422</v>
      </c>
      <c r="R1118" s="19">
        <f t="shared" ca="1" si="173"/>
        <v>3609.1248473458459</v>
      </c>
      <c r="S1118" s="19">
        <f t="shared" ca="1" si="170"/>
        <v>6413.2742670210846</v>
      </c>
    </row>
    <row r="1119" spans="13:19">
      <c r="M1119" s="81">
        <f t="shared" ca="1" si="169"/>
        <v>10034.975128685894</v>
      </c>
      <c r="N1119" s="19">
        <f t="shared" si="171"/>
        <v>192.59194169943012</v>
      </c>
      <c r="O1119" s="17">
        <f t="shared" si="172"/>
        <v>279.5</v>
      </c>
      <c r="P1119" s="19">
        <f ca="1">IF(ISERROR(IF(O1119&lt;fi_h/20,0,(OFFSET('Base de dados'!$A$5,IF(O1119&lt;20,1,IF(O1119&gt;1000,10,MATCH(O1119,Cargas,1))),Coluna_fih,1,1))*(1+0.13*0.25)*(PI()*(fi_h/1000)^2/4)*SQRT(2*9.81*(O1119/100-fi_h/2/1000))*1000)),"",IF(O1119&lt;fi_h/20,0,(OFFSET('Base de dados'!$A$5,IF(O1119&lt;20,1,IF(O1119&gt;1000,10,MATCH(O1119,Cargas,1))),Coluna_fih,1,1))*(PI()*(fi_h/1000)^2/4)*SQRT(2*9.81*(O1119/100-fi_h/2/1000))*1000))</f>
        <v>44.537461851597598</v>
      </c>
      <c r="Q1119" s="19">
        <f ca="1">IF(O1119="","",IF(Tipo_Vertedor="Retangular",IF(O1119&lt;=cota_s*100,0,IF(Tipo_Vertedor="Retangular",Cd_sr*Lef_sr*((O1119/100-cota_s)^(3/2))*1000)),IF(O1119&lt;=cota_s*100+fi_s/20,0,(OFFSET('Base de dados'!$A$4,IF(O1119&lt;20,1,IF(O1119&gt;1000,10,MATCH(O1119,Cargas,1))),Coluna_fis,1,1))*(PI()*(fi_s/1000)^2/4)*(2*9.81*(O1119/100-cota_s-fi_s/2/1000))^0.5*1000)))</f>
        <v>3570.7062768532924</v>
      </c>
      <c r="R1119" s="19">
        <f t="shared" ca="1" si="173"/>
        <v>3615.2437387048899</v>
      </c>
      <c r="S1119" s="19">
        <f t="shared" ca="1" si="170"/>
        <v>6419.7313899810042</v>
      </c>
    </row>
    <row r="1120" spans="13:19">
      <c r="M1120" s="81">
        <f t="shared" ca="1" si="169"/>
        <v>10047.555327231292</v>
      </c>
      <c r="N1120" s="19">
        <f t="shared" si="171"/>
        <v>192.78567697420331</v>
      </c>
      <c r="O1120" s="17">
        <f t="shared" si="172"/>
        <v>279.75</v>
      </c>
      <c r="P1120" s="19">
        <f ca="1">IF(ISERROR(IF(O1120&lt;fi_h/20,0,(OFFSET('Base de dados'!$A$5,IF(O1120&lt;20,1,IF(O1120&gt;1000,10,MATCH(O1120,Cargas,1))),Coluna_fih,1,1))*(1+0.13*0.25)*(PI()*(fi_h/1000)^2/4)*SQRT(2*9.81*(O1120/100-fi_h/2/1000))*1000)),"",IF(O1120&lt;fi_h/20,0,(OFFSET('Base de dados'!$A$5,IF(O1120&lt;20,1,IF(O1120&gt;1000,10,MATCH(O1120,Cargas,1))),Coluna_fih,1,1))*(PI()*(fi_h/1000)^2/4)*SQRT(2*9.81*(O1120/100-fi_h/2/1000))*1000))</f>
        <v>44.557785786364597</v>
      </c>
      <c r="Q1120" s="19">
        <f ca="1">IF(O1120="","",IF(Tipo_Vertedor="Retangular",IF(O1120&lt;=cota_s*100,0,IF(Tipo_Vertedor="Retangular",Cd_sr*Lef_sr*((O1120/100-cota_s)^(3/2))*1000)),IF(O1120&lt;=cota_s*100+fi_s/20,0,(OFFSET('Base de dados'!$A$4,IF(O1120&lt;20,1,IF(O1120&gt;1000,10,MATCH(O1120,Cargas,1))),Coluna_fis,1,1))*(PI()*(fi_s/1000)^2/4)*(2*9.81*(O1120/100-cota_s-fi_s/2/1000))^0.5*1000)))</f>
        <v>3576.8083089714823</v>
      </c>
      <c r="R1120" s="19">
        <f t="shared" ca="1" si="173"/>
        <v>3621.3660947578469</v>
      </c>
      <c r="S1120" s="19">
        <f t="shared" ca="1" si="170"/>
        <v>6426.1892324734445</v>
      </c>
    </row>
    <row r="1121" spans="13:19">
      <c r="M1121" s="81">
        <f t="shared" ca="1" si="169"/>
        <v>10060.13970747621</v>
      </c>
      <c r="N1121" s="19">
        <f t="shared" si="171"/>
        <v>192.97943381806374</v>
      </c>
      <c r="O1121" s="17">
        <f t="shared" si="172"/>
        <v>280</v>
      </c>
      <c r="P1121" s="19">
        <f ca="1">IF(ISERROR(IF(O1121&lt;fi_h/20,0,(OFFSET('Base de dados'!$A$5,IF(O1121&lt;20,1,IF(O1121&gt;1000,10,MATCH(O1121,Cargas,1))),Coluna_fih,1,1))*(1+0.13*0.25)*(PI()*(fi_h/1000)^2/4)*SQRT(2*9.81*(O1121/100-fi_h/2/1000))*1000)),"",IF(O1121&lt;fi_h/20,0,(OFFSET('Base de dados'!$A$5,IF(O1121&lt;20,1,IF(O1121&gt;1000,10,MATCH(O1121,Cargas,1))),Coluna_fih,1,1))*(PI()*(fi_h/1000)^2/4)*SQRT(2*9.81*(O1121/100-fi_h/2/1000))*1000))</f>
        <v>44.57810045509563</v>
      </c>
      <c r="Q1121" s="19">
        <f ca="1">IF(O1121="","",IF(Tipo_Vertedor="Retangular",IF(O1121&lt;=cota_s*100,0,IF(Tipo_Vertedor="Retangular",Cd_sr*Lef_sr*((O1121/100-cota_s)^(3/2))*1000)),IF(O1121&lt;=cota_s*100+fi_s/20,0,(OFFSET('Base de dados'!$A$4,IF(O1121&lt;20,1,IF(O1121&gt;1000,10,MATCH(O1121,Cargas,1))),Coluna_fis,1,1))*(PI()*(fi_s/1000)^2/4)*(2*9.81*(O1121/100-cota_s-fi_s/2/1000))^0.5*1000)))</f>
        <v>3582.9138130856563</v>
      </c>
      <c r="R1121" s="19">
        <f t="shared" ca="1" si="173"/>
        <v>3627.4919135407517</v>
      </c>
      <c r="S1121" s="19">
        <f t="shared" ca="1" si="170"/>
        <v>6432.6477939354572</v>
      </c>
    </row>
    <row r="1122" spans="13:19">
      <c r="M1122" s="81">
        <f t="shared" ca="1" si="169"/>
        <v>10072.72826689803</v>
      </c>
      <c r="N1122" s="19">
        <f t="shared" si="171"/>
        <v>193.17321221415145</v>
      </c>
      <c r="O1122" s="17">
        <f t="shared" si="172"/>
        <v>280.25</v>
      </c>
      <c r="P1122" s="19">
        <f ca="1">IF(ISERROR(IF(O1122&lt;fi_h/20,0,(OFFSET('Base de dados'!$A$5,IF(O1122&lt;20,1,IF(O1122&gt;1000,10,MATCH(O1122,Cargas,1))),Coluna_fih,1,1))*(1+0.13*0.25)*(PI()*(fi_h/1000)^2/4)*SQRT(2*9.81*(O1122/100-fi_h/2/1000))*1000)),"",IF(O1122&lt;fi_h/20,0,(OFFSET('Base de dados'!$A$5,IF(O1122&lt;20,1,IF(O1122&gt;1000,10,MATCH(O1122,Cargas,1))),Coluna_fih,1,1))*(PI()*(fi_h/1000)^2/4)*SQRT(2*9.81*(O1122/100-fi_h/2/1000))*1000))</f>
        <v>44.598405870452822</v>
      </c>
      <c r="Q1122" s="19">
        <f ca="1">IF(O1122="","",IF(Tipo_Vertedor="Retangular",IF(O1122&lt;=cota_s*100,0,IF(Tipo_Vertedor="Retangular",Cd_sr*Lef_sr*((O1122/100-cota_s)^(3/2))*1000)),IF(O1122&lt;=cota_s*100+fi_s/20,0,(OFFSET('Base de dados'!$A$4,IF(O1122&lt;20,1,IF(O1122&gt;1000,10,MATCH(O1122,Cargas,1))),Coluna_fis,1,1))*(PI()*(fi_s/1000)^2/4)*(2*9.81*(O1122/100-cota_s-fi_s/2/1000))^0.5*1000)))</f>
        <v>3589.0227872225282</v>
      </c>
      <c r="R1122" s="19">
        <f t="shared" ca="1" si="173"/>
        <v>3633.6211930929812</v>
      </c>
      <c r="S1122" s="19">
        <f t="shared" ca="1" si="170"/>
        <v>6439.1070738050485</v>
      </c>
    </row>
    <row r="1123" spans="13:19">
      <c r="M1123" s="81">
        <f t="shared" ca="1" si="169"/>
        <v>10085.321002978395</v>
      </c>
      <c r="N1123" s="19">
        <f t="shared" si="171"/>
        <v>193.36701214563459</v>
      </c>
      <c r="O1123" s="17">
        <f t="shared" si="172"/>
        <v>280.5</v>
      </c>
      <c r="P1123" s="19">
        <f ca="1">IF(ISERROR(IF(O1123&lt;fi_h/20,0,(OFFSET('Base de dados'!$A$5,IF(O1123&lt;20,1,IF(O1123&gt;1000,10,MATCH(O1123,Cargas,1))),Coluna_fih,1,1))*(1+0.13*0.25)*(PI()*(fi_h/1000)^2/4)*SQRT(2*9.81*(O1123/100-fi_h/2/1000))*1000)),"",IF(O1123&lt;fi_h/20,0,(OFFSET('Base de dados'!$A$5,IF(O1123&lt;20,1,IF(O1123&gt;1000,10,MATCH(O1123,Cargas,1))),Coluna_fih,1,1))*(PI()*(fi_h/1000)^2/4)*SQRT(2*9.81*(O1123/100-fi_h/2/1000))*1000))</f>
        <v>44.61870204506944</v>
      </c>
      <c r="Q1123" s="19">
        <f ca="1">IF(O1123="","",IF(Tipo_Vertedor="Retangular",IF(O1123&lt;=cota_s*100,0,IF(Tipo_Vertedor="Retangular",Cd_sr*Lef_sr*((O1123/100-cota_s)^(3/2))*1000)),IF(O1123&lt;=cota_s*100+fi_s/20,0,(OFFSET('Base de dados'!$A$4,IF(O1123&lt;20,1,IF(O1123&gt;1000,10,MATCH(O1123,Cargas,1))),Coluna_fis,1,1))*(PI()*(fi_s/1000)^2/4)*(2*9.81*(O1123/100-cota_s-fi_s/2/1000))^0.5*1000)))</f>
        <v>3595.1352294121716</v>
      </c>
      <c r="R1123" s="19">
        <f t="shared" ca="1" si="173"/>
        <v>3639.7539314572409</v>
      </c>
      <c r="S1123" s="19">
        <f t="shared" ca="1" si="170"/>
        <v>6445.5670715211536</v>
      </c>
    </row>
    <row r="1124" spans="13:19">
      <c r="M1124" s="81">
        <f t="shared" ca="1" si="169"/>
        <v>10097.917913203211</v>
      </c>
      <c r="N1124" s="19">
        <f t="shared" si="171"/>
        <v>193.56083359570954</v>
      </c>
      <c r="O1124" s="17">
        <f t="shared" si="172"/>
        <v>280.75</v>
      </c>
      <c r="P1124" s="19">
        <f ca="1">IF(ISERROR(IF(O1124&lt;fi_h/20,0,(OFFSET('Base de dados'!$A$5,IF(O1124&lt;20,1,IF(O1124&gt;1000,10,MATCH(O1124,Cargas,1))),Coluna_fih,1,1))*(1+0.13*0.25)*(PI()*(fi_h/1000)^2/4)*SQRT(2*9.81*(O1124/100-fi_h/2/1000))*1000)),"",IF(O1124&lt;fi_h/20,0,(OFFSET('Base de dados'!$A$5,IF(O1124&lt;20,1,IF(O1124&gt;1000,10,MATCH(O1124,Cargas,1))),Coluna_fih,1,1))*(PI()*(fi_h/1000)^2/4)*SQRT(2*9.81*(O1124/100-fi_h/2/1000))*1000))</f>
        <v>44.638988991550058</v>
      </c>
      <c r="Q1124" s="19">
        <f ca="1">IF(O1124="","",IF(Tipo_Vertedor="Retangular",IF(O1124&lt;=cota_s*100,0,IF(Tipo_Vertedor="Retangular",Cd_sr*Lef_sr*((O1124/100-cota_s)^(3/2))*1000)),IF(O1124&lt;=cota_s*100+fi_s/20,0,(OFFSET('Base de dados'!$A$4,IF(O1124&lt;20,1,IF(O1124&gt;1000,10,MATCH(O1124,Cargas,1))),Coluna_fis,1,1))*(PI()*(fi_s/1000)^2/4)*(2*9.81*(O1124/100-cota_s-fi_s/2/1000))^0.5*1000)))</f>
        <v>3601.2511376880102</v>
      </c>
      <c r="R1124" s="19">
        <f t="shared" ca="1" si="173"/>
        <v>3645.8901266795601</v>
      </c>
      <c r="S1124" s="19">
        <f t="shared" ca="1" si="170"/>
        <v>6452.0277865236512</v>
      </c>
    </row>
    <row r="1125" spans="13:19">
      <c r="M1125" s="81">
        <f t="shared" ca="1" si="169"/>
        <v>10110.518995062645</v>
      </c>
      <c r="N1125" s="19">
        <f t="shared" si="171"/>
        <v>193.75467654760081</v>
      </c>
      <c r="O1125" s="17">
        <f t="shared" si="172"/>
        <v>281</v>
      </c>
      <c r="P1125" s="19">
        <f ca="1">IF(ISERROR(IF(O1125&lt;fi_h/20,0,(OFFSET('Base de dados'!$A$5,IF(O1125&lt;20,1,IF(O1125&gt;1000,10,MATCH(O1125,Cargas,1))),Coluna_fih,1,1))*(1+0.13*0.25)*(PI()*(fi_h/1000)^2/4)*SQRT(2*9.81*(O1125/100-fi_h/2/1000))*1000)),"",IF(O1125&lt;fi_h/20,0,(OFFSET('Base de dados'!$A$5,IF(O1125&lt;20,1,IF(O1125&gt;1000,10,MATCH(O1125,Cargas,1))),Coluna_fih,1,1))*(PI()*(fi_h/1000)^2/4)*SQRT(2*9.81*(O1125/100-fi_h/2/1000))*1000))</f>
        <v>44.659266722470591</v>
      </c>
      <c r="Q1125" s="19">
        <f ca="1">IF(O1125="","",IF(Tipo_Vertedor="Retangular",IF(O1125&lt;=cota_s*100,0,IF(Tipo_Vertedor="Retangular",Cd_sr*Lef_sr*((O1125/100-cota_s)^(3/2))*1000)),IF(O1125&lt;=cota_s*100+fi_s/20,0,(OFFSET('Base de dados'!$A$4,IF(O1125&lt;20,1,IF(O1125&gt;1000,10,MATCH(O1125,Cargas,1))),Coluna_fis,1,1))*(PI()*(fi_s/1000)^2/4)*(2*9.81*(O1125/100-cota_s-fi_s/2/1000))^0.5*1000)))</f>
        <v>3607.3705100868142</v>
      </c>
      <c r="R1125" s="19">
        <f t="shared" ca="1" si="173"/>
        <v>3652.0297768092846</v>
      </c>
      <c r="S1125" s="19">
        <f t="shared" ca="1" si="170"/>
        <v>6458.4892182533604</v>
      </c>
    </row>
    <row r="1126" spans="13:19">
      <c r="M1126" s="81">
        <f t="shared" ca="1" si="169"/>
        <v>10123.124246051082</v>
      </c>
      <c r="N1126" s="19">
        <f t="shared" si="171"/>
        <v>193.94854098456068</v>
      </c>
      <c r="O1126" s="17">
        <f t="shared" si="172"/>
        <v>281.25</v>
      </c>
      <c r="P1126" s="19">
        <f ca="1">IF(ISERROR(IF(O1126&lt;fi_h/20,0,(OFFSET('Base de dados'!$A$5,IF(O1126&lt;20,1,IF(O1126&gt;1000,10,MATCH(O1126,Cargas,1))),Coluna_fih,1,1))*(1+0.13*0.25)*(PI()*(fi_h/1000)^2/4)*SQRT(2*9.81*(O1126/100-fi_h/2/1000))*1000)),"",IF(O1126&lt;fi_h/20,0,(OFFSET('Base de dados'!$A$5,IF(O1126&lt;20,1,IF(O1126&gt;1000,10,MATCH(O1126,Cargas,1))),Coluna_fih,1,1))*(PI()*(fi_h/1000)^2/4)*SQRT(2*9.81*(O1126/100-fi_h/2/1000))*1000))</f>
        <v>44.679535250378471</v>
      </c>
      <c r="Q1126" s="19">
        <f ca="1">IF(O1126="","",IF(Tipo_Vertedor="Retangular",IF(O1126&lt;=cota_s*100,0,IF(Tipo_Vertedor="Retangular",Cd_sr*Lef_sr*((O1126/100-cota_s)^(3/2))*1000)),IF(O1126&lt;=cota_s*100+fi_s/20,0,(OFFSET('Base de dados'!$A$4,IF(O1126&lt;20,1,IF(O1126&gt;1000,10,MATCH(O1126,Cargas,1))),Coluna_fis,1,1))*(PI()*(fi_s/1000)^2/4)*(2*9.81*(O1126/100-cota_s-fi_s/2/1000))^0.5*1000)))</f>
        <v>3613.4933446486812</v>
      </c>
      <c r="R1126" s="19">
        <f t="shared" ca="1" si="173"/>
        <v>3658.1728798990598</v>
      </c>
      <c r="S1126" s="19">
        <f t="shared" ca="1" si="170"/>
        <v>6464.9513661520223</v>
      </c>
    </row>
    <row r="1127" spans="13:19">
      <c r="M1127" s="81">
        <f t="shared" ca="1" si="169"/>
        <v>10135.733663667144</v>
      </c>
      <c r="N1127" s="19">
        <f t="shared" si="171"/>
        <v>194.14242688986954</v>
      </c>
      <c r="O1127" s="17">
        <f t="shared" si="172"/>
        <v>281.5</v>
      </c>
      <c r="P1127" s="19">
        <f ca="1">IF(ISERROR(IF(O1127&lt;fi_h/20,0,(OFFSET('Base de dados'!$A$5,IF(O1127&lt;20,1,IF(O1127&gt;1000,10,MATCH(O1127,Cargas,1))),Coluna_fih,1,1))*(1+0.13*0.25)*(PI()*(fi_h/1000)^2/4)*SQRT(2*9.81*(O1127/100-fi_h/2/1000))*1000)),"",IF(O1127&lt;fi_h/20,0,(OFFSET('Base de dados'!$A$5,IF(O1127&lt;20,1,IF(O1127&gt;1000,10,MATCH(O1127,Cargas,1))),Coluna_fih,1,1))*(PI()*(fi_h/1000)^2/4)*SQRT(2*9.81*(O1127/100-fi_h/2/1000))*1000))</f>
        <v>44.699794587792638</v>
      </c>
      <c r="Q1127" s="19">
        <f ca="1">IF(O1127="","",IF(Tipo_Vertedor="Retangular",IF(O1127&lt;=cota_s*100,0,IF(Tipo_Vertedor="Retangular",Cd_sr*Lef_sr*((O1127/100-cota_s)^(3/2))*1000)),IF(O1127&lt;=cota_s*100+fi_s/20,0,(OFFSET('Base de dados'!$A$4,IF(O1127&lt;20,1,IF(O1127&gt;1000,10,MATCH(O1127,Cargas,1))),Coluna_fis,1,1))*(PI()*(fi_s/1000)^2/4)*(2*9.81*(O1127/100-cota_s-fi_s/2/1000))^0.5*1000)))</f>
        <v>3619.6196394170343</v>
      </c>
      <c r="R1127" s="19">
        <f t="shared" ca="1" si="173"/>
        <v>3664.3194340048267</v>
      </c>
      <c r="S1127" s="19">
        <f t="shared" ca="1" si="170"/>
        <v>6471.4142296623177</v>
      </c>
    </row>
    <row r="1128" spans="13:19">
      <c r="M1128" s="81">
        <f t="shared" ca="1" si="169"/>
        <v>10148.347245413666</v>
      </c>
      <c r="N1128" s="19">
        <f t="shared" si="171"/>
        <v>194.33633424683563</v>
      </c>
      <c r="O1128" s="17">
        <f t="shared" si="172"/>
        <v>281.75</v>
      </c>
      <c r="P1128" s="19">
        <f ca="1">IF(ISERROR(IF(O1128&lt;fi_h/20,0,(OFFSET('Base de dados'!$A$5,IF(O1128&lt;20,1,IF(O1128&gt;1000,10,MATCH(O1128,Cargas,1))),Coluna_fih,1,1))*(1+0.13*0.25)*(PI()*(fi_h/1000)^2/4)*SQRT(2*9.81*(O1128/100-fi_h/2/1000))*1000)),"",IF(O1128&lt;fi_h/20,0,(OFFSET('Base de dados'!$A$5,IF(O1128&lt;20,1,IF(O1128&gt;1000,10,MATCH(O1128,Cargas,1))),Coluna_fih,1,1))*(PI()*(fi_h/1000)^2/4)*SQRT(2*9.81*(O1128/100-fi_h/2/1000))*1000))</f>
        <v>44.720044747203659</v>
      </c>
      <c r="Q1128" s="19">
        <f ca="1">IF(O1128="","",IF(Tipo_Vertedor="Retangular",IF(O1128&lt;=cota_s*100,0,IF(Tipo_Vertedor="Retangular",Cd_sr*Lef_sr*((O1128/100-cota_s)^(3/2))*1000)),IF(O1128&lt;=cota_s*100+fi_s/20,0,(OFFSET('Base de dados'!$A$4,IF(O1128&lt;20,1,IF(O1128&gt;1000,10,MATCH(O1128,Cargas,1))),Coluna_fis,1,1))*(PI()*(fi_s/1000)^2/4)*(2*9.81*(O1128/100-cota_s-fi_s/2/1000))^0.5*1000)))</f>
        <v>3625.7493924386076</v>
      </c>
      <c r="R1128" s="19">
        <f t="shared" ca="1" si="173"/>
        <v>3670.4694371858113</v>
      </c>
      <c r="S1128" s="19">
        <f t="shared" ca="1" si="170"/>
        <v>6477.877808227855</v>
      </c>
    </row>
    <row r="1129" spans="13:19">
      <c r="M1129" s="81">
        <f t="shared" ca="1" si="169"/>
        <v>10160.964988797681</v>
      </c>
      <c r="N1129" s="19">
        <f t="shared" si="171"/>
        <v>194.53026303879489</v>
      </c>
      <c r="O1129" s="17">
        <f t="shared" si="172"/>
        <v>282</v>
      </c>
      <c r="P1129" s="19">
        <f ca="1">IF(ISERROR(IF(O1129&lt;fi_h/20,0,(OFFSET('Base de dados'!$A$5,IF(O1129&lt;20,1,IF(O1129&gt;1000,10,MATCH(O1129,Cargas,1))),Coluna_fih,1,1))*(1+0.13*0.25)*(PI()*(fi_h/1000)^2/4)*SQRT(2*9.81*(O1129/100-fi_h/2/1000))*1000)),"",IF(O1129&lt;fi_h/20,0,(OFFSET('Base de dados'!$A$5,IF(O1129&lt;20,1,IF(O1129&gt;1000,10,MATCH(O1129,Cargas,1))),Coluna_fih,1,1))*(PI()*(fi_h/1000)^2/4)*SQRT(2*9.81*(O1129/100-fi_h/2/1000))*1000))</f>
        <v>44.740285741073912</v>
      </c>
      <c r="Q1129" s="19">
        <f ca="1">IF(O1129="","",IF(Tipo_Vertedor="Retangular",IF(O1129&lt;=cota_s*100,0,IF(Tipo_Vertedor="Retangular",Cd_sr*Lef_sr*((O1129/100-cota_s)^(3/2))*1000)),IF(O1129&lt;=cota_s*100+fi_s/20,0,(OFFSET('Base de dados'!$A$4,IF(O1129&lt;20,1,IF(O1129&gt;1000,10,MATCH(O1129,Cargas,1))),Coluna_fis,1,1))*(PI()*(fi_s/1000)^2/4)*(2*9.81*(O1129/100-cota_s-fi_s/2/1000))^0.5*1000)))</f>
        <v>3631.8826017634433</v>
      </c>
      <c r="R1129" s="19">
        <f t="shared" ca="1" si="173"/>
        <v>3676.6228875045172</v>
      </c>
      <c r="S1129" s="19">
        <f t="shared" ca="1" si="170"/>
        <v>6484.3421012931631</v>
      </c>
    </row>
    <row r="1130" spans="13:19">
      <c r="M1130" s="81">
        <f t="shared" ca="1" si="169"/>
        <v>10173.586891330408</v>
      </c>
      <c r="N1130" s="19">
        <f t="shared" si="171"/>
        <v>194.7242132491109</v>
      </c>
      <c r="O1130" s="17">
        <f t="shared" si="172"/>
        <v>282.25</v>
      </c>
      <c r="P1130" s="19">
        <f ca="1">IF(ISERROR(IF(O1130&lt;fi_h/20,0,(OFFSET('Base de dados'!$A$5,IF(O1130&lt;20,1,IF(O1130&gt;1000,10,MATCH(O1130,Cargas,1))),Coluna_fih,1,1))*(1+0.13*0.25)*(PI()*(fi_h/1000)^2/4)*SQRT(2*9.81*(O1130/100-fi_h/2/1000))*1000)),"",IF(O1130&lt;fi_h/20,0,(OFFSET('Base de dados'!$A$5,IF(O1130&lt;20,1,IF(O1130&gt;1000,10,MATCH(O1130,Cargas,1))),Coluna_fih,1,1))*(PI()*(fi_h/1000)^2/4)*SQRT(2*9.81*(O1130/100-fi_h/2/1000))*1000))</f>
        <v>44.760517581837505</v>
      </c>
      <c r="Q1130" s="19">
        <f ca="1">IF(O1130="","",IF(Tipo_Vertedor="Retangular",IF(O1130&lt;=cota_s*100,0,IF(Tipo_Vertedor="Retangular",Cd_sr*Lef_sr*((O1130/100-cota_s)^(3/2))*1000)),IF(O1130&lt;=cota_s*100+fi_s/20,0,(OFFSET('Base de dados'!$A$4,IF(O1130&lt;20,1,IF(O1130&gt;1000,10,MATCH(O1130,Cargas,1))),Coluna_fis,1,1))*(PI()*(fi_s/1000)^2/4)*(2*9.81*(O1130/100-cota_s-fi_s/2/1000))^0.5*1000)))</f>
        <v>3638.0192654448738</v>
      </c>
      <c r="R1130" s="19">
        <f t="shared" ca="1" si="173"/>
        <v>3682.7797830267114</v>
      </c>
      <c r="S1130" s="19">
        <f t="shared" ca="1" si="170"/>
        <v>6490.8071083036966</v>
      </c>
    </row>
    <row r="1131" spans="13:19">
      <c r="M1131" s="81">
        <f t="shared" ca="1" si="169"/>
        <v>10186.212950527257</v>
      </c>
      <c r="N1131" s="19">
        <f t="shared" si="171"/>
        <v>194.91818486117506</v>
      </c>
      <c r="O1131" s="17">
        <f t="shared" si="172"/>
        <v>282.5</v>
      </c>
      <c r="P1131" s="19">
        <f ca="1">IF(ISERROR(IF(O1131&lt;fi_h/20,0,(OFFSET('Base de dados'!$A$5,IF(O1131&lt;20,1,IF(O1131&gt;1000,10,MATCH(O1131,Cargas,1))),Coluna_fih,1,1))*(1+0.13*0.25)*(PI()*(fi_h/1000)^2/4)*SQRT(2*9.81*(O1131/100-fi_h/2/1000))*1000)),"",IF(O1131&lt;fi_h/20,0,(OFFSET('Base de dados'!$A$5,IF(O1131&lt;20,1,IF(O1131&gt;1000,10,MATCH(O1131,Cargas,1))),Coluna_fih,1,1))*(PI()*(fi_h/1000)^2/4)*SQRT(2*9.81*(O1131/100-fi_h/2/1000))*1000))</f>
        <v>44.780740281900513</v>
      </c>
      <c r="Q1131" s="19">
        <f ca="1">IF(O1131="","",IF(Tipo_Vertedor="Retangular",IF(O1131&lt;=cota_s*100,0,IF(Tipo_Vertedor="Retangular",Cd_sr*Lef_sr*((O1131/100-cota_s)^(3/2))*1000)),IF(O1131&lt;=cota_s*100+fi_s/20,0,(OFFSET('Base de dados'!$A$4,IF(O1131&lt;20,1,IF(O1131&gt;1000,10,MATCH(O1131,Cargas,1))),Coluna_fis,1,1))*(PI()*(fi_s/1000)^2/4)*(2*9.81*(O1131/100-cota_s-fi_s/2/1000))^0.5*1000)))</f>
        <v>3644.1593815395208</v>
      </c>
      <c r="R1131" s="19">
        <f t="shared" ca="1" si="173"/>
        <v>3688.9401218214211</v>
      </c>
      <c r="S1131" s="19">
        <f t="shared" ca="1" si="170"/>
        <v>6497.2728287058362</v>
      </c>
    </row>
    <row r="1132" spans="13:19">
      <c r="M1132" s="81">
        <f t="shared" ca="1" si="169"/>
        <v>10198.843163907793</v>
      </c>
      <c r="N1132" s="19">
        <f t="shared" si="171"/>
        <v>195.1121778584062</v>
      </c>
      <c r="O1132" s="17">
        <f t="shared" si="172"/>
        <v>282.75</v>
      </c>
      <c r="P1132" s="19">
        <f ca="1">IF(ISERROR(IF(O1132&lt;fi_h/20,0,(OFFSET('Base de dados'!$A$5,IF(O1132&lt;20,1,IF(O1132&gt;1000,10,MATCH(O1132,Cargas,1))),Coluna_fih,1,1))*(1+0.13*0.25)*(PI()*(fi_h/1000)^2/4)*SQRT(2*9.81*(O1132/100-fi_h/2/1000))*1000)),"",IF(O1132&lt;fi_h/20,0,(OFFSET('Base de dados'!$A$5,IF(O1132&lt;20,1,IF(O1132&gt;1000,10,MATCH(O1132,Cargas,1))),Coluna_fih,1,1))*(PI()*(fi_h/1000)^2/4)*SQRT(2*9.81*(O1132/100-fi_h/2/1000))*1000))</f>
        <v>44.800953853640998</v>
      </c>
      <c r="Q1132" s="19">
        <f ca="1">IF(O1132="","",IF(Tipo_Vertedor="Retangular",IF(O1132&lt;=cota_s*100,0,IF(Tipo_Vertedor="Retangular",Cd_sr*Lef_sr*((O1132/100-cota_s)^(3/2))*1000)),IF(O1132&lt;=cota_s*100+fi_s/20,0,(OFFSET('Base de dados'!$A$4,IF(O1132&lt;20,1,IF(O1132&gt;1000,10,MATCH(O1132,Cargas,1))),Coluna_fis,1,1))*(PI()*(fi_s/1000)^2/4)*(2*9.81*(O1132/100-cota_s-fi_s/2/1000))^0.5*1000)))</f>
        <v>3650.302948107279</v>
      </c>
      <c r="R1132" s="19">
        <f t="shared" ca="1" si="173"/>
        <v>3695.1039019609202</v>
      </c>
      <c r="S1132" s="19">
        <f t="shared" ca="1" si="170"/>
        <v>6503.7392619468737</v>
      </c>
    </row>
    <row r="1133" spans="13:19">
      <c r="M1133" s="81">
        <f t="shared" ca="1" si="169"/>
        <v>10211.477528995743</v>
      </c>
      <c r="N1133" s="19">
        <f t="shared" si="171"/>
        <v>195.30619222425071</v>
      </c>
      <c r="O1133" s="17">
        <f t="shared" si="172"/>
        <v>283</v>
      </c>
      <c r="P1133" s="19">
        <f ca="1">IF(ISERROR(IF(O1133&lt;fi_h/20,0,(OFFSET('Base de dados'!$A$5,IF(O1133&lt;20,1,IF(O1133&gt;1000,10,MATCH(O1133,Cargas,1))),Coluna_fih,1,1))*(1+0.13*0.25)*(PI()*(fi_h/1000)^2/4)*SQRT(2*9.81*(O1133/100-fi_h/2/1000))*1000)),"",IF(O1133&lt;fi_h/20,0,(OFFSET('Base de dados'!$A$5,IF(O1133&lt;20,1,IF(O1133&gt;1000,10,MATCH(O1133,Cargas,1))),Coluna_fih,1,1))*(PI()*(fi_h/1000)^2/4)*SQRT(2*9.81*(O1133/100-fi_h/2/1000))*1000))</f>
        <v>44.821158309409107</v>
      </c>
      <c r="Q1133" s="19">
        <f ca="1">IF(O1133="","",IF(Tipo_Vertedor="Retangular",IF(O1133&lt;=cota_s*100,0,IF(Tipo_Vertedor="Retangular",Cd_sr*Lef_sr*((O1133/100-cota_s)^(3/2))*1000)),IF(O1133&lt;=cota_s*100+fi_s/20,0,(OFFSET('Base de dados'!$A$4,IF(O1133&lt;20,1,IF(O1133&gt;1000,10,MATCH(O1133,Cargas,1))),Coluna_fis,1,1))*(PI()*(fi_s/1000)^2/4)*(2*9.81*(O1133/100-cota_s-fi_s/2/1000))^0.5*1000)))</f>
        <v>3656.4499632113116</v>
      </c>
      <c r="R1133" s="19">
        <f t="shared" ca="1" si="173"/>
        <v>3701.2711215207205</v>
      </c>
      <c r="S1133" s="19">
        <f t="shared" ca="1" si="170"/>
        <v>6510.2064074750233</v>
      </c>
    </row>
    <row r="1134" spans="13:19">
      <c r="M1134" s="81">
        <f t="shared" ca="1" si="169"/>
        <v>10224.116043318978</v>
      </c>
      <c r="N1134" s="19">
        <f t="shared" si="171"/>
        <v>195.50022794218231</v>
      </c>
      <c r="O1134" s="17">
        <f t="shared" si="172"/>
        <v>283.25</v>
      </c>
      <c r="P1134" s="19">
        <f ca="1">IF(ISERROR(IF(O1134&lt;fi_h/20,0,(OFFSET('Base de dados'!$A$5,IF(O1134&lt;20,1,IF(O1134&gt;1000,10,MATCH(O1134,Cargas,1))),Coluna_fih,1,1))*(1+0.13*0.25)*(PI()*(fi_h/1000)^2/4)*SQRT(2*9.81*(O1134/100-fi_h/2/1000))*1000)),"",IF(O1134&lt;fi_h/20,0,(OFFSET('Base de dados'!$A$5,IF(O1134&lt;20,1,IF(O1134&gt;1000,10,MATCH(O1134,Cargas,1))),Coluna_fih,1,1))*(PI()*(fi_h/1000)^2/4)*SQRT(2*9.81*(O1134/100-fi_h/2/1000))*1000))</f>
        <v>44.841353661527165</v>
      </c>
      <c r="Q1134" s="19">
        <f ca="1">IF(O1134="","",IF(Tipo_Vertedor="Retangular",IF(O1134&lt;=cota_s*100,0,IF(Tipo_Vertedor="Retangular",Cd_sr*Lef_sr*((O1134/100-cota_s)^(3/2))*1000)),IF(O1134&lt;=cota_s*100+fi_s/20,0,(OFFSET('Base de dados'!$A$4,IF(O1134&lt;20,1,IF(O1134&gt;1000,10,MATCH(O1134,Cargas,1))),Coluna_fis,1,1))*(PI()*(fi_s/1000)^2/4)*(2*9.81*(O1134/100-cota_s-fi_s/2/1000))^0.5*1000)))</f>
        <v>3662.6004249180405</v>
      </c>
      <c r="R1134" s="19">
        <f t="shared" ca="1" si="173"/>
        <v>3707.4417785795677</v>
      </c>
      <c r="S1134" s="19">
        <f t="shared" ca="1" si="170"/>
        <v>6516.6742647394103</v>
      </c>
    </row>
    <row r="1135" spans="13:19">
      <c r="M1135" s="81">
        <f t="shared" ca="1" si="169"/>
        <v>10236.758704409502</v>
      </c>
      <c r="N1135" s="19">
        <f t="shared" si="171"/>
        <v>195.69428499570228</v>
      </c>
      <c r="O1135" s="17">
        <f t="shared" si="172"/>
        <v>283.5</v>
      </c>
      <c r="P1135" s="19">
        <f ca="1">IF(ISERROR(IF(O1135&lt;fi_h/20,0,(OFFSET('Base de dados'!$A$5,IF(O1135&lt;20,1,IF(O1135&gt;1000,10,MATCH(O1135,Cargas,1))),Coluna_fih,1,1))*(1+0.13*0.25)*(PI()*(fi_h/1000)^2/4)*SQRT(2*9.81*(O1135/100-fi_h/2/1000))*1000)),"",IF(O1135&lt;fi_h/20,0,(OFFSET('Base de dados'!$A$5,IF(O1135&lt;20,1,IF(O1135&gt;1000,10,MATCH(O1135,Cargas,1))),Coluna_fih,1,1))*(PI()*(fi_h/1000)^2/4)*SQRT(2*9.81*(O1135/100-fi_h/2/1000))*1000))</f>
        <v>44.861539922289772</v>
      </c>
      <c r="Q1135" s="19">
        <f ca="1">IF(O1135="","",IF(Tipo_Vertedor="Retangular",IF(O1135&lt;=cota_s*100,0,IF(Tipo_Vertedor="Retangular",Cd_sr*Lef_sr*((O1135/100-cota_s)^(3/2))*1000)),IF(O1135&lt;=cota_s*100+fi_s/20,0,(OFFSET('Base de dados'!$A$4,IF(O1135&lt;20,1,IF(O1135&gt;1000,10,MATCH(O1135,Cargas,1))),Coluna_fis,1,1))*(PI()*(fi_s/1000)^2/4)*(2*9.81*(O1135/100-cota_s-fi_s/2/1000))^0.5*1000)))</f>
        <v>3668.7543312971366</v>
      </c>
      <c r="R1135" s="19">
        <f t="shared" ca="1" si="173"/>
        <v>3713.6158712194265</v>
      </c>
      <c r="S1135" s="19">
        <f t="shared" ca="1" si="170"/>
        <v>6523.1428331900761</v>
      </c>
    </row>
    <row r="1136" spans="13:19">
      <c r="M1136" s="81">
        <f t="shared" ca="1" si="169"/>
        <v>10249.405509803437</v>
      </c>
      <c r="N1136" s="19">
        <f t="shared" si="171"/>
        <v>195.88836336833896</v>
      </c>
      <c r="O1136" s="17">
        <f t="shared" si="172"/>
        <v>283.75</v>
      </c>
      <c r="P1136" s="19">
        <f ca="1">IF(ISERROR(IF(O1136&lt;fi_h/20,0,(OFFSET('Base de dados'!$A$5,IF(O1136&lt;20,1,IF(O1136&gt;1000,10,MATCH(O1136,Cargas,1))),Coluna_fih,1,1))*(1+0.13*0.25)*(PI()*(fi_h/1000)^2/4)*SQRT(2*9.81*(O1136/100-fi_h/2/1000))*1000)),"",IF(O1136&lt;fi_h/20,0,(OFFSET('Base de dados'!$A$5,IF(O1136&lt;20,1,IF(O1136&gt;1000,10,MATCH(O1136,Cargas,1))),Coluna_fih,1,1))*(PI()*(fi_h/1000)^2/4)*SQRT(2*9.81*(O1136/100-fi_h/2/1000))*1000))</f>
        <v>44.881717103963858</v>
      </c>
      <c r="Q1136" s="19">
        <f ca="1">IF(O1136="","",IF(Tipo_Vertedor="Retangular",IF(O1136&lt;=cota_s*100,0,IF(Tipo_Vertedor="Retangular",Cd_sr*Lef_sr*((O1136/100-cota_s)^(3/2))*1000)),IF(O1136&lt;=cota_s*100+fi_s/20,0,(OFFSET('Base de dados'!$A$4,IF(O1136&lt;20,1,IF(O1136&gt;1000,10,MATCH(O1136,Cargas,1))),Coluna_fis,1,1))*(PI()*(fi_s/1000)^2/4)*(2*9.81*(O1136/100-cota_s-fi_s/2/1000))^0.5*1000)))</f>
        <v>3674.9116804215087</v>
      </c>
      <c r="R1136" s="19">
        <f t="shared" ca="1" si="173"/>
        <v>3719.7933975254723</v>
      </c>
      <c r="S1136" s="19">
        <f t="shared" ca="1" si="170"/>
        <v>6529.612112277965</v>
      </c>
    </row>
    <row r="1137" spans="13:19">
      <c r="M1137" s="81">
        <f t="shared" ca="1" si="169"/>
        <v>10262.056457041021</v>
      </c>
      <c r="N1137" s="19">
        <f t="shared" si="171"/>
        <v>196.08246304364803</v>
      </c>
      <c r="O1137" s="17">
        <f t="shared" si="172"/>
        <v>284</v>
      </c>
      <c r="P1137" s="19">
        <f ca="1">IF(ISERROR(IF(O1137&lt;fi_h/20,0,(OFFSET('Base de dados'!$A$5,IF(O1137&lt;20,1,IF(O1137&gt;1000,10,MATCH(O1137,Cargas,1))),Coluna_fih,1,1))*(1+0.13*0.25)*(PI()*(fi_h/1000)^2/4)*SQRT(2*9.81*(O1137/100-fi_h/2/1000))*1000)),"",IF(O1137&lt;fi_h/20,0,(OFFSET('Base de dados'!$A$5,IF(O1137&lt;20,1,IF(O1137&gt;1000,10,MATCH(O1137,Cargas,1))),Coluna_fih,1,1))*(PI()*(fi_h/1000)^2/4)*SQRT(2*9.81*(O1137/100-fi_h/2/1000))*1000))</f>
        <v>44.901885218788806</v>
      </c>
      <c r="Q1137" s="19">
        <f ca="1">IF(O1137="","",IF(Tipo_Vertedor="Retangular",IF(O1137&lt;=cota_s*100,0,IF(Tipo_Vertedor="Retangular",Cd_sr*Lef_sr*((O1137/100-cota_s)^(3/2))*1000)),IF(O1137&lt;=cota_s*100+fi_s/20,0,(OFFSET('Base de dados'!$A$4,IF(O1137&lt;20,1,IF(O1137&gt;1000,10,MATCH(O1137,Cargas,1))),Coluna_fis,1,1))*(PI()*(fi_s/1000)^2/4)*(2*9.81*(O1137/100-cota_s-fi_s/2/1000))^0.5*1000)))</f>
        <v>3681.0724703672977</v>
      </c>
      <c r="R1137" s="19">
        <f t="shared" ca="1" si="173"/>
        <v>3725.9743555860864</v>
      </c>
      <c r="S1137" s="19">
        <f t="shared" ca="1" si="170"/>
        <v>6536.0821014549338</v>
      </c>
    </row>
    <row r="1138" spans="13:19">
      <c r="M1138" s="81">
        <f t="shared" ca="1" si="169"/>
        <v>10274.711543666584</v>
      </c>
      <c r="N1138" s="19">
        <f t="shared" si="171"/>
        <v>196.2765840052123</v>
      </c>
      <c r="O1138" s="17">
        <f t="shared" si="172"/>
        <v>284.25</v>
      </c>
      <c r="P1138" s="19">
        <f ca="1">IF(ISERROR(IF(O1138&lt;fi_h/20,0,(OFFSET('Base de dados'!$A$5,IF(O1138&lt;20,1,IF(O1138&gt;1000,10,MATCH(O1138,Cargas,1))),Coluna_fih,1,1))*(1+0.13*0.25)*(PI()*(fi_h/1000)^2/4)*SQRT(2*9.81*(O1138/100-fi_h/2/1000))*1000)),"",IF(O1138&lt;fi_h/20,0,(OFFSET('Base de dados'!$A$5,IF(O1138&lt;20,1,IF(O1138&gt;1000,10,MATCH(O1138,Cargas,1))),Coluna_fih,1,1))*(PI()*(fi_h/1000)^2/4)*SQRT(2*9.81*(O1138/100-fi_h/2/1000))*1000))</f>
        <v>44.922044278976529</v>
      </c>
      <c r="Q1138" s="19">
        <f ca="1">IF(O1138="","",IF(Tipo_Vertedor="Retangular",IF(O1138&lt;=cota_s*100,0,IF(Tipo_Vertedor="Retangular",Cd_sr*Lef_sr*((O1138/100-cota_s)^(3/2))*1000)),IF(O1138&lt;=cota_s*100+fi_s/20,0,(OFFSET('Base de dados'!$A$4,IF(O1138&lt;20,1,IF(O1138&gt;1000,10,MATCH(O1138,Cargas,1))),Coluna_fis,1,1))*(PI()*(fi_s/1000)^2/4)*(2*9.81*(O1138/100-cota_s-fi_s/2/1000))^0.5*1000)))</f>
        <v>3687.236699213865</v>
      </c>
      <c r="R1138" s="19">
        <f t="shared" ca="1" si="173"/>
        <v>3732.1587434928415</v>
      </c>
      <c r="S1138" s="19">
        <f t="shared" ca="1" si="170"/>
        <v>6542.552800173743</v>
      </c>
    </row>
    <row r="1139" spans="13:19">
      <c r="M1139" s="81">
        <f t="shared" ca="1" si="169"/>
        <v>10287.370767228556</v>
      </c>
      <c r="N1139" s="19">
        <f t="shared" si="171"/>
        <v>196.4707262366417</v>
      </c>
      <c r="O1139" s="17">
        <f t="shared" si="172"/>
        <v>284.5</v>
      </c>
      <c r="P1139" s="19">
        <f ca="1">IF(ISERROR(IF(O1139&lt;fi_h/20,0,(OFFSET('Base de dados'!$A$5,IF(O1139&lt;20,1,IF(O1139&gt;1000,10,MATCH(O1139,Cargas,1))),Coluna_fih,1,1))*(1+0.13*0.25)*(PI()*(fi_h/1000)^2/4)*SQRT(2*9.81*(O1139/100-fi_h/2/1000))*1000)),"",IF(O1139&lt;fi_h/20,0,(OFFSET('Base de dados'!$A$5,IF(O1139&lt;20,1,IF(O1139&gt;1000,10,MATCH(O1139,Cargas,1))),Coluna_fih,1,1))*(PI()*(fi_h/1000)^2/4)*SQRT(2*9.81*(O1139/100-fi_h/2/1000))*1000))</f>
        <v>44.942194296711534</v>
      </c>
      <c r="Q1139" s="19">
        <f ca="1">IF(O1139="","",IF(Tipo_Vertedor="Retangular",IF(O1139&lt;=cota_s*100,0,IF(Tipo_Vertedor="Retangular",Cd_sr*Lef_sr*((O1139/100-cota_s)^(3/2))*1000)),IF(O1139&lt;=cota_s*100+fi_s/20,0,(OFFSET('Base de dados'!$A$4,IF(O1139&lt;20,1,IF(O1139&gt;1000,10,MATCH(O1139,Cargas,1))),Coluna_fis,1,1))*(PI()*(fi_s/1000)^2/4)*(2*9.81*(O1139/100-cota_s-fi_s/2/1000))^0.5*1000)))</f>
        <v>3693.4043650437875</v>
      </c>
      <c r="R1139" s="19">
        <f t="shared" ca="1" si="173"/>
        <v>3738.346559340499</v>
      </c>
      <c r="S1139" s="19">
        <f t="shared" ca="1" si="170"/>
        <v>6549.0242078880565</v>
      </c>
    </row>
    <row r="1140" spans="13:19">
      <c r="M1140" s="81">
        <f t="shared" ca="1" si="169"/>
        <v>10300.034125279428</v>
      </c>
      <c r="N1140" s="19">
        <f t="shared" si="171"/>
        <v>196.66488972157308</v>
      </c>
      <c r="O1140" s="17">
        <f t="shared" si="172"/>
        <v>284.75</v>
      </c>
      <c r="P1140" s="19">
        <f ca="1">IF(ISERROR(IF(O1140&lt;fi_h/20,0,(OFFSET('Base de dados'!$A$5,IF(O1140&lt;20,1,IF(O1140&gt;1000,10,MATCH(O1140,Cargas,1))),Coluna_fih,1,1))*(1+0.13*0.25)*(PI()*(fi_h/1000)^2/4)*SQRT(2*9.81*(O1140/100-fi_h/2/1000))*1000)),"",IF(O1140&lt;fi_h/20,0,(OFFSET('Base de dados'!$A$5,IF(O1140&lt;20,1,IF(O1140&gt;1000,10,MATCH(O1140,Cargas,1))),Coluna_fih,1,1))*(PI()*(fi_h/1000)^2/4)*SQRT(2*9.81*(O1140/100-fi_h/2/1000))*1000))</f>
        <v>44.962335284151045</v>
      </c>
      <c r="Q1140" s="19">
        <f ca="1">IF(O1140="","",IF(Tipo_Vertedor="Retangular",IF(O1140&lt;=cota_s*100,0,IF(Tipo_Vertedor="Retangular",Cd_sr*Lef_sr*((O1140/100-cota_s)^(3/2))*1000)),IF(O1140&lt;=cota_s*100+fi_s/20,0,(OFFSET('Base de dados'!$A$4,IF(O1140&lt;20,1,IF(O1140&gt;1000,10,MATCH(O1140,Cargas,1))),Coluna_fis,1,1))*(PI()*(fi_s/1000)^2/4)*(2*9.81*(O1140/100-cota_s-fi_s/2/1000))^0.5*1000)))</f>
        <v>3699.5754659428412</v>
      </c>
      <c r="R1140" s="19">
        <f t="shared" ca="1" si="173"/>
        <v>3744.5378012269921</v>
      </c>
      <c r="S1140" s="19">
        <f t="shared" ca="1" si="170"/>
        <v>6555.4963240524357</v>
      </c>
    </row>
    <row r="1141" spans="13:19">
      <c r="M1141" s="81">
        <f t="shared" ca="1" si="169"/>
        <v>10312.701615375769</v>
      </c>
      <c r="N1141" s="19">
        <f t="shared" si="171"/>
        <v>196.85907444367029</v>
      </c>
      <c r="O1141" s="17">
        <f t="shared" si="172"/>
        <v>285</v>
      </c>
      <c r="P1141" s="19">
        <f ca="1">IF(ISERROR(IF(O1141&lt;fi_h/20,0,(OFFSET('Base de dados'!$A$5,IF(O1141&lt;20,1,IF(O1141&gt;1000,10,MATCH(O1141,Cargas,1))),Coluna_fih,1,1))*(1+0.13*0.25)*(PI()*(fi_h/1000)^2/4)*SQRT(2*9.81*(O1141/100-fi_h/2/1000))*1000)),"",IF(O1141&lt;fi_h/20,0,(OFFSET('Base de dados'!$A$5,IF(O1141&lt;20,1,IF(O1141&gt;1000,10,MATCH(O1141,Cargas,1))),Coluna_fih,1,1))*(PI()*(fi_h/1000)^2/4)*SQRT(2*9.81*(O1141/100-fi_h/2/1000))*1000))</f>
        <v>44.98246725342505</v>
      </c>
      <c r="Q1141" s="19">
        <f ca="1">IF(O1141="","",IF(Tipo_Vertedor="Retangular",IF(O1141&lt;=cota_s*100,0,IF(Tipo_Vertedor="Retangular",Cd_sr*Lef_sr*((O1141/100-cota_s)^(3/2))*1000)),IF(O1141&lt;=cota_s*100+fi_s/20,0,(OFFSET('Base de dados'!$A$4,IF(O1141&lt;20,1,IF(O1141&gt;1000,10,MATCH(O1141,Cargas,1))),Coluna_fis,1,1))*(PI()*(fi_s/1000)^2/4)*(2*9.81*(O1141/100-cota_s-fi_s/2/1000))^0.5*1000)))</f>
        <v>3705.75</v>
      </c>
      <c r="R1141" s="19">
        <f t="shared" ca="1" si="173"/>
        <v>3750.7324672534251</v>
      </c>
      <c r="S1141" s="19">
        <f t="shared" ca="1" si="170"/>
        <v>6561.9691481223426</v>
      </c>
    </row>
    <row r="1142" spans="13:19">
      <c r="M1142" s="81">
        <f t="shared" ca="1" si="169"/>
        <v>10325.373235078196</v>
      </c>
      <c r="N1142" s="19">
        <f t="shared" si="171"/>
        <v>197.05328038662407</v>
      </c>
      <c r="O1142" s="17">
        <f t="shared" si="172"/>
        <v>285.25</v>
      </c>
      <c r="P1142" s="19">
        <f ca="1">IF(ISERROR(IF(O1142&lt;fi_h/20,0,(OFFSET('Base de dados'!$A$5,IF(O1142&lt;20,1,IF(O1142&gt;1000,10,MATCH(O1142,Cargas,1))),Coluna_fih,1,1))*(1+0.13*0.25)*(PI()*(fi_h/1000)^2/4)*SQRT(2*9.81*(O1142/100-fi_h/2/1000))*1000)),"",IF(O1142&lt;fi_h/20,0,(OFFSET('Base de dados'!$A$5,IF(O1142&lt;20,1,IF(O1142&gt;1000,10,MATCH(O1142,Cargas,1))),Coluna_fih,1,1))*(PI()*(fi_h/1000)^2/4)*SQRT(2*9.81*(O1142/100-fi_h/2/1000))*1000))</f>
        <v>45.00259021663642</v>
      </c>
      <c r="Q1142" s="19">
        <f ca="1">IF(O1142="","",IF(Tipo_Vertedor="Retangular",IF(O1142&lt;=cota_s*100,0,IF(Tipo_Vertedor="Retangular",Cd_sr*Lef_sr*((O1142/100-cota_s)^(3/2))*1000)),IF(O1142&lt;=cota_s*100+fi_s/20,0,(OFFSET('Base de dados'!$A$4,IF(O1142&lt;20,1,IF(O1142&gt;1000,10,MATCH(O1142,Cargas,1))),Coluna_fis,1,1))*(PI()*(fi_s/1000)^2/4)*(2*9.81*(O1142/100-cota_s-fi_s/2/1000))^0.5*1000)))</f>
        <v>3711.9279653074236</v>
      </c>
      <c r="R1142" s="19">
        <f t="shared" ca="1" si="173"/>
        <v>3756.9305555240599</v>
      </c>
      <c r="S1142" s="19">
        <f t="shared" ca="1" si="170"/>
        <v>6568.4426795541358</v>
      </c>
    </row>
    <row r="1143" spans="13:19">
      <c r="M1143" s="81">
        <f t="shared" ca="1" si="169"/>
        <v>10338.048981951373</v>
      </c>
      <c r="N1143" s="19">
        <f t="shared" si="171"/>
        <v>197.24750753415188</v>
      </c>
      <c r="O1143" s="17">
        <f t="shared" si="172"/>
        <v>285.5</v>
      </c>
      <c r="P1143" s="19">
        <f ca="1">IF(ISERROR(IF(O1143&lt;fi_h/20,0,(OFFSET('Base de dados'!$A$5,IF(O1143&lt;20,1,IF(O1143&gt;1000,10,MATCH(O1143,Cargas,1))),Coluna_fih,1,1))*(1+0.13*0.25)*(PI()*(fi_h/1000)^2/4)*SQRT(2*9.81*(O1143/100-fi_h/2/1000))*1000)),"",IF(O1143&lt;fi_h/20,0,(OFFSET('Base de dados'!$A$5,IF(O1143&lt;20,1,IF(O1143&gt;1000,10,MATCH(O1143,Cargas,1))),Coluna_fih,1,1))*(PI()*(fi_h/1000)^2/4)*SQRT(2*9.81*(O1143/100-fi_h/2/1000))*1000))</f>
        <v>45.022704185860967</v>
      </c>
      <c r="Q1143" s="19">
        <f ca="1">IF(O1143="","",IF(Tipo_Vertedor="Retangular",IF(O1143&lt;=cota_s*100,0,IF(Tipo_Vertedor="Retangular",Cd_sr*Lef_sr*((O1143/100-cota_s)^(3/2))*1000)),IF(O1143&lt;=cota_s*100+fi_s/20,0,(OFFSET('Base de dados'!$A$4,IF(O1143&lt;20,1,IF(O1143&gt;1000,10,MATCH(O1143,Cargas,1))),Coluna_fis,1,1))*(PI()*(fi_s/1000)^2/4)*(2*9.81*(O1143/100-cota_s-fi_s/2/1000))^0.5*1000)))</f>
        <v>3718.1093599604496</v>
      </c>
      <c r="R1143" s="19">
        <f t="shared" ca="1" si="173"/>
        <v>3763.1320641463108</v>
      </c>
      <c r="S1143" s="19">
        <f t="shared" ca="1" si="170"/>
        <v>6574.9169178050624</v>
      </c>
    </row>
    <row r="1144" spans="13:19">
      <c r="M1144" s="81">
        <f t="shared" ca="1" si="169"/>
        <v>10350.728853563996</v>
      </c>
      <c r="N1144" s="19">
        <f t="shared" si="171"/>
        <v>197.44175586999808</v>
      </c>
      <c r="O1144" s="17">
        <f t="shared" si="172"/>
        <v>285.75</v>
      </c>
      <c r="P1144" s="19">
        <f ca="1">IF(ISERROR(IF(O1144&lt;fi_h/20,0,(OFFSET('Base de dados'!$A$5,IF(O1144&lt;20,1,IF(O1144&gt;1000,10,MATCH(O1144,Cargas,1))),Coluna_fih,1,1))*(1+0.13*0.25)*(PI()*(fi_h/1000)^2/4)*SQRT(2*9.81*(O1144/100-fi_h/2/1000))*1000)),"",IF(O1144&lt;fi_h/20,0,(OFFSET('Base de dados'!$A$5,IF(O1144&lt;20,1,IF(O1144&gt;1000,10,MATCH(O1144,Cargas,1))),Coluna_fih,1,1))*(PI()*(fi_h/1000)^2/4)*SQRT(2*9.81*(O1144/100-fi_h/2/1000))*1000))</f>
        <v>45.042809173147553</v>
      </c>
      <c r="Q1144" s="19">
        <f ca="1">IF(O1144="","",IF(Tipo_Vertedor="Retangular",IF(O1144&lt;=cota_s*100,0,IF(Tipo_Vertedor="Retangular",Cd_sr*Lef_sr*((O1144/100-cota_s)^(3/2))*1000)),IF(O1144&lt;=cota_s*100+fi_s/20,0,(OFFSET('Base de dados'!$A$4,IF(O1144&lt;20,1,IF(O1144&gt;1000,10,MATCH(O1144,Cargas,1))),Coluna_fis,1,1))*(PI()*(fi_s/1000)^2/4)*(2*9.81*(O1144/100-cota_s-fi_s/2/1000))^0.5*1000)))</f>
        <v>3724.2941820575802</v>
      </c>
      <c r="R1144" s="19">
        <f t="shared" ca="1" si="173"/>
        <v>3769.3369912307276</v>
      </c>
      <c r="S1144" s="19">
        <f t="shared" ca="1" si="170"/>
        <v>6581.3918623332693</v>
      </c>
    </row>
    <row r="1145" spans="13:19">
      <c r="M1145" s="81">
        <f t="shared" ca="1" si="169"/>
        <v>10363.412847488786</v>
      </c>
      <c r="N1145" s="19">
        <f t="shared" si="171"/>
        <v>197.63602537793363</v>
      </c>
      <c r="O1145" s="17">
        <f t="shared" si="172"/>
        <v>286</v>
      </c>
      <c r="P1145" s="19">
        <f ca="1">IF(ISERROR(IF(O1145&lt;fi_h/20,0,(OFFSET('Base de dados'!$A$5,IF(O1145&lt;20,1,IF(O1145&gt;1000,10,MATCH(O1145,Cargas,1))),Coluna_fih,1,1))*(1+0.13*0.25)*(PI()*(fi_h/1000)^2/4)*SQRT(2*9.81*(O1145/100-fi_h/2/1000))*1000)),"",IF(O1145&lt;fi_h/20,0,(OFFSET('Base de dados'!$A$5,IF(O1145&lt;20,1,IF(O1145&gt;1000,10,MATCH(O1145,Cargas,1))),Coluna_fih,1,1))*(PI()*(fi_h/1000)^2/4)*SQRT(2*9.81*(O1145/100-fi_h/2/1000))*1000))</f>
        <v>45.062905190518165</v>
      </c>
      <c r="Q1145" s="19">
        <f ca="1">IF(O1145="","",IF(Tipo_Vertedor="Retangular",IF(O1145&lt;=cota_s*100,0,IF(Tipo_Vertedor="Retangular",Cd_sr*Lef_sr*((O1145/100-cota_s)^(3/2))*1000)),IF(O1145&lt;=cota_s*100+fi_s/20,0,(OFFSET('Base de dados'!$A$4,IF(O1145&lt;20,1,IF(O1145&gt;1000,10,MATCH(O1145,Cargas,1))),Coluna_fis,1,1))*(PI()*(fi_s/1000)^2/4)*(2*9.81*(O1145/100-cota_s-fi_s/2/1000))^0.5*1000)))</f>
        <v>3730.4824297004798</v>
      </c>
      <c r="R1145" s="19">
        <f t="shared" ca="1" si="173"/>
        <v>3775.5453348909978</v>
      </c>
      <c r="S1145" s="19">
        <f t="shared" ca="1" si="170"/>
        <v>6587.8675125977879</v>
      </c>
    </row>
    <row r="1146" spans="13:19">
      <c r="M1146" s="81">
        <f t="shared" ca="1" si="169"/>
        <v>10376.100961302465</v>
      </c>
      <c r="N1146" s="19">
        <f t="shared" si="171"/>
        <v>197.83031604175599</v>
      </c>
      <c r="O1146" s="17">
        <f t="shared" si="172"/>
        <v>286.25</v>
      </c>
      <c r="P1146" s="19">
        <f ca="1">IF(ISERROR(IF(O1146&lt;fi_h/20,0,(OFFSET('Base de dados'!$A$5,IF(O1146&lt;20,1,IF(O1146&gt;1000,10,MATCH(O1146,Cargas,1))),Coluna_fih,1,1))*(1+0.13*0.25)*(PI()*(fi_h/1000)^2/4)*SQRT(2*9.81*(O1146/100-fi_h/2/1000))*1000)),"",IF(O1146&lt;fi_h/20,0,(OFFSET('Base de dados'!$A$5,IF(O1146&lt;20,1,IF(O1146&gt;1000,10,MATCH(O1146,Cargas,1))),Coluna_fih,1,1))*(PI()*(fi_h/1000)^2/4)*SQRT(2*9.81*(O1146/100-fi_h/2/1000))*1000))</f>
        <v>45.082992249967965</v>
      </c>
      <c r="Q1146" s="19">
        <f ca="1">IF(O1146="","",IF(Tipo_Vertedor="Retangular",IF(O1146&lt;=cota_s*100,0,IF(Tipo_Vertedor="Retangular",Cd_sr*Lef_sr*((O1146/100-cota_s)^(3/2))*1000)),IF(O1146&lt;=cota_s*100+fi_s/20,0,(OFFSET('Base de dados'!$A$4,IF(O1146&lt;20,1,IF(O1146&gt;1000,10,MATCH(O1146,Cargas,1))),Coluna_fis,1,1))*(PI()*(fi_s/1000)^2/4)*(2*9.81*(O1146/100-cota_s-fi_s/2/1000))^0.5*1000)))</f>
        <v>3736.6741009939651</v>
      </c>
      <c r="R1146" s="19">
        <f t="shared" ca="1" si="173"/>
        <v>3781.757093243933</v>
      </c>
      <c r="S1146" s="19">
        <f t="shared" ca="1" si="170"/>
        <v>6594.3438680585332</v>
      </c>
    </row>
    <row r="1147" spans="13:19">
      <c r="M1147" s="81">
        <f t="shared" ca="1" si="169"/>
        <v>10388.79319258577</v>
      </c>
      <c r="N1147" s="19">
        <f t="shared" si="171"/>
        <v>198.0246278452893</v>
      </c>
      <c r="O1147" s="17">
        <f t="shared" si="172"/>
        <v>286.5</v>
      </c>
      <c r="P1147" s="19">
        <f ca="1">IF(ISERROR(IF(O1147&lt;fi_h/20,0,(OFFSET('Base de dados'!$A$5,IF(O1147&lt;20,1,IF(O1147&gt;1000,10,MATCH(O1147,Cargas,1))),Coluna_fih,1,1))*(1+0.13*0.25)*(PI()*(fi_h/1000)^2/4)*SQRT(2*9.81*(O1147/100-fi_h/2/1000))*1000)),"",IF(O1147&lt;fi_h/20,0,(OFFSET('Base de dados'!$A$5,IF(O1147&lt;20,1,IF(O1147&gt;1000,10,MATCH(O1147,Cargas,1))),Coluna_fih,1,1))*(PI()*(fi_h/1000)^2/4)*SQRT(2*9.81*(O1147/100-fi_h/2/1000))*1000))</f>
        <v>45.103070363465449</v>
      </c>
      <c r="Q1147" s="19">
        <f ca="1">IF(O1147="","",IF(Tipo_Vertedor="Retangular",IF(O1147&lt;=cota_s*100,0,IF(Tipo_Vertedor="Retangular",Cd_sr*Lef_sr*((O1147/100-cota_s)^(3/2))*1000)),IF(O1147&lt;=cota_s*100+fi_s/20,0,(OFFSET('Base de dados'!$A$4,IF(O1147&lt;20,1,IF(O1147&gt;1000,10,MATCH(O1147,Cargas,1))),Coluna_fis,1,1))*(PI()*(fi_s/1000)^2/4)*(2*9.81*(O1147/100-cota_s-fi_s/2/1000))^0.5*1000)))</f>
        <v>3742.8691940459939</v>
      </c>
      <c r="R1147" s="19">
        <f t="shared" ca="1" si="173"/>
        <v>3787.9722644094595</v>
      </c>
      <c r="S1147" s="19">
        <f t="shared" ca="1" si="170"/>
        <v>6600.8209281763102</v>
      </c>
    </row>
    <row r="1148" spans="13:19">
      <c r="M1148" s="81">
        <f t="shared" ca="1" si="169"/>
        <v>10401.48953892341</v>
      </c>
      <c r="N1148" s="19">
        <f t="shared" si="171"/>
        <v>198.21896077238412</v>
      </c>
      <c r="O1148" s="17">
        <f t="shared" si="172"/>
        <v>286.75</v>
      </c>
      <c r="P1148" s="19">
        <f ca="1">IF(ISERROR(IF(O1148&lt;fi_h/20,0,(OFFSET('Base de dados'!$A$5,IF(O1148&lt;20,1,IF(O1148&gt;1000,10,MATCH(O1148,Cargas,1))),Coluna_fih,1,1))*(1+0.13*0.25)*(PI()*(fi_h/1000)^2/4)*SQRT(2*9.81*(O1148/100-fi_h/2/1000))*1000)),"",IF(O1148&lt;fi_h/20,0,(OFFSET('Base de dados'!$A$5,IF(O1148&lt;20,1,IF(O1148&gt;1000,10,MATCH(O1148,Cargas,1))),Coluna_fih,1,1))*(PI()*(fi_h/1000)^2/4)*SQRT(2*9.81*(O1148/100-fi_h/2/1000))*1000))</f>
        <v>45.12313954295243</v>
      </c>
      <c r="Q1148" s="19">
        <f ca="1">IF(O1148="","",IF(Tipo_Vertedor="Retangular",IF(O1148&lt;=cota_s*100,0,IF(Tipo_Vertedor="Retangular",Cd_sr*Lef_sr*((O1148/100-cota_s)^(3/2))*1000)),IF(O1148&lt;=cota_s*100+fi_s/20,0,(OFFSET('Base de dados'!$A$4,IF(O1148&lt;20,1,IF(O1148&gt;1000,10,MATCH(O1148,Cargas,1))),Coluna_fis,1,1))*(PI()*(fi_s/1000)^2/4)*(2*9.81*(O1148/100-cota_s-fi_s/2/1000))^0.5*1000)))</f>
        <v>3749.0677069676526</v>
      </c>
      <c r="R1148" s="19">
        <f t="shared" ca="1" si="173"/>
        <v>3794.1908465106048</v>
      </c>
      <c r="S1148" s="19">
        <f t="shared" ca="1" si="170"/>
        <v>6607.2986924128045</v>
      </c>
    </row>
    <row r="1149" spans="13:19">
      <c r="M1149" s="81">
        <f t="shared" ca="1" si="169"/>
        <v>10414.189997904083</v>
      </c>
      <c r="N1149" s="19">
        <f t="shared" si="171"/>
        <v>198.41331480691738</v>
      </c>
      <c r="O1149" s="17">
        <f t="shared" si="172"/>
        <v>287</v>
      </c>
      <c r="P1149" s="19">
        <f ca="1">IF(ISERROR(IF(O1149&lt;fi_h/20,0,(OFFSET('Base de dados'!$A$5,IF(O1149&lt;20,1,IF(O1149&gt;1000,10,MATCH(O1149,Cargas,1))),Coluna_fih,1,1))*(1+0.13*0.25)*(PI()*(fi_h/1000)^2/4)*SQRT(2*9.81*(O1149/100-fi_h/2/1000))*1000)),"",IF(O1149&lt;fi_h/20,0,(OFFSET('Base de dados'!$A$5,IF(O1149&lt;20,1,IF(O1149&gt;1000,10,MATCH(O1149,Cargas,1))),Coluna_fih,1,1))*(PI()*(fi_h/1000)^2/4)*SQRT(2*9.81*(O1149/100-fi_h/2/1000))*1000))</f>
        <v>45.143199800344249</v>
      </c>
      <c r="Q1149" s="19">
        <f ca="1">IF(O1149="","",IF(Tipo_Vertedor="Retangular",IF(O1149&lt;=cota_s*100,0,IF(Tipo_Vertedor="Retangular",Cd_sr*Lef_sr*((O1149/100-cota_s)^(3/2))*1000)),IF(O1149&lt;=cota_s*100+fi_s/20,0,(OFFSET('Base de dados'!$A$4,IF(O1149&lt;20,1,IF(O1149&gt;1000,10,MATCH(O1149,Cargas,1))),Coluna_fis,1,1))*(PI()*(fi_s/1000)^2/4)*(2*9.81*(O1149/100-cota_s-fi_s/2/1000))^0.5*1000)))</f>
        <v>3755.2696378731594</v>
      </c>
      <c r="R1149" s="19">
        <f t="shared" ca="1" si="173"/>
        <v>3800.4128376735034</v>
      </c>
      <c r="S1149" s="19">
        <f t="shared" ca="1" si="170"/>
        <v>6613.7771602305793</v>
      </c>
    </row>
    <row r="1150" spans="13:19">
      <c r="M1150" s="81">
        <f t="shared" ca="1" si="169"/>
        <v>10426.894567120455</v>
      </c>
      <c r="N1150" s="19">
        <f t="shared" si="171"/>
        <v>198.60768993279245</v>
      </c>
      <c r="O1150" s="17">
        <f t="shared" si="172"/>
        <v>287.25</v>
      </c>
      <c r="P1150" s="19">
        <f ca="1">IF(ISERROR(IF(O1150&lt;fi_h/20,0,(OFFSET('Base de dados'!$A$5,IF(O1150&lt;20,1,IF(O1150&gt;1000,10,MATCH(O1150,Cargas,1))),Coluna_fih,1,1))*(1+0.13*0.25)*(PI()*(fi_h/1000)^2/4)*SQRT(2*9.81*(O1150/100-fi_h/2/1000))*1000)),"",IF(O1150&lt;fi_h/20,0,(OFFSET('Base de dados'!$A$5,IF(O1150&lt;20,1,IF(O1150&gt;1000,10,MATCH(O1150,Cargas,1))),Coluna_fih,1,1))*(PI()*(fi_h/1000)^2/4)*SQRT(2*9.81*(O1150/100-fi_h/2/1000))*1000))</f>
        <v>45.163251147529714</v>
      </c>
      <c r="Q1150" s="19">
        <f ca="1">IF(O1150="","",IF(Tipo_Vertedor="Retangular",IF(O1150&lt;=cota_s*100,0,IF(Tipo_Vertedor="Retangular",Cd_sr*Lef_sr*((O1150/100-cota_s)^(3/2))*1000)),IF(O1150&lt;=cota_s*100+fi_s/20,0,(OFFSET('Base de dados'!$A$4,IF(O1150&lt;20,1,IF(O1150&gt;1000,10,MATCH(O1150,Cargas,1))),Coluna_fis,1,1))*(PI()*(fi_s/1000)^2/4)*(2*9.81*(O1150/100-cota_s-fi_s/2/1000))^0.5*1000)))</f>
        <v>3761.4749848798429</v>
      </c>
      <c r="R1150" s="19">
        <f t="shared" ca="1" si="173"/>
        <v>3806.6382360273724</v>
      </c>
      <c r="S1150" s="19">
        <f t="shared" ca="1" si="170"/>
        <v>6620.2563310930818</v>
      </c>
    </row>
    <row r="1151" spans="13:19">
      <c r="M1151" s="81">
        <f t="shared" ca="1" si="169"/>
        <v>10439.603244169144</v>
      </c>
      <c r="N1151" s="19">
        <f t="shared" si="171"/>
        <v>198.80208613393887</v>
      </c>
      <c r="O1151" s="17">
        <f t="shared" si="172"/>
        <v>287.5</v>
      </c>
      <c r="P1151" s="19">
        <f ca="1">IF(ISERROR(IF(O1151&lt;fi_h/20,0,(OFFSET('Base de dados'!$A$5,IF(O1151&lt;20,1,IF(O1151&gt;1000,10,MATCH(O1151,Cargas,1))),Coluna_fih,1,1))*(1+0.13*0.25)*(PI()*(fi_h/1000)^2/4)*SQRT(2*9.81*(O1151/100-fi_h/2/1000))*1000)),"",IF(O1151&lt;fi_h/20,0,(OFFSET('Base de dados'!$A$5,IF(O1151&lt;20,1,IF(O1151&gt;1000,10,MATCH(O1151,Cargas,1))),Coluna_fih,1,1))*(PI()*(fi_h/1000)^2/4)*SQRT(2*9.81*(O1151/100-fi_h/2/1000))*1000))</f>
        <v>45.183293596371293</v>
      </c>
      <c r="Q1151" s="19">
        <f ca="1">IF(O1151="","",IF(Tipo_Vertedor="Retangular",IF(O1151&lt;=cota_s*100,0,IF(Tipo_Vertedor="Retangular",Cd_sr*Lef_sr*((O1151/100-cota_s)^(3/2))*1000)),IF(O1151&lt;=cota_s*100+fi_s/20,0,(OFFSET('Base de dados'!$A$4,IF(O1151&lt;20,1,IF(O1151&gt;1000,10,MATCH(O1151,Cargas,1))),Coluna_fis,1,1))*(PI()*(fi_s/1000)^2/4)*(2*9.81*(O1151/100-cota_s-fi_s/2/1000))^0.5*1000)))</f>
        <v>3767.6837461081441</v>
      </c>
      <c r="R1151" s="19">
        <f t="shared" ca="1" si="173"/>
        <v>3812.8670397045153</v>
      </c>
      <c r="S1151" s="19">
        <f t="shared" ca="1" si="170"/>
        <v>6626.7362044646288</v>
      </c>
    </row>
    <row r="1152" spans="13:19">
      <c r="M1152" s="81">
        <f t="shared" ca="1" si="169"/>
        <v>10452.316026650724</v>
      </c>
      <c r="N1152" s="19">
        <f t="shared" si="171"/>
        <v>198.99650339431253</v>
      </c>
      <c r="O1152" s="17">
        <f t="shared" si="172"/>
        <v>287.75</v>
      </c>
      <c r="P1152" s="19">
        <f ca="1">IF(ISERROR(IF(O1152&lt;fi_h/20,0,(OFFSET('Base de dados'!$A$5,IF(O1152&lt;20,1,IF(O1152&gt;1000,10,MATCH(O1152,Cargas,1))),Coluna_fih,1,1))*(1+0.13*0.25)*(PI()*(fi_h/1000)^2/4)*SQRT(2*9.81*(O1152/100-fi_h/2/1000))*1000)),"",IF(O1152&lt;fi_h/20,0,(OFFSET('Base de dados'!$A$5,IF(O1152&lt;20,1,IF(O1152&gt;1000,10,MATCH(O1152,Cargas,1))),Coluna_fih,1,1))*(PI()*(fi_h/1000)^2/4)*SQRT(2*9.81*(O1152/100-fi_h/2/1000))*1000))</f>
        <v>45.203327158705143</v>
      </c>
      <c r="Q1152" s="19">
        <f ca="1">IF(O1152="","",IF(Tipo_Vertedor="Retangular",IF(O1152&lt;=cota_s*100,0,IF(Tipo_Vertedor="Retangular",Cd_sr*Lef_sr*((O1152/100-cota_s)^(3/2))*1000)),IF(O1152&lt;=cota_s*100+fi_s/20,0,(OFFSET('Base de dados'!$A$4,IF(O1152&lt;20,1,IF(O1152&gt;1000,10,MATCH(O1152,Cargas,1))),Coluna_fis,1,1))*(PI()*(fi_s/1000)^2/4)*(2*9.81*(O1152/100-cota_s-fi_s/2/1000))^0.5*1000)))</f>
        <v>3773.8959196816008</v>
      </c>
      <c r="R1152" s="19">
        <f t="shared" ca="1" si="173"/>
        <v>3819.099246840306</v>
      </c>
      <c r="S1152" s="19">
        <f t="shared" ca="1" si="170"/>
        <v>6633.2167798104174</v>
      </c>
    </row>
    <row r="1153" spans="13:19">
      <c r="M1153" s="81">
        <f t="shared" ca="1" si="169"/>
        <v>10465.03291216969</v>
      </c>
      <c r="N1153" s="19">
        <f t="shared" si="171"/>
        <v>199.1909416978952</v>
      </c>
      <c r="O1153" s="17">
        <f t="shared" si="172"/>
        <v>288</v>
      </c>
      <c r="P1153" s="19">
        <f ca="1">IF(ISERROR(IF(O1153&lt;fi_h/20,0,(OFFSET('Base de dados'!$A$5,IF(O1153&lt;20,1,IF(O1153&gt;1000,10,MATCH(O1153,Cargas,1))),Coluna_fih,1,1))*(1+0.13*0.25)*(PI()*(fi_h/1000)^2/4)*SQRT(2*9.81*(O1153/100-fi_h/2/1000))*1000)),"",IF(O1153&lt;fi_h/20,0,(OFFSET('Base de dados'!$A$5,IF(O1153&lt;20,1,IF(O1153&gt;1000,10,MATCH(O1153,Cargas,1))),Coluna_fih,1,1))*(PI()*(fi_h/1000)^2/4)*SQRT(2*9.81*(O1153/100-fi_h/2/1000))*1000))</f>
        <v>45.22335184634121</v>
      </c>
      <c r="Q1153" s="19">
        <f ca="1">IF(O1153="","",IF(Tipo_Vertedor="Retangular",IF(O1153&lt;=cota_s*100,0,IF(Tipo_Vertedor="Retangular",Cd_sr*Lef_sr*((O1153/100-cota_s)^(3/2))*1000)),IF(O1153&lt;=cota_s*100+fi_s/20,0,(OFFSET('Base de dados'!$A$4,IF(O1153&lt;20,1,IF(O1153&gt;1000,10,MATCH(O1153,Cargas,1))),Coluna_fis,1,1))*(PI()*(fi_s/1000)^2/4)*(2*9.81*(O1153/100-cota_s-fi_s/2/1000))^0.5*1000)))</f>
        <v>3780.1115037268419</v>
      </c>
      <c r="R1153" s="19">
        <f t="shared" ca="1" si="173"/>
        <v>3825.3348555731832</v>
      </c>
      <c r="S1153" s="19">
        <f t="shared" ca="1" si="170"/>
        <v>6639.6980565965068</v>
      </c>
    </row>
    <row r="1154" spans="13:19">
      <c r="M1154" s="81">
        <f t="shared" ca="1" si="169"/>
        <v>10477.753898334473</v>
      </c>
      <c r="N1154" s="19">
        <f t="shared" si="171"/>
        <v>199.38540102869507</v>
      </c>
      <c r="O1154" s="17">
        <f t="shared" si="172"/>
        <v>288.25</v>
      </c>
      <c r="P1154" s="19">
        <f ca="1">IF(ISERROR(IF(O1154&lt;fi_h/20,0,(OFFSET('Base de dados'!$A$5,IF(O1154&lt;20,1,IF(O1154&gt;1000,10,MATCH(O1154,Cargas,1))),Coluna_fih,1,1))*(1+0.13*0.25)*(PI()*(fi_h/1000)^2/4)*SQRT(2*9.81*(O1154/100-fi_h/2/1000))*1000)),"",IF(O1154&lt;fi_h/20,0,(OFFSET('Base de dados'!$A$5,IF(O1154&lt;20,1,IF(O1154&gt;1000,10,MATCH(O1154,Cargas,1))),Coluna_fih,1,1))*(PI()*(fi_h/1000)^2/4)*SQRT(2*9.81*(O1154/100-fi_h/2/1000))*1000))</f>
        <v>45.243367671063297</v>
      </c>
      <c r="Q1154" s="19">
        <f ca="1">IF(O1154="","",IF(Tipo_Vertedor="Retangular",IF(O1154&lt;=cota_s*100,0,IF(Tipo_Vertedor="Retangular",Cd_sr*Lef_sr*((O1154/100-cota_s)^(3/2))*1000)),IF(O1154&lt;=cota_s*100+fi_s/20,0,(OFFSET('Base de dados'!$A$4,IF(O1154&lt;20,1,IF(O1154&gt;1000,10,MATCH(O1154,Cargas,1))),Coluna_fis,1,1))*(PI()*(fi_s/1000)^2/4)*(2*9.81*(O1154/100-cota_s-fi_s/2/1000))^0.5*1000)))</f>
        <v>3786.3304963735741</v>
      </c>
      <c r="R1154" s="19">
        <f t="shared" ca="1" si="173"/>
        <v>3831.5738640446375</v>
      </c>
      <c r="S1154" s="19">
        <f t="shared" ca="1" si="170"/>
        <v>6646.1800342898359</v>
      </c>
    </row>
    <row r="1155" spans="13:19">
      <c r="M1155" s="81">
        <f t="shared" ca="1" si="169"/>
        <v>10490.478982757417</v>
      </c>
      <c r="N1155" s="19">
        <f t="shared" si="171"/>
        <v>199.57988137074605</v>
      </c>
      <c r="O1155" s="17">
        <f t="shared" si="172"/>
        <v>288.5</v>
      </c>
      <c r="P1155" s="19">
        <f ca="1">IF(ISERROR(IF(O1155&lt;fi_h/20,0,(OFFSET('Base de dados'!$A$5,IF(O1155&lt;20,1,IF(O1155&gt;1000,10,MATCH(O1155,Cargas,1))),Coluna_fih,1,1))*(1+0.13*0.25)*(PI()*(fi_h/1000)^2/4)*SQRT(2*9.81*(O1155/100-fi_h/2/1000))*1000)),"",IF(O1155&lt;fi_h/20,0,(OFFSET('Base de dados'!$A$5,IF(O1155&lt;20,1,IF(O1155&gt;1000,10,MATCH(O1155,Cargas,1))),Coluna_fih,1,1))*(PI()*(fi_h/1000)^2/4)*SQRT(2*9.81*(O1155/100-fi_h/2/1000))*1000))</f>
        <v>45.263374644629167</v>
      </c>
      <c r="Q1155" s="19">
        <f ca="1">IF(O1155="","",IF(Tipo_Vertedor="Retangular",IF(O1155&lt;=cota_s*100,0,IF(Tipo_Vertedor="Retangular",Cd_sr*Lef_sr*((O1155/100-cota_s)^(3/2))*1000)),IF(O1155&lt;=cota_s*100+fi_s/20,0,(OFFSET('Base de dados'!$A$4,IF(O1155&lt;20,1,IF(O1155&gt;1000,10,MATCH(O1155,Cargas,1))),Coluna_fis,1,1))*(PI()*(fi_s/1000)^2/4)*(2*9.81*(O1155/100-cota_s-fi_s/2/1000))^0.5*1000)))</f>
        <v>3792.5528957545866</v>
      </c>
      <c r="R1155" s="19">
        <f t="shared" ca="1" si="173"/>
        <v>3837.8162703992157</v>
      </c>
      <c r="S1155" s="19">
        <f t="shared" ca="1" si="170"/>
        <v>6652.662712358202</v>
      </c>
    </row>
    <row r="1156" spans="13:19">
      <c r="M1156" s="81">
        <f t="shared" ca="1" si="169"/>
        <v>10503.208163054773</v>
      </c>
      <c r="N1156" s="19">
        <f t="shared" si="171"/>
        <v>199.77438270810825</v>
      </c>
      <c r="O1156" s="17">
        <f t="shared" si="172"/>
        <v>288.75</v>
      </c>
      <c r="P1156" s="19">
        <f ca="1">IF(ISERROR(IF(O1156&lt;fi_h/20,0,(OFFSET('Base de dados'!$A$5,IF(O1156&lt;20,1,IF(O1156&gt;1000,10,MATCH(O1156,Cargas,1))),Coluna_fih,1,1))*(1+0.13*0.25)*(PI()*(fi_h/1000)^2/4)*SQRT(2*9.81*(O1156/100-fi_h/2/1000))*1000)),"",IF(O1156&lt;fi_h/20,0,(OFFSET('Base de dados'!$A$5,IF(O1156&lt;20,1,IF(O1156&gt;1000,10,MATCH(O1156,Cargas,1))),Coluna_fih,1,1))*(PI()*(fi_h/1000)^2/4)*SQRT(2*9.81*(O1156/100-fi_h/2/1000))*1000))</f>
        <v>45.283372778770591</v>
      </c>
      <c r="Q1156" s="19">
        <f ca="1">IF(O1156="","",IF(Tipo_Vertedor="Retangular",IF(O1156&lt;=cota_s*100,0,IF(Tipo_Vertedor="Retangular",Cd_sr*Lef_sr*((O1156/100-cota_s)^(3/2))*1000)),IF(O1156&lt;=cota_s*100+fi_s/20,0,(OFFSET('Base de dados'!$A$4,IF(O1156&lt;20,1,IF(O1156&gt;1000,10,MATCH(O1156,Cargas,1))),Coluna_fis,1,1))*(PI()*(fi_s/1000)^2/4)*(2*9.81*(O1156/100-cota_s-fi_s/2/1000))^0.5*1000)))</f>
        <v>3798.7787000057265</v>
      </c>
      <c r="R1156" s="19">
        <f t="shared" ca="1" si="173"/>
        <v>3844.0620727844971</v>
      </c>
      <c r="S1156" s="19">
        <f t="shared" ca="1" si="170"/>
        <v>6659.1460902702756</v>
      </c>
    </row>
    <row r="1157" spans="13:19">
      <c r="M1157" s="81">
        <f t="shared" ref="M1157:M1174" ca="1" si="174">IF(O1157="","",2*N1157*1000/(Passo*60)+R1157)</f>
        <v>10515.941436846668</v>
      </c>
      <c r="N1157" s="19">
        <f t="shared" si="171"/>
        <v>199.96890502486735</v>
      </c>
      <c r="O1157" s="17">
        <f t="shared" si="172"/>
        <v>289</v>
      </c>
      <c r="P1157" s="19">
        <f ca="1">IF(ISERROR(IF(O1157&lt;fi_h/20,0,(OFFSET('Base de dados'!$A$5,IF(O1157&lt;20,1,IF(O1157&gt;1000,10,MATCH(O1157,Cargas,1))),Coluna_fih,1,1))*(1+0.13*0.25)*(PI()*(fi_h/1000)^2/4)*SQRT(2*9.81*(O1157/100-fi_h/2/1000))*1000)),"",IF(O1157&lt;fi_h/20,0,(OFFSET('Base de dados'!$A$5,IF(O1157&lt;20,1,IF(O1157&gt;1000,10,MATCH(O1157,Cargas,1))),Coluna_fih,1,1))*(PI()*(fi_h/1000)^2/4)*SQRT(2*9.81*(O1157/100-fi_h/2/1000))*1000))</f>
        <v>45.303362085193456</v>
      </c>
      <c r="Q1157" s="19">
        <f ca="1">IF(O1157="","",IF(Tipo_Vertedor="Retangular",IF(O1157&lt;=cota_s*100,0,IF(Tipo_Vertedor="Retangular",Cd_sr*Lef_sr*((O1157/100-cota_s)^(3/2))*1000)),IF(O1157&lt;=cota_s*100+fi_s/20,0,(OFFSET('Base de dados'!$A$4,IF(O1157&lt;20,1,IF(O1157&gt;1000,10,MATCH(O1157,Cargas,1))),Coluna_fis,1,1))*(PI()*(fi_s/1000)^2/4)*(2*9.81*(O1157/100-cota_s-fi_s/2/1000))^0.5*1000)))</f>
        <v>3805.0079072658968</v>
      </c>
      <c r="R1157" s="19">
        <f t="shared" ca="1" si="173"/>
        <v>3850.3112693510902</v>
      </c>
      <c r="S1157" s="19">
        <f t="shared" ref="S1157:S1174" ca="1" si="175">IF(M1157="","",2*N1157*1000/(Passo*60))</f>
        <v>6665.6301674955785</v>
      </c>
    </row>
    <row r="1158" spans="13:19">
      <c r="M1158" s="81">
        <f t="shared" ca="1" si="174"/>
        <v>10528.67880175714</v>
      </c>
      <c r="N1158" s="19">
        <f t="shared" ref="N1158:N1174" si="176">IF(O1158="","",b_0*(O1158/100)^c_0)</f>
        <v>200.16344830513515</v>
      </c>
      <c r="O1158" s="17">
        <f t="shared" si="172"/>
        <v>289.25</v>
      </c>
      <c r="P1158" s="19">
        <f ca="1">IF(ISERROR(IF(O1158&lt;fi_h/20,0,(OFFSET('Base de dados'!$A$5,IF(O1158&lt;20,1,IF(O1158&gt;1000,10,MATCH(O1158,Cargas,1))),Coluna_fih,1,1))*(1+0.13*0.25)*(PI()*(fi_h/1000)^2/4)*SQRT(2*9.81*(O1158/100-fi_h/2/1000))*1000)),"",IF(O1158&lt;fi_h/20,0,(OFFSET('Base de dados'!$A$5,IF(O1158&lt;20,1,IF(O1158&gt;1000,10,MATCH(O1158,Cargas,1))),Coluna_fih,1,1))*(PI()*(fi_h/1000)^2/4)*SQRT(2*9.81*(O1158/100-fi_h/2/1000))*1000))</f>
        <v>45.323342575577847</v>
      </c>
      <c r="Q1158" s="19">
        <f ca="1">IF(O1158="","",IF(Tipo_Vertedor="Retangular",IF(O1158&lt;=cota_s*100,0,IF(Tipo_Vertedor="Retangular",Cd_sr*Lef_sr*((O1158/100-cota_s)^(3/2))*1000)),IF(O1158&lt;=cota_s*100+fi_s/20,0,(OFFSET('Base de dados'!$A$4,IF(O1158&lt;20,1,IF(O1158&gt;1000,10,MATCH(O1158,Cargas,1))),Coluna_fis,1,1))*(PI()*(fi_s/1000)^2/4)*(2*9.81*(O1158/100-cota_s-fi_s/2/1000))^0.5*1000)))</f>
        <v>3811.240515677056</v>
      </c>
      <c r="R1158" s="19">
        <f t="shared" ca="1" si="173"/>
        <v>3856.563858252634</v>
      </c>
      <c r="S1158" s="19">
        <f t="shared" ca="1" si="175"/>
        <v>6672.1149435045054</v>
      </c>
    </row>
    <row r="1159" spans="13:19">
      <c r="M1159" s="81">
        <f t="shared" ca="1" si="174"/>
        <v>10541.420255414079</v>
      </c>
      <c r="N1159" s="19">
        <f t="shared" si="176"/>
        <v>200.35801253304913</v>
      </c>
      <c r="O1159" s="17">
        <f t="shared" si="172"/>
        <v>289.5</v>
      </c>
      <c r="P1159" s="19">
        <f ca="1">IF(ISERROR(IF(O1159&lt;fi_h/20,0,(OFFSET('Base de dados'!$A$5,IF(O1159&lt;20,1,IF(O1159&gt;1000,10,MATCH(O1159,Cargas,1))),Coluna_fih,1,1))*(1+0.13*0.25)*(PI()*(fi_h/1000)^2/4)*SQRT(2*9.81*(O1159/100-fi_h/2/1000))*1000)),"",IF(O1159&lt;fi_h/20,0,(OFFSET('Base de dados'!$A$5,IF(O1159&lt;20,1,IF(O1159&gt;1000,10,MATCH(O1159,Cargas,1))),Coluna_fih,1,1))*(PI()*(fi_h/1000)^2/4)*SQRT(2*9.81*(O1159/100-fi_h/2/1000))*1000))</f>
        <v>45.34331426157808</v>
      </c>
      <c r="Q1159" s="19">
        <f ca="1">IF(O1159="","",IF(Tipo_Vertedor="Retangular",IF(O1159&lt;=cota_s*100,0,IF(Tipo_Vertedor="Retangular",Cd_sr*Lef_sr*((O1159/100-cota_s)^(3/2))*1000)),IF(O1159&lt;=cota_s*100+fi_s/20,0,(OFFSET('Base de dados'!$A$4,IF(O1159&lt;20,1,IF(O1159&gt;1000,10,MATCH(O1159,Cargas,1))),Coluna_fis,1,1))*(PI()*(fi_s/1000)^2/4)*(2*9.81*(O1159/100-cota_s-fi_s/2/1000))^0.5*1000)))</f>
        <v>3817.4765233841972</v>
      </c>
      <c r="R1159" s="19">
        <f t="shared" ca="1" si="173"/>
        <v>3862.8198376457754</v>
      </c>
      <c r="S1159" s="19">
        <f t="shared" ca="1" si="175"/>
        <v>6678.6004177683044</v>
      </c>
    </row>
    <row r="1160" spans="13:19">
      <c r="M1160" s="81">
        <f t="shared" ca="1" si="174"/>
        <v>10554.165795449248</v>
      </c>
      <c r="N1160" s="19">
        <f t="shared" si="176"/>
        <v>200.55259769277231</v>
      </c>
      <c r="O1160" s="17">
        <f t="shared" si="172"/>
        <v>289.75</v>
      </c>
      <c r="P1160" s="19">
        <f ca="1">IF(ISERROR(IF(O1160&lt;fi_h/20,0,(OFFSET('Base de dados'!$A$5,IF(O1160&lt;20,1,IF(O1160&gt;1000,10,MATCH(O1160,Cargas,1))),Coluna_fih,1,1))*(1+0.13*0.25)*(PI()*(fi_h/1000)^2/4)*SQRT(2*9.81*(O1160/100-fi_h/2/1000))*1000)),"",IF(O1160&lt;fi_h/20,0,(OFFSET('Base de dados'!$A$5,IF(O1160&lt;20,1,IF(O1160&gt;1000,10,MATCH(O1160,Cargas,1))),Coluna_fih,1,1))*(PI()*(fi_h/1000)^2/4)*SQRT(2*9.81*(O1160/100-fi_h/2/1000))*1000))</f>
        <v>45.363277154822853</v>
      </c>
      <c r="Q1160" s="19">
        <f ca="1">IF(O1160="","",IF(Tipo_Vertedor="Retangular",IF(O1160&lt;=cota_s*100,0,IF(Tipo_Vertedor="Retangular",Cd_sr*Lef_sr*((O1160/100-cota_s)^(3/2))*1000)),IF(O1160&lt;=cota_s*100+fi_s/20,0,(OFFSET('Base de dados'!$A$4,IF(O1160&lt;20,1,IF(O1160&gt;1000,10,MATCH(O1160,Cargas,1))),Coluna_fis,1,1))*(PI()*(fi_s/1000)^2/4)*(2*9.81*(O1160/100-cota_s-fi_s/2/1000))^0.5*1000)))</f>
        <v>3823.7159285353482</v>
      </c>
      <c r="R1160" s="19">
        <f t="shared" ca="1" si="173"/>
        <v>3869.079205690171</v>
      </c>
      <c r="S1160" s="19">
        <f t="shared" ca="1" si="175"/>
        <v>6685.0865897590766</v>
      </c>
    </row>
    <row r="1161" spans="13:19">
      <c r="M1161" s="81">
        <f t="shared" ca="1" si="174"/>
        <v>10566.915419498255</v>
      </c>
      <c r="N1161" s="19">
        <f t="shared" si="176"/>
        <v>200.74720376849348</v>
      </c>
      <c r="O1161" s="17">
        <f t="shared" si="172"/>
        <v>290</v>
      </c>
      <c r="P1161" s="19">
        <f ca="1">IF(ISERROR(IF(O1161&lt;fi_h/20,0,(OFFSET('Base de dados'!$A$5,IF(O1161&lt;20,1,IF(O1161&gt;1000,10,MATCH(O1161,Cargas,1))),Coluna_fih,1,1))*(1+0.13*0.25)*(PI()*(fi_h/1000)^2/4)*SQRT(2*9.81*(O1161/100-fi_h/2/1000))*1000)),"",IF(O1161&lt;fi_h/20,0,(OFFSET('Base de dados'!$A$5,IF(O1161&lt;20,1,IF(O1161&gt;1000,10,MATCH(O1161,Cargas,1))),Coluna_fih,1,1))*(PI()*(fi_h/1000)^2/4)*SQRT(2*9.81*(O1161/100-fi_h/2/1000))*1000))</f>
        <v>45.383231266915274</v>
      </c>
      <c r="Q1161" s="19">
        <f ca="1">IF(O1161="","",IF(Tipo_Vertedor="Retangular",IF(O1161&lt;=cota_s*100,0,IF(Tipo_Vertedor="Retangular",Cd_sr*Lef_sr*((O1161/100-cota_s)^(3/2))*1000)),IF(O1161&lt;=cota_s*100+fi_s/20,0,(OFFSET('Base de dados'!$A$4,IF(O1161&lt;20,1,IF(O1161&gt;1000,10,MATCH(O1161,Cargas,1))),Coluna_fis,1,1))*(PI()*(fi_s/1000)^2/4)*(2*9.81*(O1161/100-cota_s-fi_s/2/1000))^0.5*1000)))</f>
        <v>3829.9587292815568</v>
      </c>
      <c r="R1161" s="19">
        <f t="shared" ca="1" si="173"/>
        <v>3875.3419605484719</v>
      </c>
      <c r="S1161" s="19">
        <f t="shared" ca="1" si="175"/>
        <v>6691.5734589497833</v>
      </c>
    </row>
    <row r="1162" spans="13:19">
      <c r="M1162" s="81">
        <f t="shared" ca="1" si="174"/>
        <v>10579.669125200558</v>
      </c>
      <c r="N1162" s="19">
        <f t="shared" si="176"/>
        <v>200.94183074442699</v>
      </c>
      <c r="O1162" s="17">
        <f t="shared" si="172"/>
        <v>290.25</v>
      </c>
      <c r="P1162" s="19">
        <f ca="1">IF(ISERROR(IF(O1162&lt;fi_h/20,0,(OFFSET('Base de dados'!$A$5,IF(O1162&lt;20,1,IF(O1162&gt;1000,10,MATCH(O1162,Cargas,1))),Coluna_fih,1,1))*(1+0.13*0.25)*(PI()*(fi_h/1000)^2/4)*SQRT(2*9.81*(O1162/100-fi_h/2/1000))*1000)),"",IF(O1162&lt;fi_h/20,0,(OFFSET('Base de dados'!$A$5,IF(O1162&lt;20,1,IF(O1162&gt;1000,10,MATCH(O1162,Cargas,1))),Coluna_fih,1,1))*(PI()*(fi_h/1000)^2/4)*SQRT(2*9.81*(O1162/100-fi_h/2/1000))*1000))</f>
        <v>45.403176609432954</v>
      </c>
      <c r="Q1162" s="19">
        <f ca="1">IF(O1162="","",IF(Tipo_Vertedor="Retangular",IF(O1162&lt;=cota_s*100,0,IF(Tipo_Vertedor="Retangular",Cd_sr*Lef_sr*((O1162/100-cota_s)^(3/2))*1000)),IF(O1162&lt;=cota_s*100+fi_s/20,0,(OFFSET('Base de dados'!$A$4,IF(O1162&lt;20,1,IF(O1162&gt;1000,10,MATCH(O1162,Cargas,1))),Coluna_fis,1,1))*(PI()*(fi_s/1000)^2/4)*(2*9.81*(O1162/100-cota_s-fi_s/2/1000))^0.5*1000)))</f>
        <v>3836.2049237768915</v>
      </c>
      <c r="R1162" s="19">
        <f t="shared" ca="1" si="173"/>
        <v>3881.6081003863246</v>
      </c>
      <c r="S1162" s="19">
        <f t="shared" ca="1" si="175"/>
        <v>6698.061024814233</v>
      </c>
    </row>
    <row r="1163" spans="13:19">
      <c r="M1163" s="81">
        <f t="shared" ca="1" si="174"/>
        <v>10592.42691019944</v>
      </c>
      <c r="N1163" s="19">
        <f t="shared" si="176"/>
        <v>201.13647860481268</v>
      </c>
      <c r="O1163" s="17">
        <f t="shared" si="172"/>
        <v>290.5</v>
      </c>
      <c r="P1163" s="19">
        <f ca="1">IF(ISERROR(IF(O1163&lt;fi_h/20,0,(OFFSET('Base de dados'!$A$5,IF(O1163&lt;20,1,IF(O1163&gt;1000,10,MATCH(O1163,Cargas,1))),Coluna_fih,1,1))*(1+0.13*0.25)*(PI()*(fi_h/1000)^2/4)*SQRT(2*9.81*(O1163/100-fi_h/2/1000))*1000)),"",IF(O1163&lt;fi_h/20,0,(OFFSET('Base de dados'!$A$5,IF(O1163&lt;20,1,IF(O1163&gt;1000,10,MATCH(O1163,Cargas,1))),Coluna_fih,1,1))*(PI()*(fi_h/1000)^2/4)*SQRT(2*9.81*(O1163/100-fi_h/2/1000))*1000))</f>
        <v>45.423113193928067</v>
      </c>
      <c r="Q1163" s="19">
        <f ca="1">IF(O1163="","",IF(Tipo_Vertedor="Retangular",IF(O1163&lt;=cota_s*100,0,IF(Tipo_Vertedor="Retangular",Cd_sr*Lef_sr*((O1163/100-cota_s)^(3/2))*1000)),IF(O1163&lt;=cota_s*100+fi_s/20,0,(OFFSET('Base de dados'!$A$4,IF(O1163&lt;20,1,IF(O1163&gt;1000,10,MATCH(O1163,Cargas,1))),Coluna_fis,1,1))*(PI()*(fi_s/1000)^2/4)*(2*9.81*(O1163/100-cota_s-fi_s/2/1000))^0.5*1000)))</f>
        <v>3842.454510178422</v>
      </c>
      <c r="R1163" s="19">
        <f t="shared" ca="1" si="173"/>
        <v>3887.8776233723502</v>
      </c>
      <c r="S1163" s="19">
        <f t="shared" ca="1" si="175"/>
        <v>6704.5492868270894</v>
      </c>
    </row>
    <row r="1164" spans="13:19">
      <c r="M1164" s="81">
        <f t="shared" ca="1" si="174"/>
        <v>10605.18877214201</v>
      </c>
      <c r="N1164" s="19">
        <f t="shared" si="176"/>
        <v>201.33114733391577</v>
      </c>
      <c r="O1164" s="17">
        <f t="shared" si="172"/>
        <v>290.75</v>
      </c>
      <c r="P1164" s="19">
        <f ca="1">IF(ISERROR(IF(O1164&lt;fi_h/20,0,(OFFSET('Base de dados'!$A$5,IF(O1164&lt;20,1,IF(O1164&gt;1000,10,MATCH(O1164,Cargas,1))),Coluna_fih,1,1))*(1+0.13*0.25)*(PI()*(fi_h/1000)^2/4)*SQRT(2*9.81*(O1164/100-fi_h/2/1000))*1000)),"",IF(O1164&lt;fi_h/20,0,(OFFSET('Base de dados'!$A$5,IF(O1164&lt;20,1,IF(O1164&gt;1000,10,MATCH(O1164,Cargas,1))),Coluna_fih,1,1))*(PI()*(fi_h/1000)^2/4)*SQRT(2*9.81*(O1164/100-fi_h/2/1000))*1000))</f>
        <v>45.443041031927486</v>
      </c>
      <c r="Q1164" s="19">
        <f ca="1">IF(O1164="","",IF(Tipo_Vertedor="Retangular",IF(O1164&lt;=cota_s*100,0,IF(Tipo_Vertedor="Retangular",Cd_sr*Lef_sr*((O1164/100-cota_s)^(3/2))*1000)),IF(O1164&lt;=cota_s*100+fi_s/20,0,(OFFSET('Base de dados'!$A$4,IF(O1164&lt;20,1,IF(O1164&gt;1000,10,MATCH(O1164,Cargas,1))),Coluna_fis,1,1))*(PI()*(fi_s/1000)^2/4)*(2*9.81*(O1164/100-cota_s-fi_s/2/1000))^0.5*1000)))</f>
        <v>3848.7074866462244</v>
      </c>
      <c r="R1164" s="19">
        <f t="shared" ca="1" si="173"/>
        <v>3894.1505276781518</v>
      </c>
      <c r="S1164" s="19">
        <f t="shared" ca="1" si="175"/>
        <v>6711.0382444638581</v>
      </c>
    </row>
    <row r="1165" spans="13:19">
      <c r="M1165" s="81">
        <f t="shared" ca="1" si="174"/>
        <v>10617.954708679186</v>
      </c>
      <c r="N1165" s="19">
        <f t="shared" si="176"/>
        <v>201.52583691602692</v>
      </c>
      <c r="O1165" s="17">
        <f t="shared" si="172"/>
        <v>291</v>
      </c>
      <c r="P1165" s="19">
        <f ca="1">IF(ISERROR(IF(O1165&lt;fi_h/20,0,(OFFSET('Base de dados'!$A$5,IF(O1165&lt;20,1,IF(O1165&gt;1000,10,MATCH(O1165,Cargas,1))),Coluna_fih,1,1))*(1+0.13*0.25)*(PI()*(fi_h/1000)^2/4)*SQRT(2*9.81*(O1165/100-fi_h/2/1000))*1000)),"",IF(O1165&lt;fi_h/20,0,(OFFSET('Base de dados'!$A$5,IF(O1165&lt;20,1,IF(O1165&gt;1000,10,MATCH(O1165,Cargas,1))),Coluna_fih,1,1))*(PI()*(fi_h/1000)^2/4)*SQRT(2*9.81*(O1165/100-fi_h/2/1000))*1000))</f>
        <v>45.462960134932793</v>
      </c>
      <c r="Q1165" s="19">
        <f ca="1">IF(O1165="","",IF(Tipo_Vertedor="Retangular",IF(O1165&lt;=cota_s*100,0,IF(Tipo_Vertedor="Retangular",Cd_sr*Lef_sr*((O1165/100-cota_s)^(3/2))*1000)),IF(O1165&lt;=cota_s*100+fi_s/20,0,(OFFSET('Base de dados'!$A$4,IF(O1165&lt;20,1,IF(O1165&gt;1000,10,MATCH(O1165,Cargas,1))),Coluna_fis,1,1))*(PI()*(fi_s/1000)^2/4)*(2*9.81*(O1165/100-cota_s-fi_s/2/1000))^0.5*1000)))</f>
        <v>3854.9638513433565</v>
      </c>
      <c r="R1165" s="19">
        <f t="shared" ca="1" si="173"/>
        <v>3900.4268114782894</v>
      </c>
      <c r="S1165" s="19">
        <f t="shared" ca="1" si="175"/>
        <v>6717.5278972008973</v>
      </c>
    </row>
    <row r="1166" spans="13:19">
      <c r="M1166" s="81">
        <f t="shared" ca="1" si="174"/>
        <v>10630.724717465688</v>
      </c>
      <c r="N1166" s="19">
        <f t="shared" si="176"/>
        <v>201.72054733546199</v>
      </c>
      <c r="O1166" s="17">
        <f t="shared" si="172"/>
        <v>291.25</v>
      </c>
      <c r="P1166" s="19">
        <f ca="1">IF(ISERROR(IF(O1166&lt;fi_h/20,0,(OFFSET('Base de dados'!$A$5,IF(O1166&lt;20,1,IF(O1166&gt;1000,10,MATCH(O1166,Cargas,1))),Coluna_fih,1,1))*(1+0.13*0.25)*(PI()*(fi_h/1000)^2/4)*SQRT(2*9.81*(O1166/100-fi_h/2/1000))*1000)),"",IF(O1166&lt;fi_h/20,0,(OFFSET('Base de dados'!$A$5,IF(O1166&lt;20,1,IF(O1166&gt;1000,10,MATCH(O1166,Cargas,1))),Coluna_fih,1,1))*(PI()*(fi_h/1000)^2/4)*SQRT(2*9.81*(O1166/100-fi_h/2/1000))*1000))</f>
        <v>45.482870514420384</v>
      </c>
      <c r="Q1166" s="19">
        <f ca="1">IF(O1166="","",IF(Tipo_Vertedor="Retangular",IF(O1166&lt;=cota_s*100,0,IF(Tipo_Vertedor="Retangular",Cd_sr*Lef_sr*((O1166/100-cota_s)^(3/2))*1000)),IF(O1166&lt;=cota_s*100+fi_s/20,0,(OFFSET('Base de dados'!$A$4,IF(O1166&lt;20,1,IF(O1166&gt;1000,10,MATCH(O1166,Cargas,1))),Coluna_fis,1,1))*(PI()*(fi_s/1000)^2/4)*(2*9.81*(O1166/100-cota_s-fi_s/2/1000))^0.5*1000)))</f>
        <v>3861.2236024358667</v>
      </c>
      <c r="R1166" s="19">
        <f t="shared" ca="1" si="173"/>
        <v>3906.7064729502872</v>
      </c>
      <c r="S1166" s="19">
        <f t="shared" ca="1" si="175"/>
        <v>6724.0182445153996</v>
      </c>
    </row>
    <row r="1167" spans="13:19">
      <c r="M1167" s="81">
        <f t="shared" ca="1" si="174"/>
        <v>10643.498796160027</v>
      </c>
      <c r="N1167" s="19">
        <f t="shared" si="176"/>
        <v>201.91527857656229</v>
      </c>
      <c r="O1167" s="17">
        <f t="shared" si="172"/>
        <v>291.5</v>
      </c>
      <c r="P1167" s="19">
        <f ca="1">IF(ISERROR(IF(O1167&lt;fi_h/20,0,(OFFSET('Base de dados'!$A$5,IF(O1167&lt;20,1,IF(O1167&gt;1000,10,MATCH(O1167,Cargas,1))),Coluna_fih,1,1))*(1+0.13*0.25)*(PI()*(fi_h/1000)^2/4)*SQRT(2*9.81*(O1167/100-fi_h/2/1000))*1000)),"",IF(O1167&lt;fi_h/20,0,(OFFSET('Base de dados'!$A$5,IF(O1167&lt;20,1,IF(O1167&gt;1000,10,MATCH(O1167,Cargas,1))),Coluna_fih,1,1))*(PI()*(fi_h/1000)^2/4)*SQRT(2*9.81*(O1167/100-fi_h/2/1000))*1000))</f>
        <v>45.502772181841557</v>
      </c>
      <c r="Q1167" s="19">
        <f ca="1">IF(O1167="","",IF(Tipo_Vertedor="Retangular",IF(O1167&lt;=cota_s*100,0,IF(Tipo_Vertedor="Retangular",Cd_sr*Lef_sr*((O1167/100-cota_s)^(3/2))*1000)),IF(O1167&lt;=cota_s*100+fi_s/20,0,(OFFSET('Base de dados'!$A$4,IF(O1167&lt;20,1,IF(O1167&gt;1000,10,MATCH(O1167,Cargas,1))),Coluna_fis,1,1))*(PI()*(fi_s/1000)^2/4)*(2*9.81*(O1167/100-cota_s-fi_s/2/1000))^0.5*1000)))</f>
        <v>3867.4867380927758</v>
      </c>
      <c r="R1167" s="19">
        <f t="shared" ca="1" si="173"/>
        <v>3912.9895102746173</v>
      </c>
      <c r="S1167" s="19">
        <f t="shared" ca="1" si="175"/>
        <v>6730.5092858854096</v>
      </c>
    </row>
    <row r="1168" spans="13:19">
      <c r="M1168" s="81">
        <f t="shared" ca="1" si="174"/>
        <v>10656.2769424245</v>
      </c>
      <c r="N1168" s="19">
        <f t="shared" si="176"/>
        <v>202.1100306236942</v>
      </c>
      <c r="O1168" s="17">
        <f t="shared" si="172"/>
        <v>291.75</v>
      </c>
      <c r="P1168" s="19">
        <f ca="1">IF(ISERROR(IF(O1168&lt;fi_h/20,0,(OFFSET('Base de dados'!$A$5,IF(O1168&lt;20,1,IF(O1168&gt;1000,10,MATCH(O1168,Cargas,1))),Coluna_fih,1,1))*(1+0.13*0.25)*(PI()*(fi_h/1000)^2/4)*SQRT(2*9.81*(O1168/100-fi_h/2/1000))*1000)),"",IF(O1168&lt;fi_h/20,0,(OFFSET('Base de dados'!$A$5,IF(O1168&lt;20,1,IF(O1168&gt;1000,10,MATCH(O1168,Cargas,1))),Coluna_fih,1,1))*(PI()*(fi_h/1000)^2/4)*SQRT(2*9.81*(O1168/100-fi_h/2/1000))*1000))</f>
        <v>45.522665148622586</v>
      </c>
      <c r="Q1168" s="19">
        <f ca="1">IF(O1168="","",IF(Tipo_Vertedor="Retangular",IF(O1168&lt;=cota_s*100,0,IF(Tipo_Vertedor="Retangular",Cd_sr*Lef_sr*((O1168/100-cota_s)^(3/2))*1000)),IF(O1168&lt;=cota_s*100+fi_s/20,0,(OFFSET('Base de dados'!$A$4,IF(O1168&lt;20,1,IF(O1168&gt;1000,10,MATCH(O1168,Cargas,1))),Coluna_fis,1,1))*(PI()*(fi_s/1000)^2/4)*(2*9.81*(O1168/100-cota_s-fi_s/2/1000))^0.5*1000)))</f>
        <v>3873.7532564860703</v>
      </c>
      <c r="R1168" s="19">
        <f t="shared" ca="1" si="173"/>
        <v>3919.2759216346931</v>
      </c>
      <c r="S1168" s="19">
        <f t="shared" ca="1" si="175"/>
        <v>6737.0010207898067</v>
      </c>
    </row>
    <row r="1169" spans="13:19">
      <c r="M1169" s="81">
        <f t="shared" ca="1" si="174"/>
        <v>10669.059153925169</v>
      </c>
      <c r="N1169" s="19">
        <f t="shared" si="176"/>
        <v>202.30480346124918</v>
      </c>
      <c r="O1169" s="17">
        <f t="shared" si="172"/>
        <v>292</v>
      </c>
      <c r="P1169" s="19">
        <f ca="1">IF(ISERROR(IF(O1169&lt;fi_h/20,0,(OFFSET('Base de dados'!$A$5,IF(O1169&lt;20,1,IF(O1169&gt;1000,10,MATCH(O1169,Cargas,1))),Coluna_fih,1,1))*(1+0.13*0.25)*(PI()*(fi_h/1000)^2/4)*SQRT(2*9.81*(O1169/100-fi_h/2/1000))*1000)),"",IF(O1169&lt;fi_h/20,0,(OFFSET('Base de dados'!$A$5,IF(O1169&lt;20,1,IF(O1169&gt;1000,10,MATCH(O1169,Cargas,1))),Coluna_fih,1,1))*(PI()*(fi_h/1000)^2/4)*SQRT(2*9.81*(O1169/100-fi_h/2/1000))*1000))</f>
        <v>45.542549426164754</v>
      </c>
      <c r="Q1169" s="19">
        <f ca="1">IF(O1169="","",IF(Tipo_Vertedor="Retangular",IF(O1169&lt;=cota_s*100,0,IF(Tipo_Vertedor="Retangular",Cd_sr*Lef_sr*((O1169/100-cota_s)^(3/2))*1000)),IF(O1169&lt;=cota_s*100+fi_s/20,0,(OFFSET('Base de dados'!$A$4,IF(O1169&lt;20,1,IF(O1169&gt;1000,10,MATCH(O1169,Cargas,1))),Coluna_fis,1,1))*(PI()*(fi_s/1000)^2/4)*(2*9.81*(O1169/100-cota_s-fi_s/2/1000))^0.5*1000)))</f>
        <v>3880.0231557906973</v>
      </c>
      <c r="R1169" s="19">
        <f t="shared" ca="1" si="173"/>
        <v>3925.5657052168622</v>
      </c>
      <c r="S1169" s="19">
        <f t="shared" ca="1" si="175"/>
        <v>6743.4934487083065</v>
      </c>
    </row>
    <row r="1170" spans="13:19">
      <c r="M1170" s="81">
        <f t="shared" ca="1" si="174"/>
        <v>10681.845428331853</v>
      </c>
      <c r="N1170" s="19">
        <f t="shared" si="176"/>
        <v>202.49959707364371</v>
      </c>
      <c r="O1170" s="17">
        <f t="shared" si="172"/>
        <v>292.25</v>
      </c>
      <c r="P1170" s="19">
        <f ca="1">IF(ISERROR(IF(O1170&lt;fi_h/20,0,(OFFSET('Base de dados'!$A$5,IF(O1170&lt;20,1,IF(O1170&gt;1000,10,MATCH(O1170,Cargas,1))),Coluna_fih,1,1))*(1+0.13*0.25)*(PI()*(fi_h/1000)^2/4)*SQRT(2*9.81*(O1170/100-fi_h/2/1000))*1000)),"",IF(O1170&lt;fi_h/20,0,(OFFSET('Base de dados'!$A$5,IF(O1170&lt;20,1,IF(O1170&gt;1000,10,MATCH(O1170,Cargas,1))),Coluna_fih,1,1))*(PI()*(fi_h/1000)^2/4)*SQRT(2*9.81*(O1170/100-fi_h/2/1000))*1000))</f>
        <v>45.562425025844519</v>
      </c>
      <c r="Q1170" s="19">
        <f ca="1">IF(O1170="","",IF(Tipo_Vertedor="Retangular",IF(O1170&lt;=cota_s*100,0,IF(Tipo_Vertedor="Retangular",Cd_sr*Lef_sr*((O1170/100-cota_s)^(3/2))*1000)),IF(O1170&lt;=cota_s*100+fi_s/20,0,(OFFSET('Base de dados'!$A$4,IF(O1170&lt;20,1,IF(O1170&gt;1000,10,MATCH(O1170,Cargas,1))),Coluna_fis,1,1))*(PI()*(fi_s/1000)^2/4)*(2*9.81*(O1170/100-cota_s-fi_s/2/1000))^0.5*1000)))</f>
        <v>3886.2964341845523</v>
      </c>
      <c r="R1170" s="19">
        <f t="shared" ca="1" si="173"/>
        <v>3931.858859210397</v>
      </c>
      <c r="S1170" s="19">
        <f t="shared" ca="1" si="175"/>
        <v>6749.9865691214563</v>
      </c>
    </row>
    <row r="1171" spans="13:19">
      <c r="M1171" s="81">
        <f t="shared" ca="1" si="174"/>
        <v>10694.63576331814</v>
      </c>
      <c r="N1171" s="19">
        <f t="shared" si="176"/>
        <v>202.69441144531956</v>
      </c>
      <c r="O1171" s="17">
        <f t="shared" ref="O1171:O1234" si="177">IF(ISERROR(IF(O1170+passo_altura&gt;h_max_puls*100,"",O1170+passo_altura)),"",IF(O1170+passo_altura&gt;h_max_puls*100,"",O1170+passo_altura))</f>
        <v>292.5</v>
      </c>
      <c r="P1171" s="19">
        <f ca="1">IF(ISERROR(IF(O1171&lt;fi_h/20,0,(OFFSET('Base de dados'!$A$5,IF(O1171&lt;20,1,IF(O1171&gt;1000,10,MATCH(O1171,Cargas,1))),Coluna_fih,1,1))*(1+0.13*0.25)*(PI()*(fi_h/1000)^2/4)*SQRT(2*9.81*(O1171/100-fi_h/2/1000))*1000)),"",IF(O1171&lt;fi_h/20,0,(OFFSET('Base de dados'!$A$5,IF(O1171&lt;20,1,IF(O1171&gt;1000,10,MATCH(O1171,Cargas,1))),Coluna_fih,1,1))*(PI()*(fi_h/1000)^2/4)*SQRT(2*9.81*(O1171/100-fi_h/2/1000))*1000))</f>
        <v>45.582291959013489</v>
      </c>
      <c r="Q1171" s="19">
        <f ca="1">IF(O1171="","",IF(Tipo_Vertedor="Retangular",IF(O1171&lt;=cota_s*100,0,IF(Tipo_Vertedor="Retangular",Cd_sr*Lef_sr*((O1171/100-cota_s)^(3/2))*1000)),IF(O1171&lt;=cota_s*100+fi_s/20,0,(OFFSET('Base de dados'!$A$4,IF(O1171&lt;20,1,IF(O1171&gt;1000,10,MATCH(O1171,Cargas,1))),Coluna_fis,1,1))*(PI()*(fi_s/1000)^2/4)*(2*9.81*(O1171/100-cota_s-fi_s/2/1000))^0.5*1000)))</f>
        <v>3892.5730898484735</v>
      </c>
      <c r="R1171" s="19">
        <f ca="1">IF(O1171="","",Q1171+P1171)</f>
        <v>3938.1553818074872</v>
      </c>
      <c r="S1171" s="19">
        <f t="shared" ca="1" si="175"/>
        <v>6756.4803815106525</v>
      </c>
    </row>
    <row r="1172" spans="13:19">
      <c r="M1172" s="81">
        <f t="shared" ca="1" si="174"/>
        <v>10707.430156561346</v>
      </c>
      <c r="N1172" s="19">
        <f t="shared" si="176"/>
        <v>202.8892465607432</v>
      </c>
      <c r="O1172" s="17">
        <f t="shared" si="177"/>
        <v>292.75</v>
      </c>
      <c r="P1172" s="19">
        <f ca="1">IF(ISERROR(IF(O1172&lt;fi_h/20,0,(OFFSET('Base de dados'!$A$5,IF(O1172&lt;20,1,IF(O1172&gt;1000,10,MATCH(O1172,Cargas,1))),Coluna_fih,1,1))*(1+0.13*0.25)*(PI()*(fi_h/1000)^2/4)*SQRT(2*9.81*(O1172/100-fi_h/2/1000))*1000)),"",IF(O1172&lt;fi_h/20,0,(OFFSET('Base de dados'!$A$5,IF(O1172&lt;20,1,IF(O1172&gt;1000,10,MATCH(O1172,Cargas,1))),Coluna_fih,1,1))*(PI()*(fi_h/1000)^2/4)*SQRT(2*9.81*(O1172/100-fi_h/2/1000))*1000))</f>
        <v>45.602150236998575</v>
      </c>
      <c r="Q1172" s="19">
        <f ca="1">IF(O1172="","",IF(Tipo_Vertedor="Retangular",IF(O1172&lt;=cota_s*100,0,IF(Tipo_Vertedor="Retangular",Cd_sr*Lef_sr*((O1172/100-cota_s)^(3/2))*1000)),IF(O1172&lt;=cota_s*100+fi_s/20,0,(OFFSET('Base de dados'!$A$4,IF(O1172&lt;20,1,IF(O1172&gt;1000,10,MATCH(O1172,Cargas,1))),Coluna_fis,1,1))*(PI()*(fi_s/1000)^2/4)*(2*9.81*(O1172/100-cota_s-fi_s/2/1000))^0.5*1000)))</f>
        <v>3898.8531209662401</v>
      </c>
      <c r="R1172" s="19">
        <f ca="1">IF(O1172="","",Q1172+P1172)</f>
        <v>3944.4552712032387</v>
      </c>
      <c r="S1172" s="19">
        <f t="shared" ca="1" si="175"/>
        <v>6762.9748853581068</v>
      </c>
    </row>
    <row r="1173" spans="13:19">
      <c r="M1173" s="81">
        <f t="shared" ca="1" si="174"/>
        <v>10720.228605742515</v>
      </c>
      <c r="N1173" s="19">
        <f t="shared" si="176"/>
        <v>203.08410240440591</v>
      </c>
      <c r="O1173" s="17">
        <f t="shared" si="177"/>
        <v>293</v>
      </c>
      <c r="P1173" s="19">
        <f ca="1">IF(ISERROR(IF(O1173&lt;fi_h/20,0,(OFFSET('Base de dados'!$A$5,IF(O1173&lt;20,1,IF(O1173&gt;1000,10,MATCH(O1173,Cargas,1))),Coluna_fih,1,1))*(1+0.13*0.25)*(PI()*(fi_h/1000)^2/4)*SQRT(2*9.81*(O1173/100-fi_h/2/1000))*1000)),"",IF(O1173&lt;fi_h/20,0,(OFFSET('Base de dados'!$A$5,IF(O1173&lt;20,1,IF(O1173&gt;1000,10,MATCH(O1173,Cargas,1))),Coluna_fih,1,1))*(PI()*(fi_h/1000)^2/4)*SQRT(2*9.81*(O1173/100-fi_h/2/1000))*1000))</f>
        <v>45.621999871102012</v>
      </c>
      <c r="Q1173" s="19">
        <f ca="1">IF(O1173="","",IF(Tipo_Vertedor="Retangular",IF(O1173&lt;=cota_s*100,0,IF(Tipo_Vertedor="Retangular",Cd_sr*Lef_sr*((O1173/100-cota_s)^(3/2))*1000)),IF(O1173&lt;=cota_s*100+fi_s/20,0,(OFFSET('Base de dados'!$A$4,IF(O1173&lt;20,1,IF(O1173&gt;1000,10,MATCH(O1173,Cargas,1))),Coluna_fis,1,1))*(PI()*(fi_s/1000)^2/4)*(2*9.81*(O1173/100-cota_s-fi_s/2/1000))^0.5*1000)))</f>
        <v>3905.1365257245493</v>
      </c>
      <c r="R1173" s="19">
        <f ca="1">IF(O1173="","",Q1173+P1173)</f>
        <v>3950.7585255956515</v>
      </c>
      <c r="S1173" s="19">
        <f t="shared" ca="1" si="175"/>
        <v>6769.4700801468634</v>
      </c>
    </row>
    <row r="1174" spans="13:19">
      <c r="M1174" s="81">
        <f t="shared" ca="1" si="174"/>
        <v>10733.031108546424</v>
      </c>
      <c r="N1174" s="19">
        <f t="shared" si="176"/>
        <v>203.27897896082396</v>
      </c>
      <c r="O1174" s="17">
        <f t="shared" si="177"/>
        <v>293.25</v>
      </c>
      <c r="P1174" s="19">
        <f ca="1">IF(ISERROR(IF(O1174&lt;fi_h/20,0,(OFFSET('Base de dados'!$A$5,IF(O1174&lt;20,1,IF(O1174&gt;1000,10,MATCH(O1174,Cargas,1))),Coluna_fih,1,1))*(1+0.13*0.25)*(PI()*(fi_h/1000)^2/4)*SQRT(2*9.81*(O1174/100-fi_h/2/1000))*1000)),"",IF(O1174&lt;fi_h/20,0,(OFFSET('Base de dados'!$A$5,IF(O1174&lt;20,1,IF(O1174&gt;1000,10,MATCH(O1174,Cargas,1))),Coluna_fih,1,1))*(PI()*(fi_h/1000)^2/4)*SQRT(2*9.81*(O1174/100-fi_h/2/1000))*1000))</f>
        <v>45.641840872601477</v>
      </c>
      <c r="Q1174" s="19">
        <f ca="1">IF(O1174="","",IF(Tipo_Vertedor="Retangular",IF(O1174&lt;=cota_s*100,0,IF(Tipo_Vertedor="Retangular",Cd_sr*Lef_sr*((O1174/100-cota_s)^(3/2))*1000)),IF(O1174&lt;=cota_s*100+fi_s/20,0,(OFFSET('Base de dados'!$A$4,IF(O1174&lt;20,1,IF(O1174&gt;1000,10,MATCH(O1174,Cargas,1))),Coluna_fis,1,1))*(PI()*(fi_s/1000)^2/4)*(2*9.81*(O1174/100-cota_s-fi_s/2/1000))^0.5*1000)))</f>
        <v>3911.4233023130237</v>
      </c>
      <c r="R1174" s="19">
        <f ca="1">IF(O1174="","",Q1174+P1174)</f>
        <v>3957.0651431856249</v>
      </c>
      <c r="S1174" s="19">
        <f t="shared" ca="1" si="175"/>
        <v>6775.9659653607987</v>
      </c>
    </row>
    <row r="1175" spans="13:19">
      <c r="M1175" s="81">
        <f t="shared" ref="M1175:M1238" ca="1" si="178">IF(O1175="","",2*N1175*1000/(Passo*60)+R1175)</f>
        <v>10745.837662661555</v>
      </c>
      <c r="N1175" s="19">
        <f t="shared" ref="N1175:N1238" si="179">IF(O1175="","",b_0*(O1175/100)^c_0)</f>
        <v>203.47387621453836</v>
      </c>
      <c r="O1175" s="17">
        <f t="shared" si="177"/>
        <v>293.5</v>
      </c>
      <c r="P1175" s="19">
        <f ca="1">IF(ISERROR(IF(O1175&lt;fi_h/20,0,(OFFSET('Base de dados'!$A$5,IF(O1175&lt;20,1,IF(O1175&gt;1000,10,MATCH(O1175,Cargas,1))),Coluna_fih,1,1))*(1+0.13*0.25)*(PI()*(fi_h/1000)^2/4)*SQRT(2*9.81*(O1175/100-fi_h/2/1000))*1000)),"",IF(O1175&lt;fi_h/20,0,(OFFSET('Base de dados'!$A$5,IF(O1175&lt;20,1,IF(O1175&gt;1000,10,MATCH(O1175,Cargas,1))),Coluna_fih,1,1))*(PI()*(fi_h/1000)^2/4)*SQRT(2*9.81*(O1175/100-fi_h/2/1000))*1000))</f>
        <v>45.661673252750141</v>
      </c>
      <c r="Q1175" s="19">
        <f ca="1">IF(O1175="","",IF(Tipo_Vertedor="Retangular",IF(O1175&lt;=cota_s*100,0,IF(Tipo_Vertedor="Retangular",Cd_sr*Lef_sr*((O1175/100-cota_s)^(3/2))*1000)),IF(O1175&lt;=cota_s*100+fi_s/20,0,(OFFSET('Base de dados'!$A$4,IF(O1175&lt;20,1,IF(O1175&gt;1000,10,MATCH(O1175,Cargas,1))),Coluna_fis,1,1))*(PI()*(fi_s/1000)^2/4)*(2*9.81*(O1175/100-cota_s-fi_s/2/1000))^0.5*1000)))</f>
        <v>3917.7134489241935</v>
      </c>
      <c r="R1175" s="19">
        <f t="shared" ref="R1175:R1238" ca="1" si="180">IF(O1175="","",Q1175+P1175)</f>
        <v>3963.3751221769435</v>
      </c>
      <c r="S1175" s="19">
        <f t="shared" ref="S1175:S1238" ca="1" si="181">IF(M1175="","",2*N1175*1000/(Passo*60))</f>
        <v>6782.462540484612</v>
      </c>
    </row>
    <row r="1176" spans="13:19">
      <c r="M1176" s="81">
        <f t="shared" ca="1" si="178"/>
        <v>10758.648265780099</v>
      </c>
      <c r="N1176" s="19">
        <f t="shared" si="179"/>
        <v>203.66879415011473</v>
      </c>
      <c r="O1176" s="17">
        <f t="shared" si="177"/>
        <v>293.75</v>
      </c>
      <c r="P1176" s="19">
        <f ca="1">IF(ISERROR(IF(O1176&lt;fi_h/20,0,(OFFSET('Base de dados'!$A$5,IF(O1176&lt;20,1,IF(O1176&gt;1000,10,MATCH(O1176,Cargas,1))),Coluna_fih,1,1))*(1+0.13*0.25)*(PI()*(fi_h/1000)^2/4)*SQRT(2*9.81*(O1176/100-fi_h/2/1000))*1000)),"",IF(O1176&lt;fi_h/20,0,(OFFSET('Base de dados'!$A$5,IF(O1176&lt;20,1,IF(O1176&gt;1000,10,MATCH(O1176,Cargas,1))),Coluna_fih,1,1))*(PI()*(fi_h/1000)^2/4)*SQRT(2*9.81*(O1176/100-fi_h/2/1000))*1000))</f>
        <v>45.681497022776746</v>
      </c>
      <c r="Q1176" s="19">
        <f ca="1">IF(O1176="","",IF(Tipo_Vertedor="Retangular",IF(O1176&lt;=cota_s*100,0,IF(Tipo_Vertedor="Retangular",Cd_sr*Lef_sr*((O1176/100-cota_s)^(3/2))*1000)),IF(O1176&lt;=cota_s*100+fi_s/20,0,(OFFSET('Base de dados'!$A$4,IF(O1176&lt;20,1,IF(O1176&gt;1000,10,MATCH(O1176,Cargas,1))),Coluna_fis,1,1))*(PI()*(fi_s/1000)^2/4)*(2*9.81*(O1176/100-cota_s-fi_s/2/1000))^0.5*1000)))</f>
        <v>3924.0069637534975</v>
      </c>
      <c r="R1176" s="19">
        <f t="shared" ca="1" si="180"/>
        <v>3969.6884607762745</v>
      </c>
      <c r="S1176" s="19">
        <f t="shared" ca="1" si="181"/>
        <v>6788.9598050038239</v>
      </c>
    </row>
    <row r="1177" spans="13:19">
      <c r="M1177" s="81">
        <f t="shared" ca="1" si="178"/>
        <v>10771.462915597931</v>
      </c>
      <c r="N1177" s="19">
        <f t="shared" si="179"/>
        <v>203.86373275214342</v>
      </c>
      <c r="O1177" s="17">
        <f t="shared" si="177"/>
        <v>294</v>
      </c>
      <c r="P1177" s="19">
        <f ca="1">IF(ISERROR(IF(O1177&lt;fi_h/20,0,(OFFSET('Base de dados'!$A$5,IF(O1177&lt;20,1,IF(O1177&gt;1000,10,MATCH(O1177,Cargas,1))),Coluna_fih,1,1))*(1+0.13*0.25)*(PI()*(fi_h/1000)^2/4)*SQRT(2*9.81*(O1177/100-fi_h/2/1000))*1000)),"",IF(O1177&lt;fi_h/20,0,(OFFSET('Base de dados'!$A$5,IF(O1177&lt;20,1,IF(O1177&gt;1000,10,MATCH(O1177,Cargas,1))),Coluna_fih,1,1))*(PI()*(fi_h/1000)^2/4)*SQRT(2*9.81*(O1177/100-fi_h/2/1000))*1000))</f>
        <v>45.701312193885677</v>
      </c>
      <c r="Q1177" s="19">
        <f ca="1">IF(O1177="","",IF(Tipo_Vertedor="Retangular",IF(O1177&lt;=cota_s*100,0,IF(Tipo_Vertedor="Retangular",Cd_sr*Lef_sr*((O1177/100-cota_s)^(3/2))*1000)),IF(O1177&lt;=cota_s*100+fi_s/20,0,(OFFSET('Base de dados'!$A$4,IF(O1177&lt;20,1,IF(O1177&gt;1000,10,MATCH(O1177,Cargas,1))),Coluna_fis,1,1))*(PI()*(fi_s/1000)^2/4)*(2*9.81*(O1177/100-cota_s-fi_s/2/1000))^0.5*1000)))</f>
        <v>3930.3038449992646</v>
      </c>
      <c r="R1177" s="19">
        <f t="shared" ca="1" si="180"/>
        <v>3976.0051571931504</v>
      </c>
      <c r="S1177" s="19">
        <f t="shared" ca="1" si="181"/>
        <v>6795.4577584047811</v>
      </c>
    </row>
    <row r="1178" spans="13:19">
      <c r="M1178" s="81">
        <f t="shared" ca="1" si="178"/>
        <v>10784.281609814612</v>
      </c>
      <c r="N1178" s="19">
        <f t="shared" si="179"/>
        <v>204.05869200523924</v>
      </c>
      <c r="O1178" s="17">
        <f t="shared" si="177"/>
        <v>294.25</v>
      </c>
      <c r="P1178" s="19">
        <f ca="1">IF(ISERROR(IF(O1178&lt;fi_h/20,0,(OFFSET('Base de dados'!$A$5,IF(O1178&lt;20,1,IF(O1178&gt;1000,10,MATCH(O1178,Cargas,1))),Coluna_fih,1,1))*(1+0.13*0.25)*(PI()*(fi_h/1000)^2/4)*SQRT(2*9.81*(O1178/100-fi_h/2/1000))*1000)),"",IF(O1178&lt;fi_h/20,0,(OFFSET('Base de dados'!$A$5,IF(O1178&lt;20,1,IF(O1178&gt;1000,10,MATCH(O1178,Cargas,1))),Coluna_fih,1,1))*(PI()*(fi_h/1000)^2/4)*SQRT(2*9.81*(O1178/100-fi_h/2/1000))*1000))</f>
        <v>45.72111877725704</v>
      </c>
      <c r="Q1178" s="19">
        <f ca="1">IF(O1178="","",IF(Tipo_Vertedor="Retangular",IF(O1178&lt;=cota_s*100,0,IF(Tipo_Vertedor="Retangular",Cd_sr*Lef_sr*((O1178/100-cota_s)^(3/2))*1000)),IF(O1178&lt;=cota_s*100+fi_s/20,0,(OFFSET('Base de dados'!$A$4,IF(O1178&lt;20,1,IF(O1178&gt;1000,10,MATCH(O1178,Cargas,1))),Coluna_fis,1,1))*(PI()*(fi_s/1000)^2/4)*(2*9.81*(O1178/100-cota_s-fi_s/2/1000))^0.5*1000)))</f>
        <v>3936.6040908627142</v>
      </c>
      <c r="R1178" s="19">
        <f t="shared" ca="1" si="180"/>
        <v>3982.325209639971</v>
      </c>
      <c r="S1178" s="19">
        <f t="shared" ca="1" si="181"/>
        <v>6801.9564001746412</v>
      </c>
    </row>
    <row r="1179" spans="13:19">
      <c r="M1179" s="81">
        <f t="shared" ca="1" si="178"/>
        <v>10797.104346133383</v>
      </c>
      <c r="N1179" s="19">
        <f t="shared" si="179"/>
        <v>204.25367189404162</v>
      </c>
      <c r="O1179" s="17">
        <f t="shared" si="177"/>
        <v>294.5</v>
      </c>
      <c r="P1179" s="19">
        <f ca="1">IF(ISERROR(IF(O1179&lt;fi_h/20,0,(OFFSET('Base de dados'!$A$5,IF(O1179&lt;20,1,IF(O1179&gt;1000,10,MATCH(O1179,Cargas,1))),Coluna_fih,1,1))*(1+0.13*0.25)*(PI()*(fi_h/1000)^2/4)*SQRT(2*9.81*(O1179/100-fi_h/2/1000))*1000)),"",IF(O1179&lt;fi_h/20,0,(OFFSET('Base de dados'!$A$5,IF(O1179&lt;20,1,IF(O1179&gt;1000,10,MATCH(O1179,Cargas,1))),Coluna_fih,1,1))*(PI()*(fi_h/1000)^2/4)*SQRT(2*9.81*(O1179/100-fi_h/2/1000))*1000))</f>
        <v>45.740916784046753</v>
      </c>
      <c r="Q1179" s="19">
        <f ca="1">IF(O1179="","",IF(Tipo_Vertedor="Retangular",IF(O1179&lt;=cota_s*100,0,IF(Tipo_Vertedor="Retangular",Cd_sr*Lef_sr*((O1179/100-cota_s)^(3/2))*1000)),IF(O1179&lt;=cota_s*100+fi_s/20,0,(OFFSET('Base de dados'!$A$4,IF(O1179&lt;20,1,IF(O1179&gt;1000,10,MATCH(O1179,Cargas,1))),Coluna_fis,1,1))*(PI()*(fi_s/1000)^2/4)*(2*9.81*(O1179/100-cota_s-fi_s/2/1000))^0.5*1000)))</f>
        <v>3942.9076995479491</v>
      </c>
      <c r="R1179" s="19">
        <f t="shared" ca="1" si="180"/>
        <v>3988.648616331996</v>
      </c>
      <c r="S1179" s="19">
        <f t="shared" ca="1" si="181"/>
        <v>6808.455729801387</v>
      </c>
    </row>
    <row r="1180" spans="13:19">
      <c r="M1180" s="81">
        <f t="shared" ca="1" si="178"/>
        <v>10809.93112226114</v>
      </c>
      <c r="N1180" s="19">
        <f t="shared" si="179"/>
        <v>204.4486724032144</v>
      </c>
      <c r="O1180" s="17">
        <f t="shared" si="177"/>
        <v>294.75</v>
      </c>
      <c r="P1180" s="19">
        <f ca="1">IF(ISERROR(IF(O1180&lt;fi_h/20,0,(OFFSET('Base de dados'!$A$5,IF(O1180&lt;20,1,IF(O1180&gt;1000,10,MATCH(O1180,Cargas,1))),Coluna_fih,1,1))*(1+0.13*0.25)*(PI()*(fi_h/1000)^2/4)*SQRT(2*9.81*(O1180/100-fi_h/2/1000))*1000)),"",IF(O1180&lt;fi_h/20,0,(OFFSET('Base de dados'!$A$5,IF(O1180&lt;20,1,IF(O1180&gt;1000,10,MATCH(O1180,Cargas,1))),Coluna_fih,1,1))*(PI()*(fi_h/1000)^2/4)*SQRT(2*9.81*(O1180/100-fi_h/2/1000))*1000))</f>
        <v>45.760706225386564</v>
      </c>
      <c r="Q1180" s="19">
        <f ca="1">IF(O1180="","",IF(Tipo_Vertedor="Retangular",IF(O1180&lt;=cota_s*100,0,IF(Tipo_Vertedor="Retangular",Cd_sr*Lef_sr*((O1180/100-cota_s)^(3/2))*1000)),IF(O1180&lt;=cota_s*100+fi_s/20,0,(OFFSET('Base de dados'!$A$4,IF(O1180&lt;20,1,IF(O1180&gt;1000,10,MATCH(O1180,Cargas,1))),Coluna_fis,1,1))*(PI()*(fi_s/1000)^2/4)*(2*9.81*(O1180/100-cota_s-fi_s/2/1000))^0.5*1000)))</f>
        <v>3949.2146692619385</v>
      </c>
      <c r="R1180" s="19">
        <f t="shared" ca="1" si="180"/>
        <v>3994.975375487325</v>
      </c>
      <c r="S1180" s="19">
        <f t="shared" ca="1" si="181"/>
        <v>6814.9557467738141</v>
      </c>
    </row>
    <row r="1181" spans="13:19">
      <c r="M1181" s="81">
        <f t="shared" ca="1" si="178"/>
        <v>10822.761935908436</v>
      </c>
      <c r="N1181" s="19">
        <f t="shared" si="179"/>
        <v>204.64369351744588</v>
      </c>
      <c r="O1181" s="17">
        <f t="shared" si="177"/>
        <v>295</v>
      </c>
      <c r="P1181" s="19">
        <f ca="1">IF(ISERROR(IF(O1181&lt;fi_h/20,0,(OFFSET('Base de dados'!$A$5,IF(O1181&lt;20,1,IF(O1181&gt;1000,10,MATCH(O1181,Cargas,1))),Coluna_fih,1,1))*(1+0.13*0.25)*(PI()*(fi_h/1000)^2/4)*SQRT(2*9.81*(O1181/100-fi_h/2/1000))*1000)),"",IF(O1181&lt;fi_h/20,0,(OFFSET('Base de dados'!$A$5,IF(O1181&lt;20,1,IF(O1181&gt;1000,10,MATCH(O1181,Cargas,1))),Coluna_fih,1,1))*(PI()*(fi_h/1000)^2/4)*SQRT(2*9.81*(O1181/100-fi_h/2/1000))*1000))</f>
        <v>45.780487112384201</v>
      </c>
      <c r="Q1181" s="19">
        <f ca="1">IF(O1181="","",IF(Tipo_Vertedor="Retangular",IF(O1181&lt;=cota_s*100,0,IF(Tipo_Vertedor="Retangular",Cd_sr*Lef_sr*((O1181/100-cota_s)^(3/2))*1000)),IF(O1181&lt;=cota_s*100+fi_s/20,0,(OFFSET('Base de dados'!$A$4,IF(O1181&lt;20,1,IF(O1181&gt;1000,10,MATCH(O1181,Cargas,1))),Coluna_fis,1,1))*(PI()*(fi_s/1000)^2/4)*(2*9.81*(O1181/100-cota_s-fi_s/2/1000))^0.5*1000)))</f>
        <v>3955.5249982145228</v>
      </c>
      <c r="R1181" s="19">
        <f t="shared" ca="1" si="180"/>
        <v>4001.3054853269068</v>
      </c>
      <c r="S1181" s="19">
        <f t="shared" ca="1" si="181"/>
        <v>6821.4564505815297</v>
      </c>
    </row>
    <row r="1182" spans="13:19">
      <c r="M1182" s="81">
        <f t="shared" ca="1" si="178"/>
        <v>10835.59678478947</v>
      </c>
      <c r="N1182" s="19">
        <f t="shared" si="179"/>
        <v>204.83873522144856</v>
      </c>
      <c r="O1182" s="17">
        <f t="shared" si="177"/>
        <v>295.25</v>
      </c>
      <c r="P1182" s="19">
        <f ca="1">IF(ISERROR(IF(O1182&lt;fi_h/20,0,(OFFSET('Base de dados'!$A$5,IF(O1182&lt;20,1,IF(O1182&gt;1000,10,MATCH(O1182,Cargas,1))),Coluna_fih,1,1))*(1+0.13*0.25)*(PI()*(fi_h/1000)^2/4)*SQRT(2*9.81*(O1182/100-fi_h/2/1000))*1000)),"",IF(O1182&lt;fi_h/20,0,(OFFSET('Base de dados'!$A$5,IF(O1182&lt;20,1,IF(O1182&gt;1000,10,MATCH(O1182,Cargas,1))),Coluna_fih,1,1))*(PI()*(fi_h/1000)^2/4)*SQRT(2*9.81*(O1182/100-fi_h/2/1000))*1000))</f>
        <v>45.800259456123378</v>
      </c>
      <c r="Q1182" s="19">
        <f ca="1">IF(O1182="","",IF(Tipo_Vertedor="Retangular",IF(O1182&lt;=cota_s*100,0,IF(Tipo_Vertedor="Retangular",Cd_sr*Lef_sr*((O1182/100-cota_s)^(3/2))*1000)),IF(O1182&lt;=cota_s*100+fi_s/20,0,(OFFSET('Base de dados'!$A$4,IF(O1182&lt;20,1,IF(O1182&gt;1000,10,MATCH(O1182,Cargas,1))),Coluna_fis,1,1))*(PI()*(fi_s/1000)^2/4)*(2*9.81*(O1182/100-cota_s-fi_s/2/1000))^0.5*1000)))</f>
        <v>3961.8386846183948</v>
      </c>
      <c r="R1182" s="19">
        <f t="shared" ca="1" si="180"/>
        <v>4007.6389440745183</v>
      </c>
      <c r="S1182" s="19">
        <f t="shared" ca="1" si="181"/>
        <v>6827.957840714952</v>
      </c>
    </row>
    <row r="1183" spans="13:19">
      <c r="M1183" s="81">
        <f t="shared" ca="1" si="178"/>
        <v>10848.435666622079</v>
      </c>
      <c r="N1183" s="19">
        <f t="shared" si="179"/>
        <v>205.03379749995941</v>
      </c>
      <c r="O1183" s="17">
        <f t="shared" si="177"/>
        <v>295.5</v>
      </c>
      <c r="P1183" s="19">
        <f ca="1">IF(ISERROR(IF(O1183&lt;fi_h/20,0,(OFFSET('Base de dados'!$A$5,IF(O1183&lt;20,1,IF(O1183&gt;1000,10,MATCH(O1183,Cargas,1))),Coluna_fih,1,1))*(1+0.13*0.25)*(PI()*(fi_h/1000)^2/4)*SQRT(2*9.81*(O1183/100-fi_h/2/1000))*1000)),"",IF(O1183&lt;fi_h/20,0,(OFFSET('Base de dados'!$A$5,IF(O1183&lt;20,1,IF(O1183&gt;1000,10,MATCH(O1183,Cargas,1))),Coluna_fih,1,1))*(PI()*(fi_h/1000)^2/4)*SQRT(2*9.81*(O1183/100-fi_h/2/1000))*1000))</f>
        <v>45.820023267663906</v>
      </c>
      <c r="Q1183" s="19">
        <f ca="1">IF(O1183="","",IF(Tipo_Vertedor="Retangular",IF(O1183&lt;=cota_s*100,0,IF(Tipo_Vertedor="Retangular",Cd_sr*Lef_sr*((O1183/100-cota_s)^(3/2))*1000)),IF(O1183&lt;=cota_s*100+fi_s/20,0,(OFFSET('Base de dados'!$A$4,IF(O1183&lt;20,1,IF(O1183&gt;1000,10,MATCH(O1183,Cargas,1))),Coluna_fis,1,1))*(PI()*(fi_s/1000)^2/4)*(2*9.81*(O1183/100-cota_s-fi_s/2/1000))^0.5*1000)))</f>
        <v>3968.1557266891009</v>
      </c>
      <c r="R1183" s="19">
        <f t="shared" ca="1" si="180"/>
        <v>4013.975749956765</v>
      </c>
      <c r="S1183" s="19">
        <f t="shared" ca="1" si="181"/>
        <v>6834.4599166653143</v>
      </c>
    </row>
    <row r="1184" spans="13:19">
      <c r="M1184" s="81">
        <f t="shared" ca="1" si="178"/>
        <v>10861.278579127713</v>
      </c>
      <c r="N1184" s="19">
        <f t="shared" si="179"/>
        <v>205.22888033773935</v>
      </c>
      <c r="O1184" s="17">
        <f t="shared" si="177"/>
        <v>295.75</v>
      </c>
      <c r="P1184" s="19">
        <f ca="1">IF(ISERROR(IF(O1184&lt;fi_h/20,0,(OFFSET('Base de dados'!$A$5,IF(O1184&lt;20,1,IF(O1184&gt;1000,10,MATCH(O1184,Cargas,1))),Coluna_fih,1,1))*(1+0.13*0.25)*(PI()*(fi_h/1000)^2/4)*SQRT(2*9.81*(O1184/100-fi_h/2/1000))*1000)),"",IF(O1184&lt;fi_h/20,0,(OFFSET('Base de dados'!$A$5,IF(O1184&lt;20,1,IF(O1184&gt;1000,10,MATCH(O1184,Cargas,1))),Coluna_fih,1,1))*(PI()*(fi_h/1000)^2/4)*SQRT(2*9.81*(O1184/100-fi_h/2/1000))*1000))</f>
        <v>45.839778558041758</v>
      </c>
      <c r="Q1184" s="19">
        <f ca="1">IF(O1184="","",IF(Tipo_Vertedor="Retangular",IF(O1184&lt;=cota_s*100,0,IF(Tipo_Vertedor="Retangular",Cd_sr*Lef_sr*((O1184/100-cota_s)^(3/2))*1000)),IF(O1184&lt;=cota_s*100+fi_s/20,0,(OFFSET('Base de dados'!$A$4,IF(O1184&lt;20,1,IF(O1184&gt;1000,10,MATCH(O1184,Cargas,1))),Coluna_fis,1,1))*(PI()*(fi_s/1000)^2/4)*(2*9.81*(O1184/100-cota_s-fi_s/2/1000))^0.5*1000)))</f>
        <v>3974.476122645026</v>
      </c>
      <c r="R1184" s="19">
        <f t="shared" ca="1" si="180"/>
        <v>4020.3159012030678</v>
      </c>
      <c r="S1184" s="19">
        <f t="shared" ca="1" si="181"/>
        <v>6840.9626779246455</v>
      </c>
    </row>
    <row r="1185" spans="13:19">
      <c r="M1185" s="81">
        <f t="shared" ca="1" si="178"/>
        <v>10874.125520031455</v>
      </c>
      <c r="N1185" s="19">
        <f t="shared" si="179"/>
        <v>205.42398371957373</v>
      </c>
      <c r="O1185" s="17">
        <f t="shared" si="177"/>
        <v>296</v>
      </c>
      <c r="P1185" s="19">
        <f ca="1">IF(ISERROR(IF(O1185&lt;fi_h/20,0,(OFFSET('Base de dados'!$A$5,IF(O1185&lt;20,1,IF(O1185&gt;1000,10,MATCH(O1185,Cargas,1))),Coluna_fih,1,1))*(1+0.13*0.25)*(PI()*(fi_h/1000)^2/4)*SQRT(2*9.81*(O1185/100-fi_h/2/1000))*1000)),"",IF(O1185&lt;fi_h/20,0,(OFFSET('Base de dados'!$A$5,IF(O1185&lt;20,1,IF(O1185&gt;1000,10,MATCH(O1185,Cargas,1))),Coluna_fih,1,1))*(PI()*(fi_h/1000)^2/4)*SQRT(2*9.81*(O1185/100-fi_h/2/1000))*1000))</f>
        <v>45.859525338269123</v>
      </c>
      <c r="Q1185" s="19">
        <f ca="1">IF(O1185="","",IF(Tipo_Vertedor="Retangular",IF(O1185&lt;=cota_s*100,0,IF(Tipo_Vertedor="Retangular",Cd_sr*Lef_sr*((O1185/100-cota_s)^(3/2))*1000)),IF(O1185&lt;=cota_s*100+fi_s/20,0,(OFFSET('Base de dados'!$A$4,IF(O1185&lt;20,1,IF(O1185&gt;1000,10,MATCH(O1185,Cargas,1))),Coluna_fis,1,1))*(PI()*(fi_s/1000)^2/4)*(2*9.81*(O1185/100-cota_s-fi_s/2/1000))^0.5*1000)))</f>
        <v>3980.7998707073939</v>
      </c>
      <c r="R1185" s="19">
        <f t="shared" ca="1" si="180"/>
        <v>4026.659396045663</v>
      </c>
      <c r="S1185" s="19">
        <f t="shared" ca="1" si="181"/>
        <v>6847.4661239857915</v>
      </c>
    </row>
    <row r="1186" spans="13:19">
      <c r="M1186" s="81">
        <f t="shared" ca="1" si="178"/>
        <v>10886.976487061984</v>
      </c>
      <c r="N1186" s="19">
        <f t="shared" si="179"/>
        <v>205.61910763027194</v>
      </c>
      <c r="O1186" s="17">
        <f t="shared" si="177"/>
        <v>296.25</v>
      </c>
      <c r="P1186" s="19">
        <f ca="1">IF(ISERROR(IF(O1186&lt;fi_h/20,0,(OFFSET('Base de dados'!$A$5,IF(O1186&lt;20,1,IF(O1186&gt;1000,10,MATCH(O1186,Cargas,1))),Coluna_fih,1,1))*(1+0.13*0.25)*(PI()*(fi_h/1000)^2/4)*SQRT(2*9.81*(O1186/100-fi_h/2/1000))*1000)),"",IF(O1186&lt;fi_h/20,0,(OFFSET('Base de dados'!$A$5,IF(O1186&lt;20,1,IF(O1186&gt;1000,10,MATCH(O1186,Cargas,1))),Coluna_fih,1,1))*(PI()*(fi_h/1000)^2/4)*SQRT(2*9.81*(O1186/100-fi_h/2/1000))*1000))</f>
        <v>45.879263619334502</v>
      </c>
      <c r="Q1186" s="19">
        <f ca="1">IF(O1186="","",IF(Tipo_Vertedor="Retangular",IF(O1186&lt;=cota_s*100,0,IF(Tipo_Vertedor="Retangular",Cd_sr*Lef_sr*((O1186/100-cota_s)^(3/2))*1000)),IF(O1186&lt;=cota_s*100+fi_s/20,0,(OFFSET('Base de dados'!$A$4,IF(O1186&lt;20,1,IF(O1186&gt;1000,10,MATCH(O1186,Cargas,1))),Coluna_fis,1,1))*(PI()*(fi_s/1000)^2/4)*(2*9.81*(O1186/100-cota_s-fi_s/2/1000))^0.5*1000)))</f>
        <v>3987.1269691002526</v>
      </c>
      <c r="R1186" s="19">
        <f t="shared" ca="1" si="180"/>
        <v>4033.0062327195869</v>
      </c>
      <c r="S1186" s="19">
        <f t="shared" ca="1" si="181"/>
        <v>6853.9702543423973</v>
      </c>
    </row>
    <row r="1187" spans="13:19">
      <c r="M1187" s="81">
        <f t="shared" ca="1" si="178"/>
        <v>10899.831477951582</v>
      </c>
      <c r="N1187" s="19">
        <f t="shared" si="179"/>
        <v>205.81425205466724</v>
      </c>
      <c r="O1187" s="17">
        <f t="shared" si="177"/>
        <v>296.5</v>
      </c>
      <c r="P1187" s="19">
        <f ca="1">IF(ISERROR(IF(O1187&lt;fi_h/20,0,(OFFSET('Base de dados'!$A$5,IF(O1187&lt;20,1,IF(O1187&gt;1000,10,MATCH(O1187,Cargas,1))),Coluna_fih,1,1))*(1+0.13*0.25)*(PI()*(fi_h/1000)^2/4)*SQRT(2*9.81*(O1187/100-fi_h/2/1000))*1000)),"",IF(O1187&lt;fi_h/20,0,(OFFSET('Base de dados'!$A$5,IF(O1187&lt;20,1,IF(O1187&gt;1000,10,MATCH(O1187,Cargas,1))),Coluna_fih,1,1))*(PI()*(fi_h/1000)^2/4)*SQRT(2*9.81*(O1187/100-fi_h/2/1000))*1000))</f>
        <v>45.898993412202771</v>
      </c>
      <c r="Q1187" s="19">
        <f ca="1">IF(O1187="","",IF(Tipo_Vertedor="Retangular",IF(O1187&lt;=cota_s*100,0,IF(Tipo_Vertedor="Retangular",Cd_sr*Lef_sr*((O1187/100-cota_s)^(3/2))*1000)),IF(O1187&lt;=cota_s*100+fi_s/20,0,(OFFSET('Base de dados'!$A$4,IF(O1187&lt;20,1,IF(O1187&gt;1000,10,MATCH(O1187,Cargas,1))),Coluna_fis,1,1))*(PI()*(fi_s/1000)^2/4)*(2*9.81*(O1187/100-cota_s-fi_s/2/1000))^0.5*1000)))</f>
        <v>3993.4574160504699</v>
      </c>
      <c r="R1187" s="19">
        <f t="shared" ca="1" si="180"/>
        <v>4039.3564094626727</v>
      </c>
      <c r="S1187" s="19">
        <f t="shared" ca="1" si="181"/>
        <v>6860.4750684889086</v>
      </c>
    </row>
    <row r="1188" spans="13:19">
      <c r="M1188" s="81">
        <f t="shared" ca="1" si="178"/>
        <v>10912.690490436114</v>
      </c>
      <c r="N1188" s="19">
        <f t="shared" si="179"/>
        <v>206.00941697761706</v>
      </c>
      <c r="O1188" s="17">
        <f t="shared" si="177"/>
        <v>296.75</v>
      </c>
      <c r="P1188" s="19">
        <f ca="1">IF(ISERROR(IF(O1188&lt;fi_h/20,0,(OFFSET('Base de dados'!$A$5,IF(O1188&lt;20,1,IF(O1188&gt;1000,10,MATCH(O1188,Cargas,1))),Coluna_fih,1,1))*(1+0.13*0.25)*(PI()*(fi_h/1000)^2/4)*SQRT(2*9.81*(O1188/100-fi_h/2/1000))*1000)),"",IF(O1188&lt;fi_h/20,0,(OFFSET('Base de dados'!$A$5,IF(O1188&lt;20,1,IF(O1188&gt;1000,10,MATCH(O1188,Cargas,1))),Coluna_fih,1,1))*(PI()*(fi_h/1000)^2/4)*SQRT(2*9.81*(O1188/100-fi_h/2/1000))*1000))</f>
        <v>45.918714727815242</v>
      </c>
      <c r="Q1188" s="19">
        <f ca="1">IF(O1188="","",IF(Tipo_Vertedor="Retangular",IF(O1188&lt;=cota_s*100,0,IF(Tipo_Vertedor="Retangular",Cd_sr*Lef_sr*((O1188/100-cota_s)^(3/2))*1000)),IF(O1188&lt;=cota_s*100+fi_s/20,0,(OFFSET('Base de dados'!$A$4,IF(O1188&lt;20,1,IF(O1188&gt;1000,10,MATCH(O1188,Cargas,1))),Coluna_fis,1,1))*(PI()*(fi_s/1000)^2/4)*(2*9.81*(O1188/100-cota_s-fi_s/2/1000))^0.5*1000)))</f>
        <v>3999.7912097877293</v>
      </c>
      <c r="R1188" s="19">
        <f t="shared" ca="1" si="180"/>
        <v>4045.7099245155446</v>
      </c>
      <c r="S1188" s="19">
        <f t="shared" ca="1" si="181"/>
        <v>6866.9805659205695</v>
      </c>
    </row>
    <row r="1189" spans="13:19">
      <c r="M1189" s="81">
        <f t="shared" ca="1" si="178"/>
        <v>10925.553522255028</v>
      </c>
      <c r="N1189" s="19">
        <f t="shared" si="179"/>
        <v>206.20460238400267</v>
      </c>
      <c r="O1189" s="17">
        <f t="shared" si="177"/>
        <v>297</v>
      </c>
      <c r="P1189" s="19">
        <f ca="1">IF(ISERROR(IF(O1189&lt;fi_h/20,0,(OFFSET('Base de dados'!$A$5,IF(O1189&lt;20,1,IF(O1189&gt;1000,10,MATCH(O1189,Cargas,1))),Coluna_fih,1,1))*(1+0.13*0.25)*(PI()*(fi_h/1000)^2/4)*SQRT(2*9.81*(O1189/100-fi_h/2/1000))*1000)),"",IF(O1189&lt;fi_h/20,0,(OFFSET('Base de dados'!$A$5,IF(O1189&lt;20,1,IF(O1189&gt;1000,10,MATCH(O1189,Cargas,1))),Coluna_fih,1,1))*(PI()*(fi_h/1000)^2/4)*SQRT(2*9.81*(O1189/100-fi_h/2/1000))*1000))</f>
        <v>45.93842757708974</v>
      </c>
      <c r="Q1189" s="19">
        <f ca="1">IF(O1189="","",IF(Tipo_Vertedor="Retangular",IF(O1189&lt;=cota_s*100,0,IF(Tipo_Vertedor="Retangular",Cd_sr*Lef_sr*((O1189/100-cota_s)^(3/2))*1000)),IF(O1189&lt;=cota_s*100+fi_s/20,0,(OFFSET('Base de dados'!$A$4,IF(O1189&lt;20,1,IF(O1189&gt;1000,10,MATCH(O1189,Cargas,1))),Coluna_fis,1,1))*(PI()*(fi_s/1000)^2/4)*(2*9.81*(O1189/100-cota_s-fi_s/2/1000))^0.5*1000)))</f>
        <v>4006.1283485445156</v>
      </c>
      <c r="R1189" s="19">
        <f t="shared" ca="1" si="180"/>
        <v>4052.0667761216055</v>
      </c>
      <c r="S1189" s="19">
        <f t="shared" ca="1" si="181"/>
        <v>6873.4867461334225</v>
      </c>
    </row>
    <row r="1190" spans="13:19">
      <c r="M1190" s="81">
        <f t="shared" ca="1" si="178"/>
        <v>10938.420571151339</v>
      </c>
      <c r="N1190" s="19">
        <f t="shared" si="179"/>
        <v>206.39980825872928</v>
      </c>
      <c r="O1190" s="17">
        <f t="shared" si="177"/>
        <v>297.25</v>
      </c>
      <c r="P1190" s="19">
        <f ca="1">IF(ISERROR(IF(O1190&lt;fi_h/20,0,(OFFSET('Base de dados'!$A$5,IF(O1190&lt;20,1,IF(O1190&gt;1000,10,MATCH(O1190,Cargas,1))),Coluna_fih,1,1))*(1+0.13*0.25)*(PI()*(fi_h/1000)^2/4)*SQRT(2*9.81*(O1190/100-fi_h/2/1000))*1000)),"",IF(O1190&lt;fi_h/20,0,(OFFSET('Base de dados'!$A$5,IF(O1190&lt;20,1,IF(O1190&gt;1000,10,MATCH(O1190,Cargas,1))),Coluna_fih,1,1))*(PI()*(fi_h/1000)^2/4)*SQRT(2*9.81*(O1190/100-fi_h/2/1000))*1000))</f>
        <v>45.958131970920689</v>
      </c>
      <c r="Q1190" s="19">
        <f ca="1">IF(O1190="","",IF(Tipo_Vertedor="Retangular",IF(O1190&lt;=cota_s*100,0,IF(Tipo_Vertedor="Retangular",Cd_sr*Lef_sr*((O1190/100-cota_s)^(3/2))*1000)),IF(O1190&lt;=cota_s*100+fi_s/20,0,(OFFSET('Base de dados'!$A$4,IF(O1190&lt;20,1,IF(O1190&gt;1000,10,MATCH(O1190,Cargas,1))),Coluna_fis,1,1))*(PI()*(fi_s/1000)^2/4)*(2*9.81*(O1190/100-cota_s-fi_s/2/1000))^0.5*1000)))</f>
        <v>4012.4688305561094</v>
      </c>
      <c r="R1190" s="19">
        <f t="shared" ca="1" si="180"/>
        <v>4058.4269625270299</v>
      </c>
      <c r="S1190" s="19">
        <f t="shared" ca="1" si="181"/>
        <v>6879.9936086243097</v>
      </c>
    </row>
    <row r="1191" spans="13:19">
      <c r="M1191" s="81">
        <f t="shared" ca="1" si="178"/>
        <v>10951.291634871626</v>
      </c>
      <c r="N1191" s="19">
        <f t="shared" si="179"/>
        <v>206.59503458672577</v>
      </c>
      <c r="O1191" s="17">
        <f t="shared" si="177"/>
        <v>297.5</v>
      </c>
      <c r="P1191" s="19">
        <f ca="1">IF(ISERROR(IF(O1191&lt;fi_h/20,0,(OFFSET('Base de dados'!$A$5,IF(O1191&lt;20,1,IF(O1191&gt;1000,10,MATCH(O1191,Cargas,1))),Coluna_fih,1,1))*(1+0.13*0.25)*(PI()*(fi_h/1000)^2/4)*SQRT(2*9.81*(O1191/100-fi_h/2/1000))*1000)),"",IF(O1191&lt;fi_h/20,0,(OFFSET('Base de dados'!$A$5,IF(O1191&lt;20,1,IF(O1191&gt;1000,10,MATCH(O1191,Cargas,1))),Coluna_fih,1,1))*(PI()*(fi_h/1000)^2/4)*SQRT(2*9.81*(O1191/100-fi_h/2/1000))*1000))</f>
        <v>45.977827920179145</v>
      </c>
      <c r="Q1191" s="19">
        <f ca="1">IF(O1191="","",IF(Tipo_Vertedor="Retangular",IF(O1191&lt;=cota_s*100,0,IF(Tipo_Vertedor="Retangular",Cd_sr*Lef_sr*((O1191/100-cota_s)^(3/2))*1000)),IF(O1191&lt;=cota_s*100+fi_s/20,0,(OFFSET('Base de dados'!$A$4,IF(O1191&lt;20,1,IF(O1191&gt;1000,10,MATCH(O1191,Cargas,1))),Coluna_fis,1,1))*(PI()*(fi_s/1000)^2/4)*(2*9.81*(O1191/100-cota_s-fi_s/2/1000))^0.5*1000)))</f>
        <v>4018.8126540605876</v>
      </c>
      <c r="R1191" s="19">
        <f t="shared" ca="1" si="180"/>
        <v>4064.7904819807668</v>
      </c>
      <c r="S1191" s="19">
        <f t="shared" ca="1" si="181"/>
        <v>6886.5011528908599</v>
      </c>
    </row>
    <row r="1192" spans="13:19">
      <c r="M1192" s="81">
        <f t="shared" ca="1" si="178"/>
        <v>10964.166711166017</v>
      </c>
      <c r="N1192" s="19">
        <f t="shared" si="179"/>
        <v>206.79028135294499</v>
      </c>
      <c r="O1192" s="17">
        <f t="shared" si="177"/>
        <v>297.75</v>
      </c>
      <c r="P1192" s="19">
        <f ca="1">IF(ISERROR(IF(O1192&lt;fi_h/20,0,(OFFSET('Base de dados'!$A$5,IF(O1192&lt;20,1,IF(O1192&gt;1000,10,MATCH(O1192,Cargas,1))),Coluna_fih,1,1))*(1+0.13*0.25)*(PI()*(fi_h/1000)^2/4)*SQRT(2*9.81*(O1192/100-fi_h/2/1000))*1000)),"",IF(O1192&lt;fi_h/20,0,(OFFSET('Base de dados'!$A$5,IF(O1192&lt;20,1,IF(O1192&gt;1000,10,MATCH(O1192,Cargas,1))),Coluna_fih,1,1))*(PI()*(fi_h/1000)^2/4)*SQRT(2*9.81*(O1192/100-fi_h/2/1000))*1000))</f>
        <v>45.99751543571292</v>
      </c>
      <c r="Q1192" s="19">
        <f ca="1">IF(O1192="","",IF(Tipo_Vertedor="Retangular",IF(O1192&lt;=cota_s*100,0,IF(Tipo_Vertedor="Retangular",Cd_sr*Lef_sr*((O1192/100-cota_s)^(3/2))*1000)),IF(O1192&lt;=cota_s*100+fi_s/20,0,(OFFSET('Base de dados'!$A$4,IF(O1192&lt;20,1,IF(O1192&gt;1000,10,MATCH(O1192,Cargas,1))),Coluna_fis,1,1))*(PI()*(fi_s/1000)^2/4)*(2*9.81*(O1192/100-cota_s-fi_s/2/1000))^0.5*1000)))</f>
        <v>4025.1598172988042</v>
      </c>
      <c r="R1192" s="19">
        <f t="shared" ca="1" si="180"/>
        <v>4071.1573327345172</v>
      </c>
      <c r="S1192" s="19">
        <f t="shared" ca="1" si="181"/>
        <v>6893.0093784314995</v>
      </c>
    </row>
    <row r="1193" spans="13:19">
      <c r="M1193" s="81">
        <f t="shared" ca="1" si="178"/>
        <v>10977.045797788178</v>
      </c>
      <c r="N1193" s="19">
        <f t="shared" si="179"/>
        <v>206.9855485423632</v>
      </c>
      <c r="O1193" s="17">
        <f t="shared" si="177"/>
        <v>298</v>
      </c>
      <c r="P1193" s="19">
        <f ca="1">IF(ISERROR(IF(O1193&lt;fi_h/20,0,(OFFSET('Base de dados'!$A$5,IF(O1193&lt;20,1,IF(O1193&gt;1000,10,MATCH(O1193,Cargas,1))),Coluna_fih,1,1))*(1+0.13*0.25)*(PI()*(fi_h/1000)^2/4)*SQRT(2*9.81*(O1193/100-fi_h/2/1000))*1000)),"",IF(O1193&lt;fi_h/20,0,(OFFSET('Base de dados'!$A$5,IF(O1193&lt;20,1,IF(O1193&gt;1000,10,MATCH(O1193,Cargas,1))),Coluna_fih,1,1))*(PI()*(fi_h/1000)^2/4)*SQRT(2*9.81*(O1193/100-fi_h/2/1000))*1000))</f>
        <v>46.017194528346593</v>
      </c>
      <c r="Q1193" s="19">
        <f ca="1">IF(O1193="","",IF(Tipo_Vertedor="Retangular",IF(O1193&lt;=cota_s*100,0,IF(Tipo_Vertedor="Retangular",Cd_sr*Lef_sr*((O1193/100-cota_s)^(3/2))*1000)),IF(O1193&lt;=cota_s*100+fi_s/20,0,(OFFSET('Base de dados'!$A$4,IF(O1193&lt;20,1,IF(O1193&gt;1000,10,MATCH(O1193,Cargas,1))),Coluna_fis,1,1))*(PI()*(fi_s/1000)^2/4)*(2*9.81*(O1193/100-cota_s-fi_s/2/1000))^0.5*1000)))</f>
        <v>4031.5103185143907</v>
      </c>
      <c r="R1193" s="19">
        <f t="shared" ca="1" si="180"/>
        <v>4077.5275130427372</v>
      </c>
      <c r="S1193" s="19">
        <f t="shared" ca="1" si="181"/>
        <v>6899.5182847454398</v>
      </c>
    </row>
    <row r="1194" spans="13:19">
      <c r="M1194" s="81">
        <f t="shared" ca="1" si="178"/>
        <v>10989.928892495316</v>
      </c>
      <c r="N1194" s="19">
        <f t="shared" si="179"/>
        <v>207.18083613998064</v>
      </c>
      <c r="O1194" s="17">
        <f t="shared" si="177"/>
        <v>298.25</v>
      </c>
      <c r="P1194" s="19">
        <f ca="1">IF(ISERROR(IF(O1194&lt;fi_h/20,0,(OFFSET('Base de dados'!$A$5,IF(O1194&lt;20,1,IF(O1194&gt;1000,10,MATCH(O1194,Cargas,1))),Coluna_fih,1,1))*(1+0.13*0.25)*(PI()*(fi_h/1000)^2/4)*SQRT(2*9.81*(O1194/100-fi_h/2/1000))*1000)),"",IF(O1194&lt;fi_h/20,0,(OFFSET('Base de dados'!$A$5,IF(O1194&lt;20,1,IF(O1194&gt;1000,10,MATCH(O1194,Cargas,1))),Coluna_fih,1,1))*(PI()*(fi_h/1000)^2/4)*SQRT(2*9.81*(O1194/100-fi_h/2/1000))*1000))</f>
        <v>46.036865208881615</v>
      </c>
      <c r="Q1194" s="19">
        <f ca="1">IF(O1194="","",IF(Tipo_Vertedor="Retangular",IF(O1194&lt;=cota_s*100,0,IF(Tipo_Vertedor="Retangular",Cd_sr*Lef_sr*((O1194/100-cota_s)^(3/2))*1000)),IF(O1194&lt;=cota_s*100+fi_s/20,0,(OFFSET('Base de dados'!$A$4,IF(O1194&lt;20,1,IF(O1194&gt;1000,10,MATCH(O1194,Cargas,1))),Coluna_fis,1,1))*(PI()*(fi_s/1000)^2/4)*(2*9.81*(O1194/100-cota_s-fi_s/2/1000))^0.5*1000)))</f>
        <v>4037.8641559537468</v>
      </c>
      <c r="R1194" s="19">
        <f t="shared" ca="1" si="180"/>
        <v>4083.9010211626282</v>
      </c>
      <c r="S1194" s="19">
        <f t="shared" ca="1" si="181"/>
        <v>6906.0278713326879</v>
      </c>
    </row>
    <row r="1195" spans="13:19">
      <c r="M1195" s="81">
        <f t="shared" ca="1" si="178"/>
        <v>11002.815993048156</v>
      </c>
      <c r="N1195" s="19">
        <f t="shared" si="179"/>
        <v>207.37614413082079</v>
      </c>
      <c r="O1195" s="17">
        <f t="shared" si="177"/>
        <v>298.5</v>
      </c>
      <c r="P1195" s="19">
        <f ca="1">IF(ISERROR(IF(O1195&lt;fi_h/20,0,(OFFSET('Base de dados'!$A$5,IF(O1195&lt;20,1,IF(O1195&gt;1000,10,MATCH(O1195,Cargas,1))),Coluna_fih,1,1))*(1+0.13*0.25)*(PI()*(fi_h/1000)^2/4)*SQRT(2*9.81*(O1195/100-fi_h/2/1000))*1000)),"",IF(O1195&lt;fi_h/20,0,(OFFSET('Base de dados'!$A$5,IF(O1195&lt;20,1,IF(O1195&gt;1000,10,MATCH(O1195,Cargas,1))),Coluna_fih,1,1))*(PI()*(fi_h/1000)^2/4)*SQRT(2*9.81*(O1195/100-fi_h/2/1000))*1000))</f>
        <v>46.056527488096386</v>
      </c>
      <c r="Q1195" s="19">
        <f ca="1">IF(O1195="","",IF(Tipo_Vertedor="Retangular",IF(O1195&lt;=cota_s*100,0,IF(Tipo_Vertedor="Retangular",Cd_sr*Lef_sr*((O1195/100-cota_s)^(3/2))*1000)),IF(O1195&lt;=cota_s*100+fi_s/20,0,(OFFSET('Base de dados'!$A$4,IF(O1195&lt;20,1,IF(O1195&gt;1000,10,MATCH(O1195,Cargas,1))),Coluna_fis,1,1))*(PI()*(fi_s/1000)^2/4)*(2*9.81*(O1195/100-cota_s-fi_s/2/1000))^0.5*1000)))</f>
        <v>4044.2213278660333</v>
      </c>
      <c r="R1195" s="19">
        <f t="shared" ca="1" si="180"/>
        <v>4090.2778553541298</v>
      </c>
      <c r="S1195" s="19">
        <f t="shared" ca="1" si="181"/>
        <v>6912.5381376940259</v>
      </c>
    </row>
    <row r="1196" spans="13:19">
      <c r="M1196" s="81">
        <f t="shared" ca="1" si="178"/>
        <v>11015.707097210941</v>
      </c>
      <c r="N1196" s="19">
        <f t="shared" si="179"/>
        <v>207.57147249993096</v>
      </c>
      <c r="O1196" s="17">
        <f t="shared" si="177"/>
        <v>298.75</v>
      </c>
      <c r="P1196" s="19">
        <f ca="1">IF(ISERROR(IF(O1196&lt;fi_h/20,0,(OFFSET('Base de dados'!$A$5,IF(O1196&lt;20,1,IF(O1196&gt;1000,10,MATCH(O1196,Cargas,1))),Coluna_fih,1,1))*(1+0.13*0.25)*(PI()*(fi_h/1000)^2/4)*SQRT(2*9.81*(O1196/100-fi_h/2/1000))*1000)),"",IF(O1196&lt;fi_h/20,0,(OFFSET('Base de dados'!$A$5,IF(O1196&lt;20,1,IF(O1196&gt;1000,10,MATCH(O1196,Cargas,1))),Coluna_fih,1,1))*(PI()*(fi_h/1000)^2/4)*SQRT(2*9.81*(O1196/100-fi_h/2/1000))*1000))</f>
        <v>46.076181376746277</v>
      </c>
      <c r="Q1196" s="19">
        <f ca="1">IF(O1196="","",IF(Tipo_Vertedor="Retangular",IF(O1196&lt;=cota_s*100,0,IF(Tipo_Vertedor="Retangular",Cd_sr*Lef_sr*((O1196/100-cota_s)^(3/2))*1000)),IF(O1196&lt;=cota_s*100+fi_s/20,0,(OFFSET('Base de dados'!$A$4,IF(O1196&lt;20,1,IF(O1196&gt;1000,10,MATCH(O1196,Cargas,1))),Coluna_fis,1,1))*(PI()*(fi_s/1000)^2/4)*(2*9.81*(O1196/100-cota_s-fi_s/2/1000))^0.5*1000)))</f>
        <v>4050.5818325031628</v>
      </c>
      <c r="R1196" s="19">
        <f t="shared" ca="1" si="180"/>
        <v>4096.658013879909</v>
      </c>
      <c r="S1196" s="19">
        <f t="shared" ca="1" si="181"/>
        <v>6919.0490833310323</v>
      </c>
    </row>
    <row r="1197" spans="13:19">
      <c r="M1197" s="81">
        <f t="shared" ca="1" si="178"/>
        <v>11028.602202751419</v>
      </c>
      <c r="N1197" s="19">
        <f t="shared" si="179"/>
        <v>207.76682123238172</v>
      </c>
      <c r="O1197" s="17">
        <f t="shared" si="177"/>
        <v>299</v>
      </c>
      <c r="P1197" s="19">
        <f ca="1">IF(ISERROR(IF(O1197&lt;fi_h/20,0,(OFFSET('Base de dados'!$A$5,IF(O1197&lt;20,1,IF(O1197&gt;1000,10,MATCH(O1197,Cargas,1))),Coluna_fih,1,1))*(1+0.13*0.25)*(PI()*(fi_h/1000)^2/4)*SQRT(2*9.81*(O1197/100-fi_h/2/1000))*1000)),"",IF(O1197&lt;fi_h/20,0,(OFFSET('Base de dados'!$A$5,IF(O1197&lt;20,1,IF(O1197&gt;1000,10,MATCH(O1197,Cargas,1))),Coluna_fih,1,1))*(PI()*(fi_h/1000)^2/4)*SQRT(2*9.81*(O1197/100-fi_h/2/1000))*1000))</f>
        <v>46.095826885563767</v>
      </c>
      <c r="Q1197" s="19">
        <f ca="1">IF(O1197="","",IF(Tipo_Vertedor="Retangular",IF(O1197&lt;=cota_s*100,0,IF(Tipo_Vertedor="Retangular",Cd_sr*Lef_sr*((O1197/100-cota_s)^(3/2))*1000)),IF(O1197&lt;=cota_s*100+fi_s/20,0,(OFFSET('Base de dados'!$A$4,IF(O1197&lt;20,1,IF(O1197&gt;1000,10,MATCH(O1197,Cargas,1))),Coluna_fis,1,1))*(PI()*(fi_s/1000)^2/4)*(2*9.81*(O1197/100-cota_s-fi_s/2/1000))^0.5*1000)))</f>
        <v>4056.9456681197994</v>
      </c>
      <c r="R1197" s="19">
        <f t="shared" ca="1" si="180"/>
        <v>4103.0414950053628</v>
      </c>
      <c r="S1197" s="19">
        <f t="shared" ca="1" si="181"/>
        <v>6925.5607077460572</v>
      </c>
    </row>
    <row r="1198" spans="13:19">
      <c r="M1198" s="81">
        <f t="shared" ca="1" si="178"/>
        <v>11041.501307440833</v>
      </c>
      <c r="N1198" s="19">
        <f t="shared" si="179"/>
        <v>207.96219031326706</v>
      </c>
      <c r="O1198" s="17">
        <f t="shared" si="177"/>
        <v>299.25</v>
      </c>
      <c r="P1198" s="19">
        <f ca="1">IF(ISERROR(IF(O1198&lt;fi_h/20,0,(OFFSET('Base de dados'!$A$5,IF(O1198&lt;20,1,IF(O1198&gt;1000,10,MATCH(O1198,Cargas,1))),Coluna_fih,1,1))*(1+0.13*0.25)*(PI()*(fi_h/1000)^2/4)*SQRT(2*9.81*(O1198/100-fi_h/2/1000))*1000)),"",IF(O1198&lt;fi_h/20,0,(OFFSET('Base de dados'!$A$5,IF(O1198&lt;20,1,IF(O1198&gt;1000,10,MATCH(O1198,Cargas,1))),Coluna_fih,1,1))*(PI()*(fi_h/1000)^2/4)*SQRT(2*9.81*(O1198/100-fi_h/2/1000))*1000))</f>
        <v>46.115464025258447</v>
      </c>
      <c r="Q1198" s="19">
        <f ca="1">IF(O1198="","",IF(Tipo_Vertedor="Retangular",IF(O1198&lt;=cota_s*100,0,IF(Tipo_Vertedor="Retangular",Cd_sr*Lef_sr*((O1198/100-cota_s)^(3/2))*1000)),IF(O1198&lt;=cota_s*100+fi_s/20,0,(OFFSET('Base de dados'!$A$4,IF(O1198&lt;20,1,IF(O1198&gt;1000,10,MATCH(O1198,Cargas,1))),Coluna_fis,1,1))*(PI()*(fi_s/1000)^2/4)*(2*9.81*(O1198/100-cota_s-fi_s/2/1000))^0.5*1000)))</f>
        <v>4063.312832973339</v>
      </c>
      <c r="R1198" s="19">
        <f t="shared" ca="1" si="180"/>
        <v>4109.428296998597</v>
      </c>
      <c r="S1198" s="19">
        <f t="shared" ca="1" si="181"/>
        <v>6932.0730104422355</v>
      </c>
    </row>
    <row r="1199" spans="13:19">
      <c r="M1199" s="81">
        <f t="shared" ca="1" si="178"/>
        <v>11054.404409053914</v>
      </c>
      <c r="N1199" s="19">
        <f t="shared" si="179"/>
        <v>208.1575797277045</v>
      </c>
      <c r="O1199" s="17">
        <f t="shared" si="177"/>
        <v>299.5</v>
      </c>
      <c r="P1199" s="19">
        <f ca="1">IF(ISERROR(IF(O1199&lt;fi_h/20,0,(OFFSET('Base de dados'!$A$5,IF(O1199&lt;20,1,IF(O1199&gt;1000,10,MATCH(O1199,Cargas,1))),Coluna_fih,1,1))*(1+0.13*0.25)*(PI()*(fi_h/1000)^2/4)*SQRT(2*9.81*(O1199/100-fi_h/2/1000))*1000)),"",IF(O1199&lt;fi_h/20,0,(OFFSET('Base de dados'!$A$5,IF(O1199&lt;20,1,IF(O1199&gt;1000,10,MATCH(O1199,Cargas,1))),Coluna_fih,1,1))*(PI()*(fi_h/1000)^2/4)*SQRT(2*9.81*(O1199/100-fi_h/2/1000))*1000))</f>
        <v>46.135092806517136</v>
      </c>
      <c r="Q1199" s="19">
        <f ca="1">IF(O1199="","",IF(Tipo_Vertedor="Retangular",IF(O1199&lt;=cota_s*100,0,IF(Tipo_Vertedor="Retangular",Cd_sr*Lef_sr*((O1199/100-cota_s)^(3/2))*1000)),IF(O1199&lt;=cota_s*100+fi_s/20,0,(OFFSET('Base de dados'!$A$4,IF(O1199&lt;20,1,IF(O1199&gt;1000,10,MATCH(O1199,Cargas,1))),Coluna_fis,1,1))*(PI()*(fi_s/1000)^2/4)*(2*9.81*(O1199/100-cota_s-fi_s/2/1000))^0.5*1000)))</f>
        <v>4069.6833253239129</v>
      </c>
      <c r="R1199" s="19">
        <f t="shared" ca="1" si="180"/>
        <v>4115.8184181304296</v>
      </c>
      <c r="S1199" s="19">
        <f t="shared" ca="1" si="181"/>
        <v>6938.5859909234832</v>
      </c>
    </row>
    <row r="1200" spans="13:19">
      <c r="M1200" s="81">
        <f t="shared" ca="1" si="178"/>
        <v>11067.311505368871</v>
      </c>
      <c r="N1200" s="19">
        <f t="shared" si="179"/>
        <v>208.35298946083458</v>
      </c>
      <c r="O1200" s="17">
        <f t="shared" si="177"/>
        <v>299.75</v>
      </c>
      <c r="P1200" s="19">
        <f ca="1">IF(ISERROR(IF(O1200&lt;fi_h/20,0,(OFFSET('Base de dados'!$A$5,IF(O1200&lt;20,1,IF(O1200&gt;1000,10,MATCH(O1200,Cargas,1))),Coluna_fih,1,1))*(1+0.13*0.25)*(PI()*(fi_h/1000)^2/4)*SQRT(2*9.81*(O1200/100-fi_h/2/1000))*1000)),"",IF(O1200&lt;fi_h/20,0,(OFFSET('Base de dados'!$A$5,IF(O1200&lt;20,1,IF(O1200&gt;1000,10,MATCH(O1200,Cargas,1))),Coluna_fih,1,1))*(PI()*(fi_h/1000)^2/4)*SQRT(2*9.81*(O1200/100-fi_h/2/1000))*1000))</f>
        <v>46.154713240003915</v>
      </c>
      <c r="Q1200" s="19">
        <f ca="1">IF(O1200="","",IF(Tipo_Vertedor="Retangular",IF(O1200&lt;=cota_s*100,0,IF(Tipo_Vertedor="Retangular",Cd_sr*Lef_sr*((O1200/100-cota_s)^(3/2))*1000)),IF(O1200&lt;=cota_s*100+fi_s/20,0,(OFFSET('Base de dados'!$A$4,IF(O1200&lt;20,1,IF(O1200&gt;1000,10,MATCH(O1200,Cargas,1))),Coluna_fis,1,1))*(PI()*(fi_s/1000)^2/4)*(2*9.81*(O1200/100-cota_s-fi_s/2/1000))^0.5*1000)))</f>
        <v>4076.0571434343806</v>
      </c>
      <c r="R1200" s="19">
        <f t="shared" ca="1" si="180"/>
        <v>4122.2118566743848</v>
      </c>
      <c r="S1200" s="19">
        <f t="shared" ca="1" si="181"/>
        <v>6945.0996486944869</v>
      </c>
    </row>
    <row r="1201" spans="13:19">
      <c r="M1201" s="81">
        <f t="shared" ca="1" si="178"/>
        <v>11080.222594167388</v>
      </c>
      <c r="N1201" s="19">
        <f t="shared" si="179"/>
        <v>208.54841949782141</v>
      </c>
      <c r="O1201" s="17">
        <f t="shared" si="177"/>
        <v>300</v>
      </c>
      <c r="P1201" s="19">
        <f ca="1">IF(ISERROR(IF(O1201&lt;fi_h/20,0,(OFFSET('Base de dados'!$A$5,IF(O1201&lt;20,1,IF(O1201&gt;1000,10,MATCH(O1201,Cargas,1))),Coluna_fih,1,1))*(1+0.13*0.25)*(PI()*(fi_h/1000)^2/4)*SQRT(2*9.81*(O1201/100-fi_h/2/1000))*1000)),"",IF(O1201&lt;fi_h/20,0,(OFFSET('Base de dados'!$A$5,IF(O1201&lt;20,1,IF(O1201&gt;1000,10,MATCH(O1201,Cargas,1))),Coluna_fih,1,1))*(PI()*(fi_h/1000)^2/4)*SQRT(2*9.81*(O1201/100-fi_h/2/1000))*1000))</f>
        <v>46.174325336360198</v>
      </c>
      <c r="Q1201" s="19">
        <f ca="1">IF(O1201="","",IF(Tipo_Vertedor="Retangular",IF(O1201&lt;=cota_s*100,0,IF(Tipo_Vertedor="Retangular",Cd_sr*Lef_sr*((O1201/100-cota_s)^(3/2))*1000)),IF(O1201&lt;=cota_s*100+fi_s/20,0,(OFFSET('Base de dados'!$A$4,IF(O1201&lt;20,1,IF(O1201&gt;1000,10,MATCH(O1201,Cargas,1))),Coluna_fis,1,1))*(PI()*(fi_s/1000)^2/4)*(2*9.81*(O1201/100-cota_s-fi_s/2/1000))^0.5*1000)))</f>
        <v>4082.4342855703135</v>
      </c>
      <c r="R1201" s="19">
        <f t="shared" ca="1" si="180"/>
        <v>4128.6086109066737</v>
      </c>
      <c r="S1201" s="19">
        <f t="shared" ca="1" si="181"/>
        <v>6951.6139832607141</v>
      </c>
    </row>
    <row r="1202" spans="13:19">
      <c r="M1202" s="81">
        <f t="shared" ca="1" si="178"/>
        <v>11093.137673234603</v>
      </c>
      <c r="N1202" s="19">
        <f t="shared" si="179"/>
        <v>208.74386982385201</v>
      </c>
      <c r="O1202" s="17">
        <f t="shared" si="177"/>
        <v>300.25</v>
      </c>
      <c r="P1202" s="19">
        <f ca="1">IF(ISERROR(IF(O1202&lt;fi_h/20,0,(OFFSET('Base de dados'!$A$5,IF(O1202&lt;20,1,IF(O1202&gt;1000,10,MATCH(O1202,Cargas,1))),Coluna_fih,1,1))*(1+0.13*0.25)*(PI()*(fi_h/1000)^2/4)*SQRT(2*9.81*(O1202/100-fi_h/2/1000))*1000)),"",IF(O1202&lt;fi_h/20,0,(OFFSET('Base de dados'!$A$5,IF(O1202&lt;20,1,IF(O1202&gt;1000,10,MATCH(O1202,Cargas,1))),Coluna_fih,1,1))*(PI()*(fi_h/1000)^2/4)*SQRT(2*9.81*(O1202/100-fi_h/2/1000))*1000))</f>
        <v>46.193929106204834</v>
      </c>
      <c r="Q1202" s="19">
        <f ca="1">IF(O1202="","",IF(Tipo_Vertedor="Retangular",IF(O1202&lt;=cota_s*100,0,IF(Tipo_Vertedor="Retangular",Cd_sr*Lef_sr*((O1202/100-cota_s)^(3/2))*1000)),IF(O1202&lt;=cota_s*100+fi_s/20,0,(OFFSET('Base de dados'!$A$4,IF(O1202&lt;20,1,IF(O1202&gt;1000,10,MATCH(O1202,Cargas,1))),Coluna_fis,1,1))*(PI()*(fi_s/1000)^2/4)*(2*9.81*(O1202/100-cota_s-fi_s/2/1000))^0.5*1000)))</f>
        <v>4088.8147499999991</v>
      </c>
      <c r="R1202" s="19">
        <f t="shared" ca="1" si="180"/>
        <v>4135.008679106204</v>
      </c>
      <c r="S1202" s="19">
        <f t="shared" ca="1" si="181"/>
        <v>6958.1289941284003</v>
      </c>
    </row>
    <row r="1203" spans="13:19">
      <c r="M1203" s="81">
        <f t="shared" ca="1" si="178"/>
        <v>11106.056740359116</v>
      </c>
      <c r="N1203" s="19">
        <f t="shared" si="179"/>
        <v>208.93934042413665</v>
      </c>
      <c r="O1203" s="17">
        <f t="shared" si="177"/>
        <v>300.5</v>
      </c>
      <c r="P1203" s="19">
        <f ca="1">IF(ISERROR(IF(O1203&lt;fi_h/20,0,(OFFSET('Base de dados'!$A$5,IF(O1203&lt;20,1,IF(O1203&gt;1000,10,MATCH(O1203,Cargas,1))),Coluna_fih,1,1))*(1+0.13*0.25)*(PI()*(fi_h/1000)^2/4)*SQRT(2*9.81*(O1203/100-fi_h/2/1000))*1000)),"",IF(O1203&lt;fi_h/20,0,(OFFSET('Base de dados'!$A$5,IF(O1203&lt;20,1,IF(O1203&gt;1000,10,MATCH(O1203,Cargas,1))),Coluna_fih,1,1))*(PI()*(fi_h/1000)^2/4)*SQRT(2*9.81*(O1203/100-fi_h/2/1000))*1000))</f>
        <v>46.213524560134132</v>
      </c>
      <c r="Q1203" s="19">
        <f ca="1">IF(O1203="","",IF(Tipo_Vertedor="Retangular",IF(O1203&lt;=cota_s*100,0,IF(Tipo_Vertedor="Retangular",Cd_sr*Lef_sr*((O1203/100-cota_s)^(3/2))*1000)),IF(O1203&lt;=cota_s*100+fi_s/20,0,(OFFSET('Base de dados'!$A$4,IF(O1203&lt;20,1,IF(O1203&gt;1000,10,MATCH(O1203,Cargas,1))),Coluna_fis,1,1))*(PI()*(fi_s/1000)^2/4)*(2*9.81*(O1203/100-cota_s-fi_s/2/1000))^0.5*1000)))</f>
        <v>4095.1985349944275</v>
      </c>
      <c r="R1203" s="19">
        <f t="shared" ca="1" si="180"/>
        <v>4141.4120595545619</v>
      </c>
      <c r="S1203" s="19">
        <f t="shared" ca="1" si="181"/>
        <v>6964.6446808045548</v>
      </c>
    </row>
    <row r="1204" spans="13:19">
      <c r="M1204" s="81">
        <f t="shared" ca="1" si="178"/>
        <v>11118.979793332961</v>
      </c>
      <c r="N1204" s="19">
        <f t="shared" si="179"/>
        <v>209.13483128390874</v>
      </c>
      <c r="O1204" s="17">
        <f t="shared" si="177"/>
        <v>300.75</v>
      </c>
      <c r="P1204" s="19">
        <f ca="1">IF(ISERROR(IF(O1204&lt;fi_h/20,0,(OFFSET('Base de dados'!$A$5,IF(O1204&lt;20,1,IF(O1204&gt;1000,10,MATCH(O1204,Cargas,1))),Coluna_fih,1,1))*(1+0.13*0.25)*(PI()*(fi_h/1000)^2/4)*SQRT(2*9.81*(O1204/100-fi_h/2/1000))*1000)),"",IF(O1204&lt;fi_h/20,0,(OFFSET('Base de dados'!$A$5,IF(O1204&lt;20,1,IF(O1204&gt;1000,10,MATCH(O1204,Cargas,1))),Coluna_fih,1,1))*(PI()*(fi_h/1000)^2/4)*SQRT(2*9.81*(O1204/100-fi_h/2/1000))*1000))</f>
        <v>46.233111708721964</v>
      </c>
      <c r="Q1204" s="19">
        <f ca="1">IF(O1204="","",IF(Tipo_Vertedor="Retangular",IF(O1204&lt;=cota_s*100,0,IF(Tipo_Vertedor="Retangular",Cd_sr*Lef_sr*((O1204/100-cota_s)^(3/2))*1000)),IF(O1204&lt;=cota_s*100+fi_s/20,0,(OFFSET('Base de dados'!$A$4,IF(O1204&lt;20,1,IF(O1204&gt;1000,10,MATCH(O1204,Cargas,1))),Coluna_fis,1,1))*(PI()*(fi_s/1000)^2/4)*(2*9.81*(O1204/100-cota_s-fi_s/2/1000))^0.5*1000)))</f>
        <v>4101.5856388272796</v>
      </c>
      <c r="R1204" s="19">
        <f t="shared" ca="1" si="180"/>
        <v>4147.818750536002</v>
      </c>
      <c r="S1204" s="19">
        <f t="shared" ca="1" si="181"/>
        <v>6971.1610427969581</v>
      </c>
    </row>
    <row r="1205" spans="13:19">
      <c r="M1205" s="81">
        <f t="shared" ca="1" si="178"/>
        <v>11131.906829951608</v>
      </c>
      <c r="N1205" s="19">
        <f t="shared" si="179"/>
        <v>209.33034238842458</v>
      </c>
      <c r="O1205" s="17">
        <f t="shared" si="177"/>
        <v>301</v>
      </c>
      <c r="P1205" s="19">
        <f ca="1">IF(ISERROR(IF(O1205&lt;fi_h/20,0,(OFFSET('Base de dados'!$A$5,IF(O1205&lt;20,1,IF(O1205&gt;1000,10,MATCH(O1205,Cargas,1))),Coluna_fih,1,1))*(1+0.13*0.25)*(PI()*(fi_h/1000)^2/4)*SQRT(2*9.81*(O1205/100-fi_h/2/1000))*1000)),"",IF(O1205&lt;fi_h/20,0,(OFFSET('Base de dados'!$A$5,IF(O1205&lt;20,1,IF(O1205&gt;1000,10,MATCH(O1205,Cargas,1))),Coluna_fih,1,1))*(PI()*(fi_h/1000)^2/4)*SQRT(2*9.81*(O1205/100-fi_h/2/1000))*1000))</f>
        <v>46.252690562519788</v>
      </c>
      <c r="Q1205" s="19">
        <f ca="1">IF(O1205="","",IF(Tipo_Vertedor="Retangular",IF(O1205&lt;=cota_s*100,0,IF(Tipo_Vertedor="Retangular",Cd_sr*Lef_sr*((O1205/100-cota_s)^(3/2))*1000)),IF(O1205&lt;=cota_s*100+fi_s/20,0,(OFFSET('Base de dados'!$A$4,IF(O1205&lt;20,1,IF(O1205&gt;1000,10,MATCH(O1205,Cargas,1))),Coluna_fis,1,1))*(PI()*(fi_s/1000)^2/4)*(2*9.81*(O1205/100-cota_s-fi_s/2/1000))^0.5*1000)))</f>
        <v>4107.9760597749355</v>
      </c>
      <c r="R1205" s="19">
        <f t="shared" ca="1" si="180"/>
        <v>4154.2287503374555</v>
      </c>
      <c r="S1205" s="19">
        <f t="shared" ca="1" si="181"/>
        <v>6977.6780796141529</v>
      </c>
    </row>
    <row r="1206" spans="13:19">
      <c r="M1206" s="81">
        <f t="shared" ca="1" si="178"/>
        <v>11144.837848013958</v>
      </c>
      <c r="N1206" s="19">
        <f t="shared" si="179"/>
        <v>209.52587372296358</v>
      </c>
      <c r="O1206" s="17">
        <f t="shared" si="177"/>
        <v>301.25</v>
      </c>
      <c r="P1206" s="19">
        <f ca="1">IF(ISERROR(IF(O1206&lt;fi_h/20,0,(OFFSET('Base de dados'!$A$5,IF(O1206&lt;20,1,IF(O1206&gt;1000,10,MATCH(O1206,Cargas,1))),Coluna_fih,1,1))*(1+0.13*0.25)*(PI()*(fi_h/1000)^2/4)*SQRT(2*9.81*(O1206/100-fi_h/2/1000))*1000)),"",IF(O1206&lt;fi_h/20,0,(OFFSET('Base de dados'!$A$5,IF(O1206&lt;20,1,IF(O1206&gt;1000,10,MATCH(O1206,Cargas,1))),Coluna_fih,1,1))*(PI()*(fi_h/1000)^2/4)*SQRT(2*9.81*(O1206/100-fi_h/2/1000))*1000))</f>
        <v>46.272261132056748</v>
      </c>
      <c r="Q1206" s="19">
        <f ca="1">IF(O1206="","",IF(Tipo_Vertedor="Retangular",IF(O1206&lt;=cota_s*100,0,IF(Tipo_Vertedor="Retangular",Cd_sr*Lef_sr*((O1206/100-cota_s)^(3/2))*1000)),IF(O1206&lt;=cota_s*100+fi_s/20,0,(OFFSET('Base de dados'!$A$4,IF(O1206&lt;20,1,IF(O1206&gt;1000,10,MATCH(O1206,Cargas,1))),Coluna_fis,1,1))*(PI()*(fi_s/1000)^2/4)*(2*9.81*(O1206/100-cota_s-fi_s/2/1000))^0.5*1000)))</f>
        <v>4114.3697961164489</v>
      </c>
      <c r="R1206" s="19">
        <f t="shared" ca="1" si="180"/>
        <v>4160.6420572485058</v>
      </c>
      <c r="S1206" s="19">
        <f t="shared" ca="1" si="181"/>
        <v>6984.1957907654532</v>
      </c>
    </row>
    <row r="1207" spans="13:19">
      <c r="M1207" s="81">
        <f t="shared" ca="1" si="178"/>
        <v>11157.772845322328</v>
      </c>
      <c r="N1207" s="19">
        <f t="shared" si="179"/>
        <v>209.72142527282787</v>
      </c>
      <c r="O1207" s="17">
        <f t="shared" si="177"/>
        <v>301.5</v>
      </c>
      <c r="P1207" s="19">
        <f ca="1">IF(ISERROR(IF(O1207&lt;fi_h/20,0,(OFFSET('Base de dados'!$A$5,IF(O1207&lt;20,1,IF(O1207&gt;1000,10,MATCH(O1207,Cargas,1))),Coluna_fih,1,1))*(1+0.13*0.25)*(PI()*(fi_h/1000)^2/4)*SQRT(2*9.81*(O1207/100-fi_h/2/1000))*1000)),"",IF(O1207&lt;fi_h/20,0,(OFFSET('Base de dados'!$A$5,IF(O1207&lt;20,1,IF(O1207&gt;1000,10,MATCH(O1207,Cargas,1))),Coluna_fih,1,1))*(PI()*(fi_h/1000)^2/4)*SQRT(2*9.81*(O1207/100-fi_h/2/1000))*1000))</f>
        <v>46.291823427839745</v>
      </c>
      <c r="Q1207" s="19">
        <f ca="1">IF(O1207="","",IF(Tipo_Vertedor="Retangular",IF(O1207&lt;=cota_s*100,0,IF(Tipo_Vertedor="Retangular",Cd_sr*Lef_sr*((O1207/100-cota_s)^(3/2))*1000)),IF(O1207&lt;=cota_s*100+fi_s/20,0,(OFFSET('Base de dados'!$A$4,IF(O1207&lt;20,1,IF(O1207&gt;1000,10,MATCH(O1207,Cargas,1))),Coluna_fis,1,1))*(PI()*(fi_s/1000)^2/4)*(2*9.81*(O1207/100-cota_s-fi_s/2/1000))^0.5*1000)))</f>
        <v>4120.7668461335579</v>
      </c>
      <c r="R1207" s="19">
        <f t="shared" ca="1" si="180"/>
        <v>4167.0586695613974</v>
      </c>
      <c r="S1207" s="19">
        <f t="shared" ca="1" si="181"/>
        <v>6990.7141757609297</v>
      </c>
    </row>
    <row r="1208" spans="13:19">
      <c r="M1208" s="81">
        <f t="shared" ca="1" si="178"/>
        <v>11170.711819682434</v>
      </c>
      <c r="N1208" s="19">
        <f t="shared" si="179"/>
        <v>209.91699702334265</v>
      </c>
      <c r="O1208" s="17">
        <f t="shared" si="177"/>
        <v>301.75</v>
      </c>
      <c r="P1208" s="19">
        <f ca="1">IF(ISERROR(IF(O1208&lt;fi_h/20,0,(OFFSET('Base de dados'!$A$5,IF(O1208&lt;20,1,IF(O1208&gt;1000,10,MATCH(O1208,Cargas,1))),Coluna_fih,1,1))*(1+0.13*0.25)*(PI()*(fi_h/1000)^2/4)*SQRT(2*9.81*(O1208/100-fi_h/2/1000))*1000)),"",IF(O1208&lt;fi_h/20,0,(OFFSET('Base de dados'!$A$5,IF(O1208&lt;20,1,IF(O1208&gt;1000,10,MATCH(O1208,Cargas,1))),Coluna_fih,1,1))*(PI()*(fi_h/1000)^2/4)*SQRT(2*9.81*(O1208/100-fi_h/2/1000))*1000))</f>
        <v>46.311377460353476</v>
      </c>
      <c r="Q1208" s="19">
        <f ca="1">IF(O1208="","",IF(Tipo_Vertedor="Retangular",IF(O1208&lt;=cota_s*100,0,IF(Tipo_Vertedor="Retangular",Cd_sr*Lef_sr*((O1208/100-cota_s)^(3/2))*1000)),IF(O1208&lt;=cota_s*100+fi_s/20,0,(OFFSET('Base de dados'!$A$4,IF(O1208&lt;20,1,IF(O1208&gt;1000,10,MATCH(O1208,Cargas,1))),Coluna_fis,1,1))*(PI()*(fi_s/1000)^2/4)*(2*9.81*(O1208/100-cota_s-fi_s/2/1000))^0.5*1000)))</f>
        <v>4127.1672081106599</v>
      </c>
      <c r="R1208" s="19">
        <f t="shared" ca="1" si="180"/>
        <v>4173.4785855710134</v>
      </c>
      <c r="S1208" s="19">
        <f t="shared" ca="1" si="181"/>
        <v>6997.2332341114216</v>
      </c>
    </row>
    <row r="1209" spans="13:19">
      <c r="M1209" s="81">
        <f t="shared" ca="1" si="178"/>
        <v>11183.654768903409</v>
      </c>
      <c r="N1209" s="19">
        <f t="shared" si="179"/>
        <v>210.11258895985574</v>
      </c>
      <c r="O1209" s="17">
        <f t="shared" si="177"/>
        <v>302</v>
      </c>
      <c r="P1209" s="19">
        <f ca="1">IF(ISERROR(IF(O1209&lt;fi_h/20,0,(OFFSET('Base de dados'!$A$5,IF(O1209&lt;20,1,IF(O1209&gt;1000,10,MATCH(O1209,Cargas,1))),Coluna_fih,1,1))*(1+0.13*0.25)*(PI()*(fi_h/1000)^2/4)*SQRT(2*9.81*(O1209/100-fi_h/2/1000))*1000)),"",IF(O1209&lt;fi_h/20,0,(OFFSET('Base de dados'!$A$5,IF(O1209&lt;20,1,IF(O1209&gt;1000,10,MATCH(O1209,Cargas,1))),Coluna_fih,1,1))*(PI()*(fi_h/1000)^2/4)*SQRT(2*9.81*(O1209/100-fi_h/2/1000))*1000))</f>
        <v>46.330923240060507</v>
      </c>
      <c r="Q1209" s="19">
        <f ca="1">IF(O1209="","",IF(Tipo_Vertedor="Retangular",IF(O1209&lt;=cota_s*100,0,IF(Tipo_Vertedor="Retangular",Cd_sr*Lef_sr*((O1209/100-cota_s)^(3/2))*1000)),IF(O1209&lt;=cota_s*100+fi_s/20,0,(OFFSET('Base de dados'!$A$4,IF(O1209&lt;20,1,IF(O1209&gt;1000,10,MATCH(O1209,Cargas,1))),Coluna_fis,1,1))*(PI()*(fi_s/1000)^2/4)*(2*9.81*(O1209/100-cota_s-fi_s/2/1000))^0.5*1000)))</f>
        <v>4133.5708803348234</v>
      </c>
      <c r="R1209" s="19">
        <f t="shared" ca="1" si="180"/>
        <v>4179.9018035748841</v>
      </c>
      <c r="S1209" s="19">
        <f t="shared" ca="1" si="181"/>
        <v>7003.7529653285255</v>
      </c>
    </row>
    <row r="1210" spans="13:19">
      <c r="M1210" s="81">
        <f t="shared" ca="1" si="178"/>
        <v>11196.601690797761</v>
      </c>
      <c r="N1210" s="19">
        <f t="shared" si="179"/>
        <v>210.30820106773785</v>
      </c>
      <c r="O1210" s="17">
        <f t="shared" si="177"/>
        <v>302.25</v>
      </c>
      <c r="P1210" s="19">
        <f ca="1">IF(ISERROR(IF(O1210&lt;fi_h/20,0,(OFFSET('Base de dados'!$A$5,IF(O1210&lt;20,1,IF(O1210&gt;1000,10,MATCH(O1210,Cargas,1))),Coluna_fih,1,1))*(1+0.13*0.25)*(PI()*(fi_h/1000)^2/4)*SQRT(2*9.81*(O1210/100-fi_h/2/1000))*1000)),"",IF(O1210&lt;fi_h/20,0,(OFFSET('Base de dados'!$A$5,IF(O1210&lt;20,1,IF(O1210&gt;1000,10,MATCH(O1210,Cargas,1))),Coluna_fih,1,1))*(PI()*(fi_h/1000)^2/4)*SQRT(2*9.81*(O1210/100-fi_h/2/1000))*1000))</f>
        <v>46.350460777401359</v>
      </c>
      <c r="Q1210" s="19">
        <f ca="1">IF(O1210="","",IF(Tipo_Vertedor="Retangular",IF(O1210&lt;=cota_s*100,0,IF(Tipo_Vertedor="Retangular",Cd_sr*Lef_sr*((O1210/100-cota_s)^(3/2))*1000)),IF(O1210&lt;=cota_s*100+fi_s/20,0,(OFFSET('Base de dados'!$A$4,IF(O1210&lt;20,1,IF(O1210&gt;1000,10,MATCH(O1210,Cargas,1))),Coluna_fis,1,1))*(PI()*(fi_s/1000)^2/4)*(2*9.81*(O1210/100-cota_s-fi_s/2/1000))^0.5*1000)))</f>
        <v>4139.9778610957646</v>
      </c>
      <c r="R1210" s="19">
        <f t="shared" ca="1" si="180"/>
        <v>4186.3283218731658</v>
      </c>
      <c r="S1210" s="19">
        <f t="shared" ca="1" si="181"/>
        <v>7010.2733689245952</v>
      </c>
    </row>
    <row r="1211" spans="13:19">
      <c r="M1211" s="81">
        <f t="shared" ca="1" si="178"/>
        <v>11209.55258318139</v>
      </c>
      <c r="N1211" s="19">
        <f t="shared" si="179"/>
        <v>210.5038333323823</v>
      </c>
      <c r="O1211" s="17">
        <f t="shared" si="177"/>
        <v>302.5</v>
      </c>
      <c r="P1211" s="19">
        <f ca="1">IF(ISERROR(IF(O1211&lt;fi_h/20,0,(OFFSET('Base de dados'!$A$5,IF(O1211&lt;20,1,IF(O1211&gt;1000,10,MATCH(O1211,Cargas,1))),Coluna_fih,1,1))*(1+0.13*0.25)*(PI()*(fi_h/1000)^2/4)*SQRT(2*9.81*(O1211/100-fi_h/2/1000))*1000)),"",IF(O1211&lt;fi_h/20,0,(OFFSET('Base de dados'!$A$5,IF(O1211&lt;20,1,IF(O1211&gt;1000,10,MATCH(O1211,Cargas,1))),Coluna_fih,1,1))*(PI()*(fi_h/1000)^2/4)*SQRT(2*9.81*(O1211/100-fi_h/2/1000))*1000))</f>
        <v>46.369990082794551</v>
      </c>
      <c r="Q1211" s="19">
        <f ca="1">IF(O1211="","",IF(Tipo_Vertedor="Retangular",IF(O1211&lt;=cota_s*100,0,IF(Tipo_Vertedor="Retangular",Cd_sr*Lef_sr*((O1211/100-cota_s)^(3/2))*1000)),IF(O1211&lt;=cota_s*100+fi_s/20,0,(OFFSET('Base de dados'!$A$4,IF(O1211&lt;20,1,IF(O1211&gt;1000,10,MATCH(O1211,Cargas,1))),Coluna_fis,1,1))*(PI()*(fi_s/1000)^2/4)*(2*9.81*(O1211/100-cota_s-fi_s/2/1000))^0.5*1000)))</f>
        <v>4146.3881486858527</v>
      </c>
      <c r="R1211" s="19">
        <f t="shared" ca="1" si="180"/>
        <v>4192.7581387686469</v>
      </c>
      <c r="S1211" s="19">
        <f t="shared" ca="1" si="181"/>
        <v>7016.7944444127434</v>
      </c>
    </row>
    <row r="1212" spans="13:19">
      <c r="M1212" s="81">
        <f t="shared" ca="1" si="178"/>
        <v>11222.50744387357</v>
      </c>
      <c r="N1212" s="19">
        <f t="shared" si="179"/>
        <v>210.69948573920504</v>
      </c>
      <c r="O1212" s="17">
        <f t="shared" si="177"/>
        <v>302.75</v>
      </c>
      <c r="P1212" s="19">
        <f ca="1">IF(ISERROR(IF(O1212&lt;fi_h/20,0,(OFFSET('Base de dados'!$A$5,IF(O1212&lt;20,1,IF(O1212&gt;1000,10,MATCH(O1212,Cargas,1))),Coluna_fih,1,1))*(1+0.13*0.25)*(PI()*(fi_h/1000)^2/4)*SQRT(2*9.81*(O1212/100-fi_h/2/1000))*1000)),"",IF(O1212&lt;fi_h/20,0,(OFFSET('Base de dados'!$A$5,IF(O1212&lt;20,1,IF(O1212&gt;1000,10,MATCH(O1212,Cargas,1))),Coluna_fih,1,1))*(PI()*(fi_h/1000)^2/4)*SQRT(2*9.81*(O1212/100-fi_h/2/1000))*1000))</f>
        <v>46.389511166636666</v>
      </c>
      <c r="Q1212" s="19">
        <f ca="1">IF(O1212="","",IF(Tipo_Vertedor="Retangular",IF(O1212&lt;=cota_s*100,0,IF(Tipo_Vertedor="Retangular",Cd_sr*Lef_sr*((O1212/100-cota_s)^(3/2))*1000)),IF(O1212&lt;=cota_s*100+fi_s/20,0,(OFFSET('Base de dados'!$A$4,IF(O1212&lt;20,1,IF(O1212&gt;1000,10,MATCH(O1212,Cargas,1))),Coluna_fis,1,1))*(PI()*(fi_s/1000)^2/4)*(2*9.81*(O1212/100-cota_s-fi_s/2/1000))^0.5*1000)))</f>
        <v>4152.8017414000988</v>
      </c>
      <c r="R1212" s="19">
        <f t="shared" ca="1" si="180"/>
        <v>4199.1912525667358</v>
      </c>
      <c r="S1212" s="19">
        <f t="shared" ca="1" si="181"/>
        <v>7023.3161913068343</v>
      </c>
    </row>
    <row r="1213" spans="13:19">
      <c r="M1213" s="81">
        <f t="shared" ca="1" si="178"/>
        <v>11235.466270696934</v>
      </c>
      <c r="N1213" s="19">
        <f t="shared" si="179"/>
        <v>210.89515827364468</v>
      </c>
      <c r="O1213" s="17">
        <f t="shared" si="177"/>
        <v>303</v>
      </c>
      <c r="P1213" s="19">
        <f ca="1">IF(ISERROR(IF(O1213&lt;fi_h/20,0,(OFFSET('Base de dados'!$A$5,IF(O1213&lt;20,1,IF(O1213&gt;1000,10,MATCH(O1213,Cargas,1))),Coluna_fih,1,1))*(1+0.13*0.25)*(PI()*(fi_h/1000)^2/4)*SQRT(2*9.81*(O1213/100-fi_h/2/1000))*1000)),"",IF(O1213&lt;fi_h/20,0,(OFFSET('Base de dados'!$A$5,IF(O1213&lt;20,1,IF(O1213&gt;1000,10,MATCH(O1213,Cargas,1))),Coluna_fih,1,1))*(PI()*(fi_h/1000)^2/4)*SQRT(2*9.81*(O1213/100-fi_h/2/1000))*1000))</f>
        <v>46.40902403930243</v>
      </c>
      <c r="Q1213" s="19">
        <f ca="1">IF(O1213="","",IF(Tipo_Vertedor="Retangular",IF(O1213&lt;=cota_s*100,0,IF(Tipo_Vertedor="Retangular",Cd_sr*Lef_sr*((O1213/100-cota_s)^(3/2))*1000)),IF(O1213&lt;=cota_s*100+fi_s/20,0,(OFFSET('Base de dados'!$A$4,IF(O1213&lt;20,1,IF(O1213&gt;1000,10,MATCH(O1213,Cargas,1))),Coluna_fis,1,1))*(PI()*(fi_s/1000)^2/4)*(2*9.81*(O1213/100-cota_s-fi_s/2/1000))^0.5*1000)))</f>
        <v>4159.2186375361416</v>
      </c>
      <c r="R1213" s="19">
        <f t="shared" ca="1" si="180"/>
        <v>4205.6276615754441</v>
      </c>
      <c r="S1213" s="19">
        <f t="shared" ca="1" si="181"/>
        <v>7029.8386091214898</v>
      </c>
    </row>
    <row r="1214" spans="13:19">
      <c r="M1214" s="81">
        <f t="shared" ca="1" si="178"/>
        <v>11248.429061477482</v>
      </c>
      <c r="N1214" s="19">
        <f t="shared" si="179"/>
        <v>211.0908509211624</v>
      </c>
      <c r="O1214" s="17">
        <f t="shared" si="177"/>
        <v>303.25</v>
      </c>
      <c r="P1214" s="19">
        <f ca="1">IF(ISERROR(IF(O1214&lt;fi_h/20,0,(OFFSET('Base de dados'!$A$5,IF(O1214&lt;20,1,IF(O1214&gt;1000,10,MATCH(O1214,Cargas,1))),Coluna_fih,1,1))*(1+0.13*0.25)*(PI()*(fi_h/1000)^2/4)*SQRT(2*9.81*(O1214/100-fi_h/2/1000))*1000)),"",IF(O1214&lt;fi_h/20,0,(OFFSET('Base de dados'!$A$5,IF(O1214&lt;20,1,IF(O1214&gt;1000,10,MATCH(O1214,Cargas,1))),Coluna_fih,1,1))*(PI()*(fi_h/1000)^2/4)*SQRT(2*9.81*(O1214/100-fi_h/2/1000))*1000))</f>
        <v>46.428528711144764</v>
      </c>
      <c r="Q1214" s="19">
        <f ca="1">IF(O1214="","",IF(Tipo_Vertedor="Retangular",IF(O1214&lt;=cota_s*100,0,IF(Tipo_Vertedor="Retangular",Cd_sr*Lef_sr*((O1214/100-cota_s)^(3/2))*1000)),IF(O1214&lt;=cota_s*100+fi_s/20,0,(OFFSET('Base de dados'!$A$4,IF(O1214&lt;20,1,IF(O1214&gt;1000,10,MATCH(O1214,Cargas,1))),Coluna_fis,1,1))*(PI()*(fi_s/1000)^2/4)*(2*9.81*(O1214/100-cota_s-fi_s/2/1000))^0.5*1000)))</f>
        <v>4165.6388353942566</v>
      </c>
      <c r="R1214" s="19">
        <f t="shared" ca="1" si="180"/>
        <v>4212.0673641054018</v>
      </c>
      <c r="S1214" s="19">
        <f t="shared" ca="1" si="181"/>
        <v>7036.36169737208</v>
      </c>
    </row>
    <row r="1215" spans="13:19">
      <c r="M1215" s="81">
        <f t="shared" ca="1" si="178"/>
        <v>11261.39581404455</v>
      </c>
      <c r="N1215" s="19">
        <f t="shared" si="179"/>
        <v>211.28656366724167</v>
      </c>
      <c r="O1215" s="17">
        <f t="shared" si="177"/>
        <v>303.5</v>
      </c>
      <c r="P1215" s="19">
        <f ca="1">IF(ISERROR(IF(O1215&lt;fi_h/20,0,(OFFSET('Base de dados'!$A$5,IF(O1215&lt;20,1,IF(O1215&gt;1000,10,MATCH(O1215,Cargas,1))),Coluna_fih,1,1))*(1+0.13*0.25)*(PI()*(fi_h/1000)^2/4)*SQRT(2*9.81*(O1215/100-fi_h/2/1000))*1000)),"",IF(O1215&lt;fi_h/20,0,(OFFSET('Base de dados'!$A$5,IF(O1215&lt;20,1,IF(O1215&gt;1000,10,MATCH(O1215,Cargas,1))),Coluna_fih,1,1))*(PI()*(fi_h/1000)^2/4)*SQRT(2*9.81*(O1215/100-fi_h/2/1000))*1000))</f>
        <v>46.44802519249486</v>
      </c>
      <c r="Q1215" s="19">
        <f ca="1">IF(O1215="","",IF(Tipo_Vertedor="Retangular",IF(O1215&lt;=cota_s*100,0,IF(Tipo_Vertedor="Retangular",Cd_sr*Lef_sr*((O1215/100-cota_s)^(3/2))*1000)),IF(O1215&lt;=cota_s*100+fi_s/20,0,(OFFSET('Base de dados'!$A$4,IF(O1215&lt;20,1,IF(O1215&gt;1000,10,MATCH(O1215,Cargas,1))),Coluna_fis,1,1))*(PI()*(fi_s/1000)^2/4)*(2*9.81*(O1215/100-cota_s-fi_s/2/1000))^0.5*1000)))</f>
        <v>4172.0623332773321</v>
      </c>
      <c r="R1215" s="19">
        <f t="shared" ca="1" si="180"/>
        <v>4218.5103584698272</v>
      </c>
      <c r="S1215" s="19">
        <f t="shared" ca="1" si="181"/>
        <v>7042.8854555747221</v>
      </c>
    </row>
    <row r="1216" spans="13:19">
      <c r="M1216" s="81">
        <f t="shared" ca="1" si="178"/>
        <v>11274.366526230826</v>
      </c>
      <c r="N1216" s="19">
        <f t="shared" si="179"/>
        <v>211.48229649738855</v>
      </c>
      <c r="O1216" s="17">
        <f t="shared" si="177"/>
        <v>303.75</v>
      </c>
      <c r="P1216" s="19">
        <f ca="1">IF(ISERROR(IF(O1216&lt;fi_h/20,0,(OFFSET('Base de dados'!$A$5,IF(O1216&lt;20,1,IF(O1216&gt;1000,10,MATCH(O1216,Cargas,1))),Coluna_fih,1,1))*(1+0.13*0.25)*(PI()*(fi_h/1000)^2/4)*SQRT(2*9.81*(O1216/100-fi_h/2/1000))*1000)),"",IF(O1216&lt;fi_h/20,0,(OFFSET('Base de dados'!$A$5,IF(O1216&lt;20,1,IF(O1216&gt;1000,10,MATCH(O1216,Cargas,1))),Coluna_fih,1,1))*(PI()*(fi_h/1000)^2/4)*SQRT(2*9.81*(O1216/100-fi_h/2/1000))*1000))</f>
        <v>46.46751349366221</v>
      </c>
      <c r="Q1216" s="19">
        <f ca="1">IF(O1216="","",IF(Tipo_Vertedor="Retangular",IF(O1216&lt;=cota_s*100,0,IF(Tipo_Vertedor="Retangular",Cd_sr*Lef_sr*((O1216/100-cota_s)^(3/2))*1000)),IF(O1216&lt;=cota_s*100+fi_s/20,0,(OFFSET('Base de dados'!$A$4,IF(O1216&lt;20,1,IF(O1216&gt;1000,10,MATCH(O1216,Cargas,1))),Coluna_fis,1,1))*(PI()*(fi_s/1000)^2/4)*(2*9.81*(O1216/100-cota_s-fi_s/2/1000))^0.5*1000)))</f>
        <v>4178.4891294908784</v>
      </c>
      <c r="R1216" s="19">
        <f t="shared" ca="1" si="180"/>
        <v>4224.9566429845408</v>
      </c>
      <c r="S1216" s="19">
        <f t="shared" ca="1" si="181"/>
        <v>7049.4098832462851</v>
      </c>
    </row>
    <row r="1217" spans="13:19">
      <c r="M1217" s="81">
        <f t="shared" ca="1" si="178"/>
        <v>11287.341195872323</v>
      </c>
      <c r="N1217" s="19">
        <f t="shared" si="179"/>
        <v>211.67804939713136</v>
      </c>
      <c r="O1217" s="17">
        <f t="shared" si="177"/>
        <v>304</v>
      </c>
      <c r="P1217" s="19">
        <f ca="1">IF(ISERROR(IF(O1217&lt;fi_h/20,0,(OFFSET('Base de dados'!$A$5,IF(O1217&lt;20,1,IF(O1217&gt;1000,10,MATCH(O1217,Cargas,1))),Coluna_fih,1,1))*(1+0.13*0.25)*(PI()*(fi_h/1000)^2/4)*SQRT(2*9.81*(O1217/100-fi_h/2/1000))*1000)),"",IF(O1217&lt;fi_h/20,0,(OFFSET('Base de dados'!$A$5,IF(O1217&lt;20,1,IF(O1217&gt;1000,10,MATCH(O1217,Cargas,1))),Coluna_fih,1,1))*(PI()*(fi_h/1000)^2/4)*SQRT(2*9.81*(O1217/100-fi_h/2/1000))*1000))</f>
        <v>46.486993624934733</v>
      </c>
      <c r="Q1217" s="19">
        <f ca="1">IF(O1217="","",IF(Tipo_Vertedor="Retangular",IF(O1217&lt;=cota_s*100,0,IF(Tipo_Vertedor="Retangular",Cd_sr*Lef_sr*((O1217/100-cota_s)^(3/2))*1000)),IF(O1217&lt;=cota_s*100+fi_s/20,0,(OFFSET('Base de dados'!$A$4,IF(O1217&lt;20,1,IF(O1217&gt;1000,10,MATCH(O1217,Cargas,1))),Coluna_fis,1,1))*(PI()*(fi_s/1000)^2/4)*(2*9.81*(O1217/100-cota_s-fi_s/2/1000))^0.5*1000)))</f>
        <v>4184.9192223430082</v>
      </c>
      <c r="R1217" s="19">
        <f t="shared" ca="1" si="180"/>
        <v>4231.4062159679434</v>
      </c>
      <c r="S1217" s="19">
        <f t="shared" ca="1" si="181"/>
        <v>7055.9349799043794</v>
      </c>
    </row>
    <row r="1218" spans="13:19">
      <c r="M1218" s="81">
        <f t="shared" ca="1" si="178"/>
        <v>11300.319820808378</v>
      </c>
      <c r="N1218" s="19">
        <f t="shared" si="179"/>
        <v>211.87382235202091</v>
      </c>
      <c r="O1218" s="17">
        <f t="shared" si="177"/>
        <v>304.25</v>
      </c>
      <c r="P1218" s="19">
        <f ca="1">IF(ISERROR(IF(O1218&lt;fi_h/20,0,(OFFSET('Base de dados'!$A$5,IF(O1218&lt;20,1,IF(O1218&gt;1000,10,MATCH(O1218,Cargas,1))),Coluna_fih,1,1))*(1+0.13*0.25)*(PI()*(fi_h/1000)^2/4)*SQRT(2*9.81*(O1218/100-fi_h/2/1000))*1000)),"",IF(O1218&lt;fi_h/20,0,(OFFSET('Base de dados'!$A$5,IF(O1218&lt;20,1,IF(O1218&gt;1000,10,MATCH(O1218,Cargas,1))),Coluna_fih,1,1))*(PI()*(fi_h/1000)^2/4)*SQRT(2*9.81*(O1218/100-fi_h/2/1000))*1000))</f>
        <v>46.506465596578778</v>
      </c>
      <c r="Q1218" s="19">
        <f ca="1">IF(O1218="","",IF(Tipo_Vertedor="Retangular",IF(O1218&lt;=cota_s*100,0,IF(Tipo_Vertedor="Retangular",Cd_sr*Lef_sr*((O1218/100-cota_s)^(3/2))*1000)),IF(O1218&lt;=cota_s*100+fi_s/20,0,(OFFSET('Base de dados'!$A$4,IF(O1218&lt;20,1,IF(O1218&gt;1000,10,MATCH(O1218,Cargas,1))),Coluna_fis,1,1))*(PI()*(fi_s/1000)^2/4)*(2*9.81*(O1218/100-cota_s-fi_s/2/1000))^0.5*1000)))</f>
        <v>4191.3526101444349</v>
      </c>
      <c r="R1218" s="19">
        <f t="shared" ca="1" si="180"/>
        <v>4237.8590757410138</v>
      </c>
      <c r="S1218" s="19">
        <f t="shared" ca="1" si="181"/>
        <v>7062.4607450673639</v>
      </c>
    </row>
    <row r="1219" spans="13:19">
      <c r="M1219" s="81">
        <f t="shared" ca="1" si="178"/>
        <v>11313.302398881648</v>
      </c>
      <c r="N1219" s="19">
        <f t="shared" si="179"/>
        <v>212.06961534763019</v>
      </c>
      <c r="O1219" s="17">
        <f t="shared" si="177"/>
        <v>304.5</v>
      </c>
      <c r="P1219" s="19">
        <f ca="1">IF(ISERROR(IF(O1219&lt;fi_h/20,0,(OFFSET('Base de dados'!$A$5,IF(O1219&lt;20,1,IF(O1219&gt;1000,10,MATCH(O1219,Cargas,1))),Coluna_fih,1,1))*(1+0.13*0.25)*(PI()*(fi_h/1000)^2/4)*SQRT(2*9.81*(O1219/100-fi_h/2/1000))*1000)),"",IF(O1219&lt;fi_h/20,0,(OFFSET('Base de dados'!$A$5,IF(O1219&lt;20,1,IF(O1219&gt;1000,10,MATCH(O1219,Cargas,1))),Coluna_fih,1,1))*(PI()*(fi_h/1000)^2/4)*SQRT(2*9.81*(O1219/100-fi_h/2/1000))*1000))</f>
        <v>46.525929418839219</v>
      </c>
      <c r="Q1219" s="19">
        <f ca="1">IF(O1219="","",IF(Tipo_Vertedor="Retangular",IF(O1219&lt;=cota_s*100,0,IF(Tipo_Vertedor="Retangular",Cd_sr*Lef_sr*((O1219/100-cota_s)^(3/2))*1000)),IF(O1219&lt;=cota_s*100+fi_s/20,0,(OFFSET('Base de dados'!$A$4,IF(O1219&lt;20,1,IF(O1219&gt;1000,10,MATCH(O1219,Cargas,1))),Coluna_fis,1,1))*(PI()*(fi_s/1000)^2/4)*(2*9.81*(O1219/100-cota_s-fi_s/2/1000))^0.5*1000)))</f>
        <v>4197.789291208469</v>
      </c>
      <c r="R1219" s="19">
        <f t="shared" ca="1" si="180"/>
        <v>4244.315220627308</v>
      </c>
      <c r="S1219" s="19">
        <f t="shared" ca="1" si="181"/>
        <v>7068.9871782543396</v>
      </c>
    </row>
    <row r="1220" spans="13:19">
      <c r="M1220" s="81">
        <f t="shared" ca="1" si="178"/>
        <v>11326.288927938087</v>
      </c>
      <c r="N1220" s="19">
        <f t="shared" si="179"/>
        <v>212.2654283695542</v>
      </c>
      <c r="O1220" s="17">
        <f t="shared" si="177"/>
        <v>304.75</v>
      </c>
      <c r="P1220" s="19">
        <f ca="1">IF(ISERROR(IF(O1220&lt;fi_h/20,0,(OFFSET('Base de dados'!$A$5,IF(O1220&lt;20,1,IF(O1220&gt;1000,10,MATCH(O1220,Cargas,1))),Coluna_fih,1,1))*(1+0.13*0.25)*(PI()*(fi_h/1000)^2/4)*SQRT(2*9.81*(O1220/100-fi_h/2/1000))*1000)),"",IF(O1220&lt;fi_h/20,0,(OFFSET('Base de dados'!$A$5,IF(O1220&lt;20,1,IF(O1220&gt;1000,10,MATCH(O1220,Cargas,1))),Coluna_fih,1,1))*(PI()*(fi_h/1000)^2/4)*SQRT(2*9.81*(O1220/100-fi_h/2/1000))*1000))</f>
        <v>46.545385101939502</v>
      </c>
      <c r="Q1220" s="19">
        <f ca="1">IF(O1220="","",IF(Tipo_Vertedor="Retangular",IF(O1220&lt;=cota_s*100,0,IF(Tipo_Vertedor="Retangular",Cd_sr*Lef_sr*((O1220/100-cota_s)^(3/2))*1000)),IF(O1220&lt;=cota_s*100+fi_s/20,0,(OFFSET('Base de dados'!$A$4,IF(O1220&lt;20,1,IF(O1220&gt;1000,10,MATCH(O1220,Cargas,1))),Coluna_fis,1,1))*(PI()*(fi_s/1000)^2/4)*(2*9.81*(O1220/100-cota_s-fi_s/2/1000))^0.5*1000)))</f>
        <v>4204.2292638510071</v>
      </c>
      <c r="R1220" s="19">
        <f t="shared" ca="1" si="180"/>
        <v>4250.7746489529463</v>
      </c>
      <c r="S1220" s="19">
        <f t="shared" ca="1" si="181"/>
        <v>7075.5142789851398</v>
      </c>
    </row>
    <row r="1221" spans="13:19">
      <c r="M1221" s="81">
        <f t="shared" ca="1" si="178"/>
        <v>11339.279405826961</v>
      </c>
      <c r="N1221" s="19">
        <f t="shared" si="179"/>
        <v>212.46126140341056</v>
      </c>
      <c r="O1221" s="17">
        <f t="shared" si="177"/>
        <v>305</v>
      </c>
      <c r="P1221" s="19">
        <f ca="1">IF(ISERROR(IF(O1221&lt;fi_h/20,0,(OFFSET('Base de dados'!$A$5,IF(O1221&lt;20,1,IF(O1221&gt;1000,10,MATCH(O1221,Cargas,1))),Coluna_fih,1,1))*(1+0.13*0.25)*(PI()*(fi_h/1000)^2/4)*SQRT(2*9.81*(O1221/100-fi_h/2/1000))*1000)),"",IF(O1221&lt;fi_h/20,0,(OFFSET('Base de dados'!$A$5,IF(O1221&lt;20,1,IF(O1221&gt;1000,10,MATCH(O1221,Cargas,1))),Coluna_fih,1,1))*(PI()*(fi_h/1000)^2/4)*SQRT(2*9.81*(O1221/100-fi_h/2/1000))*1000))</f>
        <v>46.564832656081727</v>
      </c>
      <c r="Q1221" s="19">
        <f ca="1">IF(O1221="","",IF(Tipo_Vertedor="Retangular",IF(O1221&lt;=cota_s*100,0,IF(Tipo_Vertedor="Retangular",Cd_sr*Lef_sr*((O1221/100-cota_s)^(3/2))*1000)),IF(O1221&lt;=cota_s*100+fi_s/20,0,(OFFSET('Base de dados'!$A$4,IF(O1221&lt;20,1,IF(O1221&gt;1000,10,MATCH(O1221,Cargas,1))),Coluna_fis,1,1))*(PI()*(fi_s/1000)^2/4)*(2*9.81*(O1221/100-cota_s-fi_s/2/1000))^0.5*1000)))</f>
        <v>4210.6725263905282</v>
      </c>
      <c r="R1221" s="19">
        <f t="shared" ca="1" si="180"/>
        <v>4257.2373590466095</v>
      </c>
      <c r="S1221" s="19">
        <f t="shared" ca="1" si="181"/>
        <v>7082.0420467803515</v>
      </c>
    </row>
    <row r="1222" spans="13:19">
      <c r="M1222" s="81">
        <f t="shared" ca="1" si="178"/>
        <v>11352.273830400816</v>
      </c>
      <c r="N1222" s="19">
        <f t="shared" si="179"/>
        <v>212.65711443483852</v>
      </c>
      <c r="O1222" s="17">
        <f t="shared" si="177"/>
        <v>305.25</v>
      </c>
      <c r="P1222" s="19">
        <f ca="1">IF(ISERROR(IF(O1222&lt;fi_h/20,0,(OFFSET('Base de dados'!$A$5,IF(O1222&lt;20,1,IF(O1222&gt;1000,10,MATCH(O1222,Cargas,1))),Coluna_fih,1,1))*(1+0.13*0.25)*(PI()*(fi_h/1000)^2/4)*SQRT(2*9.81*(O1222/100-fi_h/2/1000))*1000)),"",IF(O1222&lt;fi_h/20,0,(OFFSET('Base de dados'!$A$5,IF(O1222&lt;20,1,IF(O1222&gt;1000,10,MATCH(O1222,Cargas,1))),Coluna_fih,1,1))*(PI()*(fi_h/1000)^2/4)*SQRT(2*9.81*(O1222/100-fi_h/2/1000))*1000))</f>
        <v>46.584272091446671</v>
      </c>
      <c r="Q1222" s="19">
        <f ca="1">IF(O1222="","",IF(Tipo_Vertedor="Retangular",IF(O1222&lt;=cota_s*100,0,IF(Tipo_Vertedor="Retangular",Cd_sr*Lef_sr*((O1222/100-cota_s)^(3/2))*1000)),IF(O1222&lt;=cota_s*100+fi_s/20,0,(OFFSET('Base de dados'!$A$4,IF(O1222&lt;20,1,IF(O1222&gt;1000,10,MATCH(O1222,Cargas,1))),Coluna_fis,1,1))*(PI()*(fi_s/1000)^2/4)*(2*9.81*(O1222/100-cota_s-fi_s/2/1000))^0.5*1000)))</f>
        <v>4217.1190771480851</v>
      </c>
      <c r="R1222" s="19">
        <f t="shared" ca="1" si="180"/>
        <v>4263.7033492395321</v>
      </c>
      <c r="S1222" s="19">
        <f t="shared" ca="1" si="181"/>
        <v>7088.5704811612841</v>
      </c>
    </row>
    <row r="1223" spans="13:19">
      <c r="M1223" s="81">
        <f t="shared" ca="1" si="178"/>
        <v>11365.272199515475</v>
      </c>
      <c r="N1223" s="19">
        <f t="shared" si="179"/>
        <v>212.85298744949961</v>
      </c>
      <c r="O1223" s="17">
        <f t="shared" si="177"/>
        <v>305.5</v>
      </c>
      <c r="P1223" s="19">
        <f ca="1">IF(ISERROR(IF(O1223&lt;fi_h/20,0,(OFFSET('Base de dados'!$A$5,IF(O1223&lt;20,1,IF(O1223&gt;1000,10,MATCH(O1223,Cargas,1))),Coluna_fih,1,1))*(1+0.13*0.25)*(PI()*(fi_h/1000)^2/4)*SQRT(2*9.81*(O1223/100-fi_h/2/1000))*1000)),"",IF(O1223&lt;fi_h/20,0,(OFFSET('Base de dados'!$A$5,IF(O1223&lt;20,1,IF(O1223&gt;1000,10,MATCH(O1223,Cargas,1))),Coluna_fih,1,1))*(PI()*(fi_h/1000)^2/4)*SQRT(2*9.81*(O1223/100-fi_h/2/1000))*1000))</f>
        <v>46.60370341819393</v>
      </c>
      <c r="Q1223" s="19">
        <f ca="1">IF(O1223="","",IF(Tipo_Vertedor="Retangular",IF(O1223&lt;=cota_s*100,0,IF(Tipo_Vertedor="Retangular",Cd_sr*Lef_sr*((O1223/100-cota_s)^(3/2))*1000)),IF(O1223&lt;=cota_s*100+fi_s/20,0,(OFFSET('Base de dados'!$A$4,IF(O1223&lt;20,1,IF(O1223&gt;1000,10,MATCH(O1223,Cargas,1))),Coluna_fis,1,1))*(PI()*(fi_s/1000)^2/4)*(2*9.81*(O1223/100-cota_s-fi_s/2/1000))^0.5*1000)))</f>
        <v>4223.5689144472954</v>
      </c>
      <c r="R1223" s="19">
        <f t="shared" ca="1" si="180"/>
        <v>4270.172617865489</v>
      </c>
      <c r="S1223" s="19">
        <f t="shared" ca="1" si="181"/>
        <v>7095.0995816499872</v>
      </c>
    </row>
    <row r="1224" spans="13:19">
      <c r="M1224" s="81">
        <f t="shared" ca="1" si="178"/>
        <v>11378.274511030053</v>
      </c>
      <c r="N1224" s="19">
        <f t="shared" si="179"/>
        <v>213.0488804330775</v>
      </c>
      <c r="O1224" s="17">
        <f t="shared" si="177"/>
        <v>305.75</v>
      </c>
      <c r="P1224" s="19">
        <f ca="1">IF(ISERROR(IF(O1224&lt;fi_h/20,0,(OFFSET('Base de dados'!$A$5,IF(O1224&lt;20,1,IF(O1224&gt;1000,10,MATCH(O1224,Cargas,1))),Coluna_fih,1,1))*(1+0.13*0.25)*(PI()*(fi_h/1000)^2/4)*SQRT(2*9.81*(O1224/100-fi_h/2/1000))*1000)),"",IF(O1224&lt;fi_h/20,0,(OFFSET('Base de dados'!$A$5,IF(O1224&lt;20,1,IF(O1224&gt;1000,10,MATCH(O1224,Cargas,1))),Coluna_fih,1,1))*(PI()*(fi_h/1000)^2/4)*SQRT(2*9.81*(O1224/100-fi_h/2/1000))*1000))</f>
        <v>46.62312664646187</v>
      </c>
      <c r="Q1224" s="19">
        <f ca="1">IF(O1224="","",IF(Tipo_Vertedor="Retangular",IF(O1224&lt;=cota_s*100,0,IF(Tipo_Vertedor="Retangular",Cd_sr*Lef_sr*((O1224/100-cota_s)^(3/2))*1000)),IF(O1224&lt;=cota_s*100+fi_s/20,0,(OFFSET('Base de dados'!$A$4,IF(O1224&lt;20,1,IF(O1224&gt;1000,10,MATCH(O1224,Cargas,1))),Coluna_fis,1,1))*(PI()*(fi_s/1000)^2/4)*(2*9.81*(O1224/100-cota_s-fi_s/2/1000))^0.5*1000)))</f>
        <v>4230.0220366143412</v>
      </c>
      <c r="R1224" s="19">
        <f t="shared" ca="1" si="180"/>
        <v>4276.6451632608032</v>
      </c>
      <c r="S1224" s="19">
        <f t="shared" ca="1" si="181"/>
        <v>7101.6293477692498</v>
      </c>
    </row>
    <row r="1225" spans="13:19">
      <c r="M1225" s="81">
        <f t="shared" ca="1" si="178"/>
        <v>11391.280762806913</v>
      </c>
      <c r="N1225" s="19">
        <f t="shared" si="179"/>
        <v>213.24479337127755</v>
      </c>
      <c r="O1225" s="17">
        <f t="shared" si="177"/>
        <v>306</v>
      </c>
      <c r="P1225" s="19">
        <f ca="1">IF(ISERROR(IF(O1225&lt;fi_h/20,0,(OFFSET('Base de dados'!$A$5,IF(O1225&lt;20,1,IF(O1225&gt;1000,10,MATCH(O1225,Cargas,1))),Coluna_fih,1,1))*(1+0.13*0.25)*(PI()*(fi_h/1000)^2/4)*SQRT(2*9.81*(O1225/100-fi_h/2/1000))*1000)),"",IF(O1225&lt;fi_h/20,0,(OFFSET('Base de dados'!$A$5,IF(O1225&lt;20,1,IF(O1225&gt;1000,10,MATCH(O1225,Cargas,1))),Coluna_fih,1,1))*(PI()*(fi_h/1000)^2/4)*SQRT(2*9.81*(O1225/100-fi_h/2/1000))*1000))</f>
        <v>46.642541786367801</v>
      </c>
      <c r="Q1225" s="19">
        <f ca="1">IF(O1225="","",IF(Tipo_Vertedor="Retangular",IF(O1225&lt;=cota_s*100,0,IF(Tipo_Vertedor="Retangular",Cd_sr*Lef_sr*((O1225/100-cota_s)^(3/2))*1000)),IF(O1225&lt;=cota_s*100+fi_s/20,0,(OFFSET('Base de dados'!$A$4,IF(O1225&lt;20,1,IF(O1225&gt;1000,10,MATCH(O1225,Cargas,1))),Coluna_fis,1,1))*(PI()*(fi_s/1000)^2/4)*(2*9.81*(O1225/100-cota_s-fi_s/2/1000))^0.5*1000)))</f>
        <v>4236.4784419779598</v>
      </c>
      <c r="R1225" s="19">
        <f t="shared" ca="1" si="180"/>
        <v>4283.1209837643273</v>
      </c>
      <c r="S1225" s="19">
        <f t="shared" ca="1" si="181"/>
        <v>7108.1597790425849</v>
      </c>
    </row>
    <row r="1226" spans="13:19">
      <c r="M1226" s="81">
        <f t="shared" ca="1" si="178"/>
        <v>11404.290952711683</v>
      </c>
      <c r="N1226" s="19">
        <f t="shared" si="179"/>
        <v>213.44072624982721</v>
      </c>
      <c r="O1226" s="17">
        <f t="shared" si="177"/>
        <v>306.25</v>
      </c>
      <c r="P1226" s="19">
        <f ca="1">IF(ISERROR(IF(O1226&lt;fi_h/20,0,(OFFSET('Base de dados'!$A$5,IF(O1226&lt;20,1,IF(O1226&gt;1000,10,MATCH(O1226,Cargas,1))),Coluna_fih,1,1))*(1+0.13*0.25)*(PI()*(fi_h/1000)^2/4)*SQRT(2*9.81*(O1226/100-fi_h/2/1000))*1000)),"",IF(O1226&lt;fi_h/20,0,(OFFSET('Base de dados'!$A$5,IF(O1226&lt;20,1,IF(O1226&gt;1000,10,MATCH(O1226,Cargas,1))),Coluna_fih,1,1))*(PI()*(fi_h/1000)^2/4)*SQRT(2*9.81*(O1226/100-fi_h/2/1000))*1000))</f>
        <v>46.661948848007945</v>
      </c>
      <c r="Q1226" s="19">
        <f ca="1">IF(O1226="","",IF(Tipo_Vertedor="Retangular",IF(O1226&lt;=cota_s*100,0,IF(Tipo_Vertedor="Retangular",Cd_sr*Lef_sr*((O1226/100-cota_s)^(3/2))*1000)),IF(O1226&lt;=cota_s*100+fi_s/20,0,(OFFSET('Base de dados'!$A$4,IF(O1226&lt;20,1,IF(O1226&gt;1000,10,MATCH(O1226,Cargas,1))),Coluna_fis,1,1))*(PI()*(fi_s/1000)^2/4)*(2*9.81*(O1226/100-cota_s-fi_s/2/1000))^0.5*1000)))</f>
        <v>4242.9381288694349</v>
      </c>
      <c r="R1226" s="19">
        <f t="shared" ca="1" si="180"/>
        <v>4289.6000777174431</v>
      </c>
      <c r="S1226" s="19">
        <f t="shared" ca="1" si="181"/>
        <v>7114.6908749942404</v>
      </c>
    </row>
    <row r="1227" spans="13:19">
      <c r="M1227" s="81">
        <f t="shared" ca="1" si="178"/>
        <v>11417.305078613241</v>
      </c>
      <c r="N1227" s="19">
        <f t="shared" si="179"/>
        <v>213.63667905447571</v>
      </c>
      <c r="O1227" s="17">
        <f t="shared" si="177"/>
        <v>306.5</v>
      </c>
      <c r="P1227" s="19">
        <f ca="1">IF(ISERROR(IF(O1227&lt;fi_h/20,0,(OFFSET('Base de dados'!$A$5,IF(O1227&lt;20,1,IF(O1227&gt;1000,10,MATCH(O1227,Cargas,1))),Coluna_fih,1,1))*(1+0.13*0.25)*(PI()*(fi_h/1000)^2/4)*SQRT(2*9.81*(O1227/100-fi_h/2/1000))*1000)),"",IF(O1227&lt;fi_h/20,0,(OFFSET('Base de dados'!$A$5,IF(O1227&lt;20,1,IF(O1227&gt;1000,10,MATCH(O1227,Cargas,1))),Coluna_fih,1,1))*(PI()*(fi_h/1000)^2/4)*SQRT(2*9.81*(O1227/100-fi_h/2/1000))*1000))</f>
        <v>46.681347841457537</v>
      </c>
      <c r="Q1227" s="19">
        <f ca="1">IF(O1227="","",IF(Tipo_Vertedor="Retangular",IF(O1227&lt;=cota_s*100,0,IF(Tipo_Vertedor="Retangular",Cd_sr*Lef_sr*((O1227/100-cota_s)^(3/2))*1000)),IF(O1227&lt;=cota_s*100+fi_s/20,0,(OFFSET('Base de dados'!$A$4,IF(O1227&lt;20,1,IF(O1227&gt;1000,10,MATCH(O1227,Cargas,1))),Coluna_fis,1,1))*(PI()*(fi_s/1000)^2/4)*(2*9.81*(O1227/100-cota_s-fi_s/2/1000))^0.5*1000)))</f>
        <v>4249.4010956225929</v>
      </c>
      <c r="R1227" s="19">
        <f t="shared" ca="1" si="180"/>
        <v>4296.0824434640508</v>
      </c>
      <c r="S1227" s="19">
        <f t="shared" ca="1" si="181"/>
        <v>7121.22263514919</v>
      </c>
    </row>
    <row r="1228" spans="13:19">
      <c r="M1228" s="81">
        <f t="shared" ca="1" si="178"/>
        <v>11430.323138383705</v>
      </c>
      <c r="N1228" s="19">
        <f t="shared" si="179"/>
        <v>213.83265177099403</v>
      </c>
      <c r="O1228" s="17">
        <f t="shared" si="177"/>
        <v>306.75</v>
      </c>
      <c r="P1228" s="19">
        <f ca="1">IF(ISERROR(IF(O1228&lt;fi_h/20,0,(OFFSET('Base de dados'!$A$5,IF(O1228&lt;20,1,IF(O1228&gt;1000,10,MATCH(O1228,Cargas,1))),Coluna_fih,1,1))*(1+0.13*0.25)*(PI()*(fi_h/1000)^2/4)*SQRT(2*9.81*(O1228/100-fi_h/2/1000))*1000)),"",IF(O1228&lt;fi_h/20,0,(OFFSET('Base de dados'!$A$5,IF(O1228&lt;20,1,IF(O1228&gt;1000,10,MATCH(O1228,Cargas,1))),Coluna_fih,1,1))*(PI()*(fi_h/1000)^2/4)*SQRT(2*9.81*(O1228/100-fi_h/2/1000))*1000))</f>
        <v>46.700738776770926</v>
      </c>
      <c r="Q1228" s="19">
        <f ca="1">IF(O1228="","",IF(Tipo_Vertedor="Retangular",IF(O1228&lt;=cota_s*100,0,IF(Tipo_Vertedor="Retangular",Cd_sr*Lef_sr*((O1228/100-cota_s)^(3/2))*1000)),IF(O1228&lt;=cota_s*100+fi_s/20,0,(OFFSET('Base de dados'!$A$4,IF(O1228&lt;20,1,IF(O1228&gt;1000,10,MATCH(O1228,Cargas,1))),Coluna_fis,1,1))*(PI()*(fi_s/1000)^2/4)*(2*9.81*(O1228/100-cota_s-fi_s/2/1000))^0.5*1000)))</f>
        <v>4255.8673405737982</v>
      </c>
      <c r="R1228" s="19">
        <f t="shared" ca="1" si="180"/>
        <v>4302.568079350569</v>
      </c>
      <c r="S1228" s="19">
        <f t="shared" ca="1" si="181"/>
        <v>7127.7550590331348</v>
      </c>
    </row>
    <row r="1229" spans="13:19">
      <c r="M1229" s="81">
        <f t="shared" ca="1" si="178"/>
        <v>11443.345129898422</v>
      </c>
      <c r="N1229" s="19">
        <f t="shared" si="179"/>
        <v>214.02864438517508</v>
      </c>
      <c r="O1229" s="17">
        <f t="shared" si="177"/>
        <v>307</v>
      </c>
      <c r="P1229" s="19">
        <f ca="1">IF(ISERROR(IF(O1229&lt;fi_h/20,0,(OFFSET('Base de dados'!$A$5,IF(O1229&lt;20,1,IF(O1229&gt;1000,10,MATCH(O1229,Cargas,1))),Coluna_fih,1,1))*(1+0.13*0.25)*(PI()*(fi_h/1000)^2/4)*SQRT(2*9.81*(O1229/100-fi_h/2/1000))*1000)),"",IF(O1229&lt;fi_h/20,0,(OFFSET('Base de dados'!$A$5,IF(O1229&lt;20,1,IF(O1229&gt;1000,10,MATCH(O1229,Cargas,1))),Coluna_fih,1,1))*(PI()*(fi_h/1000)^2/4)*SQRT(2*9.81*(O1229/100-fi_h/2/1000))*1000))</f>
        <v>46.720121663981551</v>
      </c>
      <c r="Q1229" s="19">
        <f ca="1">IF(O1229="","",IF(Tipo_Vertedor="Retangular",IF(O1229&lt;=cota_s*100,0,IF(Tipo_Vertedor="Retangular",Cd_sr*Lef_sr*((O1229/100-cota_s)^(3/2))*1000)),IF(O1229&lt;=cota_s*100+fi_s/20,0,(OFFSET('Base de dados'!$A$4,IF(O1229&lt;20,1,IF(O1229&gt;1000,10,MATCH(O1229,Cargas,1))),Coluna_fis,1,1))*(PI()*(fi_s/1000)^2/4)*(2*9.81*(O1229/100-cota_s-fi_s/2/1000))^0.5*1000)))</f>
        <v>4262.3368620619367</v>
      </c>
      <c r="R1229" s="19">
        <f t="shared" ca="1" si="180"/>
        <v>4309.0569837259181</v>
      </c>
      <c r="S1229" s="19">
        <f t="shared" ca="1" si="181"/>
        <v>7134.2881461725028</v>
      </c>
    </row>
    <row r="1230" spans="13:19">
      <c r="M1230" s="81">
        <f t="shared" ca="1" si="178"/>
        <v>11456.371051035971</v>
      </c>
      <c r="N1230" s="19">
        <f t="shared" si="179"/>
        <v>214.22465688283324</v>
      </c>
      <c r="O1230" s="17">
        <f t="shared" si="177"/>
        <v>307.25</v>
      </c>
      <c r="P1230" s="19">
        <f ca="1">IF(ISERROR(IF(O1230&lt;fi_h/20,0,(OFFSET('Base de dados'!$A$5,IF(O1230&lt;20,1,IF(O1230&gt;1000,10,MATCH(O1230,Cargas,1))),Coluna_fih,1,1))*(1+0.13*0.25)*(PI()*(fi_h/1000)^2/4)*SQRT(2*9.81*(O1230/100-fi_h/2/1000))*1000)),"",IF(O1230&lt;fi_h/20,0,(OFFSET('Base de dados'!$A$5,IF(O1230&lt;20,1,IF(O1230&gt;1000,10,MATCH(O1230,Cargas,1))),Coluna_fih,1,1))*(PI()*(fi_h/1000)^2/4)*SQRT(2*9.81*(O1230/100-fi_h/2/1000))*1000))</f>
        <v>46.739496513102083</v>
      </c>
      <c r="Q1230" s="19">
        <f ca="1">IF(O1230="","",IF(Tipo_Vertedor="Retangular",IF(O1230&lt;=cota_s*100,0,IF(Tipo_Vertedor="Retangular",Cd_sr*Lef_sr*((O1230/100-cota_s)^(3/2))*1000)),IF(O1230&lt;=cota_s*100+fi_s/20,0,(OFFSET('Base de dados'!$A$4,IF(O1230&lt;20,1,IF(O1230&gt;1000,10,MATCH(O1230,Cargas,1))),Coluna_fis,1,1))*(PI()*(fi_s/1000)^2/4)*(2*9.81*(O1230/100-cota_s-fi_s/2/1000))^0.5*1000)))</f>
        <v>4268.8096584284258</v>
      </c>
      <c r="R1230" s="19">
        <f t="shared" ca="1" si="180"/>
        <v>4315.5491549415283</v>
      </c>
      <c r="S1230" s="19">
        <f t="shared" ca="1" si="181"/>
        <v>7140.8218960944414</v>
      </c>
    </row>
    <row r="1231" spans="13:19">
      <c r="M1231" s="81">
        <f t="shared" ca="1" si="178"/>
        <v>11469.400899678141</v>
      </c>
      <c r="N1231" s="19">
        <f t="shared" si="179"/>
        <v>214.4206892498047</v>
      </c>
      <c r="O1231" s="17">
        <f t="shared" si="177"/>
        <v>307.5</v>
      </c>
      <c r="P1231" s="19">
        <f ca="1">IF(ISERROR(IF(O1231&lt;fi_h/20,0,(OFFSET('Base de dados'!$A$5,IF(O1231&lt;20,1,IF(O1231&gt;1000,10,MATCH(O1231,Cargas,1))),Coluna_fih,1,1))*(1+0.13*0.25)*(PI()*(fi_h/1000)^2/4)*SQRT(2*9.81*(O1231/100-fi_h/2/1000))*1000)),"",IF(O1231&lt;fi_h/20,0,(OFFSET('Base de dados'!$A$5,IF(O1231&lt;20,1,IF(O1231&gt;1000,10,MATCH(O1231,Cargas,1))),Coluna_fih,1,1))*(PI()*(fi_h/1000)^2/4)*SQRT(2*9.81*(O1231/100-fi_h/2/1000))*1000))</f>
        <v>46.758863334124413</v>
      </c>
      <c r="Q1231" s="19">
        <f ca="1">IF(O1231="","",IF(Tipo_Vertedor="Retangular",IF(O1231&lt;=cota_s*100,0,IF(Tipo_Vertedor="Retangular",Cd_sr*Lef_sr*((O1231/100-cota_s)^(3/2))*1000)),IF(O1231&lt;=cota_s*100+fi_s/20,0,(OFFSET('Base de dados'!$A$4,IF(O1231&lt;20,1,IF(O1231&gt;1000,10,MATCH(O1231,Cargas,1))),Coluna_fis,1,1))*(PI()*(fi_s/1000)^2/4)*(2*9.81*(O1231/100-cota_s-fi_s/2/1000))^0.5*1000)))</f>
        <v>4275.2857280171938</v>
      </c>
      <c r="R1231" s="19">
        <f t="shared" ca="1" si="180"/>
        <v>4322.0445913513186</v>
      </c>
      <c r="S1231" s="19">
        <f t="shared" ca="1" si="181"/>
        <v>7147.3563083268236</v>
      </c>
    </row>
    <row r="1232" spans="13:19">
      <c r="M1232" s="81">
        <f t="shared" ca="1" si="178"/>
        <v>11482.434673709937</v>
      </c>
      <c r="N1232" s="19">
        <f t="shared" si="179"/>
        <v>214.61674147194717</v>
      </c>
      <c r="O1232" s="17">
        <f t="shared" si="177"/>
        <v>307.75</v>
      </c>
      <c r="P1232" s="19">
        <f ca="1">IF(ISERROR(IF(O1232&lt;fi_h/20,0,(OFFSET('Base de dados'!$A$5,IF(O1232&lt;20,1,IF(O1232&gt;1000,10,MATCH(O1232,Cargas,1))),Coluna_fih,1,1))*(1+0.13*0.25)*(PI()*(fi_h/1000)^2/4)*SQRT(2*9.81*(O1232/100-fi_h/2/1000))*1000)),"",IF(O1232&lt;fi_h/20,0,(OFFSET('Base de dados'!$A$5,IF(O1232&lt;20,1,IF(O1232&gt;1000,10,MATCH(O1232,Cargas,1))),Coluna_fih,1,1))*(PI()*(fi_h/1000)^2/4)*SQRT(2*9.81*(O1232/100-fi_h/2/1000))*1000))</f>
        <v>46.778222137019782</v>
      </c>
      <c r="Q1232" s="19">
        <f ca="1">IF(O1232="","",IF(Tipo_Vertedor="Retangular",IF(O1232&lt;=cota_s*100,0,IF(Tipo_Vertedor="Retangular",Cd_sr*Lef_sr*((O1232/100-cota_s)^(3/2))*1000)),IF(O1232&lt;=cota_s*100+fi_s/20,0,(OFFSET('Base de dados'!$A$4,IF(O1232&lt;20,1,IF(O1232&gt;1000,10,MATCH(O1232,Cargas,1))),Coluna_fis,1,1))*(PI()*(fi_s/1000)^2/4)*(2*9.81*(O1232/100-cota_s-fi_s/2/1000))^0.5*1000)))</f>
        <v>4281.7650691746785</v>
      </c>
      <c r="R1232" s="19">
        <f t="shared" ca="1" si="180"/>
        <v>4328.5432913116983</v>
      </c>
      <c r="S1232" s="19">
        <f t="shared" ca="1" si="181"/>
        <v>7153.8913823982393</v>
      </c>
    </row>
    <row r="1233" spans="13:19">
      <c r="M1233" s="81">
        <f t="shared" ca="1" si="178"/>
        <v>11495.472371019558</v>
      </c>
      <c r="N1233" s="19">
        <f t="shared" si="179"/>
        <v>214.81281353513984</v>
      </c>
      <c r="O1233" s="17">
        <f t="shared" si="177"/>
        <v>308</v>
      </c>
      <c r="P1233" s="19">
        <f ca="1">IF(ISERROR(IF(O1233&lt;fi_h/20,0,(OFFSET('Base de dados'!$A$5,IF(O1233&lt;20,1,IF(O1233&gt;1000,10,MATCH(O1233,Cargas,1))),Coluna_fih,1,1))*(1+0.13*0.25)*(PI()*(fi_h/1000)^2/4)*SQRT(2*9.81*(O1233/100-fi_h/2/1000))*1000)),"",IF(O1233&lt;fi_h/20,0,(OFFSET('Base de dados'!$A$5,IF(O1233&lt;20,1,IF(O1233&gt;1000,10,MATCH(O1233,Cargas,1))),Coluna_fih,1,1))*(PI()*(fi_h/1000)^2/4)*SQRT(2*9.81*(O1233/100-fi_h/2/1000))*1000))</f>
        <v>46.797572931738777</v>
      </c>
      <c r="Q1233" s="19">
        <f ca="1">IF(O1233="","",IF(Tipo_Vertedor="Retangular",IF(O1233&lt;=cota_s*100,0,IF(Tipo_Vertedor="Retangular",Cd_sr*Lef_sr*((O1233/100-cota_s)^(3/2))*1000)),IF(O1233&lt;=cota_s*100+fi_s/20,0,(OFFSET('Base de dados'!$A$4,IF(O1233&lt;20,1,IF(O1233&gt;1000,10,MATCH(O1233,Cargas,1))),Coluna_fis,1,1))*(PI()*(fi_s/1000)^2/4)*(2*9.81*(O1233/100-cota_s-fi_s/2/1000))^0.5*1000)))</f>
        <v>4288.247680249825</v>
      </c>
      <c r="R1233" s="19">
        <f t="shared" ca="1" si="180"/>
        <v>4335.0452531815636</v>
      </c>
      <c r="S1233" s="19">
        <f t="shared" ca="1" si="181"/>
        <v>7160.427117837995</v>
      </c>
    </row>
    <row r="1234" spans="13:19">
      <c r="M1234" s="81">
        <f t="shared" ca="1" si="178"/>
        <v>11508.513989498406</v>
      </c>
      <c r="N1234" s="19">
        <f t="shared" si="179"/>
        <v>215.00890542528364</v>
      </c>
      <c r="O1234" s="17">
        <f t="shared" si="177"/>
        <v>308.25</v>
      </c>
      <c r="P1234" s="19">
        <f ca="1">IF(ISERROR(IF(O1234&lt;fi_h/20,0,(OFFSET('Base de dados'!$A$5,IF(O1234&lt;20,1,IF(O1234&gt;1000,10,MATCH(O1234,Cargas,1))),Coluna_fih,1,1))*(1+0.13*0.25)*(PI()*(fi_h/1000)^2/4)*SQRT(2*9.81*(O1234/100-fi_h/2/1000))*1000)),"",IF(O1234&lt;fi_h/20,0,(OFFSET('Base de dados'!$A$5,IF(O1234&lt;20,1,IF(O1234&gt;1000,10,MATCH(O1234,Cargas,1))),Coluna_fih,1,1))*(PI()*(fi_h/1000)^2/4)*SQRT(2*9.81*(O1234/100-fi_h/2/1000))*1000))</f>
        <v>46.816915728211455</v>
      </c>
      <c r="Q1234" s="19">
        <f ca="1">IF(O1234="","",IF(Tipo_Vertedor="Retangular",IF(O1234&lt;=cota_s*100,0,IF(Tipo_Vertedor="Retangular",Cd_sr*Lef_sr*((O1234/100-cota_s)^(3/2))*1000)),IF(O1234&lt;=cota_s*100+fi_s/20,0,(OFFSET('Base de dados'!$A$4,IF(O1234&lt;20,1,IF(O1234&gt;1000,10,MATCH(O1234,Cargas,1))),Coluna_fis,1,1))*(PI()*(fi_s/1000)^2/4)*(2*9.81*(O1234/100-cota_s-fi_s/2/1000))^0.5*1000)))</f>
        <v>4294.7335595940713</v>
      </c>
      <c r="R1234" s="19">
        <f t="shared" ca="1" si="180"/>
        <v>4341.5504753222831</v>
      </c>
      <c r="S1234" s="19">
        <f t="shared" ca="1" si="181"/>
        <v>7166.9635141761219</v>
      </c>
    </row>
    <row r="1235" spans="13:19">
      <c r="M1235" s="81">
        <f t="shared" ca="1" si="178"/>
        <v>11521.559527041056</v>
      </c>
      <c r="N1235" s="19">
        <f t="shared" si="179"/>
        <v>215.20501712830074</v>
      </c>
      <c r="O1235" s="17">
        <f t="shared" ref="O1235:O1298" si="182">IF(ISERROR(IF(O1234+passo_altura&gt;h_max_puls*100,"",O1234+passo_altura)),"",IF(O1234+passo_altura&gt;h_max_puls*100,"",O1234+passo_altura))</f>
        <v>308.5</v>
      </c>
      <c r="P1235" s="19">
        <f ca="1">IF(ISERROR(IF(O1235&lt;fi_h/20,0,(OFFSET('Base de dados'!$A$5,IF(O1235&lt;20,1,IF(O1235&gt;1000,10,MATCH(O1235,Cargas,1))),Coluna_fih,1,1))*(1+0.13*0.25)*(PI()*(fi_h/1000)^2/4)*SQRT(2*9.81*(O1235/100-fi_h/2/1000))*1000)),"",IF(O1235&lt;fi_h/20,0,(OFFSET('Base de dados'!$A$5,IF(O1235&lt;20,1,IF(O1235&gt;1000,10,MATCH(O1235,Cargas,1))),Coluna_fih,1,1))*(PI()*(fi_h/1000)^2/4)*SQRT(2*9.81*(O1235/100-fi_h/2/1000))*1000))</f>
        <v>46.836250536347336</v>
      </c>
      <c r="Q1235" s="19">
        <f ca="1">IF(O1235="","",IF(Tipo_Vertedor="Retangular",IF(O1235&lt;=cota_s*100,0,IF(Tipo_Vertedor="Retangular",Cd_sr*Lef_sr*((O1235/100-cota_s)^(3/2))*1000)),IF(O1235&lt;=cota_s*100+fi_s/20,0,(OFFSET('Base de dados'!$A$4,IF(O1235&lt;20,1,IF(O1235&gt;1000,10,MATCH(O1235,Cargas,1))),Coluna_fis,1,1))*(PI()*(fi_s/1000)^2/4)*(2*9.81*(O1235/100-cota_s-fi_s/2/1000))^0.5*1000)))</f>
        <v>4301.2227055613503</v>
      </c>
      <c r="R1235" s="19">
        <f t="shared" ca="1" si="180"/>
        <v>4348.0589560976978</v>
      </c>
      <c r="S1235" s="19">
        <f t="shared" ca="1" si="181"/>
        <v>7173.5005709433581</v>
      </c>
    </row>
    <row r="1236" spans="13:19">
      <c r="M1236" s="81">
        <f t="shared" ca="1" si="178"/>
        <v>11534.608981545269</v>
      </c>
      <c r="N1236" s="19">
        <f t="shared" si="179"/>
        <v>215.40114863013474</v>
      </c>
      <c r="O1236" s="17">
        <f t="shared" si="182"/>
        <v>308.75</v>
      </c>
      <c r="P1236" s="19">
        <f ca="1">IF(ISERROR(IF(O1236&lt;fi_h/20,0,(OFFSET('Base de dados'!$A$5,IF(O1236&lt;20,1,IF(O1236&gt;1000,10,MATCH(O1236,Cargas,1))),Coluna_fih,1,1))*(1+0.13*0.25)*(PI()*(fi_h/1000)^2/4)*SQRT(2*9.81*(O1236/100-fi_h/2/1000))*1000)),"",IF(O1236&lt;fi_h/20,0,(OFFSET('Base de dados'!$A$5,IF(O1236&lt;20,1,IF(O1236&gt;1000,10,MATCH(O1236,Cargas,1))),Coluna_fih,1,1))*(PI()*(fi_h/1000)^2/4)*SQRT(2*9.81*(O1236/100-fi_h/2/1000))*1000))</f>
        <v>46.855577366035511</v>
      </c>
      <c r="Q1236" s="19">
        <f ca="1">IF(O1236="","",IF(Tipo_Vertedor="Retangular",IF(O1236&lt;=cota_s*100,0,IF(Tipo_Vertedor="Retangular",Cd_sr*Lef_sr*((O1236/100-cota_s)^(3/2))*1000)),IF(O1236&lt;=cota_s*100+fi_s/20,0,(OFFSET('Base de dados'!$A$4,IF(O1236&lt;20,1,IF(O1236&gt;1000,10,MATCH(O1236,Cargas,1))),Coluna_fis,1,1))*(PI()*(fi_s/1000)^2/4)*(2*9.81*(O1236/100-cota_s-fi_s/2/1000))^0.5*1000)))</f>
        <v>4307.7151165080768</v>
      </c>
      <c r="R1236" s="19">
        <f t="shared" ca="1" si="180"/>
        <v>4354.5706938741123</v>
      </c>
      <c r="S1236" s="19">
        <f t="shared" ca="1" si="181"/>
        <v>7180.0382876711574</v>
      </c>
    </row>
    <row r="1237" spans="13:19">
      <c r="M1237" s="81">
        <f t="shared" ca="1" si="178"/>
        <v>11547.662350911974</v>
      </c>
      <c r="N1237" s="19">
        <f t="shared" si="179"/>
        <v>215.59729991675061</v>
      </c>
      <c r="O1237" s="17">
        <f t="shared" si="182"/>
        <v>309</v>
      </c>
      <c r="P1237" s="19">
        <f ca="1">IF(ISERROR(IF(O1237&lt;fi_h/20,0,(OFFSET('Base de dados'!$A$5,IF(O1237&lt;20,1,IF(O1237&gt;1000,10,MATCH(O1237,Cargas,1))),Coluna_fih,1,1))*(1+0.13*0.25)*(PI()*(fi_h/1000)^2/4)*SQRT(2*9.81*(O1237/100-fi_h/2/1000))*1000)),"",IF(O1237&lt;fi_h/20,0,(OFFSET('Base de dados'!$A$5,IF(O1237&lt;20,1,IF(O1237&gt;1000,10,MATCH(O1237,Cargas,1))),Coluna_fih,1,1))*(PI()*(fi_h/1000)^2/4)*SQRT(2*9.81*(O1237/100-fi_h/2/1000))*1000))</f>
        <v>46.874896227144674</v>
      </c>
      <c r="Q1237" s="19">
        <f ca="1">IF(O1237="","",IF(Tipo_Vertedor="Retangular",IF(O1237&lt;=cota_s*100,0,IF(Tipo_Vertedor="Retangular",Cd_sr*Lef_sr*((O1237/100-cota_s)^(3/2))*1000)),IF(O1237&lt;=cota_s*100+fi_s/20,0,(OFFSET('Base de dados'!$A$4,IF(O1237&lt;20,1,IF(O1237&gt;1000,10,MATCH(O1237,Cargas,1))),Coluna_fis,1,1))*(PI()*(fi_s/1000)^2/4)*(2*9.81*(O1237/100-cota_s-fi_s/2/1000))^0.5*1000)))</f>
        <v>4314.2107907931431</v>
      </c>
      <c r="R1237" s="19">
        <f t="shared" ca="1" si="180"/>
        <v>4361.0856870202879</v>
      </c>
      <c r="S1237" s="19">
        <f t="shared" ca="1" si="181"/>
        <v>7186.5766638916866</v>
      </c>
    </row>
    <row r="1238" spans="13:19">
      <c r="M1238" s="81">
        <f t="shared" ca="1" si="178"/>
        <v>11560.719633045261</v>
      </c>
      <c r="N1238" s="19">
        <f t="shared" si="179"/>
        <v>215.79347097413458</v>
      </c>
      <c r="O1238" s="17">
        <f t="shared" si="182"/>
        <v>309.25</v>
      </c>
      <c r="P1238" s="19">
        <f ca="1">IF(ISERROR(IF(O1238&lt;fi_h/20,0,(OFFSET('Base de dados'!$A$5,IF(O1238&lt;20,1,IF(O1238&gt;1000,10,MATCH(O1238,Cargas,1))),Coluna_fih,1,1))*(1+0.13*0.25)*(PI()*(fi_h/1000)^2/4)*SQRT(2*9.81*(O1238/100-fi_h/2/1000))*1000)),"",IF(O1238&lt;fi_h/20,0,(OFFSET('Base de dados'!$A$5,IF(O1238&lt;20,1,IF(O1238&gt;1000,10,MATCH(O1238,Cargas,1))),Coluna_fih,1,1))*(PI()*(fi_h/1000)^2/4)*SQRT(2*9.81*(O1238/100-fi_h/2/1000))*1000))</f>
        <v>46.894207129523203</v>
      </c>
      <c r="Q1238" s="19">
        <f ca="1">IF(O1238="","",IF(Tipo_Vertedor="Retangular",IF(O1238&lt;=cota_s*100,0,IF(Tipo_Vertedor="Retangular",Cd_sr*Lef_sr*((O1238/100-cota_s)^(3/2))*1000)),IF(O1238&lt;=cota_s*100+fi_s/20,0,(OFFSET('Base de dados'!$A$4,IF(O1238&lt;20,1,IF(O1238&gt;1000,10,MATCH(O1238,Cargas,1))),Coluna_fis,1,1))*(PI()*(fi_s/1000)^2/4)*(2*9.81*(O1238/100-cota_s-fi_s/2/1000))^0.5*1000)))</f>
        <v>4320.7097267779181</v>
      </c>
      <c r="R1238" s="19">
        <f t="shared" ca="1" si="180"/>
        <v>4367.6039339074414</v>
      </c>
      <c r="S1238" s="19">
        <f t="shared" ca="1" si="181"/>
        <v>7193.1156991378193</v>
      </c>
    </row>
    <row r="1239" spans="13:19">
      <c r="M1239" s="81">
        <f t="shared" ref="M1239:M1302" ca="1" si="183">IF(O1239="","",2*N1239*1000/(Passo*60)+R1239)</f>
        <v>11573.780825852373</v>
      </c>
      <c r="N1239" s="19">
        <f t="shared" ref="N1239:N1302" si="184">IF(O1239="","",b_0*(O1239/100)^c_0)</f>
        <v>215.98966178829423</v>
      </c>
      <c r="O1239" s="17">
        <f t="shared" si="182"/>
        <v>309.5</v>
      </c>
      <c r="P1239" s="19">
        <f ca="1">IF(ISERROR(IF(O1239&lt;fi_h/20,0,(OFFSET('Base de dados'!$A$5,IF(O1239&lt;20,1,IF(O1239&gt;1000,10,MATCH(O1239,Cargas,1))),Coluna_fih,1,1))*(1+0.13*0.25)*(PI()*(fi_h/1000)^2/4)*SQRT(2*9.81*(O1239/100-fi_h/2/1000))*1000)),"",IF(O1239&lt;fi_h/20,0,(OFFSET('Base de dados'!$A$5,IF(O1239&lt;20,1,IF(O1239&gt;1000,10,MATCH(O1239,Cargas,1))),Coluna_fih,1,1))*(PI()*(fi_h/1000)^2/4)*SQRT(2*9.81*(O1239/100-fi_h/2/1000))*1000))</f>
        <v>46.913510082999203</v>
      </c>
      <c r="Q1239" s="19">
        <f ca="1">IF(O1239="","",IF(Tipo_Vertedor="Retangular",IF(O1239&lt;=cota_s*100,0,IF(Tipo_Vertedor="Retangular",Cd_sr*Lef_sr*((O1239/100-cota_s)^(3/2))*1000)),IF(O1239&lt;=cota_s*100+fi_s/20,0,(OFFSET('Base de dados'!$A$4,IF(O1239&lt;20,1,IF(O1239&gt;1000,10,MATCH(O1239,Cargas,1))),Coluna_fis,1,1))*(PI()*(fi_s/1000)^2/4)*(2*9.81*(O1239/100-cota_s-fi_s/2/1000))^0.5*1000)))</f>
        <v>4327.2119228262336</v>
      </c>
      <c r="R1239" s="19">
        <f t="shared" ref="R1239:R1302" ca="1" si="185">IF(O1239="","",Q1239+P1239)</f>
        <v>4374.1254329092326</v>
      </c>
      <c r="S1239" s="19">
        <f t="shared" ref="S1239:S1302" ca="1" si="186">IF(M1239="","",2*N1239*1000/(Passo*60))</f>
        <v>7199.6553929431411</v>
      </c>
    </row>
    <row r="1240" spans="13:19">
      <c r="M1240" s="81">
        <f t="shared" ca="1" si="183"/>
        <v>11586.845927243699</v>
      </c>
      <c r="N1240" s="19">
        <f t="shared" si="184"/>
        <v>216.18587234525822</v>
      </c>
      <c r="O1240" s="17">
        <f t="shared" si="182"/>
        <v>309.75</v>
      </c>
      <c r="P1240" s="19">
        <f ca="1">IF(ISERROR(IF(O1240&lt;fi_h/20,0,(OFFSET('Base de dados'!$A$5,IF(O1240&lt;20,1,IF(O1240&gt;1000,10,MATCH(O1240,Cargas,1))),Coluna_fih,1,1))*(1+0.13*0.25)*(PI()*(fi_h/1000)^2/4)*SQRT(2*9.81*(O1240/100-fi_h/2/1000))*1000)),"",IF(O1240&lt;fi_h/20,0,(OFFSET('Base de dados'!$A$5,IF(O1240&lt;20,1,IF(O1240&gt;1000,10,MATCH(O1240,Cargas,1))),Coluna_fih,1,1))*(PI()*(fi_h/1000)^2/4)*SQRT(2*9.81*(O1240/100-fi_h/2/1000))*1000))</f>
        <v>46.932805097380573</v>
      </c>
      <c r="Q1240" s="19">
        <f ca="1">IF(O1240="","",IF(Tipo_Vertedor="Retangular",IF(O1240&lt;=cota_s*100,0,IF(Tipo_Vertedor="Retangular",Cd_sr*Lef_sr*((O1240/100-cota_s)^(3/2))*1000)),IF(O1240&lt;=cota_s*100+fi_s/20,0,(OFFSET('Base de dados'!$A$4,IF(O1240&lt;20,1,IF(O1240&gt;1000,10,MATCH(O1240,Cargas,1))),Coluna_fis,1,1))*(PI()*(fi_s/1000)^2/4)*(2*9.81*(O1240/100-cota_s-fi_s/2/1000))^0.5*1000)))</f>
        <v>4333.7173773043787</v>
      </c>
      <c r="R1240" s="19">
        <f t="shared" ca="1" si="185"/>
        <v>4380.6501824017596</v>
      </c>
      <c r="S1240" s="19">
        <f t="shared" ca="1" si="186"/>
        <v>7206.1957448419407</v>
      </c>
    </row>
    <row r="1241" spans="13:19">
      <c r="M1241" s="81">
        <f t="shared" ca="1" si="183"/>
        <v>11599.914935132769</v>
      </c>
      <c r="N1241" s="19">
        <f t="shared" si="184"/>
        <v>216.38210263107638</v>
      </c>
      <c r="O1241" s="17">
        <f t="shared" si="182"/>
        <v>310</v>
      </c>
      <c r="P1241" s="19">
        <f ca="1">IF(ISERROR(IF(O1241&lt;fi_h/20,0,(OFFSET('Base de dados'!$A$5,IF(O1241&lt;20,1,IF(O1241&gt;1000,10,MATCH(O1241,Cargas,1))),Coluna_fih,1,1))*(1+0.13*0.25)*(PI()*(fi_h/1000)^2/4)*SQRT(2*9.81*(O1241/100-fi_h/2/1000))*1000)),"",IF(O1241&lt;fi_h/20,0,(OFFSET('Base de dados'!$A$5,IF(O1241&lt;20,1,IF(O1241&gt;1000,10,MATCH(O1241,Cargas,1))),Coluna_fih,1,1))*(PI()*(fi_h/1000)^2/4)*SQRT(2*9.81*(O1241/100-fi_h/2/1000))*1000))</f>
        <v>46.952092182455026</v>
      </c>
      <c r="Q1241" s="19">
        <f ca="1">IF(O1241="","",IF(Tipo_Vertedor="Retangular",IF(O1241&lt;=cota_s*100,0,IF(Tipo_Vertedor="Retangular",Cd_sr*Lef_sr*((O1241/100-cota_s)^(3/2))*1000)),IF(O1241&lt;=cota_s*100+fi_s/20,0,(OFFSET('Base de dados'!$A$4,IF(O1241&lt;20,1,IF(O1241&gt;1000,10,MATCH(O1241,Cargas,1))),Coluna_fis,1,1))*(PI()*(fi_s/1000)^2/4)*(2*9.81*(O1241/100-cota_s-fi_s/2/1000))^0.5*1000)))</f>
        <v>4340.2260885811011</v>
      </c>
      <c r="R1241" s="19">
        <f t="shared" ca="1" si="185"/>
        <v>4387.1781807635562</v>
      </c>
      <c r="S1241" s="19">
        <f t="shared" ca="1" si="186"/>
        <v>7212.7367543692126</v>
      </c>
    </row>
    <row r="1242" spans="13:19">
      <c r="M1242" s="81">
        <f t="shared" ca="1" si="183"/>
        <v>11612.987847436241</v>
      </c>
      <c r="N1242" s="19">
        <f t="shared" si="184"/>
        <v>216.57835263181968</v>
      </c>
      <c r="O1242" s="17">
        <f t="shared" si="182"/>
        <v>310.25</v>
      </c>
      <c r="P1242" s="19">
        <f ca="1">IF(ISERROR(IF(O1242&lt;fi_h/20,0,(OFFSET('Base de dados'!$A$5,IF(O1242&lt;20,1,IF(O1242&gt;1000,10,MATCH(O1242,Cargas,1))),Coluna_fih,1,1))*(1+0.13*0.25)*(PI()*(fi_h/1000)^2/4)*SQRT(2*9.81*(O1242/100-fi_h/2/1000))*1000)),"",IF(O1242&lt;fi_h/20,0,(OFFSET('Base de dados'!$A$5,IF(O1242&lt;20,1,IF(O1242&gt;1000,10,MATCH(O1242,Cargas,1))),Coluna_fih,1,1))*(PI()*(fi_h/1000)^2/4)*SQRT(2*9.81*(O1242/100-fi_h/2/1000))*1000))</f>
        <v>46.971371347990228</v>
      </c>
      <c r="Q1242" s="19">
        <f ca="1">IF(O1242="","",IF(Tipo_Vertedor="Retangular",IF(O1242&lt;=cota_s*100,0,IF(Tipo_Vertedor="Retangular",Cd_sr*Lef_sr*((O1242/100-cota_s)^(3/2))*1000)),IF(O1242&lt;=cota_s*100+fi_s/20,0,(OFFSET('Base de dados'!$A$4,IF(O1242&lt;20,1,IF(O1242&gt;1000,10,MATCH(O1242,Cargas,1))),Coluna_fis,1,1))*(PI()*(fi_s/1000)^2/4)*(2*9.81*(O1242/100-cota_s-fi_s/2/1000))^0.5*1000)))</f>
        <v>4346.738055027593</v>
      </c>
      <c r="R1242" s="19">
        <f t="shared" ca="1" si="185"/>
        <v>4393.7094263755835</v>
      </c>
      <c r="S1242" s="19">
        <f t="shared" ca="1" si="186"/>
        <v>7219.2784210606569</v>
      </c>
    </row>
    <row r="1243" spans="13:19">
      <c r="M1243" s="81">
        <f t="shared" ca="1" si="183"/>
        <v>11626.064662073897</v>
      </c>
      <c r="N1243" s="19">
        <f t="shared" si="184"/>
        <v>216.77462233358017</v>
      </c>
      <c r="O1243" s="17">
        <f t="shared" si="182"/>
        <v>310.5</v>
      </c>
      <c r="P1243" s="19">
        <f ca="1">IF(ISERROR(IF(O1243&lt;fi_h/20,0,(OFFSET('Base de dados'!$A$5,IF(O1243&lt;20,1,IF(O1243&gt;1000,10,MATCH(O1243,Cargas,1))),Coluna_fih,1,1))*(1+0.13*0.25)*(PI()*(fi_h/1000)^2/4)*SQRT(2*9.81*(O1243/100-fi_h/2/1000))*1000)),"",IF(O1243&lt;fi_h/20,0,(OFFSET('Base de dados'!$A$5,IF(O1243&lt;20,1,IF(O1243&gt;1000,10,MATCH(O1243,Cargas,1))),Coluna_fih,1,1))*(PI()*(fi_h/1000)^2/4)*SQRT(2*9.81*(O1243/100-fi_h/2/1000))*1000))</f>
        <v>46.990642603733775</v>
      </c>
      <c r="Q1243" s="19">
        <f ca="1">IF(O1243="","",IF(Tipo_Vertedor="Retangular",IF(O1243&lt;=cota_s*100,0,IF(Tipo_Vertedor="Retangular",Cd_sr*Lef_sr*((O1243/100-cota_s)^(3/2))*1000)),IF(O1243&lt;=cota_s*100+fi_s/20,0,(OFFSET('Base de dados'!$A$4,IF(O1243&lt;20,1,IF(O1243&gt;1000,10,MATCH(O1243,Cargas,1))),Coluna_fis,1,1))*(PI()*(fi_s/1000)^2/4)*(2*9.81*(O1243/100-cota_s-fi_s/2/1000))^0.5*1000)))</f>
        <v>4353.2532750174905</v>
      </c>
      <c r="R1243" s="19">
        <f t="shared" ca="1" si="185"/>
        <v>4400.2439176212247</v>
      </c>
      <c r="S1243" s="19">
        <f t="shared" ca="1" si="186"/>
        <v>7225.8207444526724</v>
      </c>
    </row>
    <row r="1244" spans="13:19">
      <c r="M1244" s="81">
        <f t="shared" ca="1" si="183"/>
        <v>11639.145376968634</v>
      </c>
      <c r="N1244" s="19">
        <f t="shared" si="184"/>
        <v>216.97091172247085</v>
      </c>
      <c r="O1244" s="17">
        <f t="shared" si="182"/>
        <v>310.75</v>
      </c>
      <c r="P1244" s="19">
        <f ca="1">IF(ISERROR(IF(O1244&lt;fi_h/20,0,(OFFSET('Base de dados'!$A$5,IF(O1244&lt;20,1,IF(O1244&gt;1000,10,MATCH(O1244,Cargas,1))),Coluna_fih,1,1))*(1+0.13*0.25)*(PI()*(fi_h/1000)^2/4)*SQRT(2*9.81*(O1244/100-fi_h/2/1000))*1000)),"",IF(O1244&lt;fi_h/20,0,(OFFSET('Base de dados'!$A$5,IF(O1244&lt;20,1,IF(O1244&gt;1000,10,MATCH(O1244,Cargas,1))),Coluna_fih,1,1))*(PI()*(fi_h/1000)^2/4)*SQRT(2*9.81*(O1244/100-fi_h/2/1000))*1000))</f>
        <v>47.009905959413302</v>
      </c>
      <c r="Q1244" s="19">
        <f ca="1">IF(O1244="","",IF(Tipo_Vertedor="Retangular",IF(O1244&lt;=cota_s*100,0,IF(Tipo_Vertedor="Retangular",Cd_sr*Lef_sr*((O1244/100-cota_s)^(3/2))*1000)),IF(O1244&lt;=cota_s*100+fi_s/20,0,(OFFSET('Base de dados'!$A$4,IF(O1244&lt;20,1,IF(O1244&gt;1000,10,MATCH(O1244,Cargas,1))),Coluna_fis,1,1))*(PI()*(fi_s/1000)^2/4)*(2*9.81*(O1244/100-cota_s-fi_s/2/1000))^0.5*1000)))</f>
        <v>4359.7717469268609</v>
      </c>
      <c r="R1244" s="19">
        <f t="shared" ca="1" si="185"/>
        <v>4406.7816528862741</v>
      </c>
      <c r="S1244" s="19">
        <f t="shared" ca="1" si="186"/>
        <v>7232.3637240823609</v>
      </c>
    </row>
    <row r="1245" spans="13:19">
      <c r="M1245" s="81">
        <f t="shared" ca="1" si="183"/>
        <v>11652.229990046464</v>
      </c>
      <c r="N1245" s="19">
        <f t="shared" si="184"/>
        <v>217.1672207846257</v>
      </c>
      <c r="O1245" s="17">
        <f t="shared" si="182"/>
        <v>311</v>
      </c>
      <c r="P1245" s="19">
        <f ca="1">IF(ISERROR(IF(O1245&lt;fi_h/20,0,(OFFSET('Base de dados'!$A$5,IF(O1245&lt;20,1,IF(O1245&gt;1000,10,MATCH(O1245,Cargas,1))),Coluna_fih,1,1))*(1+0.13*0.25)*(PI()*(fi_h/1000)^2/4)*SQRT(2*9.81*(O1245/100-fi_h/2/1000))*1000)),"",IF(O1245&lt;fi_h/20,0,(OFFSET('Base de dados'!$A$5,IF(O1245&lt;20,1,IF(O1245&gt;1000,10,MATCH(O1245,Cargas,1))),Coluna_fih,1,1))*(PI()*(fi_h/1000)^2/4)*SQRT(2*9.81*(O1245/100-fi_h/2/1000))*1000))</f>
        <v>47.029161424736522</v>
      </c>
      <c r="Q1245" s="19">
        <f ca="1">IF(O1245="","",IF(Tipo_Vertedor="Retangular",IF(O1245&lt;=cota_s*100,0,IF(Tipo_Vertedor="Retangular",Cd_sr*Lef_sr*((O1245/100-cota_s)^(3/2))*1000)),IF(O1245&lt;=cota_s*100+fi_s/20,0,(OFFSET('Base de dados'!$A$4,IF(O1245&lt;20,1,IF(O1245&gt;1000,10,MATCH(O1245,Cargas,1))),Coluna_fis,1,1))*(PI()*(fi_s/1000)^2/4)*(2*9.81*(O1245/100-cota_s-fi_s/2/1000))^0.5*1000)))</f>
        <v>4366.2934691342034</v>
      </c>
      <c r="R1245" s="19">
        <f t="shared" ca="1" si="185"/>
        <v>4413.3226305589396</v>
      </c>
      <c r="S1245" s="19">
        <f t="shared" ca="1" si="186"/>
        <v>7238.9073594875235</v>
      </c>
    </row>
    <row r="1246" spans="13:19">
      <c r="M1246" s="81">
        <f t="shared" ca="1" si="183"/>
        <v>11665.318499236484</v>
      </c>
      <c r="N1246" s="19">
        <f t="shared" si="184"/>
        <v>217.36354950619949</v>
      </c>
      <c r="O1246" s="17">
        <f t="shared" si="182"/>
        <v>311.25</v>
      </c>
      <c r="P1246" s="19">
        <f ca="1">IF(ISERROR(IF(O1246&lt;fi_h/20,0,(OFFSET('Base de dados'!$A$5,IF(O1246&lt;20,1,IF(O1246&gt;1000,10,MATCH(O1246,Cargas,1))),Coluna_fih,1,1))*(1+0.13*0.25)*(PI()*(fi_h/1000)^2/4)*SQRT(2*9.81*(O1246/100-fi_h/2/1000))*1000)),"",IF(O1246&lt;fi_h/20,0,(OFFSET('Base de dados'!$A$5,IF(O1246&lt;20,1,IF(O1246&gt;1000,10,MATCH(O1246,Cargas,1))),Coluna_fih,1,1))*(PI()*(fi_h/1000)^2/4)*SQRT(2*9.81*(O1246/100-fi_h/2/1000))*1000))</f>
        <v>47.048409009391264</v>
      </c>
      <c r="Q1246" s="19">
        <f ca="1">IF(O1246="","",IF(Tipo_Vertedor="Retangular",IF(O1246&lt;=cota_s*100,0,IF(Tipo_Vertedor="Retangular",Cd_sr*Lef_sr*((O1246/100-cota_s)^(3/2))*1000)),IF(O1246&lt;=cota_s*100+fi_s/20,0,(OFFSET('Base de dados'!$A$4,IF(O1246&lt;20,1,IF(O1246&gt;1000,10,MATCH(O1246,Cargas,1))),Coluna_fis,1,1))*(PI()*(fi_s/1000)^2/4)*(2*9.81*(O1246/100-cota_s-fi_s/2/1000))^0.5*1000)))</f>
        <v>4372.8184400204418</v>
      </c>
      <c r="R1246" s="19">
        <f t="shared" ca="1" si="185"/>
        <v>4419.8668490298332</v>
      </c>
      <c r="S1246" s="19">
        <f t="shared" ca="1" si="186"/>
        <v>7245.4516502066499</v>
      </c>
    </row>
    <row r="1247" spans="13:19">
      <c r="M1247" s="81">
        <f t="shared" ca="1" si="183"/>
        <v>11678.410902470896</v>
      </c>
      <c r="N1247" s="19">
        <f t="shared" si="184"/>
        <v>217.55989787336804</v>
      </c>
      <c r="O1247" s="17">
        <f t="shared" si="182"/>
        <v>311.5</v>
      </c>
      <c r="P1247" s="19">
        <f ca="1">IF(ISERROR(IF(O1247&lt;fi_h/20,0,(OFFSET('Base de dados'!$A$5,IF(O1247&lt;20,1,IF(O1247&gt;1000,10,MATCH(O1247,Cargas,1))),Coluna_fih,1,1))*(1+0.13*0.25)*(PI()*(fi_h/1000)^2/4)*SQRT(2*9.81*(O1247/100-fi_h/2/1000))*1000)),"",IF(O1247&lt;fi_h/20,0,(OFFSET('Base de dados'!$A$5,IF(O1247&lt;20,1,IF(O1247&gt;1000,10,MATCH(O1247,Cargas,1))),Coluna_fih,1,1))*(PI()*(fi_h/1000)^2/4)*SQRT(2*9.81*(O1247/100-fi_h/2/1000))*1000))</f>
        <v>47.067648723045558</v>
      </c>
      <c r="Q1247" s="19">
        <f ca="1">IF(O1247="","",IF(Tipo_Vertedor="Retangular",IF(O1247&lt;=cota_s*100,0,IF(Tipo_Vertedor="Retangular",Cd_sr*Lef_sr*((O1247/100-cota_s)^(3/2))*1000)),IF(O1247&lt;=cota_s*100+fi_s/20,0,(OFFSET('Base de dados'!$A$4,IF(O1247&lt;20,1,IF(O1247&gt;1000,10,MATCH(O1247,Cargas,1))),Coluna_fis,1,1))*(PI()*(fi_s/1000)^2/4)*(2*9.81*(O1247/100-cota_s-fi_s/2/1000))^0.5*1000)))</f>
        <v>4379.3466579689157</v>
      </c>
      <c r="R1247" s="19">
        <f t="shared" ca="1" si="185"/>
        <v>4426.4143066919614</v>
      </c>
      <c r="S1247" s="19">
        <f t="shared" ca="1" si="186"/>
        <v>7251.9965957789354</v>
      </c>
    </row>
    <row r="1248" spans="13:19">
      <c r="M1248" s="81">
        <f t="shared" ca="1" si="183"/>
        <v>11691.507197684983</v>
      </c>
      <c r="N1248" s="19">
        <f t="shared" si="184"/>
        <v>217.7562658723279</v>
      </c>
      <c r="O1248" s="17">
        <f t="shared" si="182"/>
        <v>311.75</v>
      </c>
      <c r="P1248" s="19">
        <f ca="1">IF(ISERROR(IF(O1248&lt;fi_h/20,0,(OFFSET('Base de dados'!$A$5,IF(O1248&lt;20,1,IF(O1248&gt;1000,10,MATCH(O1248,Cargas,1))),Coluna_fih,1,1))*(1+0.13*0.25)*(PI()*(fi_h/1000)^2/4)*SQRT(2*9.81*(O1248/100-fi_h/2/1000))*1000)),"",IF(O1248&lt;fi_h/20,0,(OFFSET('Base de dados'!$A$5,IF(O1248&lt;20,1,IF(O1248&gt;1000,10,MATCH(O1248,Cargas,1))),Coluna_fih,1,1))*(PI()*(fi_h/1000)^2/4)*SQRT(2*9.81*(O1248/100-fi_h/2/1000))*1000))</f>
        <v>47.086880575347685</v>
      </c>
      <c r="Q1248" s="19">
        <f ca="1">IF(O1248="","",IF(Tipo_Vertedor="Retangular",IF(O1248&lt;=cota_s*100,0,IF(Tipo_Vertedor="Retangular",Cd_sr*Lef_sr*((O1248/100-cota_s)^(3/2))*1000)),IF(O1248&lt;=cota_s*100+fi_s/20,0,(OFFSET('Base de dados'!$A$4,IF(O1248&lt;20,1,IF(O1248&gt;1000,10,MATCH(O1248,Cargas,1))),Coluna_fis,1,1))*(PI()*(fi_s/1000)^2/4)*(2*9.81*(O1248/100-cota_s-fi_s/2/1000))^0.5*1000)))</f>
        <v>4385.878121365372</v>
      </c>
      <c r="R1248" s="19">
        <f t="shared" ca="1" si="185"/>
        <v>4432.96500194072</v>
      </c>
      <c r="S1248" s="19">
        <f t="shared" ca="1" si="186"/>
        <v>7258.5421957442632</v>
      </c>
    </row>
    <row r="1249" spans="13:19">
      <c r="M1249" s="81">
        <f t="shared" ca="1" si="183"/>
        <v>11704.607382817103</v>
      </c>
      <c r="N1249" s="19">
        <f t="shared" si="184"/>
        <v>217.95265348929624</v>
      </c>
      <c r="O1249" s="17">
        <f t="shared" si="182"/>
        <v>312</v>
      </c>
      <c r="P1249" s="19">
        <f ca="1">IF(ISERROR(IF(O1249&lt;fi_h/20,0,(OFFSET('Base de dados'!$A$5,IF(O1249&lt;20,1,IF(O1249&gt;1000,10,MATCH(O1249,Cargas,1))),Coluna_fih,1,1))*(1+0.13*0.25)*(PI()*(fi_h/1000)^2/4)*SQRT(2*9.81*(O1249/100-fi_h/2/1000))*1000)),"",IF(O1249&lt;fi_h/20,0,(OFFSET('Base de dados'!$A$5,IF(O1249&lt;20,1,IF(O1249&gt;1000,10,MATCH(O1249,Cargas,1))),Coluna_fih,1,1))*(PI()*(fi_h/1000)^2/4)*SQRT(2*9.81*(O1249/100-fi_h/2/1000))*1000))</f>
        <v>47.106104575926224</v>
      </c>
      <c r="Q1249" s="19">
        <f ca="1">IF(O1249="","",IF(Tipo_Vertedor="Retangular",IF(O1249&lt;=cota_s*100,0,IF(Tipo_Vertedor="Retangular",Cd_sr*Lef_sr*((O1249/100-cota_s)^(3/2))*1000)),IF(O1249&lt;=cota_s*100+fi_s/20,0,(OFFSET('Base de dados'!$A$4,IF(O1249&lt;20,1,IF(O1249&gt;1000,10,MATCH(O1249,Cargas,1))),Coluna_fis,1,1))*(PI()*(fi_s/1000)^2/4)*(2*9.81*(O1249/100-cota_s-fi_s/2/1000))^0.5*1000)))</f>
        <v>4392.4128285979677</v>
      </c>
      <c r="R1249" s="19">
        <f t="shared" ca="1" si="185"/>
        <v>4439.5189331738939</v>
      </c>
      <c r="S1249" s="19">
        <f t="shared" ca="1" si="186"/>
        <v>7265.0884496432082</v>
      </c>
    </row>
    <row r="1250" spans="13:19">
      <c r="M1250" s="81">
        <f t="shared" ca="1" si="183"/>
        <v>11717.711455808687</v>
      </c>
      <c r="N1250" s="19">
        <f t="shared" si="184"/>
        <v>218.14906071051115</v>
      </c>
      <c r="O1250" s="17">
        <f t="shared" si="182"/>
        <v>312.25</v>
      </c>
      <c r="P1250" s="19">
        <f ca="1">IF(ISERROR(IF(O1250&lt;fi_h/20,0,(OFFSET('Base de dados'!$A$5,IF(O1250&lt;20,1,IF(O1250&gt;1000,10,MATCH(O1250,Cargas,1))),Coluna_fih,1,1))*(1+0.13*0.25)*(PI()*(fi_h/1000)^2/4)*SQRT(2*9.81*(O1250/100-fi_h/2/1000))*1000)),"",IF(O1250&lt;fi_h/20,0,(OFFSET('Base de dados'!$A$5,IF(O1250&lt;20,1,IF(O1250&gt;1000,10,MATCH(O1250,Cargas,1))),Coluna_fih,1,1))*(PI()*(fi_h/1000)^2/4)*SQRT(2*9.81*(O1250/100-fi_h/2/1000))*1000))</f>
        <v>47.125320734390137</v>
      </c>
      <c r="Q1250" s="19">
        <f ca="1">IF(O1250="","",IF(Tipo_Vertedor="Retangular",IF(O1250&lt;=cota_s*100,0,IF(Tipo_Vertedor="Retangular",Cd_sr*Lef_sr*((O1250/100-cota_s)^(3/2))*1000)),IF(O1250&lt;=cota_s*100+fi_s/20,0,(OFFSET('Base de dados'!$A$4,IF(O1250&lt;20,1,IF(O1250&gt;1000,10,MATCH(O1250,Cargas,1))),Coluna_fis,1,1))*(PI()*(fi_s/1000)^2/4)*(2*9.81*(O1250/100-cota_s-fi_s/2/1000))^0.5*1000)))</f>
        <v>4398.9507780572594</v>
      </c>
      <c r="R1250" s="19">
        <f t="shared" ca="1" si="185"/>
        <v>4446.0760987916492</v>
      </c>
      <c r="S1250" s="19">
        <f t="shared" ca="1" si="186"/>
        <v>7271.6353570170377</v>
      </c>
    </row>
    <row r="1251" spans="13:19">
      <c r="M1251" s="81">
        <f t="shared" ca="1" si="183"/>
        <v>11730.819414604231</v>
      </c>
      <c r="N1251" s="19">
        <f t="shared" si="184"/>
        <v>218.34548752223128</v>
      </c>
      <c r="O1251" s="17">
        <f t="shared" si="182"/>
        <v>312.5</v>
      </c>
      <c r="P1251" s="19">
        <f ca="1">IF(ISERROR(IF(O1251&lt;fi_h/20,0,(OFFSET('Base de dados'!$A$5,IF(O1251&lt;20,1,IF(O1251&gt;1000,10,MATCH(O1251,Cargas,1))),Coluna_fih,1,1))*(1+0.13*0.25)*(PI()*(fi_h/1000)^2/4)*SQRT(2*9.81*(O1251/100-fi_h/2/1000))*1000)),"",IF(O1251&lt;fi_h/20,0,(OFFSET('Base de dados'!$A$5,IF(O1251&lt;20,1,IF(O1251&gt;1000,10,MATCH(O1251,Cargas,1))),Coluna_fih,1,1))*(PI()*(fi_h/1000)^2/4)*SQRT(2*9.81*(O1251/100-fi_h/2/1000))*1000))</f>
        <v>47.144529060328765</v>
      </c>
      <c r="Q1251" s="19">
        <f ca="1">IF(O1251="","",IF(Tipo_Vertedor="Retangular",IF(O1251&lt;=cota_s*100,0,IF(Tipo_Vertedor="Retangular",Cd_sr*Lef_sr*((O1251/100-cota_s)^(3/2))*1000)),IF(O1251&lt;=cota_s*100+fi_s/20,0,(OFFSET('Base de dados'!$A$4,IF(O1251&lt;20,1,IF(O1251&gt;1000,10,MATCH(O1251,Cargas,1))),Coluna_fis,1,1))*(PI()*(fi_s/1000)^2/4)*(2*9.81*(O1251/100-cota_s-fi_s/2/1000))^0.5*1000)))</f>
        <v>4405.4919681361935</v>
      </c>
      <c r="R1251" s="19">
        <f t="shared" ca="1" si="185"/>
        <v>4452.6364971965222</v>
      </c>
      <c r="S1251" s="19">
        <f t="shared" ca="1" si="186"/>
        <v>7278.1829174077093</v>
      </c>
    </row>
    <row r="1252" spans="13:19">
      <c r="M1252" s="81">
        <f t="shared" ca="1" si="183"/>
        <v>11743.931257151282</v>
      </c>
      <c r="N1252" s="19">
        <f t="shared" si="184"/>
        <v>218.54193391073596</v>
      </c>
      <c r="O1252" s="17">
        <f t="shared" si="182"/>
        <v>312.75</v>
      </c>
      <c r="P1252" s="19">
        <f ca="1">IF(ISERROR(IF(O1252&lt;fi_h/20,0,(OFFSET('Base de dados'!$A$5,IF(O1252&lt;20,1,IF(O1252&gt;1000,10,MATCH(O1252,Cargas,1))),Coluna_fih,1,1))*(1+0.13*0.25)*(PI()*(fi_h/1000)^2/4)*SQRT(2*9.81*(O1252/100-fi_h/2/1000))*1000)),"",IF(O1252&lt;fi_h/20,0,(OFFSET('Base de dados'!$A$5,IF(O1252&lt;20,1,IF(O1252&gt;1000,10,MATCH(O1252,Cargas,1))),Coluna_fih,1,1))*(PI()*(fi_h/1000)^2/4)*SQRT(2*9.81*(O1252/100-fi_h/2/1000))*1000))</f>
        <v>47.163729563311961</v>
      </c>
      <c r="Q1252" s="19">
        <f ca="1">IF(O1252="","",IF(Tipo_Vertedor="Retangular",IF(O1252&lt;=cota_s*100,0,IF(Tipo_Vertedor="Retangular",Cd_sr*Lef_sr*((O1252/100-cota_s)^(3/2))*1000)),IF(O1252&lt;=cota_s*100+fi_s/20,0,(OFFSET('Base de dados'!$A$4,IF(O1252&lt;20,1,IF(O1252&gt;1000,10,MATCH(O1252,Cargas,1))),Coluna_fis,1,1))*(PI()*(fi_s/1000)^2/4)*(2*9.81*(O1252/100-cota_s-fi_s/2/1000))^0.5*1000)))</f>
        <v>4412.0363972301038</v>
      </c>
      <c r="R1252" s="19">
        <f t="shared" ca="1" si="185"/>
        <v>4459.2001267934156</v>
      </c>
      <c r="S1252" s="19">
        <f t="shared" ca="1" si="186"/>
        <v>7284.7311303578654</v>
      </c>
    </row>
    <row r="1253" spans="13:19">
      <c r="M1253" s="81">
        <f t="shared" ca="1" si="183"/>
        <v>11757.046981400434</v>
      </c>
      <c r="N1253" s="19">
        <f t="shared" si="184"/>
        <v>218.73839986232508</v>
      </c>
      <c r="O1253" s="17">
        <f t="shared" si="182"/>
        <v>313</v>
      </c>
      <c r="P1253" s="19">
        <f ca="1">IF(ISERROR(IF(O1253&lt;fi_h/20,0,(OFFSET('Base de dados'!$A$5,IF(O1253&lt;20,1,IF(O1253&gt;1000,10,MATCH(O1253,Cargas,1))),Coluna_fih,1,1))*(1+0.13*0.25)*(PI()*(fi_h/1000)^2/4)*SQRT(2*9.81*(O1253/100-fi_h/2/1000))*1000)),"",IF(O1253&lt;fi_h/20,0,(OFFSET('Base de dados'!$A$5,IF(O1253&lt;20,1,IF(O1253&gt;1000,10,MATCH(O1253,Cargas,1))),Coluna_fih,1,1))*(PI()*(fi_h/1000)^2/4)*SQRT(2*9.81*(O1253/100-fi_h/2/1000))*1000))</f>
        <v>47.18292225289008</v>
      </c>
      <c r="Q1253" s="19">
        <f ca="1">IF(O1253="","",IF(Tipo_Vertedor="Retangular",IF(O1253&lt;=cota_s*100,0,IF(Tipo_Vertedor="Retangular",Cd_sr*Lef_sr*((O1253/100-cota_s)^(3/2))*1000)),IF(O1253&lt;=cota_s*100+fi_s/20,0,(OFFSET('Base de dados'!$A$4,IF(O1253&lt;20,1,IF(O1253&gt;1000,10,MATCH(O1253,Cargas,1))),Coluna_fis,1,1))*(PI()*(fi_s/1000)^2/4)*(2*9.81*(O1253/100-cota_s-fi_s/2/1000))^0.5*1000)))</f>
        <v>4418.5840637367073</v>
      </c>
      <c r="R1253" s="19">
        <f t="shared" ca="1" si="185"/>
        <v>4465.7669859895977</v>
      </c>
      <c r="S1253" s="19">
        <f t="shared" ca="1" si="186"/>
        <v>7291.2799954108359</v>
      </c>
    </row>
    <row r="1254" spans="13:19">
      <c r="M1254" s="81">
        <f t="shared" ca="1" si="183"/>
        <v>11770.166585305324</v>
      </c>
      <c r="N1254" s="19">
        <f t="shared" si="184"/>
        <v>218.9348853633189</v>
      </c>
      <c r="O1254" s="17">
        <f t="shared" si="182"/>
        <v>313.25</v>
      </c>
      <c r="P1254" s="19">
        <f ca="1">IF(ISERROR(IF(O1254&lt;fi_h/20,0,(OFFSET('Base de dados'!$A$5,IF(O1254&lt;20,1,IF(O1254&gt;1000,10,MATCH(O1254,Cargas,1))),Coluna_fih,1,1))*(1+0.13*0.25)*(PI()*(fi_h/1000)^2/4)*SQRT(2*9.81*(O1254/100-fi_h/2/1000))*1000)),"",IF(O1254&lt;fi_h/20,0,(OFFSET('Base de dados'!$A$5,IF(O1254&lt;20,1,IF(O1254&gt;1000,10,MATCH(O1254,Cargas,1))),Coluna_fih,1,1))*(PI()*(fi_h/1000)^2/4)*SQRT(2*9.81*(O1254/100-fi_h/2/1000))*1000))</f>
        <v>47.202107138594059</v>
      </c>
      <c r="Q1254" s="19">
        <f ca="1">IF(O1254="","",IF(Tipo_Vertedor="Retangular",IF(O1254&lt;=cota_s*100,0,IF(Tipo_Vertedor="Retangular",Cd_sr*Lef_sr*((O1254/100-cota_s)^(3/2))*1000)),IF(O1254&lt;=cota_s*100+fi_s/20,0,(OFFSET('Base de dados'!$A$4,IF(O1254&lt;20,1,IF(O1254&gt;1000,10,MATCH(O1254,Cargas,1))),Coluna_fis,1,1))*(PI()*(fi_s/1000)^2/4)*(2*9.81*(O1254/100-cota_s-fi_s/2/1000))^0.5*1000)))</f>
        <v>4425.1349660560982</v>
      </c>
      <c r="R1254" s="19">
        <f t="shared" ca="1" si="185"/>
        <v>4472.3370731946925</v>
      </c>
      <c r="S1254" s="19">
        <f t="shared" ca="1" si="186"/>
        <v>7297.8295121106303</v>
      </c>
    </row>
    <row r="1255" spans="13:19">
      <c r="M1255" s="81">
        <f t="shared" ca="1" si="183"/>
        <v>11783.290066822621</v>
      </c>
      <c r="N1255" s="19">
        <f t="shared" si="184"/>
        <v>219.13139040005839</v>
      </c>
      <c r="O1255" s="17">
        <f t="shared" si="182"/>
        <v>313.5</v>
      </c>
      <c r="P1255" s="19">
        <f ca="1">IF(ISERROR(IF(O1255&lt;fi_h/20,0,(OFFSET('Base de dados'!$A$5,IF(O1255&lt;20,1,IF(O1255&gt;1000,10,MATCH(O1255,Cargas,1))),Coluna_fih,1,1))*(1+0.13*0.25)*(PI()*(fi_h/1000)^2/4)*SQRT(2*9.81*(O1255/100-fi_h/2/1000))*1000)),"",IF(O1255&lt;fi_h/20,0,(OFFSET('Base de dados'!$A$5,IF(O1255&lt;20,1,IF(O1255&gt;1000,10,MATCH(O1255,Cargas,1))),Coluna_fih,1,1))*(PI()*(fi_h/1000)^2/4)*SQRT(2*9.81*(O1255/100-fi_h/2/1000))*1000))</f>
        <v>47.221284229935506</v>
      </c>
      <c r="Q1255" s="19">
        <f ca="1">IF(O1255="","",IF(Tipo_Vertedor="Retangular",IF(O1255&lt;=cota_s*100,0,IF(Tipo_Vertedor="Retangular",Cd_sr*Lef_sr*((O1255/100-cota_s)^(3/2))*1000)),IF(O1255&lt;=cota_s*100+fi_s/20,0,(OFFSET('Base de dados'!$A$4,IF(O1255&lt;20,1,IF(O1255&gt;1000,10,MATCH(O1255,Cargas,1))),Coluna_fis,1,1))*(PI()*(fi_s/1000)^2/4)*(2*9.81*(O1255/100-cota_s-fi_s/2/1000))^0.5*1000)))</f>
        <v>4431.689102590738</v>
      </c>
      <c r="R1255" s="19">
        <f t="shared" ca="1" si="185"/>
        <v>4478.9103868206739</v>
      </c>
      <c r="S1255" s="19">
        <f t="shared" ca="1" si="186"/>
        <v>7304.3796800019463</v>
      </c>
    </row>
    <row r="1256" spans="13:19">
      <c r="M1256" s="81">
        <f t="shared" ca="1" si="183"/>
        <v>11796.417423912017</v>
      </c>
      <c r="N1256" s="19">
        <f t="shared" si="184"/>
        <v>219.32791495890481</v>
      </c>
      <c r="O1256" s="17">
        <f t="shared" si="182"/>
        <v>313.75</v>
      </c>
      <c r="P1256" s="19">
        <f ca="1">IF(ISERROR(IF(O1256&lt;fi_h/20,0,(OFFSET('Base de dados'!$A$5,IF(O1256&lt;20,1,IF(O1256&gt;1000,10,MATCH(O1256,Cargas,1))),Coluna_fih,1,1))*(1+0.13*0.25)*(PI()*(fi_h/1000)^2/4)*SQRT(2*9.81*(O1256/100-fi_h/2/1000))*1000)),"",IF(O1256&lt;fi_h/20,0,(OFFSET('Base de dados'!$A$5,IF(O1256&lt;20,1,IF(O1256&gt;1000,10,MATCH(O1256,Cargas,1))),Coluna_fih,1,1))*(PI()*(fi_h/1000)^2/4)*SQRT(2*9.81*(O1256/100-fi_h/2/1000))*1000))</f>
        <v>47.240453536406683</v>
      </c>
      <c r="Q1256" s="19">
        <f ca="1">IF(O1256="","",IF(Tipo_Vertedor="Retangular",IF(O1256&lt;=cota_s*100,0,IF(Tipo_Vertedor="Retangular",Cd_sr*Lef_sr*((O1256/100-cota_s)^(3/2))*1000)),IF(O1256&lt;=cota_s*100+fi_s/20,0,(OFFSET('Base de dados'!$A$4,IF(O1256&lt;20,1,IF(O1256&gt;1000,10,MATCH(O1256,Cargas,1))),Coluna_fis,1,1))*(PI()*(fi_s/1000)^2/4)*(2*9.81*(O1256/100-cota_s-fi_s/2/1000))^0.5*1000)))</f>
        <v>4438.2464717454495</v>
      </c>
      <c r="R1256" s="19">
        <f t="shared" ca="1" si="185"/>
        <v>4485.4869252818562</v>
      </c>
      <c r="S1256" s="19">
        <f t="shared" ca="1" si="186"/>
        <v>7310.9304986301604</v>
      </c>
    </row>
    <row r="1257" spans="13:19">
      <c r="M1257" s="81">
        <f t="shared" ca="1" si="183"/>
        <v>11809.548654536227</v>
      </c>
      <c r="N1257" s="19">
        <f t="shared" si="184"/>
        <v>219.52445902623981</v>
      </c>
      <c r="O1257" s="17">
        <f t="shared" si="182"/>
        <v>314</v>
      </c>
      <c r="P1257" s="19">
        <f ca="1">IF(ISERROR(IF(O1257&lt;fi_h/20,0,(OFFSET('Base de dados'!$A$5,IF(O1257&lt;20,1,IF(O1257&gt;1000,10,MATCH(O1257,Cargas,1))),Coluna_fih,1,1))*(1+0.13*0.25)*(PI()*(fi_h/1000)^2/4)*SQRT(2*9.81*(O1257/100-fi_h/2/1000))*1000)),"",IF(O1257&lt;fi_h/20,0,(OFFSET('Base de dados'!$A$5,IF(O1257&lt;20,1,IF(O1257&gt;1000,10,MATCH(O1257,Cargas,1))),Coluna_fih,1,1))*(PI()*(fi_h/1000)^2/4)*SQRT(2*9.81*(O1257/100-fi_h/2/1000))*1000))</f>
        <v>47.259615067480624</v>
      </c>
      <c r="Q1257" s="19">
        <f ca="1">IF(O1257="","",IF(Tipo_Vertedor="Retangular",IF(O1257&lt;=cota_s*100,0,IF(Tipo_Vertedor="Retangular",Cd_sr*Lef_sr*((O1257/100-cota_s)^(3/2))*1000)),IF(O1257&lt;=cota_s*100+fi_s/20,0,(OFFSET('Base de dados'!$A$4,IF(O1257&lt;20,1,IF(O1257&gt;1000,10,MATCH(O1257,Cargas,1))),Coluna_fis,1,1))*(PI()*(fi_s/1000)^2/4)*(2*9.81*(O1257/100-cota_s-fi_s/2/1000))^0.5*1000)))</f>
        <v>4444.8070719274192</v>
      </c>
      <c r="R1257" s="19">
        <f t="shared" ca="1" si="185"/>
        <v>4492.0666869949</v>
      </c>
      <c r="S1257" s="19">
        <f t="shared" ca="1" si="186"/>
        <v>7317.4819675413273</v>
      </c>
    </row>
    <row r="1258" spans="13:19">
      <c r="M1258" s="81">
        <f t="shared" ca="1" si="183"/>
        <v>11822.683756660972</v>
      </c>
      <c r="N1258" s="19">
        <f t="shared" si="184"/>
        <v>219.72102258846539</v>
      </c>
      <c r="O1258" s="17">
        <f t="shared" si="182"/>
        <v>314.25</v>
      </c>
      <c r="P1258" s="19">
        <f ca="1">IF(ISERROR(IF(O1258&lt;fi_h/20,0,(OFFSET('Base de dados'!$A$5,IF(O1258&lt;20,1,IF(O1258&gt;1000,10,MATCH(O1258,Cargas,1))),Coluna_fih,1,1))*(1+0.13*0.25)*(PI()*(fi_h/1000)^2/4)*SQRT(2*9.81*(O1258/100-fi_h/2/1000))*1000)),"",IF(O1258&lt;fi_h/20,0,(OFFSET('Base de dados'!$A$5,IF(O1258&lt;20,1,IF(O1258&gt;1000,10,MATCH(O1258,Cargas,1))),Coluna_fih,1,1))*(PI()*(fi_h/1000)^2/4)*SQRT(2*9.81*(O1258/100-fi_h/2/1000))*1000))</f>
        <v>47.278768832611163</v>
      </c>
      <c r="Q1258" s="19">
        <f ca="1">IF(O1258="","",IF(Tipo_Vertedor="Retangular",IF(O1258&lt;=cota_s*100,0,IF(Tipo_Vertedor="Retangular",Cd_sr*Lef_sr*((O1258/100-cota_s)^(3/2))*1000)),IF(O1258&lt;=cota_s*100+fi_s/20,0,(OFFSET('Base de dados'!$A$4,IF(O1258&lt;20,1,IF(O1258&gt;1000,10,MATCH(O1258,Cargas,1))),Coluna_fis,1,1))*(PI()*(fi_s/1000)^2/4)*(2*9.81*(O1258/100-cota_s-fi_s/2/1000))^0.5*1000)))</f>
        <v>4451.3709015461818</v>
      </c>
      <c r="R1258" s="19">
        <f t="shared" ca="1" si="185"/>
        <v>4498.6496703787934</v>
      </c>
      <c r="S1258" s="19">
        <f t="shared" ca="1" si="186"/>
        <v>7324.0340862821795</v>
      </c>
    </row>
    <row r="1259" spans="13:19">
      <c r="M1259" s="81">
        <f t="shared" ca="1" si="183"/>
        <v>11835.822728254978</v>
      </c>
      <c r="N1259" s="19">
        <f t="shared" si="184"/>
        <v>219.91760563200384</v>
      </c>
      <c r="O1259" s="17">
        <f t="shared" si="182"/>
        <v>314.5</v>
      </c>
      <c r="P1259" s="19">
        <f ca="1">IF(ISERROR(IF(O1259&lt;fi_h/20,0,(OFFSET('Base de dados'!$A$5,IF(O1259&lt;20,1,IF(O1259&gt;1000,10,MATCH(O1259,Cargas,1))),Coluna_fih,1,1))*(1+0.13*0.25)*(PI()*(fi_h/1000)^2/4)*SQRT(2*9.81*(O1259/100-fi_h/2/1000))*1000)),"",IF(O1259&lt;fi_h/20,0,(OFFSET('Base de dados'!$A$5,IF(O1259&lt;20,1,IF(O1259&gt;1000,10,MATCH(O1259,Cargas,1))),Coluna_fih,1,1))*(PI()*(fi_h/1000)^2/4)*SQRT(2*9.81*(O1259/100-fi_h/2/1000))*1000))</f>
        <v>47.297914841232988</v>
      </c>
      <c r="Q1259" s="19">
        <f ca="1">IF(O1259="","",IF(Tipo_Vertedor="Retangular",IF(O1259&lt;=cota_s*100,0,IF(Tipo_Vertedor="Retangular",Cd_sr*Lef_sr*((O1259/100-cota_s)^(3/2))*1000)),IF(O1259&lt;=cota_s*100+fi_s/20,0,(OFFSET('Base de dados'!$A$4,IF(O1259&lt;20,1,IF(O1259&gt;1000,10,MATCH(O1259,Cargas,1))),Coluna_fis,1,1))*(PI()*(fi_s/1000)^2/4)*(2*9.81*(O1259/100-cota_s-fi_s/2/1000))^0.5*1000)))</f>
        <v>4457.9379590136177</v>
      </c>
      <c r="R1259" s="19">
        <f t="shared" ca="1" si="185"/>
        <v>4505.235873854851</v>
      </c>
      <c r="S1259" s="19">
        <f t="shared" ca="1" si="186"/>
        <v>7330.5868544001278</v>
      </c>
    </row>
    <row r="1260" spans="13:19">
      <c r="M1260" s="81">
        <f t="shared" ca="1" si="183"/>
        <v>11848.965567289972</v>
      </c>
      <c r="N1260" s="19">
        <f t="shared" si="184"/>
        <v>220.11420814329773</v>
      </c>
      <c r="O1260" s="17">
        <f t="shared" si="182"/>
        <v>314.75</v>
      </c>
      <c r="P1260" s="19">
        <f ca="1">IF(ISERROR(IF(O1260&lt;fi_h/20,0,(OFFSET('Base de dados'!$A$5,IF(O1260&lt;20,1,IF(O1260&gt;1000,10,MATCH(O1260,Cargas,1))),Coluna_fih,1,1))*(1+0.13*0.25)*(PI()*(fi_h/1000)^2/4)*SQRT(2*9.81*(O1260/100-fi_h/2/1000))*1000)),"",IF(O1260&lt;fi_h/20,0,(OFFSET('Base de dados'!$A$5,IF(O1260&lt;20,1,IF(O1260&gt;1000,10,MATCH(O1260,Cargas,1))),Coluna_fih,1,1))*(PI()*(fi_h/1000)^2/4)*SQRT(2*9.81*(O1260/100-fi_h/2/1000))*1000))</f>
        <v>47.31705310276169</v>
      </c>
      <c r="Q1260" s="19">
        <f ca="1">IF(O1260="","",IF(Tipo_Vertedor="Retangular",IF(O1260&lt;=cota_s*100,0,IF(Tipo_Vertedor="Retangular",Cd_sr*Lef_sr*((O1260/100-cota_s)^(3/2))*1000)),IF(O1260&lt;=cota_s*100+fi_s/20,0,(OFFSET('Base de dados'!$A$4,IF(O1260&lt;20,1,IF(O1260&gt;1000,10,MATCH(O1260,Cargas,1))),Coluna_fis,1,1))*(PI()*(fi_s/1000)^2/4)*(2*9.81*(O1260/100-cota_s-fi_s/2/1000))^0.5*1000)))</f>
        <v>4464.5082427439511</v>
      </c>
      <c r="R1260" s="19">
        <f t="shared" ca="1" si="185"/>
        <v>4511.8252958467128</v>
      </c>
      <c r="S1260" s="19">
        <f t="shared" ca="1" si="186"/>
        <v>7337.1402714432579</v>
      </c>
    </row>
    <row r="1261" spans="13:19">
      <c r="M1261" s="81">
        <f t="shared" ca="1" si="183"/>
        <v>11862.112271740662</v>
      </c>
      <c r="N1261" s="19">
        <f t="shared" si="184"/>
        <v>220.31083010880982</v>
      </c>
      <c r="O1261" s="17">
        <f t="shared" si="182"/>
        <v>315</v>
      </c>
      <c r="P1261" s="19">
        <f ca="1">IF(ISERROR(IF(O1261&lt;fi_h/20,0,(OFFSET('Base de dados'!$A$5,IF(O1261&lt;20,1,IF(O1261&gt;1000,10,MATCH(O1261,Cargas,1))),Coluna_fih,1,1))*(1+0.13*0.25)*(PI()*(fi_h/1000)^2/4)*SQRT(2*9.81*(O1261/100-fi_h/2/1000))*1000)),"",IF(O1261&lt;fi_h/20,0,(OFFSET('Base de dados'!$A$5,IF(O1261&lt;20,1,IF(O1261&gt;1000,10,MATCH(O1261,Cargas,1))),Coluna_fih,1,1))*(PI()*(fi_h/1000)^2/4)*SQRT(2*9.81*(O1261/100-fi_h/2/1000))*1000))</f>
        <v>47.336183626593872</v>
      </c>
      <c r="Q1261" s="19">
        <f ca="1">IF(O1261="","",IF(Tipo_Vertedor="Retangular",IF(O1261&lt;=cota_s*100,0,IF(Tipo_Vertedor="Retangular",Cd_sr*Lef_sr*((O1261/100-cota_s)^(3/2))*1000)),IF(O1261&lt;=cota_s*100+fi_s/20,0,(OFFSET('Base de dados'!$A$4,IF(O1261&lt;20,1,IF(O1261&gt;1000,10,MATCH(O1261,Cargas,1))),Coluna_fis,1,1))*(PI()*(fi_s/1000)^2/4)*(2*9.81*(O1261/100-cota_s-fi_s/2/1000))^0.5*1000)))</f>
        <v>4471.0817511537398</v>
      </c>
      <c r="R1261" s="19">
        <f t="shared" ca="1" si="185"/>
        <v>4518.4179347803338</v>
      </c>
      <c r="S1261" s="19">
        <f t="shared" ca="1" si="186"/>
        <v>7343.6943369603277</v>
      </c>
    </row>
    <row r="1262" spans="13:19">
      <c r="M1262" s="81">
        <f t="shared" ca="1" si="183"/>
        <v>11875.262839584741</v>
      </c>
      <c r="N1262" s="19">
        <f t="shared" si="184"/>
        <v>220.50747151502293</v>
      </c>
      <c r="O1262" s="17">
        <f t="shared" si="182"/>
        <v>315.25</v>
      </c>
      <c r="P1262" s="19">
        <f ca="1">IF(ISERROR(IF(O1262&lt;fi_h/20,0,(OFFSET('Base de dados'!$A$5,IF(O1262&lt;20,1,IF(O1262&gt;1000,10,MATCH(O1262,Cargas,1))),Coluna_fih,1,1))*(1+0.13*0.25)*(PI()*(fi_h/1000)^2/4)*SQRT(2*9.81*(O1262/100-fi_h/2/1000))*1000)),"",IF(O1262&lt;fi_h/20,0,(OFFSET('Base de dados'!$A$5,IF(O1262&lt;20,1,IF(O1262&gt;1000,10,MATCH(O1262,Cargas,1))),Coluna_fih,1,1))*(PI()*(fi_h/1000)^2/4)*SQRT(2*9.81*(O1262/100-fi_h/2/1000))*1000))</f>
        <v>47.355306422107077</v>
      </c>
      <c r="Q1262" s="19">
        <f ca="1">IF(O1262="","",IF(Tipo_Vertedor="Retangular",IF(O1262&lt;=cota_s*100,0,IF(Tipo_Vertedor="Retangular",Cd_sr*Lef_sr*((O1262/100-cota_s)^(3/2))*1000)),IF(O1262&lt;=cota_s*100+fi_s/20,0,(OFFSET('Base de dados'!$A$4,IF(O1262&lt;20,1,IF(O1262&gt;1000,10,MATCH(O1262,Cargas,1))),Coluna_fis,1,1))*(PI()*(fi_s/1000)^2/4)*(2*9.81*(O1262/100-cota_s-fi_s/2/1000))^0.5*1000)))</f>
        <v>4477.65848266187</v>
      </c>
      <c r="R1262" s="19">
        <f t="shared" ca="1" si="185"/>
        <v>4525.0137890839769</v>
      </c>
      <c r="S1262" s="19">
        <f t="shared" ca="1" si="186"/>
        <v>7350.2490505007636</v>
      </c>
    </row>
    <row r="1263" spans="13:19">
      <c r="M1263" s="81">
        <f t="shared" ca="1" si="183"/>
        <v>11888.417268802881</v>
      </c>
      <c r="N1263" s="19">
        <f t="shared" si="184"/>
        <v>220.70413234844003</v>
      </c>
      <c r="O1263" s="17">
        <f t="shared" si="182"/>
        <v>315.5</v>
      </c>
      <c r="P1263" s="19">
        <f ca="1">IF(ISERROR(IF(O1263&lt;fi_h/20,0,(OFFSET('Base de dados'!$A$5,IF(O1263&lt;20,1,IF(O1263&gt;1000,10,MATCH(O1263,Cargas,1))),Coluna_fih,1,1))*(1+0.13*0.25)*(PI()*(fi_h/1000)^2/4)*SQRT(2*9.81*(O1263/100-fi_h/2/1000))*1000)),"",IF(O1263&lt;fi_h/20,0,(OFFSET('Base de dados'!$A$5,IF(O1263&lt;20,1,IF(O1263&gt;1000,10,MATCH(O1263,Cargas,1))),Coluna_fih,1,1))*(PI()*(fi_h/1000)^2/4)*SQRT(2*9.81*(O1263/100-fi_h/2/1000))*1000))</f>
        <v>47.374421498659999</v>
      </c>
      <c r="Q1263" s="19">
        <f ca="1">IF(O1263="","",IF(Tipo_Vertedor="Retangular",IF(O1263&lt;=cota_s*100,0,IF(Tipo_Vertedor="Retangular",Cd_sr*Lef_sr*((O1263/100-cota_s)^(3/2))*1000)),IF(O1263&lt;=cota_s*100+fi_s/20,0,(OFFSET('Base de dados'!$A$4,IF(O1263&lt;20,1,IF(O1263&gt;1000,10,MATCH(O1263,Cargas,1))),Coluna_fis,1,1))*(PI()*(fi_s/1000)^2/4)*(2*9.81*(O1263/100-cota_s-fi_s/2/1000))^0.5*1000)))</f>
        <v>4484.2384356895536</v>
      </c>
      <c r="R1263" s="19">
        <f t="shared" ca="1" si="185"/>
        <v>4531.6128571882136</v>
      </c>
      <c r="S1263" s="19">
        <f t="shared" ca="1" si="186"/>
        <v>7356.8044116146675</v>
      </c>
    </row>
    <row r="1264" spans="13:19">
      <c r="M1264" s="81">
        <f t="shared" ca="1" si="183"/>
        <v>11901.575557378721</v>
      </c>
      <c r="N1264" s="19">
        <f t="shared" si="184"/>
        <v>220.90081259558431</v>
      </c>
      <c r="O1264" s="17">
        <f t="shared" si="182"/>
        <v>315.75</v>
      </c>
      <c r="P1264" s="19">
        <f ca="1">IF(ISERROR(IF(O1264&lt;fi_h/20,0,(OFFSET('Base de dados'!$A$5,IF(O1264&lt;20,1,IF(O1264&gt;1000,10,MATCH(O1264,Cargas,1))),Coluna_fih,1,1))*(1+0.13*0.25)*(PI()*(fi_h/1000)^2/4)*SQRT(2*9.81*(O1264/100-fi_h/2/1000))*1000)),"",IF(O1264&lt;fi_h/20,0,(OFFSET('Base de dados'!$A$5,IF(O1264&lt;20,1,IF(O1264&gt;1000,10,MATCH(O1264,Cargas,1))),Coluna_fih,1,1))*(PI()*(fi_h/1000)^2/4)*SQRT(2*9.81*(O1264/100-fi_h/2/1000))*1000))</f>
        <v>47.39352886559243</v>
      </c>
      <c r="Q1264" s="19">
        <f ca="1">IF(O1264="","",IF(Tipo_Vertedor="Retangular",IF(O1264&lt;=cota_s*100,0,IF(Tipo_Vertedor="Retangular",Cd_sr*Lef_sr*((O1264/100-cota_s)^(3/2))*1000)),IF(O1264&lt;=cota_s*100+fi_s/20,0,(OFFSET('Base de dados'!$A$4,IF(O1264&lt;20,1,IF(O1264&gt;1000,10,MATCH(O1264,Cargas,1))),Coluna_fis,1,1))*(PI()*(fi_s/1000)^2/4)*(2*9.81*(O1264/100-cota_s-fi_s/2/1000))^0.5*1000)))</f>
        <v>4490.8216086603188</v>
      </c>
      <c r="R1264" s="19">
        <f t="shared" ca="1" si="185"/>
        <v>4538.2151375259109</v>
      </c>
      <c r="S1264" s="19">
        <f t="shared" ca="1" si="186"/>
        <v>7363.3604198528101</v>
      </c>
    </row>
    <row r="1265" spans="13:19">
      <c r="M1265" s="81">
        <f t="shared" ca="1" si="183"/>
        <v>11914.737703298848</v>
      </c>
      <c r="N1265" s="19">
        <f t="shared" si="184"/>
        <v>221.0975122429987</v>
      </c>
      <c r="O1265" s="17">
        <f t="shared" si="182"/>
        <v>316</v>
      </c>
      <c r="P1265" s="19">
        <f ca="1">IF(ISERROR(IF(O1265&lt;fi_h/20,0,(OFFSET('Base de dados'!$A$5,IF(O1265&lt;20,1,IF(O1265&gt;1000,10,MATCH(O1265,Cargas,1))),Coluna_fih,1,1))*(1+0.13*0.25)*(PI()*(fi_h/1000)^2/4)*SQRT(2*9.81*(O1265/100-fi_h/2/1000))*1000)),"",IF(O1265&lt;fi_h/20,0,(OFFSET('Base de dados'!$A$5,IF(O1265&lt;20,1,IF(O1265&gt;1000,10,MATCH(O1265,Cargas,1))),Coluna_fih,1,1))*(PI()*(fi_h/1000)^2/4)*SQRT(2*9.81*(O1265/100-fi_h/2/1000))*1000))</f>
        <v>47.412628532225305</v>
      </c>
      <c r="Q1265" s="19">
        <f ca="1">IF(O1265="","",IF(Tipo_Vertedor="Retangular",IF(O1265&lt;=cota_s*100,0,IF(Tipo_Vertedor="Retangular",Cd_sr*Lef_sr*((O1265/100-cota_s)^(3/2))*1000)),IF(O1265&lt;=cota_s*100+fi_s/20,0,(OFFSET('Base de dados'!$A$4,IF(O1265&lt;20,1,IF(O1265&gt;1000,10,MATCH(O1265,Cargas,1))),Coluna_fis,1,1))*(PI()*(fi_s/1000)^2/4)*(2*9.81*(O1265/100-cota_s-fi_s/2/1000))^0.5*1000)))</f>
        <v>4497.4080000000004</v>
      </c>
      <c r="R1265" s="19">
        <f t="shared" ca="1" si="185"/>
        <v>4544.8206285322258</v>
      </c>
      <c r="S1265" s="19">
        <f t="shared" ca="1" si="186"/>
        <v>7369.917074766623</v>
      </c>
    </row>
    <row r="1266" spans="13:19">
      <c r="M1266" s="81">
        <f t="shared" ca="1" si="183"/>
        <v>11927.90370455282</v>
      </c>
      <c r="N1266" s="19">
        <f t="shared" si="184"/>
        <v>221.29423127724627</v>
      </c>
      <c r="O1266" s="17">
        <f t="shared" si="182"/>
        <v>316.25</v>
      </c>
      <c r="P1266" s="19">
        <f ca="1">IF(ISERROR(IF(O1266&lt;fi_h/20,0,(OFFSET('Base de dados'!$A$5,IF(O1266&lt;20,1,IF(O1266&gt;1000,10,MATCH(O1266,Cargas,1))),Coluna_fih,1,1))*(1+0.13*0.25)*(PI()*(fi_h/1000)^2/4)*SQRT(2*9.81*(O1266/100-fi_h/2/1000))*1000)),"",IF(O1266&lt;fi_h/20,0,(OFFSET('Base de dados'!$A$5,IF(O1266&lt;20,1,IF(O1266&gt;1000,10,MATCH(O1266,Cargas,1))),Coluna_fih,1,1))*(PI()*(fi_h/1000)^2/4)*SQRT(2*9.81*(O1266/100-fi_h/2/1000))*1000))</f>
        <v>47.431720507860852</v>
      </c>
      <c r="Q1266" s="19">
        <f ca="1">IF(O1266="","",IF(Tipo_Vertedor="Retangular",IF(O1266&lt;=cota_s*100,0,IF(Tipo_Vertedor="Retangular",Cd_sr*Lef_sr*((O1266/100-cota_s)^(3/2))*1000)),IF(O1266&lt;=cota_s*100+fi_s/20,0,(OFFSET('Base de dados'!$A$4,IF(O1266&lt;20,1,IF(O1266&gt;1000,10,MATCH(O1266,Cargas,1))),Coluna_fis,1,1))*(PI()*(fi_s/1000)^2/4)*(2*9.81*(O1266/100-cota_s-fi_s/2/1000))^0.5*1000)))</f>
        <v>4503.9976081367504</v>
      </c>
      <c r="R1266" s="19">
        <f t="shared" ca="1" si="185"/>
        <v>4551.4293286446109</v>
      </c>
      <c r="S1266" s="19">
        <f t="shared" ca="1" si="186"/>
        <v>7376.4743759082085</v>
      </c>
    </row>
    <row r="1267" spans="13:19">
      <c r="M1267" s="81">
        <f t="shared" ca="1" si="183"/>
        <v>11941.073559133125</v>
      </c>
      <c r="N1267" s="19">
        <f t="shared" si="184"/>
        <v>221.49096968490986</v>
      </c>
      <c r="O1267" s="17">
        <f t="shared" si="182"/>
        <v>316.5</v>
      </c>
      <c r="P1267" s="19">
        <f ca="1">IF(ISERROR(IF(O1267&lt;fi_h/20,0,(OFFSET('Base de dados'!$A$5,IF(O1267&lt;20,1,IF(O1267&gt;1000,10,MATCH(O1267,Cargas,1))),Coluna_fih,1,1))*(1+0.13*0.25)*(PI()*(fi_h/1000)^2/4)*SQRT(2*9.81*(O1267/100-fi_h/2/1000))*1000)),"",IF(O1267&lt;fi_h/20,0,(OFFSET('Base de dados'!$A$5,IF(O1267&lt;20,1,IF(O1267&gt;1000,10,MATCH(O1267,Cargas,1))),Coluna_fih,1,1))*(PI()*(fi_h/1000)^2/4)*SQRT(2*9.81*(O1267/100-fi_h/2/1000))*1000))</f>
        <v>47.45080480178256</v>
      </c>
      <c r="Q1267" s="19">
        <f ca="1">IF(O1267="","",IF(Tipo_Vertedor="Retangular",IF(O1267&lt;=cota_s*100,0,IF(Tipo_Vertedor="Retangular",Cd_sr*Lef_sr*((O1267/100-cota_s)^(3/2))*1000)),IF(O1267&lt;=cota_s*100+fi_s/20,0,(OFFSET('Base de dados'!$A$4,IF(O1267&lt;20,1,IF(O1267&gt;1000,10,MATCH(O1267,Cargas,1))),Coluna_fis,1,1))*(PI()*(fi_s/1000)^2/4)*(2*9.81*(O1267/100-cota_s-fi_s/2/1000))^0.5*1000)))</f>
        <v>4510.590431501013</v>
      </c>
      <c r="R1267" s="19">
        <f t="shared" ca="1" si="185"/>
        <v>4558.0412363027954</v>
      </c>
      <c r="S1267" s="19">
        <f t="shared" ca="1" si="186"/>
        <v>7383.0323228303287</v>
      </c>
    </row>
    <row r="1268" spans="13:19">
      <c r="M1268" s="81">
        <f t="shared" ca="1" si="183"/>
        <v>11954.247265035207</v>
      </c>
      <c r="N1268" s="19">
        <f t="shared" si="184"/>
        <v>221.68772745259253</v>
      </c>
      <c r="O1268" s="17">
        <f t="shared" si="182"/>
        <v>316.75</v>
      </c>
      <c r="P1268" s="19">
        <f ca="1">IF(ISERROR(IF(O1268&lt;fi_h/20,0,(OFFSET('Base de dados'!$A$5,IF(O1268&lt;20,1,IF(O1268&gt;1000,10,MATCH(O1268,Cargas,1))),Coluna_fih,1,1))*(1+0.13*0.25)*(PI()*(fi_h/1000)^2/4)*SQRT(2*9.81*(O1268/100-fi_h/2/1000))*1000)),"",IF(O1268&lt;fi_h/20,0,(OFFSET('Base de dados'!$A$5,IF(O1268&lt;20,1,IF(O1268&gt;1000,10,MATCH(O1268,Cargas,1))),Coluna_fih,1,1))*(PI()*(fi_h/1000)^2/4)*SQRT(2*9.81*(O1268/100-fi_h/2/1000))*1000))</f>
        <v>47.469881423255259</v>
      </c>
      <c r="Q1268" s="19">
        <f ca="1">IF(O1268="","",IF(Tipo_Vertedor="Retangular",IF(O1268&lt;=cota_s*100,0,IF(Tipo_Vertedor="Retangular",Cd_sr*Lef_sr*((O1268/100-cota_s)^(3/2))*1000)),IF(O1268&lt;=cota_s*100+fi_s/20,0,(OFFSET('Base de dados'!$A$4,IF(O1268&lt;20,1,IF(O1268&gt;1000,10,MATCH(O1268,Cargas,1))),Coluna_fis,1,1))*(PI()*(fi_s/1000)^2/4)*(2*9.81*(O1268/100-cota_s-fi_s/2/1000))^0.5*1000)))</f>
        <v>4517.1864685255341</v>
      </c>
      <c r="R1268" s="19">
        <f t="shared" ca="1" si="185"/>
        <v>4564.6563499487893</v>
      </c>
      <c r="S1268" s="19">
        <f t="shared" ca="1" si="186"/>
        <v>7389.5909150864172</v>
      </c>
    </row>
    <row r="1269" spans="13:19">
      <c r="M1269" s="81">
        <f t="shared" ca="1" si="183"/>
        <v>11967.424820257427</v>
      </c>
      <c r="N1269" s="19">
        <f t="shared" si="184"/>
        <v>221.88450456691669</v>
      </c>
      <c r="O1269" s="17">
        <f t="shared" si="182"/>
        <v>317</v>
      </c>
      <c r="P1269" s="19">
        <f ca="1">IF(ISERROR(IF(O1269&lt;fi_h/20,0,(OFFSET('Base de dados'!$A$5,IF(O1269&lt;20,1,IF(O1269&gt;1000,10,MATCH(O1269,Cargas,1))),Coluna_fih,1,1))*(1+0.13*0.25)*(PI()*(fi_h/1000)^2/4)*SQRT(2*9.81*(O1269/100-fi_h/2/1000))*1000)),"",IF(O1269&lt;fi_h/20,0,(OFFSET('Base de dados'!$A$5,IF(O1269&lt;20,1,IF(O1269&gt;1000,10,MATCH(O1269,Cargas,1))),Coluna_fih,1,1))*(PI()*(fi_h/1000)^2/4)*SQRT(2*9.81*(O1269/100-fi_h/2/1000))*1000))</f>
        <v>47.48895038152515</v>
      </c>
      <c r="Q1269" s="19">
        <f ca="1">IF(O1269="","",IF(Tipo_Vertedor="Retangular",IF(O1269&lt;=cota_s*100,0,IF(Tipo_Vertedor="Retangular",Cd_sr*Lef_sr*((O1269/100-cota_s)^(3/2))*1000)),IF(O1269&lt;=cota_s*100+fi_s/20,0,(OFFSET('Base de dados'!$A$4,IF(O1269&lt;20,1,IF(O1269&gt;1000,10,MATCH(O1269,Cargas,1))),Coluna_fis,1,1))*(PI()*(fi_s/1000)^2/4)*(2*9.81*(O1269/100-cota_s-fi_s/2/1000))^0.5*1000)))</f>
        <v>4523.7857176453444</v>
      </c>
      <c r="R1269" s="19">
        <f t="shared" ca="1" si="185"/>
        <v>4571.2746680268692</v>
      </c>
      <c r="S1269" s="19">
        <f t="shared" ca="1" si="186"/>
        <v>7396.1501522305571</v>
      </c>
    </row>
    <row r="1270" spans="13:19">
      <c r="M1270" s="81">
        <f t="shared" ca="1" si="183"/>
        <v>11980.606222801078</v>
      </c>
      <c r="N1270" s="19">
        <f t="shared" si="184"/>
        <v>222.08130101452497</v>
      </c>
      <c r="O1270" s="17">
        <f t="shared" si="182"/>
        <v>317.25</v>
      </c>
      <c r="P1270" s="19">
        <f ca="1">IF(ISERROR(IF(O1270&lt;fi_h/20,0,(OFFSET('Base de dados'!$A$5,IF(O1270&lt;20,1,IF(O1270&gt;1000,10,MATCH(O1270,Cargas,1))),Coluna_fih,1,1))*(1+0.13*0.25)*(PI()*(fi_h/1000)^2/4)*SQRT(2*9.81*(O1270/100-fi_h/2/1000))*1000)),"",IF(O1270&lt;fi_h/20,0,(OFFSET('Base de dados'!$A$5,IF(O1270&lt;20,1,IF(O1270&gt;1000,10,MATCH(O1270,Cargas,1))),Coluna_fih,1,1))*(PI()*(fi_h/1000)^2/4)*SQRT(2*9.81*(O1270/100-fi_h/2/1000))*1000))</f>
        <v>47.508011685819895</v>
      </c>
      <c r="Q1270" s="19">
        <f ca="1">IF(O1270="","",IF(Tipo_Vertedor="Retangular",IF(O1270&lt;=cota_s*100,0,IF(Tipo_Vertedor="Retangular",Cd_sr*Lef_sr*((O1270/100-cota_s)^(3/2))*1000)),IF(O1270&lt;=cota_s*100+fi_s/20,0,(OFFSET('Base de dados'!$A$4,IF(O1270&lt;20,1,IF(O1270&gt;1000,10,MATCH(O1270,Cargas,1))),Coluna_fis,1,1))*(PI()*(fi_s/1000)^2/4)*(2*9.81*(O1270/100-cota_s-fi_s/2/1000))^0.5*1000)))</f>
        <v>4530.3881772977593</v>
      </c>
      <c r="R1270" s="19">
        <f t="shared" ca="1" si="185"/>
        <v>4577.8961889835791</v>
      </c>
      <c r="S1270" s="19">
        <f t="shared" ca="1" si="186"/>
        <v>7402.7100338174987</v>
      </c>
    </row>
    <row r="1271" spans="13:19">
      <c r="M1271" s="81">
        <f t="shared" ca="1" si="183"/>
        <v>11993.791470670374</v>
      </c>
      <c r="N1271" s="19">
        <f t="shared" si="184"/>
        <v>222.27811678207948</v>
      </c>
      <c r="O1271" s="17">
        <f t="shared" si="182"/>
        <v>317.5</v>
      </c>
      <c r="P1271" s="19">
        <f ca="1">IF(ISERROR(IF(O1271&lt;fi_h/20,0,(OFFSET('Base de dados'!$A$5,IF(O1271&lt;20,1,IF(O1271&gt;1000,10,MATCH(O1271,Cargas,1))),Coluna_fih,1,1))*(1+0.13*0.25)*(PI()*(fi_h/1000)^2/4)*SQRT(2*9.81*(O1271/100-fi_h/2/1000))*1000)),"",IF(O1271&lt;fi_h/20,0,(OFFSET('Base de dados'!$A$5,IF(O1271&lt;20,1,IF(O1271&gt;1000,10,MATCH(O1271,Cargas,1))),Coluna_fih,1,1))*(PI()*(fi_h/1000)^2/4)*SQRT(2*9.81*(O1271/100-fi_h/2/1000))*1000))</f>
        <v>47.527065345348674</v>
      </c>
      <c r="Q1271" s="19">
        <f ca="1">IF(O1271="","",IF(Tipo_Vertedor="Retangular",IF(O1271&lt;=cota_s*100,0,IF(Tipo_Vertedor="Retangular",Cd_sr*Lef_sr*((O1271/100-cota_s)^(3/2))*1000)),IF(O1271&lt;=cota_s*100+fi_s/20,0,(OFFSET('Base de dados'!$A$4,IF(O1271&lt;20,1,IF(O1271&gt;1000,10,MATCH(O1271,Cargas,1))),Coluna_fis,1,1))*(PI()*(fi_s/1000)^2/4)*(2*9.81*(O1271/100-cota_s-fi_s/2/1000))^0.5*1000)))</f>
        <v>4536.9938459223758</v>
      </c>
      <c r="R1271" s="19">
        <f t="shared" ca="1" si="185"/>
        <v>4584.5209112677248</v>
      </c>
      <c r="S1271" s="19">
        <f t="shared" ca="1" si="186"/>
        <v>7409.2705594026493</v>
      </c>
    </row>
    <row r="1272" spans="13:19">
      <c r="M1272" s="81">
        <f t="shared" ca="1" si="183"/>
        <v>12006.980561872431</v>
      </c>
      <c r="N1272" s="19">
        <f t="shared" si="184"/>
        <v>222.47495185626215</v>
      </c>
      <c r="O1272" s="17">
        <f t="shared" si="182"/>
        <v>317.75</v>
      </c>
      <c r="P1272" s="19">
        <f ca="1">IF(ISERROR(IF(O1272&lt;fi_h/20,0,(OFFSET('Base de dados'!$A$5,IF(O1272&lt;20,1,IF(O1272&gt;1000,10,MATCH(O1272,Cargas,1))),Coluna_fih,1,1))*(1+0.13*0.25)*(PI()*(fi_h/1000)^2/4)*SQRT(2*9.81*(O1272/100-fi_h/2/1000))*1000)),"",IF(O1272&lt;fi_h/20,0,(OFFSET('Base de dados'!$A$5,IF(O1272&lt;20,1,IF(O1272&gt;1000,10,MATCH(O1272,Cargas,1))),Coluna_fih,1,1))*(PI()*(fi_h/1000)^2/4)*SQRT(2*9.81*(O1272/100-fi_h/2/1000))*1000))</f>
        <v>47.546111369302182</v>
      </c>
      <c r="Q1272" s="19">
        <f ca="1">IF(O1272="","",IF(Tipo_Vertedor="Retangular",IF(O1272&lt;=cota_s*100,0,IF(Tipo_Vertedor="Retangular",Cd_sr*Lef_sr*((O1272/100-cota_s)^(3/2))*1000)),IF(O1272&lt;=cota_s*100+fi_s/20,0,(OFFSET('Base de dados'!$A$4,IF(O1272&lt;20,1,IF(O1272&gt;1000,10,MATCH(O1272,Cargas,1))),Coluna_fis,1,1))*(PI()*(fi_s/1000)^2/4)*(2*9.81*(O1272/100-cota_s-fi_s/2/1000))^0.5*1000)))</f>
        <v>4543.6027219610587</v>
      </c>
      <c r="R1272" s="19">
        <f t="shared" ca="1" si="185"/>
        <v>4591.1488333303605</v>
      </c>
      <c r="S1272" s="19">
        <f t="shared" ca="1" si="186"/>
        <v>7415.8317285420717</v>
      </c>
    </row>
    <row r="1273" spans="13:19">
      <c r="M1273" s="81">
        <f t="shared" ca="1" si="183"/>
        <v>12020.173494417279</v>
      </c>
      <c r="N1273" s="19">
        <f t="shared" si="184"/>
        <v>222.67180622377441</v>
      </c>
      <c r="O1273" s="17">
        <f t="shared" si="182"/>
        <v>318</v>
      </c>
      <c r="P1273" s="19">
        <f ca="1">IF(ISERROR(IF(O1273&lt;fi_h/20,0,(OFFSET('Base de dados'!$A$5,IF(O1273&lt;20,1,IF(O1273&gt;1000,10,MATCH(O1273,Cargas,1))),Coluna_fih,1,1))*(1+0.13*0.25)*(PI()*(fi_h/1000)^2/4)*SQRT(2*9.81*(O1273/100-fi_h/2/1000))*1000)),"",IF(O1273&lt;fi_h/20,0,(OFFSET('Base de dados'!$A$5,IF(O1273&lt;20,1,IF(O1273&gt;1000,10,MATCH(O1273,Cargas,1))),Coluna_fih,1,1))*(PI()*(fi_h/1000)^2/4)*SQRT(2*9.81*(O1273/100-fi_h/2/1000))*1000))</f>
        <v>47.56514976685272</v>
      </c>
      <c r="Q1273" s="19">
        <f ca="1">IF(O1273="","",IF(Tipo_Vertedor="Retangular",IF(O1273&lt;=cota_s*100,0,IF(Tipo_Vertedor="Retangular",Cd_sr*Lef_sr*((O1273/100-cota_s)^(3/2))*1000)),IF(O1273&lt;=cota_s*100+fi_s/20,0,(OFFSET('Base de dados'!$A$4,IF(O1273&lt;20,1,IF(O1273&gt;1000,10,MATCH(O1273,Cargas,1))),Coluna_fis,1,1))*(PI()*(fi_s/1000)^2/4)*(2*9.81*(O1273/100-cota_s-fi_s/2/1000))^0.5*1000)))</f>
        <v>4550.2148038579462</v>
      </c>
      <c r="R1273" s="19">
        <f t="shared" ca="1" si="185"/>
        <v>4597.7799536247985</v>
      </c>
      <c r="S1273" s="19">
        <f t="shared" ca="1" si="186"/>
        <v>7422.393540792481</v>
      </c>
    </row>
    <row r="1274" spans="13:19">
      <c r="M1274" s="81">
        <f t="shared" ca="1" si="183"/>
        <v>12033.370266317837</v>
      </c>
      <c r="N1274" s="19">
        <f t="shared" si="184"/>
        <v>222.86867987133749</v>
      </c>
      <c r="O1274" s="17">
        <f t="shared" si="182"/>
        <v>318.25</v>
      </c>
      <c r="P1274" s="19">
        <f ca="1">IF(ISERROR(IF(O1274&lt;fi_h/20,0,(OFFSET('Base de dados'!$A$5,IF(O1274&lt;20,1,IF(O1274&gt;1000,10,MATCH(O1274,Cargas,1))),Coluna_fih,1,1))*(1+0.13*0.25)*(PI()*(fi_h/1000)^2/4)*SQRT(2*9.81*(O1274/100-fi_h/2/1000))*1000)),"",IF(O1274&lt;fi_h/20,0,(OFFSET('Base de dados'!$A$5,IF(O1274&lt;20,1,IF(O1274&gt;1000,10,MATCH(O1274,Cargas,1))),Coluna_fih,1,1))*(PI()*(fi_h/1000)^2/4)*SQRT(2*9.81*(O1274/100-fi_h/2/1000))*1000))</f>
        <v>47.58418054715424</v>
      </c>
      <c r="Q1274" s="19">
        <f ca="1">IF(O1274="","",IF(Tipo_Vertedor="Retangular",IF(O1274&lt;=cota_s*100,0,IF(Tipo_Vertedor="Retangular",Cd_sr*Lef_sr*((O1274/100-cota_s)^(3/2))*1000)),IF(O1274&lt;=cota_s*100+fi_s/20,0,(OFFSET('Base de dados'!$A$4,IF(O1274&lt;20,1,IF(O1274&gt;1000,10,MATCH(O1274,Cargas,1))),Coluna_fis,1,1))*(PI()*(fi_s/1000)^2/4)*(2*9.81*(O1274/100-cota_s-fi_s/2/1000))^0.5*1000)))</f>
        <v>4556.830090059434</v>
      </c>
      <c r="R1274" s="19">
        <f t="shared" ca="1" si="185"/>
        <v>4604.4142706065886</v>
      </c>
      <c r="S1274" s="19">
        <f t="shared" ca="1" si="186"/>
        <v>7428.9559957112497</v>
      </c>
    </row>
    <row r="1275" spans="13:19">
      <c r="M1275" s="81">
        <f t="shared" ca="1" si="183"/>
        <v>12046.570875589921</v>
      </c>
      <c r="N1275" s="19">
        <f t="shared" si="184"/>
        <v>223.0655727856921</v>
      </c>
      <c r="O1275" s="17">
        <f t="shared" si="182"/>
        <v>318.5</v>
      </c>
      <c r="P1275" s="19">
        <f ca="1">IF(ISERROR(IF(O1275&lt;fi_h/20,0,(OFFSET('Base de dados'!$A$5,IF(O1275&lt;20,1,IF(O1275&gt;1000,10,MATCH(O1275,Cargas,1))),Coluna_fih,1,1))*(1+0.13*0.25)*(PI()*(fi_h/1000)^2/4)*SQRT(2*9.81*(O1275/100-fi_h/2/1000))*1000)),"",IF(O1275&lt;fi_h/20,0,(OFFSET('Base de dados'!$A$5,IF(O1275&lt;20,1,IF(O1275&gt;1000,10,MATCH(O1275,Cargas,1))),Coluna_fih,1,1))*(PI()*(fi_h/1000)^2/4)*SQRT(2*9.81*(O1275/100-fi_h/2/1000))*1000))</f>
        <v>47.60320371934241</v>
      </c>
      <c r="Q1275" s="19">
        <f ca="1">IF(O1275="","",IF(Tipo_Vertedor="Retangular",IF(O1275&lt;=cota_s*100,0,IF(Tipo_Vertedor="Retangular",Cd_sr*Lef_sr*((O1275/100-cota_s)^(3/2))*1000)),IF(O1275&lt;=cota_s*100+fi_s/20,0,(OFFSET('Base de dados'!$A$4,IF(O1275&lt;20,1,IF(O1275&gt;1000,10,MATCH(O1275,Cargas,1))),Coluna_fis,1,1))*(PI()*(fi_s/1000)^2/4)*(2*9.81*(O1275/100-cota_s-fi_s/2/1000))^0.5*1000)))</f>
        <v>4563.4485790141762</v>
      </c>
      <c r="R1275" s="19">
        <f t="shared" ca="1" si="185"/>
        <v>4611.0517827335188</v>
      </c>
      <c r="S1275" s="19">
        <f t="shared" ca="1" si="186"/>
        <v>7435.5190928564025</v>
      </c>
    </row>
    <row r="1276" spans="13:19">
      <c r="M1276" s="81">
        <f t="shared" ca="1" si="183"/>
        <v>12059.775320252227</v>
      </c>
      <c r="N1276" s="19">
        <f t="shared" si="184"/>
        <v>223.26248495359846</v>
      </c>
      <c r="O1276" s="17">
        <f t="shared" si="182"/>
        <v>318.75</v>
      </c>
      <c r="P1276" s="19">
        <f ca="1">IF(ISERROR(IF(O1276&lt;fi_h/20,0,(OFFSET('Base de dados'!$A$5,IF(O1276&lt;20,1,IF(O1276&gt;1000,10,MATCH(O1276,Cargas,1))),Coluna_fih,1,1))*(1+0.13*0.25)*(PI()*(fi_h/1000)^2/4)*SQRT(2*9.81*(O1276/100-fi_h/2/1000))*1000)),"",IF(O1276&lt;fi_h/20,0,(OFFSET('Base de dados'!$A$5,IF(O1276&lt;20,1,IF(O1276&gt;1000,10,MATCH(O1276,Cargas,1))),Coluna_fih,1,1))*(PI()*(fi_h/1000)^2/4)*SQRT(2*9.81*(O1276/100-fi_h/2/1000))*1000))</f>
        <v>47.622219292534638</v>
      </c>
      <c r="Q1276" s="19">
        <f ca="1">IF(O1276="","",IF(Tipo_Vertedor="Retangular",IF(O1276&lt;=cota_s*100,0,IF(Tipo_Vertedor="Retangular",Cd_sr*Lef_sr*((O1276/100-cota_s)^(3/2))*1000)),IF(O1276&lt;=cota_s*100+fi_s/20,0,(OFFSET('Base de dados'!$A$4,IF(O1276&lt;20,1,IF(O1276&gt;1000,10,MATCH(O1276,Cargas,1))),Coluna_fis,1,1))*(PI()*(fi_s/1000)^2/4)*(2*9.81*(O1276/100-cota_s-fi_s/2/1000))^0.5*1000)))</f>
        <v>4570.0702691730776</v>
      </c>
      <c r="R1276" s="19">
        <f t="shared" ca="1" si="185"/>
        <v>4617.6924884656119</v>
      </c>
      <c r="S1276" s="19">
        <f t="shared" ca="1" si="186"/>
        <v>7442.0828317866153</v>
      </c>
    </row>
    <row r="1277" spans="13:19">
      <c r="M1277" s="81">
        <f t="shared" ca="1" si="183"/>
        <v>12072.983598326326</v>
      </c>
      <c r="N1277" s="19">
        <f t="shared" si="184"/>
        <v>223.45941636183619</v>
      </c>
      <c r="O1277" s="17">
        <f t="shared" si="182"/>
        <v>319</v>
      </c>
      <c r="P1277" s="19">
        <f ca="1">IF(ISERROR(IF(O1277&lt;fi_h/20,0,(OFFSET('Base de dados'!$A$5,IF(O1277&lt;20,1,IF(O1277&gt;1000,10,MATCH(O1277,Cargas,1))),Coluna_fih,1,1))*(1+0.13*0.25)*(PI()*(fi_h/1000)^2/4)*SQRT(2*9.81*(O1277/100-fi_h/2/1000))*1000)),"",IF(O1277&lt;fi_h/20,0,(OFFSET('Base de dados'!$A$5,IF(O1277&lt;20,1,IF(O1277&gt;1000,10,MATCH(O1277,Cargas,1))),Coluna_fih,1,1))*(PI()*(fi_h/1000)^2/4)*SQRT(2*9.81*(O1277/100-fi_h/2/1000))*1000))</f>
        <v>47.641227275830133</v>
      </c>
      <c r="Q1277" s="19">
        <f ca="1">IF(O1277="","",IF(Tipo_Vertedor="Retangular",IF(O1277&lt;=cota_s*100,0,IF(Tipo_Vertedor="Retangular",Cd_sr*Lef_sr*((O1277/100-cota_s)^(3/2))*1000)),IF(O1277&lt;=cota_s*100+fi_s/20,0,(OFFSET('Base de dados'!$A$4,IF(O1277&lt;20,1,IF(O1277&gt;1000,10,MATCH(O1277,Cargas,1))),Coluna_fis,1,1))*(PI()*(fi_s/1000)^2/4)*(2*9.81*(O1277/100-cota_s-fi_s/2/1000))^0.5*1000)))</f>
        <v>4576.6951589892906</v>
      </c>
      <c r="R1277" s="19">
        <f t="shared" ca="1" si="185"/>
        <v>4624.3363862651204</v>
      </c>
      <c r="S1277" s="19">
        <f t="shared" ca="1" si="186"/>
        <v>7448.6472120612061</v>
      </c>
    </row>
    <row r="1278" spans="13:19">
      <c r="M1278" s="81">
        <f t="shared" ca="1" si="183"/>
        <v>12086.195707836661</v>
      </c>
      <c r="N1278" s="19">
        <f t="shared" si="184"/>
        <v>223.65636699720449</v>
      </c>
      <c r="O1278" s="17">
        <f t="shared" si="182"/>
        <v>319.25</v>
      </c>
      <c r="P1278" s="19">
        <f ca="1">IF(ISERROR(IF(O1278&lt;fi_h/20,0,(OFFSET('Base de dados'!$A$5,IF(O1278&lt;20,1,IF(O1278&gt;1000,10,MATCH(O1278,Cargas,1))),Coluna_fih,1,1))*(1+0.13*0.25)*(PI()*(fi_h/1000)^2/4)*SQRT(2*9.81*(O1278/100-fi_h/2/1000))*1000)),"",IF(O1278&lt;fi_h/20,0,(OFFSET('Base de dados'!$A$5,IF(O1278&lt;20,1,IF(O1278&gt;1000,10,MATCH(O1278,Cargas,1))),Coluna_fih,1,1))*(PI()*(fi_h/1000)^2/4)*SQRT(2*9.81*(O1278/100-fi_h/2/1000))*1000))</f>
        <v>47.660227678309973</v>
      </c>
      <c r="Q1278" s="19">
        <f ca="1">IF(O1278="","",IF(Tipo_Vertedor="Retangular",IF(O1278&lt;=cota_s*100,0,IF(Tipo_Vertedor="Retangular",Cd_sr*Lef_sr*((O1278/100-cota_s)^(3/2))*1000)),IF(O1278&lt;=cota_s*100+fi_s/20,0,(OFFSET('Base de dados'!$A$4,IF(O1278&lt;20,1,IF(O1278&gt;1000,10,MATCH(O1278,Cargas,1))),Coluna_fis,1,1))*(PI()*(fi_s/1000)^2/4)*(2*9.81*(O1278/100-cota_s-fi_s/2/1000))^0.5*1000)))</f>
        <v>4583.3232469182012</v>
      </c>
      <c r="R1278" s="19">
        <f t="shared" ca="1" si="185"/>
        <v>4630.9834745965109</v>
      </c>
      <c r="S1278" s="19">
        <f t="shared" ca="1" si="186"/>
        <v>7455.2122332401495</v>
      </c>
    </row>
    <row r="1279" spans="13:19">
      <c r="M1279" s="81">
        <f t="shared" ca="1" si="183"/>
        <v>12099.411646810542</v>
      </c>
      <c r="N1279" s="19">
        <f t="shared" si="184"/>
        <v>223.85333684652193</v>
      </c>
      <c r="O1279" s="17">
        <f t="shared" si="182"/>
        <v>319.5</v>
      </c>
      <c r="P1279" s="19">
        <f ca="1">IF(ISERROR(IF(O1279&lt;fi_h/20,0,(OFFSET('Base de dados'!$A$5,IF(O1279&lt;20,1,IF(O1279&gt;1000,10,MATCH(O1279,Cargas,1))),Coluna_fih,1,1))*(1+0.13*0.25)*(PI()*(fi_h/1000)^2/4)*SQRT(2*9.81*(O1279/100-fi_h/2/1000))*1000)),"",IF(O1279&lt;fi_h/20,0,(OFFSET('Base de dados'!$A$5,IF(O1279&lt;20,1,IF(O1279&gt;1000,10,MATCH(O1279,Cargas,1))),Coluna_fih,1,1))*(PI()*(fi_h/1000)^2/4)*SQRT(2*9.81*(O1279/100-fi_h/2/1000))*1000))</f>
        <v>47.67922050903713</v>
      </c>
      <c r="Q1279" s="19">
        <f ca="1">IF(O1279="","",IF(Tipo_Vertedor="Retangular",IF(O1279&lt;=cota_s*100,0,IF(Tipo_Vertedor="Retangular",Cd_sr*Lef_sr*((O1279/100-cota_s)^(3/2))*1000)),IF(O1279&lt;=cota_s*100+fi_s/20,0,(OFFSET('Base de dados'!$A$4,IF(O1279&lt;20,1,IF(O1279&gt;1000,10,MATCH(O1279,Cargas,1))),Coluna_fis,1,1))*(PI()*(fi_s/1000)^2/4)*(2*9.81*(O1279/100-cota_s-fi_s/2/1000))^0.5*1000)))</f>
        <v>4589.9545314174402</v>
      </c>
      <c r="R1279" s="19">
        <f t="shared" ca="1" si="185"/>
        <v>4637.6337519264771</v>
      </c>
      <c r="S1279" s="19">
        <f t="shared" ca="1" si="186"/>
        <v>7461.7778948840651</v>
      </c>
    </row>
    <row r="1280" spans="13:19">
      <c r="M1280" s="81">
        <f t="shared" ca="1" si="183"/>
        <v>12112.631413278128</v>
      </c>
      <c r="N1280" s="19">
        <f t="shared" si="184"/>
        <v>224.0503258966263</v>
      </c>
      <c r="O1280" s="17">
        <f t="shared" si="182"/>
        <v>319.75</v>
      </c>
      <c r="P1280" s="19">
        <f ca="1">IF(ISERROR(IF(O1280&lt;fi_h/20,0,(OFFSET('Base de dados'!$A$5,IF(O1280&lt;20,1,IF(O1280&gt;1000,10,MATCH(O1280,Cargas,1))),Coluna_fih,1,1))*(1+0.13*0.25)*(PI()*(fi_h/1000)^2/4)*SQRT(2*9.81*(O1280/100-fi_h/2/1000))*1000)),"",IF(O1280&lt;fi_h/20,0,(OFFSET('Base de dados'!$A$5,IF(O1280&lt;20,1,IF(O1280&gt;1000,10,MATCH(O1280,Cargas,1))),Coluna_fih,1,1))*(PI()*(fi_h/1000)^2/4)*SQRT(2*9.81*(O1280/100-fi_h/2/1000))*1000))</f>
        <v>47.698205777056536</v>
      </c>
      <c r="Q1280" s="19">
        <f ca="1">IF(O1280="","",IF(Tipo_Vertedor="Retangular",IF(O1280&lt;=cota_s*100,0,IF(Tipo_Vertedor="Retangular",Cd_sr*Lef_sr*((O1280/100-cota_s)^(3/2))*1000)),IF(O1280&lt;=cota_s*100+fi_s/20,0,(OFFSET('Base de dados'!$A$4,IF(O1280&lt;20,1,IF(O1280&gt;1000,10,MATCH(O1280,Cargas,1))),Coluna_fis,1,1))*(PI()*(fi_s/1000)^2/4)*(2*9.81*(O1280/100-cota_s-fi_s/2/1000))^0.5*1000)))</f>
        <v>4596.589010946861</v>
      </c>
      <c r="R1280" s="19">
        <f t="shared" ca="1" si="185"/>
        <v>4644.2872167239175</v>
      </c>
      <c r="S1280" s="19">
        <f t="shared" ca="1" si="186"/>
        <v>7468.3441965542106</v>
      </c>
    </row>
    <row r="1281" spans="13:19">
      <c r="M1281" s="81">
        <f t="shared" ca="1" si="183"/>
        <v>12125.855005272435</v>
      </c>
      <c r="N1281" s="19">
        <f t="shared" si="184"/>
        <v>224.24733413437494</v>
      </c>
      <c r="O1281" s="17">
        <f t="shared" si="182"/>
        <v>320</v>
      </c>
      <c r="P1281" s="19">
        <f ca="1">IF(ISERROR(IF(O1281&lt;fi_h/20,0,(OFFSET('Base de dados'!$A$5,IF(O1281&lt;20,1,IF(O1281&gt;1000,10,MATCH(O1281,Cargas,1))),Coluna_fih,1,1))*(1+0.13*0.25)*(PI()*(fi_h/1000)^2/4)*SQRT(2*9.81*(O1281/100-fi_h/2/1000))*1000)),"",IF(O1281&lt;fi_h/20,0,(OFFSET('Base de dados'!$A$5,IF(O1281&lt;20,1,IF(O1281&gt;1000,10,MATCH(O1281,Cargas,1))),Coluna_fih,1,1))*(PI()*(fi_h/1000)^2/4)*SQRT(2*9.81*(O1281/100-fi_h/2/1000))*1000))</f>
        <v>47.717183491395133</v>
      </c>
      <c r="Q1281" s="19">
        <f ca="1">IF(O1281="","",IF(Tipo_Vertedor="Retangular",IF(O1281&lt;=cota_s*100,0,IF(Tipo_Vertedor="Retangular",Cd_sr*Lef_sr*((O1281/100-cota_s)^(3/2))*1000)),IF(O1281&lt;=cota_s*100+fi_s/20,0,(OFFSET('Base de dados'!$A$4,IF(O1281&lt;20,1,IF(O1281&gt;1000,10,MATCH(O1281,Cargas,1))),Coluna_fis,1,1))*(PI()*(fi_s/1000)^2/4)*(2*9.81*(O1281/100-cota_s-fi_s/2/1000))^0.5*1000)))</f>
        <v>4603.2266839685408</v>
      </c>
      <c r="R1281" s="19">
        <f t="shared" ca="1" si="185"/>
        <v>4650.943867459936</v>
      </c>
      <c r="S1281" s="19">
        <f t="shared" ca="1" si="186"/>
        <v>7474.9111378124981</v>
      </c>
    </row>
    <row r="1282" spans="13:19">
      <c r="M1282" s="81">
        <f t="shared" ca="1" si="183"/>
        <v>12139.082420829305</v>
      </c>
      <c r="N1282" s="19">
        <f t="shared" si="184"/>
        <v>224.44436154664405</v>
      </c>
      <c r="O1282" s="17">
        <f t="shared" si="182"/>
        <v>320.25</v>
      </c>
      <c r="P1282" s="19">
        <f ca="1">IF(ISERROR(IF(O1282&lt;fi_h/20,0,(OFFSET('Base de dados'!$A$5,IF(O1282&lt;20,1,IF(O1282&gt;1000,10,MATCH(O1282,Cargas,1))),Coluna_fih,1,1))*(1+0.13*0.25)*(PI()*(fi_h/1000)^2/4)*SQRT(2*9.81*(O1282/100-fi_h/2/1000))*1000)),"",IF(O1282&lt;fi_h/20,0,(OFFSET('Base de dados'!$A$5,IF(O1282&lt;20,1,IF(O1282&gt;1000,10,MATCH(O1282,Cargas,1))),Coluna_fih,1,1))*(PI()*(fi_h/1000)^2/4)*SQRT(2*9.81*(O1282/100-fi_h/2/1000))*1000))</f>
        <v>47.736153661061927</v>
      </c>
      <c r="Q1282" s="19">
        <f ca="1">IF(O1282="","",IF(Tipo_Vertedor="Retangular",IF(O1282&lt;=cota_s*100,0,IF(Tipo_Vertedor="Retangular",Cd_sr*Lef_sr*((O1282/100-cota_s)^(3/2))*1000)),IF(O1282&lt;=cota_s*100+fi_s/20,0,(OFFSET('Base de dados'!$A$4,IF(O1282&lt;20,1,IF(O1282&gt;1000,10,MATCH(O1282,Cargas,1))),Coluna_fis,1,1))*(PI()*(fi_s/1000)^2/4)*(2*9.81*(O1282/100-cota_s-fi_s/2/1000))^0.5*1000)))</f>
        <v>4609.8675489467769</v>
      </c>
      <c r="R1282" s="19">
        <f t="shared" ca="1" si="185"/>
        <v>4657.6037026078384</v>
      </c>
      <c r="S1282" s="19">
        <f t="shared" ca="1" si="186"/>
        <v>7481.4787182214677</v>
      </c>
    </row>
    <row r="1283" spans="13:19">
      <c r="M1283" s="81">
        <f t="shared" ca="1" si="183"/>
        <v>12152.313657987441</v>
      </c>
      <c r="N1283" s="19">
        <f t="shared" si="184"/>
        <v>224.64140812032932</v>
      </c>
      <c r="O1283" s="17">
        <f t="shared" si="182"/>
        <v>320.5</v>
      </c>
      <c r="P1283" s="19">
        <f ca="1">IF(ISERROR(IF(O1283&lt;fi_h/20,0,(OFFSET('Base de dados'!$A$5,IF(O1283&lt;20,1,IF(O1283&gt;1000,10,MATCH(O1283,Cargas,1))),Coluna_fih,1,1))*(1+0.13*0.25)*(PI()*(fi_h/1000)^2/4)*SQRT(2*9.81*(O1283/100-fi_h/2/1000))*1000)),"",IF(O1283&lt;fi_h/20,0,(OFFSET('Base de dados'!$A$5,IF(O1283&lt;20,1,IF(O1283&gt;1000,10,MATCH(O1283,Cargas,1))),Coluna_fih,1,1))*(PI()*(fi_h/1000)^2/4)*SQRT(2*9.81*(O1283/100-fi_h/2/1000))*1000))</f>
        <v>47.755116295047998</v>
      </c>
      <c r="Q1283" s="19">
        <f ca="1">IF(O1283="","",IF(Tipo_Vertedor="Retangular",IF(O1283&lt;=cota_s*100,0,IF(Tipo_Vertedor="Retangular",Cd_sr*Lef_sr*((O1283/100-cota_s)^(3/2))*1000)),IF(O1283&lt;=cota_s*100+fi_s/20,0,(OFFSET('Base de dados'!$A$4,IF(O1283&lt;20,1,IF(O1283&gt;1000,10,MATCH(O1283,Cargas,1))),Coluna_fis,1,1))*(PI()*(fi_s/1000)^2/4)*(2*9.81*(O1283/100-cota_s-fi_s/2/1000))^0.5*1000)))</f>
        <v>4616.511604348083</v>
      </c>
      <c r="R1283" s="19">
        <f t="shared" ca="1" si="185"/>
        <v>4664.2667206431306</v>
      </c>
      <c r="S1283" s="19">
        <f t="shared" ca="1" si="186"/>
        <v>7488.0469373443102</v>
      </c>
    </row>
    <row r="1284" spans="13:19">
      <c r="M1284" s="81">
        <f t="shared" ca="1" si="183"/>
        <v>12165.548714788354</v>
      </c>
      <c r="N1284" s="19">
        <f t="shared" si="184"/>
        <v>224.83847384234559</v>
      </c>
      <c r="O1284" s="17">
        <f t="shared" si="182"/>
        <v>320.75</v>
      </c>
      <c r="P1284" s="19">
        <f ca="1">IF(ISERROR(IF(O1284&lt;fi_h/20,0,(OFFSET('Base de dados'!$A$5,IF(O1284&lt;20,1,IF(O1284&gt;1000,10,MATCH(O1284,Cargas,1))),Coluna_fih,1,1))*(1+0.13*0.25)*(PI()*(fi_h/1000)^2/4)*SQRT(2*9.81*(O1284/100-fi_h/2/1000))*1000)),"",IF(O1284&lt;fi_h/20,0,(OFFSET('Base de dados'!$A$5,IF(O1284&lt;20,1,IF(O1284&gt;1000,10,MATCH(O1284,Cargas,1))),Coluna_fih,1,1))*(PI()*(fi_h/1000)^2/4)*SQRT(2*9.81*(O1284/100-fi_h/2/1000))*1000))</f>
        <v>47.774071402326619</v>
      </c>
      <c r="Q1284" s="19">
        <f ca="1">IF(O1284="","",IF(Tipo_Vertedor="Retangular",IF(O1284&lt;=cota_s*100,0,IF(Tipo_Vertedor="Retangular",Cd_sr*Lef_sr*((O1284/100-cota_s)^(3/2))*1000)),IF(O1284&lt;=cota_s*100+fi_s/20,0,(OFFSET('Base de dados'!$A$4,IF(O1284&lt;20,1,IF(O1284&gt;1000,10,MATCH(O1284,Cargas,1))),Coluna_fis,1,1))*(PI()*(fi_s/1000)^2/4)*(2*9.81*(O1284/100-cota_s-fi_s/2/1000))^0.5*1000)))</f>
        <v>4623.1588486411738</v>
      </c>
      <c r="R1284" s="19">
        <f t="shared" ca="1" si="185"/>
        <v>4670.9329200435004</v>
      </c>
      <c r="S1284" s="19">
        <f t="shared" ca="1" si="186"/>
        <v>7494.6157947448528</v>
      </c>
    </row>
    <row r="1285" spans="13:19">
      <c r="M1285" s="81">
        <f t="shared" ca="1" si="183"/>
        <v>12178.787589276391</v>
      </c>
      <c r="N1285" s="19">
        <f t="shared" si="184"/>
        <v>225.03555869962682</v>
      </c>
      <c r="O1285" s="17">
        <f t="shared" si="182"/>
        <v>321</v>
      </c>
      <c r="P1285" s="19">
        <f ca="1">IF(ISERROR(IF(O1285&lt;fi_h/20,0,(OFFSET('Base de dados'!$A$5,IF(O1285&lt;20,1,IF(O1285&gt;1000,10,MATCH(O1285,Cargas,1))),Coluna_fih,1,1))*(1+0.13*0.25)*(PI()*(fi_h/1000)^2/4)*SQRT(2*9.81*(O1285/100-fi_h/2/1000))*1000)),"",IF(O1285&lt;fi_h/20,0,(OFFSET('Base de dados'!$A$5,IF(O1285&lt;20,1,IF(O1285&gt;1000,10,MATCH(O1285,Cargas,1))),Coluna_fih,1,1))*(PI()*(fi_h/1000)^2/4)*SQRT(2*9.81*(O1285/100-fi_h/2/1000))*1000))</f>
        <v>47.793018991853245</v>
      </c>
      <c r="Q1285" s="19">
        <f ca="1">IF(O1285="","",IF(Tipo_Vertedor="Retangular",IF(O1285&lt;=cota_s*100,0,IF(Tipo_Vertedor="Retangular",Cd_sr*Lef_sr*((O1285/100-cota_s)^(3/2))*1000)),IF(O1285&lt;=cota_s*100+fi_s/20,0,(OFFSET('Base de dados'!$A$4,IF(O1285&lt;20,1,IF(O1285&gt;1000,10,MATCH(O1285,Cargas,1))),Coluna_fis,1,1))*(PI()*(fi_s/1000)^2/4)*(2*9.81*(O1285/100-cota_s-fi_s/2/1000))^0.5*1000)))</f>
        <v>4629.8092802969768</v>
      </c>
      <c r="R1285" s="19">
        <f t="shared" ca="1" si="185"/>
        <v>4677.6022992888302</v>
      </c>
      <c r="S1285" s="19">
        <f t="shared" ca="1" si="186"/>
        <v>7501.1852899875612</v>
      </c>
    </row>
    <row r="1286" spans="13:19">
      <c r="M1286" s="81">
        <f t="shared" ca="1" si="183"/>
        <v>12192.030279498707</v>
      </c>
      <c r="N1286" s="19">
        <f t="shared" si="184"/>
        <v>225.23266267912612</v>
      </c>
      <c r="O1286" s="17">
        <f t="shared" si="182"/>
        <v>321.25</v>
      </c>
      <c r="P1286" s="19">
        <f ca="1">IF(ISERROR(IF(O1286&lt;fi_h/20,0,(OFFSET('Base de dados'!$A$5,IF(O1286&lt;20,1,IF(O1286&gt;1000,10,MATCH(O1286,Cargas,1))),Coluna_fih,1,1))*(1+0.13*0.25)*(PI()*(fi_h/1000)^2/4)*SQRT(2*9.81*(O1286/100-fi_h/2/1000))*1000)),"",IF(O1286&lt;fi_h/20,0,(OFFSET('Base de dados'!$A$5,IF(O1286&lt;20,1,IF(O1286&gt;1000,10,MATCH(O1286,Cargas,1))),Coluna_fih,1,1))*(PI()*(fi_h/1000)^2/4)*SQRT(2*9.81*(O1286/100-fi_h/2/1000))*1000))</f>
        <v>47.811959072565593</v>
      </c>
      <c r="Q1286" s="19">
        <f ca="1">IF(O1286="","",IF(Tipo_Vertedor="Retangular",IF(O1286&lt;=cota_s*100,0,IF(Tipo_Vertedor="Retangular",Cd_sr*Lef_sr*((O1286/100-cota_s)^(3/2))*1000)),IF(O1286&lt;=cota_s*100+fi_s/20,0,(OFFSET('Base de dados'!$A$4,IF(O1286&lt;20,1,IF(O1286&gt;1000,10,MATCH(O1286,Cargas,1))),Coluna_fis,1,1))*(PI()*(fi_s/1000)^2/4)*(2*9.81*(O1286/100-cota_s-fi_s/2/1000))^0.5*1000)))</f>
        <v>4636.462897788605</v>
      </c>
      <c r="R1286" s="19">
        <f t="shared" ca="1" si="185"/>
        <v>4684.2748568611705</v>
      </c>
      <c r="S1286" s="19">
        <f t="shared" ca="1" si="186"/>
        <v>7507.7554226375369</v>
      </c>
    </row>
    <row r="1287" spans="13:19">
      <c r="M1287" s="81">
        <f t="shared" ca="1" si="183"/>
        <v>12205.276783505269</v>
      </c>
      <c r="N1287" s="19">
        <f t="shared" si="184"/>
        <v>225.42978576781533</v>
      </c>
      <c r="O1287" s="17">
        <f t="shared" si="182"/>
        <v>321.5</v>
      </c>
      <c r="P1287" s="19">
        <f ca="1">IF(ISERROR(IF(O1287&lt;fi_h/20,0,(OFFSET('Base de dados'!$A$5,IF(O1287&lt;20,1,IF(O1287&gt;1000,10,MATCH(O1287,Cargas,1))),Coluna_fih,1,1))*(1+0.13*0.25)*(PI()*(fi_h/1000)^2/4)*SQRT(2*9.81*(O1287/100-fi_h/2/1000))*1000)),"",IF(O1287&lt;fi_h/20,0,(OFFSET('Base de dados'!$A$5,IF(O1287&lt;20,1,IF(O1287&gt;1000,10,MATCH(O1287,Cargas,1))),Coluna_fih,1,1))*(PI()*(fi_h/1000)^2/4)*SQRT(2*9.81*(O1287/100-fi_h/2/1000))*1000))</f>
        <v>47.830891653383702</v>
      </c>
      <c r="Q1287" s="19">
        <f ca="1">IF(O1287="","",IF(Tipo_Vertedor="Retangular",IF(O1287&lt;=cota_s*100,0,IF(Tipo_Vertedor="Retangular",Cd_sr*Lef_sr*((O1287/100-cota_s)^(3/2))*1000)),IF(O1287&lt;=cota_s*100+fi_s/20,0,(OFFSET('Base de dados'!$A$4,IF(O1287&lt;20,1,IF(O1287&gt;1000,10,MATCH(O1287,Cargas,1))),Coluna_fis,1,1))*(PI()*(fi_s/1000)^2/4)*(2*9.81*(O1287/100-cota_s-fi_s/2/1000))^0.5*1000)))</f>
        <v>4643.1196995913742</v>
      </c>
      <c r="R1287" s="19">
        <f t="shared" ca="1" si="185"/>
        <v>4690.9505912447576</v>
      </c>
      <c r="S1287" s="19">
        <f t="shared" ca="1" si="186"/>
        <v>7514.3261922605116</v>
      </c>
    </row>
    <row r="1288" spans="13:19">
      <c r="M1288" s="81">
        <f t="shared" ca="1" si="183"/>
        <v>12218.527099348848</v>
      </c>
      <c r="N1288" s="19">
        <f t="shared" si="184"/>
        <v>225.62692795268575</v>
      </c>
      <c r="O1288" s="17">
        <f t="shared" si="182"/>
        <v>321.75</v>
      </c>
      <c r="P1288" s="19">
        <f ca="1">IF(ISERROR(IF(O1288&lt;fi_h/20,0,(OFFSET('Base de dados'!$A$5,IF(O1288&lt;20,1,IF(O1288&gt;1000,10,MATCH(O1288,Cargas,1))),Coluna_fih,1,1))*(1+0.13*0.25)*(PI()*(fi_h/1000)^2/4)*SQRT(2*9.81*(O1288/100-fi_h/2/1000))*1000)),"",IF(O1288&lt;fi_h/20,0,(OFFSET('Base de dados'!$A$5,IF(O1288&lt;20,1,IF(O1288&gt;1000,10,MATCH(O1288,Cargas,1))),Coluna_fih,1,1))*(PI()*(fi_h/1000)^2/4)*SQRT(2*9.81*(O1288/100-fi_h/2/1000))*1000))</f>
        <v>47.849816743209935</v>
      </c>
      <c r="Q1288" s="19">
        <f ca="1">IF(O1288="","",IF(Tipo_Vertedor="Retangular",IF(O1288&lt;=cota_s*100,0,IF(Tipo_Vertedor="Retangular",Cd_sr*Lef_sr*((O1288/100-cota_s)^(3/2))*1000)),IF(O1288&lt;=cota_s*100+fi_s/20,0,(OFFSET('Base de dados'!$A$4,IF(O1288&lt;20,1,IF(O1288&gt;1000,10,MATCH(O1288,Cargas,1))),Coluna_fis,1,1))*(PI()*(fi_s/1000)^2/4)*(2*9.81*(O1288/100-cota_s-fi_s/2/1000))^0.5*1000)))</f>
        <v>4649.7796841827812</v>
      </c>
      <c r="R1288" s="19">
        <f t="shared" ca="1" si="185"/>
        <v>4697.6295009259911</v>
      </c>
      <c r="S1288" s="19">
        <f t="shared" ca="1" si="186"/>
        <v>7520.8975984228582</v>
      </c>
    </row>
    <row r="1289" spans="13:19">
      <c r="M1289" s="81">
        <f t="shared" ca="1" si="183"/>
        <v>12231.781225085015</v>
      </c>
      <c r="N1289" s="19">
        <f t="shared" si="184"/>
        <v>225.82408922074728</v>
      </c>
      <c r="O1289" s="17">
        <f t="shared" si="182"/>
        <v>322</v>
      </c>
      <c r="P1289" s="19">
        <f ca="1">IF(ISERROR(IF(O1289&lt;fi_h/20,0,(OFFSET('Base de dados'!$A$5,IF(O1289&lt;20,1,IF(O1289&gt;1000,10,MATCH(O1289,Cargas,1))),Coluna_fih,1,1))*(1+0.13*0.25)*(PI()*(fi_h/1000)^2/4)*SQRT(2*9.81*(O1289/100-fi_h/2/1000))*1000)),"",IF(O1289&lt;fi_h/20,0,(OFFSET('Base de dados'!$A$5,IF(O1289&lt;20,1,IF(O1289&gt;1000,10,MATCH(O1289,Cargas,1))),Coluna_fih,1,1))*(PI()*(fi_h/1000)^2/4)*SQRT(2*9.81*(O1289/100-fi_h/2/1000))*1000))</f>
        <v>47.868734350929067</v>
      </c>
      <c r="Q1289" s="19">
        <f ca="1">IF(O1289="","",IF(Tipo_Vertedor="Retangular",IF(O1289&lt;=cota_s*100,0,IF(Tipo_Vertedor="Retangular",Cd_sr*Lef_sr*((O1289/100-cota_s)^(3/2))*1000)),IF(O1289&lt;=cota_s*100+fi_s/20,0,(OFFSET('Base de dados'!$A$4,IF(O1289&lt;20,1,IF(O1289&gt;1000,10,MATCH(O1289,Cargas,1))),Coluna_fis,1,1))*(PI()*(fi_s/1000)^2/4)*(2*9.81*(O1289/100-cota_s-fi_s/2/1000))^0.5*1000)))</f>
        <v>4656.4428500425092</v>
      </c>
      <c r="R1289" s="19">
        <f t="shared" ca="1" si="185"/>
        <v>4704.3115843934384</v>
      </c>
      <c r="S1289" s="19">
        <f t="shared" ca="1" si="186"/>
        <v>7527.4696406915764</v>
      </c>
    </row>
    <row r="1290" spans="13:19">
      <c r="M1290" s="81">
        <f t="shared" ca="1" si="183"/>
        <v>12245.039158772115</v>
      </c>
      <c r="N1290" s="19">
        <f t="shared" si="184"/>
        <v>226.02126955902887</v>
      </c>
      <c r="O1290" s="17">
        <f t="shared" si="182"/>
        <v>322.25</v>
      </c>
      <c r="P1290" s="19">
        <f ca="1">IF(ISERROR(IF(O1290&lt;fi_h/20,0,(OFFSET('Base de dados'!$A$5,IF(O1290&lt;20,1,IF(O1290&gt;1000,10,MATCH(O1290,Cargas,1))),Coluna_fih,1,1))*(1+0.13*0.25)*(PI()*(fi_h/1000)^2/4)*SQRT(2*9.81*(O1290/100-fi_h/2/1000))*1000)),"",IF(O1290&lt;fi_h/20,0,(OFFSET('Base de dados'!$A$5,IF(O1290&lt;20,1,IF(O1290&gt;1000,10,MATCH(O1290,Cargas,1))),Coluna_fih,1,1))*(PI()*(fi_h/1000)^2/4)*SQRT(2*9.81*(O1290/100-fi_h/2/1000))*1000))</f>
        <v>47.887644485408337</v>
      </c>
      <c r="Q1290" s="19">
        <f ca="1">IF(O1290="","",IF(Tipo_Vertedor="Retangular",IF(O1290&lt;=cota_s*100,0,IF(Tipo_Vertedor="Retangular",Cd_sr*Lef_sr*((O1290/100-cota_s)^(3/2))*1000)),IF(O1290&lt;=cota_s*100+fi_s/20,0,(OFFSET('Base de dados'!$A$4,IF(O1290&lt;20,1,IF(O1290&gt;1000,10,MATCH(O1290,Cargas,1))),Coluna_fis,1,1))*(PI()*(fi_s/1000)^2/4)*(2*9.81*(O1290/100-cota_s-fi_s/2/1000))^0.5*1000)))</f>
        <v>4663.1091956524106</v>
      </c>
      <c r="R1290" s="19">
        <f t="shared" ca="1" si="185"/>
        <v>4710.9968401378192</v>
      </c>
      <c r="S1290" s="19">
        <f t="shared" ca="1" si="186"/>
        <v>7534.042318634296</v>
      </c>
    </row>
    <row r="1291" spans="13:19">
      <c r="M1291" s="81">
        <f t="shared" ca="1" si="183"/>
        <v>12258.300898471291</v>
      </c>
      <c r="N1291" s="19">
        <f t="shared" si="184"/>
        <v>226.21846895457833</v>
      </c>
      <c r="O1291" s="17">
        <f t="shared" si="182"/>
        <v>322.5</v>
      </c>
      <c r="P1291" s="19">
        <f ca="1">IF(ISERROR(IF(O1291&lt;fi_h/20,0,(OFFSET('Base de dados'!$A$5,IF(O1291&lt;20,1,IF(O1291&gt;1000,10,MATCH(O1291,Cargas,1))),Coluna_fih,1,1))*(1+0.13*0.25)*(PI()*(fi_h/1000)^2/4)*SQRT(2*9.81*(O1291/100-fi_h/2/1000))*1000)),"",IF(O1291&lt;fi_h/20,0,(OFFSET('Base de dados'!$A$5,IF(O1291&lt;20,1,IF(O1291&gt;1000,10,MATCH(O1291,Cargas,1))),Coluna_fih,1,1))*(PI()*(fi_h/1000)^2/4)*SQRT(2*9.81*(O1291/100-fi_h/2/1000))*1000))</f>
        <v>47.906547155497471</v>
      </c>
      <c r="Q1291" s="19">
        <f ca="1">IF(O1291="","",IF(Tipo_Vertedor="Retangular",IF(O1291&lt;=cota_s*100,0,IF(Tipo_Vertedor="Retangular",Cd_sr*Lef_sr*((O1291/100-cota_s)^(3/2))*1000)),IF(O1291&lt;=cota_s*100+fi_s/20,0,(OFFSET('Base de dados'!$A$4,IF(O1291&lt;20,1,IF(O1291&gt;1000,10,MATCH(O1291,Cargas,1))),Coluna_fis,1,1))*(PI()*(fi_s/1000)^2/4)*(2*9.81*(O1291/100-cota_s-fi_s/2/1000))^0.5*1000)))</f>
        <v>4669.778719496514</v>
      </c>
      <c r="R1291" s="19">
        <f t="shared" ca="1" si="185"/>
        <v>4717.6852666520117</v>
      </c>
      <c r="S1291" s="19">
        <f t="shared" ca="1" si="186"/>
        <v>7540.615631819278</v>
      </c>
    </row>
    <row r="1292" spans="13:19">
      <c r="M1292" s="81">
        <f t="shared" ca="1" si="183"/>
        <v>12271.566442246454</v>
      </c>
      <c r="N1292" s="19">
        <f t="shared" si="184"/>
        <v>226.41568739446231</v>
      </c>
      <c r="O1292" s="17">
        <f t="shared" si="182"/>
        <v>322.75</v>
      </c>
      <c r="P1292" s="19">
        <f ca="1">IF(ISERROR(IF(O1292&lt;fi_h/20,0,(OFFSET('Base de dados'!$A$5,IF(O1292&lt;20,1,IF(O1292&gt;1000,10,MATCH(O1292,Cargas,1))),Coluna_fih,1,1))*(1+0.13*0.25)*(PI()*(fi_h/1000)^2/4)*SQRT(2*9.81*(O1292/100-fi_h/2/1000))*1000)),"",IF(O1292&lt;fi_h/20,0,(OFFSET('Base de dados'!$A$5,IF(O1292&lt;20,1,IF(O1292&gt;1000,10,MATCH(O1292,Cargas,1))),Coluna_fih,1,1))*(PI()*(fi_h/1000)^2/4)*SQRT(2*9.81*(O1292/100-fi_h/2/1000))*1000))</f>
        <v>47.925442370028726</v>
      </c>
      <c r="Q1292" s="19">
        <f ca="1">IF(O1292="","",IF(Tipo_Vertedor="Retangular",IF(O1292&lt;=cota_s*100,0,IF(Tipo_Vertedor="Retangular",Cd_sr*Lef_sr*((O1292/100-cota_s)^(3/2))*1000)),IF(O1292&lt;=cota_s*100+fi_s/20,0,(OFFSET('Base de dados'!$A$4,IF(O1292&lt;20,1,IF(O1292&gt;1000,10,MATCH(O1292,Cargas,1))),Coluna_fis,1,1))*(PI()*(fi_s/1000)^2/4)*(2*9.81*(O1292/100-cota_s-fi_s/2/1000))^0.5*1000)))</f>
        <v>4676.4514200610156</v>
      </c>
      <c r="R1292" s="19">
        <f t="shared" ca="1" si="185"/>
        <v>4724.3768624310442</v>
      </c>
      <c r="S1292" s="19">
        <f t="shared" ca="1" si="186"/>
        <v>7547.189579815411</v>
      </c>
    </row>
    <row r="1293" spans="13:19">
      <c r="M1293" s="81">
        <f t="shared" ca="1" si="183"/>
        <v>12284.835788164297</v>
      </c>
      <c r="N1293" s="19">
        <f t="shared" si="184"/>
        <v>226.61292486576627</v>
      </c>
      <c r="O1293" s="17">
        <f t="shared" si="182"/>
        <v>323</v>
      </c>
      <c r="P1293" s="19">
        <f ca="1">IF(ISERROR(IF(O1293&lt;fi_h/20,0,(OFFSET('Base de dados'!$A$5,IF(O1293&lt;20,1,IF(O1293&gt;1000,10,MATCH(O1293,Cargas,1))),Coluna_fih,1,1))*(1+0.13*0.25)*(PI()*(fi_h/1000)^2/4)*SQRT(2*9.81*(O1293/100-fi_h/2/1000))*1000)),"",IF(O1293&lt;fi_h/20,0,(OFFSET('Base de dados'!$A$5,IF(O1293&lt;20,1,IF(O1293&gt;1000,10,MATCH(O1293,Cargas,1))),Coluna_fih,1,1))*(PI()*(fi_h/1000)^2/4)*SQRT(2*9.81*(O1293/100-fi_h/2/1000))*1000))</f>
        <v>47.944330137817005</v>
      </c>
      <c r="Q1293" s="19">
        <f ca="1">IF(O1293="","",IF(Tipo_Vertedor="Retangular",IF(O1293&lt;=cota_s*100,0,IF(Tipo_Vertedor="Retangular",Cd_sr*Lef_sr*((O1293/100-cota_s)^(3/2))*1000)),IF(O1293&lt;=cota_s*100+fi_s/20,0,(OFFSET('Base de dados'!$A$4,IF(O1293&lt;20,1,IF(O1293&gt;1000,10,MATCH(O1293,Cargas,1))),Coluna_fis,1,1))*(PI()*(fi_s/1000)^2/4)*(2*9.81*(O1293/100-cota_s-fi_s/2/1000))^0.5*1000)))</f>
        <v>4683.1272958342706</v>
      </c>
      <c r="R1293" s="19">
        <f t="shared" ca="1" si="185"/>
        <v>4731.0716259720875</v>
      </c>
      <c r="S1293" s="19">
        <f t="shared" ca="1" si="186"/>
        <v>7553.7641621922094</v>
      </c>
    </row>
    <row r="1294" spans="13:19">
      <c r="M1294" s="81">
        <f t="shared" ca="1" si="183"/>
        <v>12298.108934294261</v>
      </c>
      <c r="N1294" s="19">
        <f t="shared" si="184"/>
        <v>226.81018135559444</v>
      </c>
      <c r="O1294" s="17">
        <f t="shared" si="182"/>
        <v>323.25</v>
      </c>
      <c r="P1294" s="19">
        <f ca="1">IF(ISERROR(IF(O1294&lt;fi_h/20,0,(OFFSET('Base de dados'!$A$5,IF(O1294&lt;20,1,IF(O1294&gt;1000,10,MATCH(O1294,Cargas,1))),Coluna_fih,1,1))*(1+0.13*0.25)*(PI()*(fi_h/1000)^2/4)*SQRT(2*9.81*(O1294/100-fi_h/2/1000))*1000)),"",IF(O1294&lt;fi_h/20,0,(OFFSET('Base de dados'!$A$5,IF(O1294&lt;20,1,IF(O1294&gt;1000,10,MATCH(O1294,Cargas,1))),Coluna_fih,1,1))*(PI()*(fi_h/1000)^2/4)*SQRT(2*9.81*(O1294/100-fi_h/2/1000))*1000))</f>
        <v>47.963210467659813</v>
      </c>
      <c r="Q1294" s="19">
        <f ca="1">IF(O1294="","",IF(Tipo_Vertedor="Retangular",IF(O1294&lt;=cota_s*100,0,IF(Tipo_Vertedor="Retangular",Cd_sr*Lef_sr*((O1294/100-cota_s)^(3/2))*1000)),IF(O1294&lt;=cota_s*100+fi_s/20,0,(OFFSET('Base de dados'!$A$4,IF(O1294&lt;20,1,IF(O1294&gt;1000,10,MATCH(O1294,Cargas,1))),Coluna_fis,1,1))*(PI()*(fi_s/1000)^2/4)*(2*9.81*(O1294/100-cota_s-fi_s/2/1000))^0.5*1000)))</f>
        <v>4689.8063453067871</v>
      </c>
      <c r="R1294" s="19">
        <f t="shared" ca="1" si="185"/>
        <v>4737.7695557744473</v>
      </c>
      <c r="S1294" s="19">
        <f t="shared" ca="1" si="186"/>
        <v>7560.3393785198141</v>
      </c>
    </row>
    <row r="1295" spans="13:19">
      <c r="M1295" s="81">
        <f t="shared" ca="1" si="183"/>
        <v>12311.385878708556</v>
      </c>
      <c r="N1295" s="19">
        <f t="shared" si="184"/>
        <v>227.00745685106961</v>
      </c>
      <c r="O1295" s="17">
        <f t="shared" si="182"/>
        <v>323.5</v>
      </c>
      <c r="P1295" s="19">
        <f ca="1">IF(ISERROR(IF(O1295&lt;fi_h/20,0,(OFFSET('Base de dados'!$A$5,IF(O1295&lt;20,1,IF(O1295&gt;1000,10,MATCH(O1295,Cargas,1))),Coluna_fih,1,1))*(1+0.13*0.25)*(PI()*(fi_h/1000)^2/4)*SQRT(2*9.81*(O1295/100-fi_h/2/1000))*1000)),"",IF(O1295&lt;fi_h/20,0,(OFFSET('Base de dados'!$A$5,IF(O1295&lt;20,1,IF(O1295&gt;1000,10,MATCH(O1295,Cargas,1))),Coluna_fih,1,1))*(PI()*(fi_h/1000)^2/4)*SQRT(2*9.81*(O1295/100-fi_h/2/1000))*1000))</f>
        <v>47.982083368337335</v>
      </c>
      <c r="Q1295" s="19">
        <f ca="1">IF(O1295="","",IF(Tipo_Vertedor="Retangular",IF(O1295&lt;=cota_s*100,0,IF(Tipo_Vertedor="Retangular",Cd_sr*Lef_sr*((O1295/100-cota_s)^(3/2))*1000)),IF(O1295&lt;=cota_s*100+fi_s/20,0,(OFFSET('Base de dados'!$A$4,IF(O1295&lt;20,1,IF(O1295&gt;1000,10,MATCH(O1295,Cargas,1))),Coluna_fis,1,1))*(PI()*(fi_s/1000)^2/4)*(2*9.81*(O1295/100-cota_s-fi_s/2/1000))^0.5*1000)))</f>
        <v>4696.4885669712321</v>
      </c>
      <c r="R1295" s="19">
        <f t="shared" ca="1" si="185"/>
        <v>4744.4706503395691</v>
      </c>
      <c r="S1295" s="19">
        <f t="shared" ca="1" si="186"/>
        <v>7566.9152283689873</v>
      </c>
    </row>
    <row r="1296" spans="13:19">
      <c r="M1296" s="81">
        <f t="shared" ca="1" si="183"/>
        <v>12324.666619482134</v>
      </c>
      <c r="N1296" s="19">
        <f t="shared" si="184"/>
        <v>227.20475133933334</v>
      </c>
      <c r="O1296" s="17">
        <f t="shared" si="182"/>
        <v>323.75</v>
      </c>
      <c r="P1296" s="19">
        <f ca="1">IF(ISERROR(IF(O1296&lt;fi_h/20,0,(OFFSET('Base de dados'!$A$5,IF(O1296&lt;20,1,IF(O1296&gt;1000,10,MATCH(O1296,Cargas,1))),Coluna_fih,1,1))*(1+0.13*0.25)*(PI()*(fi_h/1000)^2/4)*SQRT(2*9.81*(O1296/100-fi_h/2/1000))*1000)),"",IF(O1296&lt;fi_h/20,0,(OFFSET('Base de dados'!$A$5,IF(O1296&lt;20,1,IF(O1296&gt;1000,10,MATCH(O1296,Cargas,1))),Coluna_fih,1,1))*(PI()*(fi_h/1000)^2/4)*SQRT(2*9.81*(O1296/100-fi_h/2/1000))*1000))</f>
        <v>48.000948848612538</v>
      </c>
      <c r="Q1296" s="19">
        <f ca="1">IF(O1296="","",IF(Tipo_Vertedor="Retangular",IF(O1296&lt;=cota_s*100,0,IF(Tipo_Vertedor="Retangular",Cd_sr*Lef_sr*((O1296/100-cota_s)^(3/2))*1000)),IF(O1296&lt;=cota_s*100+fi_s/20,0,(OFFSET('Base de dados'!$A$4,IF(O1296&lt;20,1,IF(O1296&gt;1000,10,MATCH(O1296,Cargas,1))),Coluna_fis,1,1))*(PI()*(fi_s/1000)^2/4)*(2*9.81*(O1296/100-cota_s-fi_s/2/1000))^0.5*1000)))</f>
        <v>4703.1739593224102</v>
      </c>
      <c r="R1296" s="19">
        <f t="shared" ca="1" si="185"/>
        <v>4751.1749081710223</v>
      </c>
      <c r="S1296" s="19">
        <f t="shared" ca="1" si="186"/>
        <v>7573.4917113111114</v>
      </c>
    </row>
    <row r="1297" spans="13:19">
      <c r="M1297" s="81">
        <f t="shared" ca="1" si="183"/>
        <v>12337.951154692697</v>
      </c>
      <c r="N1297" s="19">
        <f t="shared" si="184"/>
        <v>227.40206480754586</v>
      </c>
      <c r="O1297" s="17">
        <f t="shared" si="182"/>
        <v>324</v>
      </c>
      <c r="P1297" s="19">
        <f ca="1">IF(ISERROR(IF(O1297&lt;fi_h/20,0,(OFFSET('Base de dados'!$A$5,IF(O1297&lt;20,1,IF(O1297&gt;1000,10,MATCH(O1297,Cargas,1))),Coluna_fih,1,1))*(1+0.13*0.25)*(PI()*(fi_h/1000)^2/4)*SQRT(2*9.81*(O1297/100-fi_h/2/1000))*1000)),"",IF(O1297&lt;fi_h/20,0,(OFFSET('Base de dados'!$A$5,IF(O1297&lt;20,1,IF(O1297&gt;1000,10,MATCH(O1297,Cargas,1))),Coluna_fih,1,1))*(PI()*(fi_h/1000)^2/4)*SQRT(2*9.81*(O1297/100-fi_h/2/1000))*1000))</f>
        <v>48.019806917231151</v>
      </c>
      <c r="Q1297" s="19">
        <f ca="1">IF(O1297="","",IF(Tipo_Vertedor="Retangular",IF(O1297&lt;=cota_s*100,0,IF(Tipo_Vertedor="Retangular",Cd_sr*Lef_sr*((O1297/100-cota_s)^(3/2))*1000)),IF(O1297&lt;=cota_s*100+fi_s/20,0,(OFFSET('Base de dados'!$A$4,IF(O1297&lt;20,1,IF(O1297&gt;1000,10,MATCH(O1297,Cargas,1))),Coluna_fis,1,1))*(PI()*(fi_s/1000)^2/4)*(2*9.81*(O1297/100-cota_s-fi_s/2/1000))^0.5*1000)))</f>
        <v>4709.8625208572703</v>
      </c>
      <c r="R1297" s="19">
        <f t="shared" ca="1" si="185"/>
        <v>4757.8823277745014</v>
      </c>
      <c r="S1297" s="19">
        <f t="shared" ca="1" si="186"/>
        <v>7580.0688269181956</v>
      </c>
    </row>
    <row r="1298" spans="13:19">
      <c r="M1298" s="81">
        <f t="shared" ca="1" si="183"/>
        <v>12351.239482420682</v>
      </c>
      <c r="N1298" s="19">
        <f t="shared" si="184"/>
        <v>227.59939724288589</v>
      </c>
      <c r="O1298" s="17">
        <f t="shared" si="182"/>
        <v>324.25</v>
      </c>
      <c r="P1298" s="19">
        <f ca="1">IF(ISERROR(IF(O1298&lt;fi_h/20,0,(OFFSET('Base de dados'!$A$5,IF(O1298&lt;20,1,IF(O1298&gt;1000,10,MATCH(O1298,Cargas,1))),Coluna_fih,1,1))*(1+0.13*0.25)*(PI()*(fi_h/1000)^2/4)*SQRT(2*9.81*(O1298/100-fi_h/2/1000))*1000)),"",IF(O1298&lt;fi_h/20,0,(OFFSET('Base de dados'!$A$5,IF(O1298&lt;20,1,IF(O1298&gt;1000,10,MATCH(O1298,Cargas,1))),Coluna_fih,1,1))*(PI()*(fi_h/1000)^2/4)*SQRT(2*9.81*(O1298/100-fi_h/2/1000))*1000))</f>
        <v>48.038657582921729</v>
      </c>
      <c r="Q1298" s="19">
        <f ca="1">IF(O1298="","",IF(Tipo_Vertedor="Retangular",IF(O1298&lt;=cota_s*100,0,IF(Tipo_Vertedor="Retangular",Cd_sr*Lef_sr*((O1298/100-cota_s)^(3/2))*1000)),IF(O1298&lt;=cota_s*100+fi_s/20,0,(OFFSET('Base de dados'!$A$4,IF(O1298&lt;20,1,IF(O1298&gt;1000,10,MATCH(O1298,Cargas,1))),Coluna_fis,1,1))*(PI()*(fi_s/1000)^2/4)*(2*9.81*(O1298/100-cota_s-fi_s/2/1000))^0.5*1000)))</f>
        <v>4716.554250074897</v>
      </c>
      <c r="R1298" s="19">
        <f t="shared" ca="1" si="185"/>
        <v>4764.5929076578186</v>
      </c>
      <c r="S1298" s="19">
        <f t="shared" ca="1" si="186"/>
        <v>7586.6465747628636</v>
      </c>
    </row>
    <row r="1299" spans="13:19">
      <c r="M1299" s="81">
        <f t="shared" ca="1" si="183"/>
        <v>12364.531600749253</v>
      </c>
      <c r="N1299" s="19">
        <f t="shared" si="184"/>
        <v>227.79674863255067</v>
      </c>
      <c r="O1299" s="17">
        <f t="shared" ref="O1299:O1362" si="187">IF(ISERROR(IF(O1298+passo_altura&gt;h_max_puls*100,"",O1298+passo_altura)),"",IF(O1298+passo_altura&gt;h_max_puls*100,"",O1298+passo_altura))</f>
        <v>324.5</v>
      </c>
      <c r="P1299" s="19">
        <f ca="1">IF(ISERROR(IF(O1299&lt;fi_h/20,0,(OFFSET('Base de dados'!$A$5,IF(O1299&lt;20,1,IF(O1299&gt;1000,10,MATCH(O1299,Cargas,1))),Coluna_fih,1,1))*(1+0.13*0.25)*(PI()*(fi_h/1000)^2/4)*SQRT(2*9.81*(O1299/100-fi_h/2/1000))*1000)),"",IF(O1299&lt;fi_h/20,0,(OFFSET('Base de dados'!$A$5,IF(O1299&lt;20,1,IF(O1299&gt;1000,10,MATCH(O1299,Cargas,1))),Coluna_fih,1,1))*(PI()*(fi_h/1000)^2/4)*SQRT(2*9.81*(O1299/100-fi_h/2/1000))*1000))</f>
        <v>48.057500854395734</v>
      </c>
      <c r="Q1299" s="19">
        <f ca="1">IF(O1299="","",IF(Tipo_Vertedor="Retangular",IF(O1299&lt;=cota_s*100,0,IF(Tipo_Vertedor="Retangular",Cd_sr*Lef_sr*((O1299/100-cota_s)^(3/2))*1000)),IF(O1299&lt;=cota_s*100+fi_s/20,0,(OFFSET('Base de dados'!$A$4,IF(O1299&lt;20,1,IF(O1299&gt;1000,10,MATCH(O1299,Cargas,1))),Coluna_fis,1,1))*(PI()*(fi_s/1000)^2/4)*(2*9.81*(O1299/100-cota_s-fi_s/2/1000))^0.5*1000)))</f>
        <v>4723.2491454765013</v>
      </c>
      <c r="R1299" s="19">
        <f t="shared" ca="1" si="185"/>
        <v>4771.3066463308969</v>
      </c>
      <c r="S1299" s="19">
        <f t="shared" ca="1" si="186"/>
        <v>7593.224954418356</v>
      </c>
    </row>
    <row r="1300" spans="13:19">
      <c r="M1300" s="81">
        <f t="shared" ca="1" si="183"/>
        <v>12377.827507764312</v>
      </c>
      <c r="N1300" s="19">
        <f t="shared" si="184"/>
        <v>227.99411896375608</v>
      </c>
      <c r="O1300" s="17">
        <f t="shared" si="187"/>
        <v>324.75</v>
      </c>
      <c r="P1300" s="19">
        <f ca="1">IF(ISERROR(IF(O1300&lt;fi_h/20,0,(OFFSET('Base de dados'!$A$5,IF(O1300&lt;20,1,IF(O1300&gt;1000,10,MATCH(O1300,Cargas,1))),Coluna_fih,1,1))*(1+0.13*0.25)*(PI()*(fi_h/1000)^2/4)*SQRT(2*9.81*(O1300/100-fi_h/2/1000))*1000)),"",IF(O1300&lt;fi_h/20,0,(OFFSET('Base de dados'!$A$5,IF(O1300&lt;20,1,IF(O1300&gt;1000,10,MATCH(O1300,Cargas,1))),Coluna_fih,1,1))*(PI()*(fi_h/1000)^2/4)*SQRT(2*9.81*(O1300/100-fi_h/2/1000))*1000))</f>
        <v>48.076336740347529</v>
      </c>
      <c r="Q1300" s="19">
        <f ca="1">IF(O1300="","",IF(Tipo_Vertedor="Retangular",IF(O1300&lt;=cota_s*100,0,IF(Tipo_Vertedor="Retangular",Cd_sr*Lef_sr*((O1300/100-cota_s)^(3/2))*1000)),IF(O1300&lt;=cota_s*100+fi_s/20,0,(OFFSET('Base de dados'!$A$4,IF(O1300&lt;20,1,IF(O1300&gt;1000,10,MATCH(O1300,Cargas,1))),Coluna_fis,1,1))*(PI()*(fi_s/1000)^2/4)*(2*9.81*(O1300/100-cota_s-fi_s/2/1000))^0.5*1000)))</f>
        <v>4729.9472055654278</v>
      </c>
      <c r="R1300" s="19">
        <f t="shared" ca="1" si="185"/>
        <v>4778.0235423057757</v>
      </c>
      <c r="S1300" s="19">
        <f t="shared" ca="1" si="186"/>
        <v>7599.8039654585355</v>
      </c>
    </row>
    <row r="1301" spans="13:19">
      <c r="M1301" s="81">
        <f t="shared" ca="1" si="183"/>
        <v>12391.127201554464</v>
      </c>
      <c r="N1301" s="19">
        <f t="shared" si="184"/>
        <v>228.19150822373635</v>
      </c>
      <c r="O1301" s="17">
        <f t="shared" si="187"/>
        <v>325</v>
      </c>
      <c r="P1301" s="19">
        <f ca="1">IF(ISERROR(IF(O1301&lt;fi_h/20,0,(OFFSET('Base de dados'!$A$5,IF(O1301&lt;20,1,IF(O1301&gt;1000,10,MATCH(O1301,Cargas,1))),Coluna_fih,1,1))*(1+0.13*0.25)*(PI()*(fi_h/1000)^2/4)*SQRT(2*9.81*(O1301/100-fi_h/2/1000))*1000)),"",IF(O1301&lt;fi_h/20,0,(OFFSET('Base de dados'!$A$5,IF(O1301&lt;20,1,IF(O1301&gt;1000,10,MATCH(O1301,Cargas,1))),Coluna_fih,1,1))*(PI()*(fi_h/1000)^2/4)*SQRT(2*9.81*(O1301/100-fi_h/2/1000))*1000))</f>
        <v>48.09516524945446</v>
      </c>
      <c r="Q1301" s="19">
        <f ca="1">IF(O1301="","",IF(Tipo_Vertedor="Retangular",IF(O1301&lt;=cota_s*100,0,IF(Tipo_Vertedor="Retangular",Cd_sr*Lef_sr*((O1301/100-cota_s)^(3/2))*1000)),IF(O1301&lt;=cota_s*100+fi_s/20,0,(OFFSET('Base de dados'!$A$4,IF(O1301&lt;20,1,IF(O1301&gt;1000,10,MATCH(O1301,Cargas,1))),Coluna_fis,1,1))*(PI()*(fi_s/1000)^2/4)*(2*9.81*(O1301/100-cota_s-fi_s/2/1000))^0.5*1000)))</f>
        <v>4736.648428847132</v>
      </c>
      <c r="R1301" s="19">
        <f t="shared" ca="1" si="185"/>
        <v>4784.7435940965861</v>
      </c>
      <c r="S1301" s="19">
        <f t="shared" ca="1" si="186"/>
        <v>7606.3836074578776</v>
      </c>
    </row>
    <row r="1302" spans="13:19">
      <c r="M1302" s="81">
        <f t="shared" ca="1" si="183"/>
        <v>12404.430680211037</v>
      </c>
      <c r="N1302" s="19">
        <f t="shared" si="184"/>
        <v>228.38891639974409</v>
      </c>
      <c r="O1302" s="17">
        <f t="shared" si="187"/>
        <v>325.25</v>
      </c>
      <c r="P1302" s="19">
        <f ca="1">IF(ISERROR(IF(O1302&lt;fi_h/20,0,(OFFSET('Base de dados'!$A$5,IF(O1302&lt;20,1,IF(O1302&gt;1000,10,MATCH(O1302,Cargas,1))),Coluna_fih,1,1))*(1+0.13*0.25)*(PI()*(fi_h/1000)^2/4)*SQRT(2*9.81*(O1302/100-fi_h/2/1000))*1000)),"",IF(O1302&lt;fi_h/20,0,(OFFSET('Base de dados'!$A$5,IF(O1302&lt;20,1,IF(O1302&gt;1000,10,MATCH(O1302,Cargas,1))),Coluna_fih,1,1))*(PI()*(fi_h/1000)^2/4)*SQRT(2*9.81*(O1302/100-fi_h/2/1000))*1000))</f>
        <v>48.113986390376915</v>
      </c>
      <c r="Q1302" s="19">
        <f ca="1">IF(O1302="","",IF(Tipo_Vertedor="Retangular",IF(O1302&lt;=cota_s*100,0,IF(Tipo_Vertedor="Retangular",Cd_sr*Lef_sr*((O1302/100-cota_s)^(3/2))*1000)),IF(O1302&lt;=cota_s*100+fi_s/20,0,(OFFSET('Base de dados'!$A$4,IF(O1302&lt;20,1,IF(O1302&gt;1000,10,MATCH(O1302,Cargas,1))),Coluna_fis,1,1))*(PI()*(fi_s/1000)^2/4)*(2*9.81*(O1302/100-cota_s-fi_s/2/1000))^0.5*1000)))</f>
        <v>4743.3528138291913</v>
      </c>
      <c r="R1302" s="19">
        <f t="shared" ca="1" si="185"/>
        <v>4791.4668002195685</v>
      </c>
      <c r="S1302" s="19">
        <f t="shared" ca="1" si="186"/>
        <v>7612.9638799914692</v>
      </c>
    </row>
    <row r="1303" spans="13:19">
      <c r="M1303" s="81">
        <f t="shared" ref="M1303:M1366" ca="1" si="188">IF(O1303="","",2*N1303*1000/(Passo*60)+R1303)</f>
        <v>12417.737941828069</v>
      </c>
      <c r="N1303" s="19">
        <f t="shared" ref="N1303:N1366" si="189">IF(O1303="","",b_0*(O1303/100)^c_0)</f>
        <v>228.58634347905053</v>
      </c>
      <c r="O1303" s="17">
        <f t="shared" si="187"/>
        <v>325.5</v>
      </c>
      <c r="P1303" s="19">
        <f ca="1">IF(ISERROR(IF(O1303&lt;fi_h/20,0,(OFFSET('Base de dados'!$A$5,IF(O1303&lt;20,1,IF(O1303&gt;1000,10,MATCH(O1303,Cargas,1))),Coluna_fih,1,1))*(1+0.13*0.25)*(PI()*(fi_h/1000)^2/4)*SQRT(2*9.81*(O1303/100-fi_h/2/1000))*1000)),"",IF(O1303&lt;fi_h/20,0,(OFFSET('Base de dados'!$A$5,IF(O1303&lt;20,1,IF(O1303&gt;1000,10,MATCH(O1303,Cargas,1))),Coluna_fih,1,1))*(PI()*(fi_h/1000)^2/4)*SQRT(2*9.81*(O1303/100-fi_h/2/1000))*1000))</f>
        <v>48.132800171758326</v>
      </c>
      <c r="Q1303" s="19">
        <f ca="1">IF(O1303="","",IF(Tipo_Vertedor="Retangular",IF(O1303&lt;=cota_s*100,0,IF(Tipo_Vertedor="Retangular",Cd_sr*Lef_sr*((O1303/100-cota_s)^(3/2))*1000)),IF(O1303&lt;=cota_s*100+fi_s/20,0,(OFFSET('Base de dados'!$A$4,IF(O1303&lt;20,1,IF(O1303&gt;1000,10,MATCH(O1303,Cargas,1))),Coluna_fis,1,1))*(PI()*(fi_s/1000)^2/4)*(2*9.81*(O1303/100-cota_s-fi_s/2/1000))^0.5*1000)))</f>
        <v>4750.0603590212932</v>
      </c>
      <c r="R1303" s="19">
        <f t="shared" ref="R1303:R1366" ca="1" si="190">IF(O1303="","",Q1303+P1303)</f>
        <v>4798.1931591930515</v>
      </c>
      <c r="S1303" s="19">
        <f t="shared" ref="S1303:S1366" ca="1" si="191">IF(M1303="","",2*N1303*1000/(Passo*60))</f>
        <v>7619.5447826350173</v>
      </c>
    </row>
    <row r="1304" spans="13:19">
      <c r="M1304" s="81">
        <f t="shared" ca="1" si="188"/>
        <v>12431.048984502278</v>
      </c>
      <c r="N1304" s="19">
        <f t="shared" si="189"/>
        <v>228.78378944894476</v>
      </c>
      <c r="O1304" s="17">
        <f t="shared" si="187"/>
        <v>325.75</v>
      </c>
      <c r="P1304" s="19">
        <f ca="1">IF(ISERROR(IF(O1304&lt;fi_h/20,0,(OFFSET('Base de dados'!$A$5,IF(O1304&lt;20,1,IF(O1304&gt;1000,10,MATCH(O1304,Cargas,1))),Coluna_fih,1,1))*(1+0.13*0.25)*(PI()*(fi_h/1000)^2/4)*SQRT(2*9.81*(O1304/100-fi_h/2/1000))*1000)),"",IF(O1304&lt;fi_h/20,0,(OFFSET('Base de dados'!$A$5,IF(O1304&lt;20,1,IF(O1304&gt;1000,10,MATCH(O1304,Cargas,1))),Coluna_fih,1,1))*(PI()*(fi_h/1000)^2/4)*SQRT(2*9.81*(O1304/100-fi_h/2/1000))*1000))</f>
        <v>48.151606602225243</v>
      </c>
      <c r="Q1304" s="19">
        <f ca="1">IF(O1304="","",IF(Tipo_Vertedor="Retangular",IF(O1304&lt;=cota_s*100,0,IF(Tipo_Vertedor="Retangular",Cd_sr*Lef_sr*((O1304/100-cota_s)^(3/2))*1000)),IF(O1304&lt;=cota_s*100+fi_s/20,0,(OFFSET('Base de dados'!$A$4,IF(O1304&lt;20,1,IF(O1304&gt;1000,10,MATCH(O1304,Cargas,1))),Coluna_fis,1,1))*(PI()*(fi_s/1000)^2/4)*(2*9.81*(O1304/100-cota_s-fi_s/2/1000))^0.5*1000)))</f>
        <v>4756.7710629352277</v>
      </c>
      <c r="R1304" s="19">
        <f t="shared" ca="1" si="190"/>
        <v>4804.9226695374527</v>
      </c>
      <c r="S1304" s="19">
        <f t="shared" ca="1" si="191"/>
        <v>7626.1263149648257</v>
      </c>
    </row>
    <row r="1305" spans="13:19">
      <c r="M1305" s="81">
        <f t="shared" ca="1" si="188"/>
        <v>12444.363806333096</v>
      </c>
      <c r="N1305" s="19">
        <f t="shared" si="189"/>
        <v>228.9812542967347</v>
      </c>
      <c r="O1305" s="17">
        <f t="shared" si="187"/>
        <v>326</v>
      </c>
      <c r="P1305" s="19">
        <f ca="1">IF(ISERROR(IF(O1305&lt;fi_h/20,0,(OFFSET('Base de dados'!$A$5,IF(O1305&lt;20,1,IF(O1305&gt;1000,10,MATCH(O1305,Cargas,1))),Coluna_fih,1,1))*(1+0.13*0.25)*(PI()*(fi_h/1000)^2/4)*SQRT(2*9.81*(O1305/100-fi_h/2/1000))*1000)),"",IF(O1305&lt;fi_h/20,0,(OFFSET('Base de dados'!$A$5,IF(O1305&lt;20,1,IF(O1305&gt;1000,10,MATCH(O1305,Cargas,1))),Coluna_fih,1,1))*(PI()*(fi_h/1000)^2/4)*SQRT(2*9.81*(O1305/100-fi_h/2/1000))*1000))</f>
        <v>48.170405690387369</v>
      </c>
      <c r="Q1305" s="19">
        <f ca="1">IF(O1305="","",IF(Tipo_Vertedor="Retangular",IF(O1305&lt;=cota_s*100,0,IF(Tipo_Vertedor="Retangular",Cd_sr*Lef_sr*((O1305/100-cota_s)^(3/2))*1000)),IF(O1305&lt;=cota_s*100+fi_s/20,0,(OFFSET('Base de dados'!$A$4,IF(O1305&lt;20,1,IF(O1305&gt;1000,10,MATCH(O1305,Cargas,1))),Coluna_fis,1,1))*(PI()*(fi_s/1000)^2/4)*(2*9.81*(O1305/100-cota_s-fi_s/2/1000))^0.5*1000)))</f>
        <v>4763.4849240848862</v>
      </c>
      <c r="R1305" s="19">
        <f t="shared" ca="1" si="190"/>
        <v>4811.6553297752735</v>
      </c>
      <c r="S1305" s="19">
        <f t="shared" ca="1" si="191"/>
        <v>7632.7084765578229</v>
      </c>
    </row>
    <row r="1306" spans="13:19">
      <c r="M1306" s="81">
        <f t="shared" ca="1" si="188"/>
        <v>12457.682405422636</v>
      </c>
      <c r="N1306" s="19">
        <f t="shared" si="189"/>
        <v>229.17873800974624</v>
      </c>
      <c r="O1306" s="17">
        <f t="shared" si="187"/>
        <v>326.25</v>
      </c>
      <c r="P1306" s="19">
        <f ca="1">IF(ISERROR(IF(O1306&lt;fi_h/20,0,(OFFSET('Base de dados'!$A$5,IF(O1306&lt;20,1,IF(O1306&gt;1000,10,MATCH(O1306,Cargas,1))),Coluna_fih,1,1))*(1+0.13*0.25)*(PI()*(fi_h/1000)^2/4)*SQRT(2*9.81*(O1306/100-fi_h/2/1000))*1000)),"",IF(O1306&lt;fi_h/20,0,(OFFSET('Base de dados'!$A$5,IF(O1306&lt;20,1,IF(O1306&gt;1000,10,MATCH(O1306,Cargas,1))),Coluna_fih,1,1))*(PI()*(fi_h/1000)^2/4)*SQRT(2*9.81*(O1306/100-fi_h/2/1000))*1000))</f>
        <v>48.189197444837639</v>
      </c>
      <c r="Q1306" s="19">
        <f ca="1">IF(O1306="","",IF(Tipo_Vertedor="Retangular",IF(O1306&lt;=cota_s*100,0,IF(Tipo_Vertedor="Retangular",Cd_sr*Lef_sr*((O1306/100-cota_s)^(3/2))*1000)),IF(O1306&lt;=cota_s*100+fi_s/20,0,(OFFSET('Base de dados'!$A$4,IF(O1306&lt;20,1,IF(O1306&gt;1000,10,MATCH(O1306,Cargas,1))),Coluna_fis,1,1))*(PI()*(fi_s/1000)^2/4)*(2*9.81*(O1306/100-cota_s-fi_s/2/1000))^0.5*1000)))</f>
        <v>4770.2019409862578</v>
      </c>
      <c r="R1306" s="19">
        <f t="shared" ca="1" si="190"/>
        <v>4818.391138431095</v>
      </c>
      <c r="S1306" s="19">
        <f t="shared" ca="1" si="191"/>
        <v>7639.2912669915413</v>
      </c>
    </row>
    <row r="1307" spans="13:19">
      <c r="M1307" s="81">
        <f t="shared" ca="1" si="188"/>
        <v>12471.004779875686</v>
      </c>
      <c r="N1307" s="19">
        <f t="shared" si="189"/>
        <v>229.37624057532341</v>
      </c>
      <c r="O1307" s="17">
        <f t="shared" si="187"/>
        <v>326.5</v>
      </c>
      <c r="P1307" s="19">
        <f ca="1">IF(ISERROR(IF(O1307&lt;fi_h/20,0,(OFFSET('Base de dados'!$A$5,IF(O1307&lt;20,1,IF(O1307&gt;1000,10,MATCH(O1307,Cargas,1))),Coluna_fih,1,1))*(1+0.13*0.25)*(PI()*(fi_h/1000)^2/4)*SQRT(2*9.81*(O1307/100-fi_h/2/1000))*1000)),"",IF(O1307&lt;fi_h/20,0,(OFFSET('Base de dados'!$A$5,IF(O1307&lt;20,1,IF(O1307&gt;1000,10,MATCH(O1307,Cargas,1))),Coluna_fih,1,1))*(PI()*(fi_h/1000)^2/4)*SQRT(2*9.81*(O1307/100-fi_h/2/1000))*1000))</f>
        <v>48.207981874152232</v>
      </c>
      <c r="Q1307" s="19">
        <f ca="1">IF(O1307="","",IF(Tipo_Vertedor="Retangular",IF(O1307&lt;=cota_s*100,0,IF(Tipo_Vertedor="Retangular",Cd_sr*Lef_sr*((O1307/100-cota_s)^(3/2))*1000)),IF(O1307&lt;=cota_s*100+fi_s/20,0,(OFFSET('Base de dados'!$A$4,IF(O1307&lt;20,1,IF(O1307&gt;1000,10,MATCH(O1307,Cargas,1))),Coluna_fis,1,1))*(PI()*(fi_s/1000)^2/4)*(2*9.81*(O1307/100-cota_s-fi_s/2/1000))^0.5*1000)))</f>
        <v>4776.9221121574192</v>
      </c>
      <c r="R1307" s="19">
        <f t="shared" ca="1" si="190"/>
        <v>4825.1300940315714</v>
      </c>
      <c r="S1307" s="19">
        <f t="shared" ca="1" si="191"/>
        <v>7645.8746858441136</v>
      </c>
    </row>
    <row r="1308" spans="13:19">
      <c r="M1308" s="81">
        <f t="shared" ca="1" si="188"/>
        <v>12484.330927799712</v>
      </c>
      <c r="N1308" s="19">
        <f t="shared" si="189"/>
        <v>229.57376198082861</v>
      </c>
      <c r="O1308" s="17">
        <f t="shared" si="187"/>
        <v>326.75</v>
      </c>
      <c r="P1308" s="19">
        <f ca="1">IF(ISERROR(IF(O1308&lt;fi_h/20,0,(OFFSET('Base de dados'!$A$5,IF(O1308&lt;20,1,IF(O1308&gt;1000,10,MATCH(O1308,Cargas,1))),Coluna_fih,1,1))*(1+0.13*0.25)*(PI()*(fi_h/1000)^2/4)*SQRT(2*9.81*(O1308/100-fi_h/2/1000))*1000)),"",IF(O1308&lt;fi_h/20,0,(OFFSET('Base de dados'!$A$5,IF(O1308&lt;20,1,IF(O1308&gt;1000,10,MATCH(O1308,Cargas,1))),Coluna_fih,1,1))*(PI()*(fi_h/1000)^2/4)*SQRT(2*9.81*(O1308/100-fi_h/2/1000))*1000))</f>
        <v>48.226758986890601</v>
      </c>
      <c r="Q1308" s="19">
        <f ca="1">IF(O1308="","",IF(Tipo_Vertedor="Retangular",IF(O1308&lt;=cota_s*100,0,IF(Tipo_Vertedor="Retangular",Cd_sr*Lef_sr*((O1308/100-cota_s)^(3/2))*1000)),IF(O1308&lt;=cota_s*100+fi_s/20,0,(OFFSET('Base de dados'!$A$4,IF(O1308&lt;20,1,IF(O1308&gt;1000,10,MATCH(O1308,Cargas,1))),Coluna_fis,1,1))*(PI()*(fi_s/1000)^2/4)*(2*9.81*(O1308/100-cota_s-fi_s/2/1000))^0.5*1000)))</f>
        <v>4783.6454361185351</v>
      </c>
      <c r="R1308" s="19">
        <f t="shared" ca="1" si="190"/>
        <v>4831.8721951054258</v>
      </c>
      <c r="S1308" s="19">
        <f t="shared" ca="1" si="191"/>
        <v>7652.4587326942865</v>
      </c>
    </row>
    <row r="1309" spans="13:19">
      <c r="M1309" s="81">
        <f t="shared" ca="1" si="188"/>
        <v>12497.660847304856</v>
      </c>
      <c r="N1309" s="19">
        <f t="shared" si="189"/>
        <v>229.77130221364231</v>
      </c>
      <c r="O1309" s="17">
        <f t="shared" si="187"/>
        <v>327</v>
      </c>
      <c r="P1309" s="19">
        <f ca="1">IF(ISERROR(IF(O1309&lt;fi_h/20,0,(OFFSET('Base de dados'!$A$5,IF(O1309&lt;20,1,IF(O1309&gt;1000,10,MATCH(O1309,Cargas,1))),Coluna_fih,1,1))*(1+0.13*0.25)*(PI()*(fi_h/1000)^2/4)*SQRT(2*9.81*(O1309/100-fi_h/2/1000))*1000)),"",IF(O1309&lt;fi_h/20,0,(OFFSET('Base de dados'!$A$5,IF(O1309&lt;20,1,IF(O1309&gt;1000,10,MATCH(O1309,Cargas,1))),Coluna_fih,1,1))*(PI()*(fi_h/1000)^2/4)*SQRT(2*9.81*(O1309/100-fi_h/2/1000))*1000))</f>
        <v>48.245528791595561</v>
      </c>
      <c r="Q1309" s="19">
        <f ca="1">IF(O1309="","",IF(Tipo_Vertedor="Retangular",IF(O1309&lt;=cota_s*100,0,IF(Tipo_Vertedor="Retangular",Cd_sr*Lef_sr*((O1309/100-cota_s)^(3/2))*1000)),IF(O1309&lt;=cota_s*100+fi_s/20,0,(OFFSET('Base de dados'!$A$4,IF(O1309&lt;20,1,IF(O1309&gt;1000,10,MATCH(O1309,Cargas,1))),Coluna_fis,1,1))*(PI()*(fi_s/1000)^2/4)*(2*9.81*(O1309/100-cota_s-fi_s/2/1000))^0.5*1000)))</f>
        <v>4790.3719113918505</v>
      </c>
      <c r="R1309" s="19">
        <f t="shared" ca="1" si="190"/>
        <v>4838.617440183446</v>
      </c>
      <c r="S1309" s="19">
        <f t="shared" ca="1" si="191"/>
        <v>7659.0434071214104</v>
      </c>
    </row>
    <row r="1310" spans="13:19">
      <c r="M1310" s="81">
        <f t="shared" ca="1" si="188"/>
        <v>12510.994536503909</v>
      </c>
      <c r="N1310" s="19">
        <f t="shared" si="189"/>
        <v>229.968861261163</v>
      </c>
      <c r="O1310" s="17">
        <f t="shared" si="187"/>
        <v>327.25</v>
      </c>
      <c r="P1310" s="19">
        <f ca="1">IF(ISERROR(IF(O1310&lt;fi_h/20,0,(OFFSET('Base de dados'!$A$5,IF(O1310&lt;20,1,IF(O1310&gt;1000,10,MATCH(O1310,Cargas,1))),Coluna_fih,1,1))*(1+0.13*0.25)*(PI()*(fi_h/1000)^2/4)*SQRT(2*9.81*(O1310/100-fi_h/2/1000))*1000)),"",IF(O1310&lt;fi_h/20,0,(OFFSET('Base de dados'!$A$5,IF(O1310&lt;20,1,IF(O1310&gt;1000,10,MATCH(O1310,Cargas,1))),Coluna_fih,1,1))*(PI()*(fi_h/1000)^2/4)*SQRT(2*9.81*(O1310/100-fi_h/2/1000))*1000))</f>
        <v>48.26429129679331</v>
      </c>
      <c r="Q1310" s="19">
        <f ca="1">IF(O1310="","",IF(Tipo_Vertedor="Retangular",IF(O1310&lt;=cota_s*100,0,IF(Tipo_Vertedor="Retangular",Cd_sr*Lef_sr*((O1310/100-cota_s)^(3/2))*1000)),IF(O1310&lt;=cota_s*100+fi_s/20,0,(OFFSET('Base de dados'!$A$4,IF(O1310&lt;20,1,IF(O1310&gt;1000,10,MATCH(O1310,Cargas,1))),Coluna_fis,1,1))*(PI()*(fi_s/1000)^2/4)*(2*9.81*(O1310/100-cota_s-fi_s/2/1000))^0.5*1000)))</f>
        <v>4797.1015365016838</v>
      </c>
      <c r="R1310" s="19">
        <f t="shared" ca="1" si="190"/>
        <v>4845.3658277984769</v>
      </c>
      <c r="S1310" s="19">
        <f t="shared" ca="1" si="191"/>
        <v>7665.6287087054334</v>
      </c>
    </row>
    <row r="1311" spans="13:19">
      <c r="M1311" s="81">
        <f t="shared" ca="1" si="188"/>
        <v>12524.331993512335</v>
      </c>
      <c r="N1311" s="19">
        <f t="shared" si="189"/>
        <v>230.16643911080735</v>
      </c>
      <c r="O1311" s="17">
        <f t="shared" si="187"/>
        <v>327.5</v>
      </c>
      <c r="P1311" s="19">
        <f ca="1">IF(ISERROR(IF(O1311&lt;fi_h/20,0,(OFFSET('Base de dados'!$A$5,IF(O1311&lt;20,1,IF(O1311&gt;1000,10,MATCH(O1311,Cargas,1))),Coluna_fih,1,1))*(1+0.13*0.25)*(PI()*(fi_h/1000)^2/4)*SQRT(2*9.81*(O1311/100-fi_h/2/1000))*1000)),"",IF(O1311&lt;fi_h/20,0,(OFFSET('Base de dados'!$A$5,IF(O1311&lt;20,1,IF(O1311&gt;1000,10,MATCH(O1311,Cargas,1))),Coluna_fih,1,1))*(PI()*(fi_h/1000)^2/4)*SQRT(2*9.81*(O1311/100-fi_h/2/1000))*1000))</f>
        <v>48.283046510993508</v>
      </c>
      <c r="Q1311" s="19">
        <f ca="1">IF(O1311="","",IF(Tipo_Vertedor="Retangular",IF(O1311&lt;=cota_s*100,0,IF(Tipo_Vertedor="Retangular",Cd_sr*Lef_sr*((O1311/100-cota_s)^(3/2))*1000)),IF(O1311&lt;=cota_s*100+fi_s/20,0,(OFFSET('Base de dados'!$A$4,IF(O1311&lt;20,1,IF(O1311&gt;1000,10,MATCH(O1311,Cargas,1))),Coluna_fis,1,1))*(PI()*(fi_s/1000)^2/4)*(2*9.81*(O1311/100-cota_s-fi_s/2/1000))^0.5*1000)))</f>
        <v>4803.8343099744288</v>
      </c>
      <c r="R1311" s="19">
        <f t="shared" ca="1" si="190"/>
        <v>4852.1173564854225</v>
      </c>
      <c r="S1311" s="19">
        <f t="shared" ca="1" si="191"/>
        <v>7672.214637026912</v>
      </c>
    </row>
    <row r="1312" spans="13:19">
      <c r="M1312" s="81">
        <f t="shared" ca="1" si="188"/>
        <v>12537.673216448231</v>
      </c>
      <c r="N1312" s="19">
        <f t="shared" si="189"/>
        <v>230.36403575000995</v>
      </c>
      <c r="O1312" s="17">
        <f t="shared" si="187"/>
        <v>327.75</v>
      </c>
      <c r="P1312" s="19">
        <f ca="1">IF(ISERROR(IF(O1312&lt;fi_h/20,0,(OFFSET('Base de dados'!$A$5,IF(O1312&lt;20,1,IF(O1312&gt;1000,10,MATCH(O1312,Cargas,1))),Coluna_fih,1,1))*(1+0.13*0.25)*(PI()*(fi_h/1000)^2/4)*SQRT(2*9.81*(O1312/100-fi_h/2/1000))*1000)),"",IF(O1312&lt;fi_h/20,0,(OFFSET('Base de dados'!$A$5,IF(O1312&lt;20,1,IF(O1312&gt;1000,10,MATCH(O1312,Cargas,1))),Coluna_fih,1,1))*(PI()*(fi_h/1000)^2/4)*SQRT(2*9.81*(O1312/100-fi_h/2/1000))*1000))</f>
        <v>48.301794442689243</v>
      </c>
      <c r="Q1312" s="19">
        <f ca="1">IF(O1312="","",IF(Tipo_Vertedor="Retangular",IF(O1312&lt;=cota_s*100,0,IF(Tipo_Vertedor="Retangular",Cd_sr*Lef_sr*((O1312/100-cota_s)^(3/2))*1000)),IF(O1312&lt;=cota_s*100+fi_s/20,0,(OFFSET('Base de dados'!$A$4,IF(O1312&lt;20,1,IF(O1312&gt;1000,10,MATCH(O1312,Cargas,1))),Coluna_fis,1,1))*(PI()*(fi_s/1000)^2/4)*(2*9.81*(O1312/100-cota_s-fi_s/2/1000))^0.5*1000)))</f>
        <v>4810.5702303385451</v>
      </c>
      <c r="R1312" s="19">
        <f t="shared" ca="1" si="190"/>
        <v>4858.8720247812344</v>
      </c>
      <c r="S1312" s="19">
        <f t="shared" ca="1" si="191"/>
        <v>7678.8011916669975</v>
      </c>
    </row>
    <row r="1313" spans="13:19">
      <c r="M1313" s="81">
        <f t="shared" ca="1" si="188"/>
        <v>12551.018203432355</v>
      </c>
      <c r="N1313" s="19">
        <f t="shared" si="189"/>
        <v>230.56165116622344</v>
      </c>
      <c r="O1313" s="17">
        <f t="shared" si="187"/>
        <v>328</v>
      </c>
      <c r="P1313" s="19">
        <f ca="1">IF(ISERROR(IF(O1313&lt;fi_h/20,0,(OFFSET('Base de dados'!$A$5,IF(O1313&lt;20,1,IF(O1313&gt;1000,10,MATCH(O1313,Cargas,1))),Coluna_fih,1,1))*(1+0.13*0.25)*(PI()*(fi_h/1000)^2/4)*SQRT(2*9.81*(O1313/100-fi_h/2/1000))*1000)),"",IF(O1313&lt;fi_h/20,0,(OFFSET('Base de dados'!$A$5,IF(O1313&lt;20,1,IF(O1313&gt;1000,10,MATCH(O1313,Cargas,1))),Coluna_fih,1,1))*(PI()*(fi_h/1000)^2/4)*SQRT(2*9.81*(O1313/100-fi_h/2/1000))*1000))</f>
        <v>48.320535100357148</v>
      </c>
      <c r="Q1313" s="19">
        <f ca="1">IF(O1313="","",IF(Tipo_Vertedor="Retangular",IF(O1313&lt;=cota_s*100,0,IF(Tipo_Vertedor="Retangular",Cd_sr*Lef_sr*((O1313/100-cota_s)^(3/2))*1000)),IF(O1313&lt;=cota_s*100+fi_s/20,0,(OFFSET('Base de dados'!$A$4,IF(O1313&lt;20,1,IF(O1313&gt;1000,10,MATCH(O1313,Cargas,1))),Coluna_fis,1,1))*(PI()*(fi_s/1000)^2/4)*(2*9.81*(O1313/100-cota_s-fi_s/2/1000))^0.5*1000)))</f>
        <v>4817.3092961245484</v>
      </c>
      <c r="R1313" s="19">
        <f t="shared" ca="1" si="190"/>
        <v>4865.6298312249055</v>
      </c>
      <c r="S1313" s="19">
        <f t="shared" ca="1" si="191"/>
        <v>7685.3883722074488</v>
      </c>
    </row>
    <row r="1314" spans="13:19">
      <c r="M1314" s="81">
        <f t="shared" ca="1" si="188"/>
        <v>12564.366952588089</v>
      </c>
      <c r="N1314" s="19">
        <f t="shared" si="189"/>
        <v>230.75928534691832</v>
      </c>
      <c r="O1314" s="17">
        <f t="shared" si="187"/>
        <v>328.25</v>
      </c>
      <c r="P1314" s="19">
        <f ca="1">IF(ISERROR(IF(O1314&lt;fi_h/20,0,(OFFSET('Base de dados'!$A$5,IF(O1314&lt;20,1,IF(O1314&gt;1000,10,MATCH(O1314,Cargas,1))),Coluna_fih,1,1))*(1+0.13*0.25)*(PI()*(fi_h/1000)^2/4)*SQRT(2*9.81*(O1314/100-fi_h/2/1000))*1000)),"",IF(O1314&lt;fi_h/20,0,(OFFSET('Base de dados'!$A$5,IF(O1314&lt;20,1,IF(O1314&gt;1000,10,MATCH(O1314,Cargas,1))),Coluna_fih,1,1))*(PI()*(fi_h/1000)^2/4)*SQRT(2*9.81*(O1314/100-fi_h/2/1000))*1000))</f>
        <v>48.339268492457471</v>
      </c>
      <c r="Q1314" s="19">
        <f ca="1">IF(O1314="","",IF(Tipo_Vertedor="Retangular",IF(O1314&lt;=cota_s*100,0,IF(Tipo_Vertedor="Retangular",Cd_sr*Lef_sr*((O1314/100-cota_s)^(3/2))*1000)),IF(O1314&lt;=cota_s*100+fi_s/20,0,(OFFSET('Base de dados'!$A$4,IF(O1314&lt;20,1,IF(O1314&gt;1000,10,MATCH(O1314,Cargas,1))),Coluna_fis,1,1))*(PI()*(fi_s/1000)^2/4)*(2*9.81*(O1314/100-cota_s-fi_s/2/1000))^0.5*1000)))</f>
        <v>4824.0515058650199</v>
      </c>
      <c r="R1314" s="19">
        <f t="shared" ca="1" si="190"/>
        <v>4872.3907743574773</v>
      </c>
      <c r="S1314" s="19">
        <f t="shared" ca="1" si="191"/>
        <v>7691.9761782306114</v>
      </c>
    </row>
    <row r="1315" spans="13:19">
      <c r="M1315" s="81">
        <f t="shared" ca="1" si="188"/>
        <v>12577.719462041452</v>
      </c>
      <c r="N1315" s="19">
        <f t="shared" si="189"/>
        <v>230.95693827958303</v>
      </c>
      <c r="O1315" s="17">
        <f t="shared" si="187"/>
        <v>328.5</v>
      </c>
      <c r="P1315" s="19">
        <f ca="1">IF(ISERROR(IF(O1315&lt;fi_h/20,0,(OFFSET('Base de dados'!$A$5,IF(O1315&lt;20,1,IF(O1315&gt;1000,10,MATCH(O1315,Cargas,1))),Coluna_fih,1,1))*(1+0.13*0.25)*(PI()*(fi_h/1000)^2/4)*SQRT(2*9.81*(O1315/100-fi_h/2/1000))*1000)),"",IF(O1315&lt;fi_h/20,0,(OFFSET('Base de dados'!$A$5,IF(O1315&lt;20,1,IF(O1315&gt;1000,10,MATCH(O1315,Cargas,1))),Coluna_fih,1,1))*(PI()*(fi_h/1000)^2/4)*SQRT(2*9.81*(O1315/100-fi_h/2/1000))*1000))</f>
        <v>48.357994627433982</v>
      </c>
      <c r="Q1315" s="19">
        <f ca="1">IF(O1315="","",IF(Tipo_Vertedor="Retangular",IF(O1315&lt;=cota_s*100,0,IF(Tipo_Vertedor="Retangular",Cd_sr*Lef_sr*((O1315/100-cota_s)^(3/2))*1000)),IF(O1315&lt;=cota_s*100+fi_s/20,0,(OFFSET('Base de dados'!$A$4,IF(O1315&lt;20,1,IF(O1315&gt;1000,10,MATCH(O1315,Cargas,1))),Coluna_fis,1,1))*(PI()*(fi_s/1000)^2/4)*(2*9.81*(O1315/100-cota_s-fi_s/2/1000))^0.5*1000)))</f>
        <v>4830.7968580945844</v>
      </c>
      <c r="R1315" s="19">
        <f t="shared" ca="1" si="190"/>
        <v>4879.1548527220184</v>
      </c>
      <c r="S1315" s="19">
        <f t="shared" ca="1" si="191"/>
        <v>7698.5646093194346</v>
      </c>
    </row>
    <row r="1316" spans="13:19">
      <c r="M1316" s="81">
        <f t="shared" ca="1" si="188"/>
        <v>12591.075729921089</v>
      </c>
      <c r="N1316" s="19">
        <f t="shared" si="189"/>
        <v>231.15460995172376</v>
      </c>
      <c r="O1316" s="17">
        <f t="shared" si="187"/>
        <v>328.75</v>
      </c>
      <c r="P1316" s="19">
        <f ca="1">IF(ISERROR(IF(O1316&lt;fi_h/20,0,(OFFSET('Base de dados'!$A$5,IF(O1316&lt;20,1,IF(O1316&gt;1000,10,MATCH(O1316,Cargas,1))),Coluna_fih,1,1))*(1+0.13*0.25)*(PI()*(fi_h/1000)^2/4)*SQRT(2*9.81*(O1316/100-fi_h/2/1000))*1000)),"",IF(O1316&lt;fi_h/20,0,(OFFSET('Base de dados'!$A$5,IF(O1316&lt;20,1,IF(O1316&gt;1000,10,MATCH(O1316,Cargas,1))),Coluna_fih,1,1))*(PI()*(fi_h/1000)^2/4)*SQRT(2*9.81*(O1316/100-fi_h/2/1000))*1000))</f>
        <v>48.376713513714186</v>
      </c>
      <c r="Q1316" s="19">
        <f ca="1">IF(O1316="","",IF(Tipo_Vertedor="Retangular",IF(O1316&lt;=cota_s*100,0,IF(Tipo_Vertedor="Retangular",Cd_sr*Lef_sr*((O1316/100-cota_s)^(3/2))*1000)),IF(O1316&lt;=cota_s*100+fi_s/20,0,(OFFSET('Base de dados'!$A$4,IF(O1316&lt;20,1,IF(O1316&gt;1000,10,MATCH(O1316,Cargas,1))),Coluna_fis,1,1))*(PI()*(fi_s/1000)^2/4)*(2*9.81*(O1316/100-cota_s-fi_s/2/1000))^0.5*1000)))</f>
        <v>4837.5453513499178</v>
      </c>
      <c r="R1316" s="19">
        <f t="shared" ca="1" si="190"/>
        <v>4885.9220648636319</v>
      </c>
      <c r="S1316" s="19">
        <f t="shared" ca="1" si="191"/>
        <v>7705.1536650574581</v>
      </c>
    </row>
    <row r="1317" spans="13:19">
      <c r="M1317" s="81">
        <f t="shared" ca="1" si="188"/>
        <v>12604.43575435827</v>
      </c>
      <c r="N1317" s="19">
        <f t="shared" si="189"/>
        <v>231.35230035086477</v>
      </c>
      <c r="O1317" s="17">
        <f t="shared" si="187"/>
        <v>329</v>
      </c>
      <c r="P1317" s="19">
        <f ca="1">IF(ISERROR(IF(O1317&lt;fi_h/20,0,(OFFSET('Base de dados'!$A$5,IF(O1317&lt;20,1,IF(O1317&gt;1000,10,MATCH(O1317,Cargas,1))),Coluna_fih,1,1))*(1+0.13*0.25)*(PI()*(fi_h/1000)^2/4)*SQRT(2*9.81*(O1317/100-fi_h/2/1000))*1000)),"",IF(O1317&lt;fi_h/20,0,(OFFSET('Base de dados'!$A$5,IF(O1317&lt;20,1,IF(O1317&gt;1000,10,MATCH(O1317,Cargas,1))),Coluna_fih,1,1))*(PI()*(fi_h/1000)^2/4)*SQRT(2*9.81*(O1317/100-fi_h/2/1000))*1000))</f>
        <v>48.395425159709255</v>
      </c>
      <c r="Q1317" s="19">
        <f ca="1">IF(O1317="","",IF(Tipo_Vertedor="Retangular",IF(O1317&lt;=cota_s*100,0,IF(Tipo_Vertedor="Retangular",Cd_sr*Lef_sr*((O1317/100-cota_s)^(3/2))*1000)),IF(O1317&lt;=cota_s*100+fi_s/20,0,(OFFSET('Base de dados'!$A$4,IF(O1317&lt;20,1,IF(O1317&gt;1000,10,MATCH(O1317,Cargas,1))),Coluna_fis,1,1))*(PI()*(fi_s/1000)^2/4)*(2*9.81*(O1317/100-cota_s-fi_s/2/1000))^0.5*1000)))</f>
        <v>4844.2969841697359</v>
      </c>
      <c r="R1317" s="19">
        <f t="shared" ca="1" si="190"/>
        <v>4892.6924093294456</v>
      </c>
      <c r="S1317" s="19">
        <f t="shared" ca="1" si="191"/>
        <v>7711.7433450288254</v>
      </c>
    </row>
    <row r="1318" spans="13:19">
      <c r="M1318" s="81">
        <f t="shared" ca="1" si="188"/>
        <v>12617.799533486876</v>
      </c>
      <c r="N1318" s="19">
        <f t="shared" si="189"/>
        <v>231.55000946454788</v>
      </c>
      <c r="O1318" s="17">
        <f t="shared" si="187"/>
        <v>329.25</v>
      </c>
      <c r="P1318" s="19">
        <f ca="1">IF(ISERROR(IF(O1318&lt;fi_h/20,0,(OFFSET('Base de dados'!$A$5,IF(O1318&lt;20,1,IF(O1318&gt;1000,10,MATCH(O1318,Cargas,1))),Coluna_fih,1,1))*(1+0.13*0.25)*(PI()*(fi_h/1000)^2/4)*SQRT(2*9.81*(O1318/100-fi_h/2/1000))*1000)),"",IF(O1318&lt;fi_h/20,0,(OFFSET('Base de dados'!$A$5,IF(O1318&lt;20,1,IF(O1318&gt;1000,10,MATCH(O1318,Cargas,1))),Coluna_fih,1,1))*(PI()*(fi_h/1000)^2/4)*SQRT(2*9.81*(O1318/100-fi_h/2/1000))*1000))</f>
        <v>48.414129573814115</v>
      </c>
      <c r="Q1318" s="19">
        <f ca="1">IF(O1318="","",IF(Tipo_Vertedor="Retangular",IF(O1318&lt;=cota_s*100,0,IF(Tipo_Vertedor="Retangular",Cd_sr*Lef_sr*((O1318/100-cota_s)^(3/2))*1000)),IF(O1318&lt;=cota_s*100+fi_s/20,0,(OFFSET('Base de dados'!$A$4,IF(O1318&lt;20,1,IF(O1318&gt;1000,10,MATCH(O1318,Cargas,1))),Coluna_fis,1,1))*(PI()*(fi_s/1000)^2/4)*(2*9.81*(O1318/100-cota_s-fi_s/2/1000))^0.5*1000)))</f>
        <v>4851.051755094798</v>
      </c>
      <c r="R1318" s="19">
        <f t="shared" ca="1" si="190"/>
        <v>4899.4658846686125</v>
      </c>
      <c r="S1318" s="19">
        <f t="shared" ca="1" si="191"/>
        <v>7718.3336488182631</v>
      </c>
    </row>
    <row r="1319" spans="13:19">
      <c r="M1319" s="81">
        <f t="shared" ca="1" si="188"/>
        <v>12631.167065443386</v>
      </c>
      <c r="N1319" s="19">
        <f t="shared" si="189"/>
        <v>231.74773728033273</v>
      </c>
      <c r="O1319" s="17">
        <f t="shared" si="187"/>
        <v>329.5</v>
      </c>
      <c r="P1319" s="19">
        <f ca="1">IF(ISERROR(IF(O1319&lt;fi_h/20,0,(OFFSET('Base de dados'!$A$5,IF(O1319&lt;20,1,IF(O1319&gt;1000,10,MATCH(O1319,Cargas,1))),Coluna_fih,1,1))*(1+0.13*0.25)*(PI()*(fi_h/1000)^2/4)*SQRT(2*9.81*(O1319/100-fi_h/2/1000))*1000)),"",IF(O1319&lt;fi_h/20,0,(OFFSET('Base de dados'!$A$5,IF(O1319&lt;20,1,IF(O1319&gt;1000,10,MATCH(O1319,Cargas,1))),Coluna_fih,1,1))*(PI()*(fi_h/1000)^2/4)*SQRT(2*9.81*(O1319/100-fi_h/2/1000))*1000))</f>
        <v>48.432826764407487</v>
      </c>
      <c r="Q1319" s="19">
        <f ca="1">IF(O1319="","",IF(Tipo_Vertedor="Retangular",IF(O1319&lt;=cota_s*100,0,IF(Tipo_Vertedor="Retangular",Cd_sr*Lef_sr*((O1319/100-cota_s)^(3/2))*1000)),IF(O1319&lt;=cota_s*100+fi_s/20,0,(OFFSET('Base de dados'!$A$4,IF(O1319&lt;20,1,IF(O1319&gt;1000,10,MATCH(O1319,Cargas,1))),Coluna_fis,1,1))*(PI()*(fi_s/1000)^2/4)*(2*9.81*(O1319/100-cota_s-fi_s/2/1000))^0.5*1000)))</f>
        <v>4857.8096626678871</v>
      </c>
      <c r="R1319" s="19">
        <f t="shared" ca="1" si="190"/>
        <v>4906.2424894322949</v>
      </c>
      <c r="S1319" s="19">
        <f t="shared" ca="1" si="191"/>
        <v>7724.9245760110907</v>
      </c>
    </row>
    <row r="1320" spans="13:19">
      <c r="M1320" s="81">
        <f t="shared" ca="1" si="188"/>
        <v>12644.538348366897</v>
      </c>
      <c r="N1320" s="19">
        <f t="shared" si="189"/>
        <v>231.94548378579665</v>
      </c>
      <c r="O1320" s="17">
        <f t="shared" si="187"/>
        <v>329.75</v>
      </c>
      <c r="P1320" s="19">
        <f ca="1">IF(ISERROR(IF(O1320&lt;fi_h/20,0,(OFFSET('Base de dados'!$A$5,IF(O1320&lt;20,1,IF(O1320&gt;1000,10,MATCH(O1320,Cargas,1))),Coluna_fih,1,1))*(1+0.13*0.25)*(PI()*(fi_h/1000)^2/4)*SQRT(2*9.81*(O1320/100-fi_h/2/1000))*1000)),"",IF(O1320&lt;fi_h/20,0,(OFFSET('Base de dados'!$A$5,IF(O1320&lt;20,1,IF(O1320&gt;1000,10,MATCH(O1320,Cargas,1))),Coluna_fih,1,1))*(PI()*(fi_h/1000)^2/4)*SQRT(2*9.81*(O1320/100-fi_h/2/1000))*1000))</f>
        <v>48.451516739851897</v>
      </c>
      <c r="Q1320" s="19">
        <f ca="1">IF(O1320="","",IF(Tipo_Vertedor="Retangular",IF(O1320&lt;=cota_s*100,0,IF(Tipo_Vertedor="Retangular",Cd_sr*Lef_sr*((O1320/100-cota_s)^(3/2))*1000)),IF(O1320&lt;=cota_s*100+fi_s/20,0,(OFFSET('Base de dados'!$A$4,IF(O1320&lt;20,1,IF(O1320&gt;1000,10,MATCH(O1320,Cargas,1))),Coluna_fis,1,1))*(PI()*(fi_s/1000)^2/4)*(2*9.81*(O1320/100-cota_s-fi_s/2/1000))^0.5*1000)))</f>
        <v>4864.5707054338236</v>
      </c>
      <c r="R1320" s="19">
        <f t="shared" ca="1" si="190"/>
        <v>4913.0222221736758</v>
      </c>
      <c r="S1320" s="19">
        <f t="shared" ca="1" si="191"/>
        <v>7731.5161261932217</v>
      </c>
    </row>
    <row r="1321" spans="13:19">
      <c r="M1321" s="81">
        <f t="shared" ca="1" si="188"/>
        <v>12657.913380399095</v>
      </c>
      <c r="N1321" s="19">
        <f t="shared" si="189"/>
        <v>232.14324896853469</v>
      </c>
      <c r="O1321" s="17">
        <f t="shared" si="187"/>
        <v>330</v>
      </c>
      <c r="P1321" s="19">
        <f ca="1">IF(ISERROR(IF(O1321&lt;fi_h/20,0,(OFFSET('Base de dados'!$A$5,IF(O1321&lt;20,1,IF(O1321&gt;1000,10,MATCH(O1321,Cargas,1))),Coluna_fih,1,1))*(1+0.13*0.25)*(PI()*(fi_h/1000)^2/4)*SQRT(2*9.81*(O1321/100-fi_h/2/1000))*1000)),"",IF(O1321&lt;fi_h/20,0,(OFFSET('Base de dados'!$A$5,IF(O1321&lt;20,1,IF(O1321&gt;1000,10,MATCH(O1321,Cargas,1))),Coluna_fih,1,1))*(PI()*(fi_h/1000)^2/4)*SQRT(2*9.81*(O1321/100-fi_h/2/1000))*1000))</f>
        <v>48.470199508493785</v>
      </c>
      <c r="Q1321" s="19">
        <f ca="1">IF(O1321="","",IF(Tipo_Vertedor="Retangular",IF(O1321&lt;=cota_s*100,0,IF(Tipo_Vertedor="Retangular",Cd_sr*Lef_sr*((O1321/100-cota_s)^(3/2))*1000)),IF(O1321&lt;=cota_s*100+fi_s/20,0,(OFFSET('Base de dados'!$A$4,IF(O1321&lt;20,1,IF(O1321&gt;1000,10,MATCH(O1321,Cargas,1))),Coluna_fis,1,1))*(PI()*(fi_s/1000)^2/4)*(2*9.81*(O1321/100-cota_s-fi_s/2/1000))^0.5*1000)))</f>
        <v>4871.3348819394459</v>
      </c>
      <c r="R1321" s="19">
        <f t="shared" ca="1" si="190"/>
        <v>4919.8050814479393</v>
      </c>
      <c r="S1321" s="19">
        <f t="shared" ca="1" si="191"/>
        <v>7738.1082989511569</v>
      </c>
    </row>
    <row r="1322" spans="13:19">
      <c r="M1322" s="81">
        <f t="shared" ca="1" si="188"/>
        <v>12671.292159684253</v>
      </c>
      <c r="N1322" s="19">
        <f t="shared" si="189"/>
        <v>232.34103281615936</v>
      </c>
      <c r="O1322" s="17">
        <f t="shared" si="187"/>
        <v>330.25</v>
      </c>
      <c r="P1322" s="19">
        <f ca="1">IF(ISERROR(IF(O1322&lt;fi_h/20,0,(OFFSET('Base de dados'!$A$5,IF(O1322&lt;20,1,IF(O1322&gt;1000,10,MATCH(O1322,Cargas,1))),Coluna_fih,1,1))*(1+0.13*0.25)*(PI()*(fi_h/1000)^2/4)*SQRT(2*9.81*(O1322/100-fi_h/2/1000))*1000)),"",IF(O1322&lt;fi_h/20,0,(OFFSET('Base de dados'!$A$5,IF(O1322&lt;20,1,IF(O1322&gt;1000,10,MATCH(O1322,Cargas,1))),Coluna_fih,1,1))*(PI()*(fi_h/1000)^2/4)*SQRT(2*9.81*(O1322/100-fi_h/2/1000))*1000))</f>
        <v>48.488875078663504</v>
      </c>
      <c r="Q1322" s="19">
        <f ca="1">IF(O1322="","",IF(Tipo_Vertedor="Retangular",IF(O1322&lt;=cota_s*100,0,IF(Tipo_Vertedor="Retangular",Cd_sr*Lef_sr*((O1322/100-cota_s)^(3/2))*1000)),IF(O1322&lt;=cota_s*100+fi_s/20,0,(OFFSET('Base de dados'!$A$4,IF(O1322&lt;20,1,IF(O1322&gt;1000,10,MATCH(O1322,Cargas,1))),Coluna_fis,1,1))*(PI()*(fi_s/1000)^2/4)*(2*9.81*(O1322/100-cota_s-fi_s/2/1000))^0.5*1000)))</f>
        <v>4878.1021907336126</v>
      </c>
      <c r="R1322" s="19">
        <f t="shared" ca="1" si="190"/>
        <v>4926.5910658122757</v>
      </c>
      <c r="S1322" s="19">
        <f t="shared" ca="1" si="191"/>
        <v>7744.7010938719786</v>
      </c>
    </row>
    <row r="1323" spans="13:19">
      <c r="M1323" s="81">
        <f t="shared" ca="1" si="188"/>
        <v>12684.674684369234</v>
      </c>
      <c r="N1323" s="19">
        <f t="shared" si="189"/>
        <v>232.53883531630092</v>
      </c>
      <c r="O1323" s="17">
        <f t="shared" si="187"/>
        <v>330.5</v>
      </c>
      <c r="P1323" s="19">
        <f ca="1">IF(ISERROR(IF(O1323&lt;fi_h/20,0,(OFFSET('Base de dados'!$A$5,IF(O1323&lt;20,1,IF(O1323&gt;1000,10,MATCH(O1323,Cargas,1))),Coluna_fih,1,1))*(1+0.13*0.25)*(PI()*(fi_h/1000)^2/4)*SQRT(2*9.81*(O1323/100-fi_h/2/1000))*1000)),"",IF(O1323&lt;fi_h/20,0,(OFFSET('Base de dados'!$A$5,IF(O1323&lt;20,1,IF(O1323&gt;1000,10,MATCH(O1323,Cargas,1))),Coluna_fih,1,1))*(PI()*(fi_h/1000)^2/4)*SQRT(2*9.81*(O1323/100-fi_h/2/1000))*1000))</f>
        <v>48.507543458675357</v>
      </c>
      <c r="Q1323" s="19">
        <f ca="1">IF(O1323="","",IF(Tipo_Vertedor="Retangular",IF(O1323&lt;=cota_s*100,0,IF(Tipo_Vertedor="Retangular",Cd_sr*Lef_sr*((O1323/100-cota_s)^(3/2))*1000)),IF(O1323&lt;=cota_s*100+fi_s/20,0,(OFFSET('Base de dados'!$A$4,IF(O1323&lt;20,1,IF(O1323&gt;1000,10,MATCH(O1323,Cargas,1))),Coluna_fis,1,1))*(PI()*(fi_s/1000)^2/4)*(2*9.81*(O1323/100-cota_s-fi_s/2/1000))^0.5*1000)))</f>
        <v>4884.8726303671947</v>
      </c>
      <c r="R1323" s="19">
        <f t="shared" ca="1" si="190"/>
        <v>4933.3801738258699</v>
      </c>
      <c r="S1323" s="19">
        <f t="shared" ca="1" si="191"/>
        <v>7751.2945105433637</v>
      </c>
    </row>
    <row r="1324" spans="13:19">
      <c r="M1324" s="81">
        <f t="shared" ca="1" si="188"/>
        <v>12698.060952603471</v>
      </c>
      <c r="N1324" s="19">
        <f t="shared" si="189"/>
        <v>232.73665645660719</v>
      </c>
      <c r="O1324" s="17">
        <f t="shared" si="187"/>
        <v>330.75</v>
      </c>
      <c r="P1324" s="19">
        <f ca="1">IF(ISERROR(IF(O1324&lt;fi_h/20,0,(OFFSET('Base de dados'!$A$5,IF(O1324&lt;20,1,IF(O1324&gt;1000,10,MATCH(O1324,Cargas,1))),Coluna_fih,1,1))*(1+0.13*0.25)*(PI()*(fi_h/1000)^2/4)*SQRT(2*9.81*(O1324/100-fi_h/2/1000))*1000)),"",IF(O1324&lt;fi_h/20,0,(OFFSET('Base de dados'!$A$5,IF(O1324&lt;20,1,IF(O1324&gt;1000,10,MATCH(O1324,Cargas,1))),Coluna_fih,1,1))*(PI()*(fi_h/1000)^2/4)*SQRT(2*9.81*(O1324/100-fi_h/2/1000))*1000))</f>
        <v>48.526204656827638</v>
      </c>
      <c r="Q1324" s="19">
        <f ca="1">IF(O1324="","",IF(Tipo_Vertedor="Retangular",IF(O1324&lt;=cota_s*100,0,IF(Tipo_Vertedor="Retangular",Cd_sr*Lef_sr*((O1324/100-cota_s)^(3/2))*1000)),IF(O1324&lt;=cota_s*100+fi_s/20,0,(OFFSET('Base de dados'!$A$4,IF(O1324&lt;20,1,IF(O1324&gt;1000,10,MATCH(O1324,Cargas,1))),Coluna_fis,1,1))*(PI()*(fi_s/1000)^2/4)*(2*9.81*(O1324/100-cota_s-fi_s/2/1000))^0.5*1000)))</f>
        <v>4891.6461993930716</v>
      </c>
      <c r="R1324" s="19">
        <f t="shared" ca="1" si="190"/>
        <v>4940.1724040498993</v>
      </c>
      <c r="S1324" s="19">
        <f t="shared" ca="1" si="191"/>
        <v>7757.8885485535729</v>
      </c>
    </row>
    <row r="1325" spans="13:19">
      <c r="M1325" s="81">
        <f t="shared" ca="1" si="188"/>
        <v>12711.450962538987</v>
      </c>
      <c r="N1325" s="19">
        <f t="shared" si="189"/>
        <v>232.93449622474344</v>
      </c>
      <c r="O1325" s="17">
        <f t="shared" si="187"/>
        <v>331</v>
      </c>
      <c r="P1325" s="19">
        <f ca="1">IF(ISERROR(IF(O1325&lt;fi_h/20,0,(OFFSET('Base de dados'!$A$5,IF(O1325&lt;20,1,IF(O1325&gt;1000,10,MATCH(O1325,Cargas,1))),Coluna_fih,1,1))*(1+0.13*0.25)*(PI()*(fi_h/1000)^2/4)*SQRT(2*9.81*(O1325/100-fi_h/2/1000))*1000)),"",IF(O1325&lt;fi_h/20,0,(OFFSET('Base de dados'!$A$5,IF(O1325&lt;20,1,IF(O1325&gt;1000,10,MATCH(O1325,Cargas,1))),Coluna_fih,1,1))*(PI()*(fi_h/1000)^2/4)*SQRT(2*9.81*(O1325/100-fi_h/2/1000))*1000))</f>
        <v>48.544858681402744</v>
      </c>
      <c r="Q1325" s="19">
        <f ca="1">IF(O1325="","",IF(Tipo_Vertedor="Retangular",IF(O1325&lt;=cota_s*100,0,IF(Tipo_Vertedor="Retangular",Cd_sr*Lef_sr*((O1325/100-cota_s)^(3/2))*1000)),IF(O1325&lt;=cota_s*100+fi_s/20,0,(OFFSET('Base de dados'!$A$4,IF(O1325&lt;20,1,IF(O1325&gt;1000,10,MATCH(O1325,Cargas,1))),Coluna_fis,1,1))*(PI()*(fi_s/1000)^2/4)*(2*9.81*(O1325/100-cota_s-fi_s/2/1000))^0.5*1000)))</f>
        <v>4898.4228963661362</v>
      </c>
      <c r="R1325" s="19">
        <f t="shared" ca="1" si="190"/>
        <v>4946.967755047539</v>
      </c>
      <c r="S1325" s="19">
        <f t="shared" ca="1" si="191"/>
        <v>7764.4832074914475</v>
      </c>
    </row>
    <row r="1326" spans="13:19">
      <c r="M1326" s="81">
        <f t="shared" ca="1" si="188"/>
        <v>12724.844712330347</v>
      </c>
      <c r="N1326" s="19">
        <f t="shared" si="189"/>
        <v>233.13235460839226</v>
      </c>
      <c r="O1326" s="17">
        <f t="shared" si="187"/>
        <v>331.25</v>
      </c>
      <c r="P1326" s="19">
        <f ca="1">IF(ISERROR(IF(O1326&lt;fi_h/20,0,(OFFSET('Base de dados'!$A$5,IF(O1326&lt;20,1,IF(O1326&gt;1000,10,MATCH(O1326,Cargas,1))),Coluna_fih,1,1))*(1+0.13*0.25)*(PI()*(fi_h/1000)^2/4)*SQRT(2*9.81*(O1326/100-fi_h/2/1000))*1000)),"",IF(O1326&lt;fi_h/20,0,(OFFSET('Base de dados'!$A$5,IF(O1326&lt;20,1,IF(O1326&gt;1000,10,MATCH(O1326,Cargas,1))),Coluna_fih,1,1))*(PI()*(fi_h/1000)^2/4)*SQRT(2*9.81*(O1326/100-fi_h/2/1000))*1000))</f>
        <v>48.56350554066713</v>
      </c>
      <c r="Q1326" s="19">
        <f ca="1">IF(O1326="","",IF(Tipo_Vertedor="Retangular",IF(O1326&lt;=cota_s*100,0,IF(Tipo_Vertedor="Retangular",Cd_sr*Lef_sr*((O1326/100-cota_s)^(3/2))*1000)),IF(O1326&lt;=cota_s*100+fi_s/20,0,(OFFSET('Base de dados'!$A$4,IF(O1326&lt;20,1,IF(O1326&gt;1000,10,MATCH(O1326,Cargas,1))),Coluna_fis,1,1))*(PI()*(fi_s/1000)^2/4)*(2*9.81*(O1326/100-cota_s-fi_s/2/1000))^0.5*1000)))</f>
        <v>4905.2027198432706</v>
      </c>
      <c r="R1326" s="19">
        <f t="shared" ca="1" si="190"/>
        <v>4953.766225383938</v>
      </c>
      <c r="S1326" s="19">
        <f t="shared" ca="1" si="191"/>
        <v>7771.0784869464087</v>
      </c>
    </row>
    <row r="1327" spans="13:19">
      <c r="M1327" s="81">
        <f t="shared" ca="1" si="188"/>
        <v>12738.242200134693</v>
      </c>
      <c r="N1327" s="19">
        <f t="shared" si="189"/>
        <v>233.33023159525396</v>
      </c>
      <c r="O1327" s="17">
        <f t="shared" si="187"/>
        <v>331.5</v>
      </c>
      <c r="P1327" s="19">
        <f ca="1">IF(ISERROR(IF(O1327&lt;fi_h/20,0,(OFFSET('Base de dados'!$A$5,IF(O1327&lt;20,1,IF(O1327&gt;1000,10,MATCH(O1327,Cargas,1))),Coluna_fih,1,1))*(1+0.13*0.25)*(PI()*(fi_h/1000)^2/4)*SQRT(2*9.81*(O1327/100-fi_h/2/1000))*1000)),"",IF(O1327&lt;fi_h/20,0,(OFFSET('Base de dados'!$A$5,IF(O1327&lt;20,1,IF(O1327&gt;1000,10,MATCH(O1327,Cargas,1))),Coluna_fih,1,1))*(PI()*(fi_h/1000)^2/4)*SQRT(2*9.81*(O1327/100-fi_h/2/1000))*1000))</f>
        <v>48.58214524287137</v>
      </c>
      <c r="Q1327" s="19">
        <f ca="1">IF(O1327="","",IF(Tipo_Vertedor="Retangular",IF(O1327&lt;=cota_s*100,0,IF(Tipo_Vertedor="Retangular",Cd_sr*Lef_sr*((O1327/100-cota_s)^(3/2))*1000)),IF(O1327&lt;=cota_s*100+fi_s/20,0,(OFFSET('Base de dados'!$A$4,IF(O1327&lt;20,1,IF(O1327&gt;1000,10,MATCH(O1327,Cargas,1))),Coluna_fis,1,1))*(PI()*(fi_s/1000)^2/4)*(2*9.81*(O1327/100-cota_s-fi_s/2/1000))^0.5*1000)))</f>
        <v>4911.9856683833568</v>
      </c>
      <c r="R1327" s="19">
        <f t="shared" ca="1" si="190"/>
        <v>4960.5678136262286</v>
      </c>
      <c r="S1327" s="19">
        <f t="shared" ca="1" si="191"/>
        <v>7777.6743865084654</v>
      </c>
    </row>
    <row r="1328" spans="13:19">
      <c r="M1328" s="81">
        <f t="shared" ca="1" si="188"/>
        <v>12751.643424111726</v>
      </c>
      <c r="N1328" s="19">
        <f t="shared" si="189"/>
        <v>233.52812717304607</v>
      </c>
      <c r="O1328" s="17">
        <f t="shared" si="187"/>
        <v>331.75</v>
      </c>
      <c r="P1328" s="19">
        <f ca="1">IF(ISERROR(IF(O1328&lt;fi_h/20,0,(OFFSET('Base de dados'!$A$5,IF(O1328&lt;20,1,IF(O1328&gt;1000,10,MATCH(O1328,Cargas,1))),Coluna_fih,1,1))*(1+0.13*0.25)*(PI()*(fi_h/1000)^2/4)*SQRT(2*9.81*(O1328/100-fi_h/2/1000))*1000)),"",IF(O1328&lt;fi_h/20,0,(OFFSET('Base de dados'!$A$5,IF(O1328&lt;20,1,IF(O1328&gt;1000,10,MATCH(O1328,Cargas,1))),Coluna_fih,1,1))*(PI()*(fi_h/1000)^2/4)*SQRT(2*9.81*(O1328/100-fi_h/2/1000))*1000))</f>
        <v>48.600777796250256</v>
      </c>
      <c r="Q1328" s="19">
        <f ca="1">IF(O1328="","",IF(Tipo_Vertedor="Retangular",IF(O1328&lt;=cota_s*100,0,IF(Tipo_Vertedor="Retangular",Cd_sr*Lef_sr*((O1328/100-cota_s)^(3/2))*1000)),IF(O1328&lt;=cota_s*100+fi_s/20,0,(OFFSET('Base de dados'!$A$4,IF(O1328&lt;20,1,IF(O1328&gt;1000,10,MATCH(O1328,Cargas,1))),Coluna_fis,1,1))*(PI()*(fi_s/1000)^2/4)*(2*9.81*(O1328/100-cota_s-fi_s/2/1000))^0.5*1000)))</f>
        <v>4918.7717405472722</v>
      </c>
      <c r="R1328" s="19">
        <f t="shared" ca="1" si="190"/>
        <v>4967.3725183435226</v>
      </c>
      <c r="S1328" s="19">
        <f t="shared" ca="1" si="191"/>
        <v>7784.2709057682032</v>
      </c>
    </row>
    <row r="1329" spans="13:19">
      <c r="M1329" s="81">
        <f t="shared" ca="1" si="188"/>
        <v>12765.048382423684</v>
      </c>
      <c r="N1329" s="19">
        <f t="shared" si="189"/>
        <v>233.7260413295036</v>
      </c>
      <c r="O1329" s="17">
        <f t="shared" si="187"/>
        <v>332</v>
      </c>
      <c r="P1329" s="19">
        <f ca="1">IF(ISERROR(IF(O1329&lt;fi_h/20,0,(OFFSET('Base de dados'!$A$5,IF(O1329&lt;20,1,IF(O1329&gt;1000,10,MATCH(O1329,Cargas,1))),Coluna_fih,1,1))*(1+0.13*0.25)*(PI()*(fi_h/1000)^2/4)*SQRT(2*9.81*(O1329/100-fi_h/2/1000))*1000)),"",IF(O1329&lt;fi_h/20,0,(OFFSET('Base de dados'!$A$5,IF(O1329&lt;20,1,IF(O1329&gt;1000,10,MATCH(O1329,Cargas,1))),Coluna_fih,1,1))*(PI()*(fi_h/1000)^2/4)*SQRT(2*9.81*(O1329/100-fi_h/2/1000))*1000))</f>
        <v>48.619403209022785</v>
      </c>
      <c r="Q1329" s="19">
        <f ca="1">IF(O1329="","",IF(Tipo_Vertedor="Retangular",IF(O1329&lt;=cota_s*100,0,IF(Tipo_Vertedor="Retangular",Cd_sr*Lef_sr*((O1329/100-cota_s)^(3/2))*1000)),IF(O1329&lt;=cota_s*100+fi_s/20,0,(OFFSET('Base de dados'!$A$4,IF(O1329&lt;20,1,IF(O1329&gt;1000,10,MATCH(O1329,Cargas,1))),Coluna_fis,1,1))*(PI()*(fi_s/1000)^2/4)*(2*9.81*(O1329/100-cota_s-fi_s/2/1000))^0.5*1000)))</f>
        <v>4925.5609348978733</v>
      </c>
      <c r="R1329" s="19">
        <f t="shared" ca="1" si="190"/>
        <v>4974.1803381068958</v>
      </c>
      <c r="S1329" s="19">
        <f t="shared" ca="1" si="191"/>
        <v>7790.8680443167868</v>
      </c>
    </row>
    <row r="1330" spans="13:19">
      <c r="M1330" s="81">
        <f t="shared" ca="1" si="188"/>
        <v>12778.45707323535</v>
      </c>
      <c r="N1330" s="19">
        <f t="shared" si="189"/>
        <v>233.92397405237872</v>
      </c>
      <c r="O1330" s="17">
        <f t="shared" si="187"/>
        <v>332.25</v>
      </c>
      <c r="P1330" s="19">
        <f ca="1">IF(ISERROR(IF(O1330&lt;fi_h/20,0,(OFFSET('Base de dados'!$A$5,IF(O1330&lt;20,1,IF(O1330&gt;1000,10,MATCH(O1330,Cargas,1))),Coluna_fih,1,1))*(1+0.13*0.25)*(PI()*(fi_h/1000)^2/4)*SQRT(2*9.81*(O1330/100-fi_h/2/1000))*1000)),"",IF(O1330&lt;fi_h/20,0,(OFFSET('Base de dados'!$A$5,IF(O1330&lt;20,1,IF(O1330&gt;1000,10,MATCH(O1330,Cargas,1))),Coluna_fih,1,1))*(PI()*(fi_h/1000)^2/4)*SQRT(2*9.81*(O1330/100-fi_h/2/1000))*1000))</f>
        <v>48.638021489392202</v>
      </c>
      <c r="Q1330" s="19">
        <f ca="1">IF(O1330="","",IF(Tipo_Vertedor="Retangular",IF(O1330&lt;=cota_s*100,0,IF(Tipo_Vertedor="Retangular",Cd_sr*Lef_sr*((O1330/100-cota_s)^(3/2))*1000)),IF(O1330&lt;=cota_s*100+fi_s/20,0,(OFFSET('Base de dados'!$A$4,IF(O1330&lt;20,1,IF(O1330&gt;1000,10,MATCH(O1330,Cargas,1))),Coluna_fis,1,1))*(PI()*(fi_s/1000)^2/4)*(2*9.81*(O1330/100-cota_s-fi_s/2/1000))^0.5*1000)))</f>
        <v>4932.3532499999992</v>
      </c>
      <c r="R1330" s="19">
        <f t="shared" ca="1" si="190"/>
        <v>4980.9912714893917</v>
      </c>
      <c r="S1330" s="19">
        <f t="shared" ca="1" si="191"/>
        <v>7797.4658017459578</v>
      </c>
    </row>
    <row r="1331" spans="13:19">
      <c r="M1331" s="81">
        <f t="shared" ca="1" si="188"/>
        <v>12791.869494714054</v>
      </c>
      <c r="N1331" s="19">
        <f t="shared" si="189"/>
        <v>234.12192532944101</v>
      </c>
      <c r="O1331" s="17">
        <f t="shared" si="187"/>
        <v>332.5</v>
      </c>
      <c r="P1331" s="19">
        <f ca="1">IF(ISERROR(IF(O1331&lt;fi_h/20,0,(OFFSET('Base de dados'!$A$5,IF(O1331&lt;20,1,IF(O1331&gt;1000,10,MATCH(O1331,Cargas,1))),Coluna_fih,1,1))*(1+0.13*0.25)*(PI()*(fi_h/1000)^2/4)*SQRT(2*9.81*(O1331/100-fi_h/2/1000))*1000)),"",IF(O1331&lt;fi_h/20,0,(OFFSET('Base de dados'!$A$5,IF(O1331&lt;20,1,IF(O1331&gt;1000,10,MATCH(O1331,Cargas,1))),Coluna_fih,1,1))*(PI()*(fi_h/1000)^2/4)*SQRT(2*9.81*(O1331/100-fi_h/2/1000))*1000))</f>
        <v>48.656632645546097</v>
      </c>
      <c r="Q1331" s="19">
        <f ca="1">IF(O1331="","",IF(Tipo_Vertedor="Retangular",IF(O1331&lt;=cota_s*100,0,IF(Tipo_Vertedor="Retangular",Cd_sr*Lef_sr*((O1331/100-cota_s)^(3/2))*1000)),IF(O1331&lt;=cota_s*100+fi_s/20,0,(OFFSET('Base de dados'!$A$4,IF(O1331&lt;20,1,IF(O1331&gt;1000,10,MATCH(O1331,Cargas,1))),Coluna_fis,1,1))*(PI()*(fi_s/1000)^2/4)*(2*9.81*(O1331/100-cota_s-fi_s/2/1000))^0.5*1000)))</f>
        <v>4939.1486844204746</v>
      </c>
      <c r="R1331" s="19">
        <f t="shared" ca="1" si="190"/>
        <v>4987.8053170660205</v>
      </c>
      <c r="S1331" s="19">
        <f t="shared" ca="1" si="191"/>
        <v>7804.0641776480334</v>
      </c>
    </row>
    <row r="1332" spans="13:19">
      <c r="M1332" s="81">
        <f t="shared" ca="1" si="188"/>
        <v>12805.285645029649</v>
      </c>
      <c r="N1332" s="19">
        <f t="shared" si="189"/>
        <v>234.3198951484772</v>
      </c>
      <c r="O1332" s="17">
        <f t="shared" si="187"/>
        <v>332.75</v>
      </c>
      <c r="P1332" s="19">
        <f ca="1">IF(ISERROR(IF(O1332&lt;fi_h/20,0,(OFFSET('Base de dados'!$A$5,IF(O1332&lt;20,1,IF(O1332&gt;1000,10,MATCH(O1332,Cargas,1))),Coluna_fih,1,1))*(1+0.13*0.25)*(PI()*(fi_h/1000)^2/4)*SQRT(2*9.81*(O1332/100-fi_h/2/1000))*1000)),"",IF(O1332&lt;fi_h/20,0,(OFFSET('Base de dados'!$A$5,IF(O1332&lt;20,1,IF(O1332&gt;1000,10,MATCH(O1332,Cargas,1))),Coluna_fih,1,1))*(PI()*(fi_h/1000)^2/4)*SQRT(2*9.81*(O1332/100-fi_h/2/1000))*1000))</f>
        <v>48.675236685656344</v>
      </c>
      <c r="Q1332" s="19">
        <f ca="1">IF(O1332="","",IF(Tipo_Vertedor="Retangular",IF(O1332&lt;=cota_s*100,0,IF(Tipo_Vertedor="Retangular",Cd_sr*Lef_sr*((O1332/100-cota_s)^(3/2))*1000)),IF(O1332&lt;=cota_s*100+fi_s/20,0,(OFFSET('Base de dados'!$A$4,IF(O1332&lt;20,1,IF(O1332&gt;1000,10,MATCH(O1332,Cargas,1))),Coluna_fis,1,1))*(PI()*(fi_s/1000)^2/4)*(2*9.81*(O1332/100-cota_s-fi_s/2/1000))^0.5*1000)))</f>
        <v>4945.947236728086</v>
      </c>
      <c r="R1332" s="19">
        <f t="shared" ca="1" si="190"/>
        <v>4994.6224734137422</v>
      </c>
      <c r="S1332" s="19">
        <f t="shared" ca="1" si="191"/>
        <v>7810.6631716159063</v>
      </c>
    </row>
    <row r="1333" spans="13:19">
      <c r="M1333" s="81">
        <f t="shared" ca="1" si="188"/>
        <v>12818.705522354521</v>
      </c>
      <c r="N1333" s="19">
        <f t="shared" si="189"/>
        <v>234.51788349729139</v>
      </c>
      <c r="O1333" s="17">
        <f t="shared" si="187"/>
        <v>333</v>
      </c>
      <c r="P1333" s="19">
        <f ca="1">IF(ISERROR(IF(O1333&lt;fi_h/20,0,(OFFSET('Base de dados'!$A$5,IF(O1333&lt;20,1,IF(O1333&gt;1000,10,MATCH(O1333,Cargas,1))),Coluna_fih,1,1))*(1+0.13*0.25)*(PI()*(fi_h/1000)^2/4)*SQRT(2*9.81*(O1333/100-fi_h/2/1000))*1000)),"",IF(O1333&lt;fi_h/20,0,(OFFSET('Base de dados'!$A$5,IF(O1333&lt;20,1,IF(O1333&gt;1000,10,MATCH(O1333,Cargas,1))),Coluna_fih,1,1))*(PI()*(fi_h/1000)^2/4)*SQRT(2*9.81*(O1333/100-fi_h/2/1000))*1000))</f>
        <v>48.69383361787925</v>
      </c>
      <c r="Q1333" s="19">
        <f ca="1">IF(O1333="","",IF(Tipo_Vertedor="Retangular",IF(O1333&lt;=cota_s*100,0,IF(Tipo_Vertedor="Retangular",Cd_sr*Lef_sr*((O1333/100-cota_s)^(3/2))*1000)),IF(O1333&lt;=cota_s*100+fi_s/20,0,(OFFSET('Base de dados'!$A$4,IF(O1333&lt;20,1,IF(O1333&gt;1000,10,MATCH(O1333,Cargas,1))),Coluna_fis,1,1))*(PI()*(fi_s/1000)^2/4)*(2*9.81*(O1333/100-cota_s-fi_s/2/1000))^0.5*1000)))</f>
        <v>4952.748905493595</v>
      </c>
      <c r="R1333" s="19">
        <f t="shared" ca="1" si="190"/>
        <v>5001.4427391114741</v>
      </c>
      <c r="S1333" s="19">
        <f t="shared" ca="1" si="191"/>
        <v>7817.2627832430462</v>
      </c>
    </row>
    <row r="1334" spans="13:19">
      <c r="M1334" s="81">
        <f t="shared" ca="1" si="188"/>
        <v>12832.129124863568</v>
      </c>
      <c r="N1334" s="19">
        <f t="shared" si="189"/>
        <v>234.71589036370466</v>
      </c>
      <c r="O1334" s="17">
        <f t="shared" si="187"/>
        <v>333.25</v>
      </c>
      <c r="P1334" s="19">
        <f ca="1">IF(ISERROR(IF(O1334&lt;fi_h/20,0,(OFFSET('Base de dados'!$A$5,IF(O1334&lt;20,1,IF(O1334&gt;1000,10,MATCH(O1334,Cargas,1))),Coluna_fih,1,1))*(1+0.13*0.25)*(PI()*(fi_h/1000)^2/4)*SQRT(2*9.81*(O1334/100-fi_h/2/1000))*1000)),"",IF(O1334&lt;fi_h/20,0,(OFFSET('Base de dados'!$A$5,IF(O1334&lt;20,1,IF(O1334&gt;1000,10,MATCH(O1334,Cargas,1))),Coluna_fih,1,1))*(PI()*(fi_h/1000)^2/4)*SQRT(2*9.81*(O1334/100-fi_h/2/1000))*1000))</f>
        <v>48.712423450355558</v>
      </c>
      <c r="Q1334" s="19">
        <f ca="1">IF(O1334="","",IF(Tipo_Vertedor="Retangular",IF(O1334&lt;=cota_s*100,0,IF(Tipo_Vertedor="Retangular",Cd_sr*Lef_sr*((O1334/100-cota_s)^(3/2))*1000)),IF(O1334&lt;=cota_s*100+fi_s/20,0,(OFFSET('Base de dados'!$A$4,IF(O1334&lt;20,1,IF(O1334&gt;1000,10,MATCH(O1334,Cargas,1))),Coluna_fis,1,1))*(PI()*(fi_s/1000)^2/4)*(2*9.81*(O1334/100-cota_s-fi_s/2/1000))^0.5*1000)))</f>
        <v>4959.5536892897244</v>
      </c>
      <c r="R1334" s="19">
        <f t="shared" ca="1" si="190"/>
        <v>5008.2661127400797</v>
      </c>
      <c r="S1334" s="19">
        <f t="shared" ca="1" si="191"/>
        <v>7823.8630121234883</v>
      </c>
    </row>
    <row r="1335" spans="13:19">
      <c r="M1335" s="81">
        <f t="shared" ca="1" si="188"/>
        <v>12845.55645073421</v>
      </c>
      <c r="N1335" s="19">
        <f t="shared" si="189"/>
        <v>234.91391573555529</v>
      </c>
      <c r="O1335" s="17">
        <f t="shared" si="187"/>
        <v>333.5</v>
      </c>
      <c r="P1335" s="19">
        <f ca="1">IF(ISERROR(IF(O1335&lt;fi_h/20,0,(OFFSET('Base de dados'!$A$5,IF(O1335&lt;20,1,IF(O1335&gt;1000,10,MATCH(O1335,Cargas,1))),Coluna_fih,1,1))*(1+0.13*0.25)*(PI()*(fi_h/1000)^2/4)*SQRT(2*9.81*(O1335/100-fi_h/2/1000))*1000)),"",IF(O1335&lt;fi_h/20,0,(OFFSET('Base de dados'!$A$5,IF(O1335&lt;20,1,IF(O1335&gt;1000,10,MATCH(O1335,Cargas,1))),Coluna_fih,1,1))*(PI()*(fi_h/1000)^2/4)*SQRT(2*9.81*(O1335/100-fi_h/2/1000))*1000))</f>
        <v>48.731006191210469</v>
      </c>
      <c r="Q1335" s="19">
        <f ca="1">IF(O1335="","",IF(Tipo_Vertedor="Retangular",IF(O1335&lt;=cota_s*100,0,IF(Tipo_Vertedor="Retangular",Cd_sr*Lef_sr*((O1335/100-cota_s)^(3/2))*1000)),IF(O1335&lt;=cota_s*100+fi_s/20,0,(OFFSET('Base de dados'!$A$4,IF(O1335&lt;20,1,IF(O1335&gt;1000,10,MATCH(O1335,Cargas,1))),Coluna_fis,1,1))*(PI()*(fi_s/1000)^2/4)*(2*9.81*(O1335/100-cota_s-fi_s/2/1000))^0.5*1000)))</f>
        <v>4966.3615866911559</v>
      </c>
      <c r="R1335" s="19">
        <f t="shared" ca="1" si="190"/>
        <v>5015.0925928823663</v>
      </c>
      <c r="S1335" s="19">
        <f t="shared" ca="1" si="191"/>
        <v>7830.4638578518434</v>
      </c>
    </row>
    <row r="1336" spans="13:19">
      <c r="M1336" s="81">
        <f t="shared" ca="1" si="188"/>
        <v>12858.987498146376</v>
      </c>
      <c r="N1336" s="19">
        <f t="shared" si="189"/>
        <v>235.11195960069881</v>
      </c>
      <c r="O1336" s="17">
        <f t="shared" si="187"/>
        <v>333.75</v>
      </c>
      <c r="P1336" s="19">
        <f ca="1">IF(ISERROR(IF(O1336&lt;fi_h/20,0,(OFFSET('Base de dados'!$A$5,IF(O1336&lt;20,1,IF(O1336&gt;1000,10,MATCH(O1336,Cargas,1))),Coluna_fih,1,1))*(1+0.13*0.25)*(PI()*(fi_h/1000)^2/4)*SQRT(2*9.81*(O1336/100-fi_h/2/1000))*1000)),"",IF(O1336&lt;fi_h/20,0,(OFFSET('Base de dados'!$A$5,IF(O1336&lt;20,1,IF(O1336&gt;1000,10,MATCH(O1336,Cargas,1))),Coluna_fih,1,1))*(PI()*(fi_h/1000)^2/4)*SQRT(2*9.81*(O1336/100-fi_h/2/1000))*1000))</f>
        <v>48.749581848553703</v>
      </c>
      <c r="Q1336" s="19">
        <f ca="1">IF(O1336="","",IF(Tipo_Vertedor="Retangular",IF(O1336&lt;=cota_s*100,0,IF(Tipo_Vertedor="Retangular",Cd_sr*Lef_sr*((O1336/100-cota_s)^(3/2))*1000)),IF(O1336&lt;=cota_s*100+fi_s/20,0,(OFFSET('Base de dados'!$A$4,IF(O1336&lt;20,1,IF(O1336&gt;1000,10,MATCH(O1336,Cargas,1))),Coluna_fis,1,1))*(PI()*(fi_s/1000)^2/4)*(2*9.81*(O1336/100-cota_s-fi_s/2/1000))^0.5*1000)))</f>
        <v>4973.1725962745286</v>
      </c>
      <c r="R1336" s="19">
        <f t="shared" ca="1" si="190"/>
        <v>5021.9221781230826</v>
      </c>
      <c r="S1336" s="19">
        <f t="shared" ca="1" si="191"/>
        <v>7837.0653200232937</v>
      </c>
    </row>
    <row r="1337" spans="13:19">
      <c r="M1337" s="81">
        <f t="shared" ca="1" si="188"/>
        <v>12872.422265282494</v>
      </c>
      <c r="N1337" s="19">
        <f t="shared" si="189"/>
        <v>235.31002194700758</v>
      </c>
      <c r="O1337" s="17">
        <f t="shared" si="187"/>
        <v>334</v>
      </c>
      <c r="P1337" s="19">
        <f ca="1">IF(ISERROR(IF(O1337&lt;fi_h/20,0,(OFFSET('Base de dados'!$A$5,IF(O1337&lt;20,1,IF(O1337&gt;1000,10,MATCH(O1337,Cargas,1))),Coluna_fih,1,1))*(1+0.13*0.25)*(PI()*(fi_h/1000)^2/4)*SQRT(2*9.81*(O1337/100-fi_h/2/1000))*1000)),"",IF(O1337&lt;fi_h/20,0,(OFFSET('Base de dados'!$A$5,IF(O1337&lt;20,1,IF(O1337&gt;1000,10,MATCH(O1337,Cargas,1))),Coluna_fih,1,1))*(PI()*(fi_h/1000)^2/4)*SQRT(2*9.81*(O1337/100-fi_h/2/1000))*1000))</f>
        <v>48.768150430479515</v>
      </c>
      <c r="Q1337" s="19">
        <f ca="1">IF(O1337="","",IF(Tipo_Vertedor="Retangular",IF(O1337&lt;=cota_s*100,0,IF(Tipo_Vertedor="Retangular",Cd_sr*Lef_sr*((O1337/100-cota_s)^(3/2))*1000)),IF(O1337&lt;=cota_s*100+fi_s/20,0,(OFFSET('Base de dados'!$A$4,IF(O1337&lt;20,1,IF(O1337&gt;1000,10,MATCH(O1337,Cargas,1))),Coluna_fis,1,1))*(PI()*(fi_s/1000)^2/4)*(2*9.81*(O1337/100-cota_s-fi_s/2/1000))^0.5*1000)))</f>
        <v>4979.9867166184276</v>
      </c>
      <c r="R1337" s="19">
        <f t="shared" ca="1" si="190"/>
        <v>5028.7548670489068</v>
      </c>
      <c r="S1337" s="19">
        <f t="shared" ca="1" si="191"/>
        <v>7843.6673982335869</v>
      </c>
    </row>
    <row r="1338" spans="13:19">
      <c r="M1338" s="81">
        <f t="shared" ca="1" si="188"/>
        <v>12885.860750327491</v>
      </c>
      <c r="N1338" s="19">
        <f t="shared" si="189"/>
        <v>235.50810276237107</v>
      </c>
      <c r="O1338" s="17">
        <f t="shared" si="187"/>
        <v>334.25</v>
      </c>
      <c r="P1338" s="19">
        <f ca="1">IF(ISERROR(IF(O1338&lt;fi_h/20,0,(OFFSET('Base de dados'!$A$5,IF(O1338&lt;20,1,IF(O1338&gt;1000,10,MATCH(O1338,Cargas,1))),Coluna_fih,1,1))*(1+0.13*0.25)*(PI()*(fi_h/1000)^2/4)*SQRT(2*9.81*(O1338/100-fi_h/2/1000))*1000)),"",IF(O1338&lt;fi_h/20,0,(OFFSET('Base de dados'!$A$5,IF(O1338&lt;20,1,IF(O1338&gt;1000,10,MATCH(O1338,Cargas,1))),Coluna_fih,1,1))*(PI()*(fi_h/1000)^2/4)*SQRT(2*9.81*(O1338/100-fi_h/2/1000))*1000))</f>
        <v>48.786711945066784</v>
      </c>
      <c r="Q1338" s="19">
        <f ca="1">IF(O1338="","",IF(Tipo_Vertedor="Retangular",IF(O1338&lt;=cota_s*100,0,IF(Tipo_Vertedor="Retangular",Cd_sr*Lef_sr*((O1338/100-cota_s)^(3/2))*1000)),IF(O1338&lt;=cota_s*100+fi_s/20,0,(OFFSET('Base de dados'!$A$4,IF(O1338&lt;20,1,IF(O1338&gt;1000,10,MATCH(O1338,Cargas,1))),Coluna_fis,1,1))*(PI()*(fi_s/1000)^2/4)*(2*9.81*(O1338/100-cota_s-fi_s/2/1000))^0.5*1000)))</f>
        <v>4986.8039463033883</v>
      </c>
      <c r="R1338" s="19">
        <f t="shared" ca="1" si="190"/>
        <v>5035.5906582484549</v>
      </c>
      <c r="S1338" s="19">
        <f t="shared" ca="1" si="191"/>
        <v>7850.2700920790357</v>
      </c>
    </row>
    <row r="1339" spans="13:19">
      <c r="M1339" s="81">
        <f t="shared" ca="1" si="188"/>
        <v>12899.302951468795</v>
      </c>
      <c r="N1339" s="19">
        <f t="shared" si="189"/>
        <v>235.70620203469591</v>
      </c>
      <c r="O1339" s="17">
        <f t="shared" si="187"/>
        <v>334.5</v>
      </c>
      <c r="P1339" s="19">
        <f ca="1">IF(ISERROR(IF(O1339&lt;fi_h/20,0,(OFFSET('Base de dados'!$A$5,IF(O1339&lt;20,1,IF(O1339&gt;1000,10,MATCH(O1339,Cargas,1))),Coluna_fih,1,1))*(1+0.13*0.25)*(PI()*(fi_h/1000)^2/4)*SQRT(2*9.81*(O1339/100-fi_h/2/1000))*1000)),"",IF(O1339&lt;fi_h/20,0,(OFFSET('Base de dados'!$A$5,IF(O1339&lt;20,1,IF(O1339&gt;1000,10,MATCH(O1339,Cargas,1))),Coluna_fih,1,1))*(PI()*(fi_h/1000)^2/4)*SQRT(2*9.81*(O1339/100-fi_h/2/1000))*1000))</f>
        <v>48.805266400379011</v>
      </c>
      <c r="Q1339" s="19">
        <f ca="1">IF(O1339="","",IF(Tipo_Vertedor="Retangular",IF(O1339&lt;=cota_s*100,0,IF(Tipo_Vertedor="Retangular",Cd_sr*Lef_sr*((O1339/100-cota_s)^(3/2))*1000)),IF(O1339&lt;=cota_s*100+fi_s/20,0,(OFFSET('Base de dados'!$A$4,IF(O1339&lt;20,1,IF(O1339&gt;1000,10,MATCH(O1339,Cargas,1))),Coluna_fis,1,1))*(PI()*(fi_s/1000)^2/4)*(2*9.81*(O1339/100-cota_s-fi_s/2/1000))^0.5*1000)))</f>
        <v>4993.6242839118859</v>
      </c>
      <c r="R1339" s="19">
        <f t="shared" ca="1" si="190"/>
        <v>5042.4295503122648</v>
      </c>
      <c r="S1339" s="19">
        <f t="shared" ca="1" si="191"/>
        <v>7856.8734011565302</v>
      </c>
    </row>
    <row r="1340" spans="13:19">
      <c r="M1340" s="81">
        <f t="shared" ca="1" si="188"/>
        <v>12912.748866896309</v>
      </c>
      <c r="N1340" s="19">
        <f t="shared" si="189"/>
        <v>235.90431975190538</v>
      </c>
      <c r="O1340" s="17">
        <f t="shared" si="187"/>
        <v>334.75</v>
      </c>
      <c r="P1340" s="19">
        <f ca="1">IF(ISERROR(IF(O1340&lt;fi_h/20,0,(OFFSET('Base de dados'!$A$5,IF(O1340&lt;20,1,IF(O1340&gt;1000,10,MATCH(O1340,Cargas,1))),Coluna_fih,1,1))*(1+0.13*0.25)*(PI()*(fi_h/1000)^2/4)*SQRT(2*9.81*(O1340/100-fi_h/2/1000))*1000)),"",IF(O1340&lt;fi_h/20,0,(OFFSET('Base de dados'!$A$5,IF(O1340&lt;20,1,IF(O1340&gt;1000,10,MATCH(O1340,Cargas,1))),Coluna_fih,1,1))*(PI()*(fi_h/1000)^2/4)*SQRT(2*9.81*(O1340/100-fi_h/2/1000))*1000))</f>
        <v>48.8238138044644</v>
      </c>
      <c r="Q1340" s="19">
        <f ca="1">IF(O1340="","",IF(Tipo_Vertedor="Retangular",IF(O1340&lt;=cota_s*100,0,IF(Tipo_Vertedor="Retangular",Cd_sr*Lef_sr*((O1340/100-cota_s)^(3/2))*1000)),IF(O1340&lt;=cota_s*100+fi_s/20,0,(OFFSET('Base de dados'!$A$4,IF(O1340&lt;20,1,IF(O1340&gt;1000,10,MATCH(O1340,Cargas,1))),Coluna_fis,1,1))*(PI()*(fi_s/1000)^2/4)*(2*9.81*(O1340/100-cota_s-fi_s/2/1000))^0.5*1000)))</f>
        <v>5000.4477280283309</v>
      </c>
      <c r="R1340" s="19">
        <f t="shared" ca="1" si="190"/>
        <v>5049.2715418327953</v>
      </c>
      <c r="S1340" s="19">
        <f t="shared" ca="1" si="191"/>
        <v>7863.4773250635126</v>
      </c>
    </row>
    <row r="1341" spans="13:19">
      <c r="M1341" s="81">
        <f t="shared" ca="1" si="188"/>
        <v>12926.198494802415</v>
      </c>
      <c r="N1341" s="19">
        <f t="shared" si="189"/>
        <v>236.10245590193986</v>
      </c>
      <c r="O1341" s="17">
        <f t="shared" si="187"/>
        <v>335</v>
      </c>
      <c r="P1341" s="19">
        <f ca="1">IF(ISERROR(IF(O1341&lt;fi_h/20,0,(OFFSET('Base de dados'!$A$5,IF(O1341&lt;20,1,IF(O1341&gt;1000,10,MATCH(O1341,Cargas,1))),Coluna_fih,1,1))*(1+0.13*0.25)*(PI()*(fi_h/1000)^2/4)*SQRT(2*9.81*(O1341/100-fi_h/2/1000))*1000)),"",IF(O1341&lt;fi_h/20,0,(OFFSET('Base de dados'!$A$5,IF(O1341&lt;20,1,IF(O1341&gt;1000,10,MATCH(O1341,Cargas,1))),Coluna_fih,1,1))*(PI()*(fi_h/1000)^2/4)*SQRT(2*9.81*(O1341/100-fi_h/2/1000))*1000))</f>
        <v>48.842354165355822</v>
      </c>
      <c r="Q1341" s="19">
        <f ca="1">IF(O1341="","",IF(Tipo_Vertedor="Retangular",IF(O1341&lt;=cota_s*100,0,IF(Tipo_Vertedor="Retangular",Cd_sr*Lef_sr*((O1341/100-cota_s)^(3/2))*1000)),IF(O1341&lt;=cota_s*100+fi_s/20,0,(OFFSET('Base de dados'!$A$4,IF(O1341&lt;20,1,IF(O1341&gt;1000,10,MATCH(O1341,Cargas,1))),Coluna_fis,1,1))*(PI()*(fi_s/1000)^2/4)*(2*9.81*(O1341/100-cota_s-fi_s/2/1000))^0.5*1000)))</f>
        <v>5007.2742772390648</v>
      </c>
      <c r="R1341" s="19">
        <f t="shared" ca="1" si="190"/>
        <v>5056.1166314044203</v>
      </c>
      <c r="S1341" s="19">
        <f t="shared" ca="1" si="191"/>
        <v>7870.0818633979952</v>
      </c>
    </row>
    <row r="1342" spans="13:19">
      <c r="M1342" s="81">
        <f t="shared" ca="1" si="188"/>
        <v>12939.651833381988</v>
      </c>
      <c r="N1342" s="19">
        <f t="shared" si="189"/>
        <v>236.30061047275657</v>
      </c>
      <c r="O1342" s="17">
        <f t="shared" si="187"/>
        <v>335.25</v>
      </c>
      <c r="P1342" s="19">
        <f ca="1">IF(ISERROR(IF(O1342&lt;fi_h/20,0,(OFFSET('Base de dados'!$A$5,IF(O1342&lt;20,1,IF(O1342&gt;1000,10,MATCH(O1342,Cargas,1))),Coluna_fih,1,1))*(1+0.13*0.25)*(PI()*(fi_h/1000)^2/4)*SQRT(2*9.81*(O1342/100-fi_h/2/1000))*1000)),"",IF(O1342&lt;fi_h/20,0,(OFFSET('Base de dados'!$A$5,IF(O1342&lt;20,1,IF(O1342&gt;1000,10,MATCH(O1342,Cargas,1))),Coluna_fih,1,1))*(PI()*(fi_h/1000)^2/4)*SQRT(2*9.81*(O1342/100-fi_h/2/1000))*1000))</f>
        <v>48.860887491070947</v>
      </c>
      <c r="Q1342" s="19">
        <f ca="1">IF(O1342="","",IF(Tipo_Vertedor="Retangular",IF(O1342&lt;=cota_s*100,0,IF(Tipo_Vertedor="Retangular",Cd_sr*Lef_sr*((O1342/100-cota_s)^(3/2))*1000)),IF(O1342&lt;=cota_s*100+fi_s/20,0,(OFFSET('Base de dados'!$A$4,IF(O1342&lt;20,1,IF(O1342&gt;1000,10,MATCH(O1342,Cargas,1))),Coluna_fis,1,1))*(PI()*(fi_s/1000)^2/4)*(2*9.81*(O1342/100-cota_s-fi_s/2/1000))^0.5*1000)))</f>
        <v>5014.1039301323644</v>
      </c>
      <c r="R1342" s="19">
        <f t="shared" ca="1" si="190"/>
        <v>5062.964817623435</v>
      </c>
      <c r="S1342" s="19">
        <f t="shared" ca="1" si="191"/>
        <v>7876.6870157585527</v>
      </c>
    </row>
    <row r="1343" spans="13:19">
      <c r="M1343" s="81">
        <f t="shared" ca="1" si="188"/>
        <v>12953.108880832355</v>
      </c>
      <c r="N1343" s="19">
        <f t="shared" si="189"/>
        <v>236.49878345232958</v>
      </c>
      <c r="O1343" s="17">
        <f t="shared" si="187"/>
        <v>335.5</v>
      </c>
      <c r="P1343" s="19">
        <f ca="1">IF(ISERROR(IF(O1343&lt;fi_h/20,0,(OFFSET('Base de dados'!$A$5,IF(O1343&lt;20,1,IF(O1343&gt;1000,10,MATCH(O1343,Cargas,1))),Coluna_fih,1,1))*(1+0.13*0.25)*(PI()*(fi_h/1000)^2/4)*SQRT(2*9.81*(O1343/100-fi_h/2/1000))*1000)),"",IF(O1343&lt;fi_h/20,0,(OFFSET('Base de dados'!$A$5,IF(O1343&lt;20,1,IF(O1343&gt;1000,10,MATCH(O1343,Cargas,1))),Coluna_fih,1,1))*(PI()*(fi_h/1000)^2/4)*SQRT(2*9.81*(O1343/100-fi_h/2/1000))*1000))</f>
        <v>48.879413789612251</v>
      </c>
      <c r="Q1343" s="19">
        <f ca="1">IF(O1343="","",IF(Tipo_Vertedor="Retangular",IF(O1343&lt;=cota_s*100,0,IF(Tipo_Vertedor="Retangular",Cd_sr*Lef_sr*((O1343/100-cota_s)^(3/2))*1000)),IF(O1343&lt;=cota_s*100+fi_s/20,0,(OFFSET('Base de dados'!$A$4,IF(O1343&lt;20,1,IF(O1343&gt;1000,10,MATCH(O1343,Cargas,1))),Coluna_fis,1,1))*(PI()*(fi_s/1000)^2/4)*(2*9.81*(O1343/100-cota_s-fi_s/2/1000))^0.5*1000)))</f>
        <v>5020.9366852984231</v>
      </c>
      <c r="R1343" s="19">
        <f t="shared" ca="1" si="190"/>
        <v>5069.8160990880351</v>
      </c>
      <c r="S1343" s="19">
        <f t="shared" ca="1" si="191"/>
        <v>7883.2927817443187</v>
      </c>
    </row>
    <row r="1344" spans="13:19">
      <c r="M1344" s="81">
        <f t="shared" ca="1" si="188"/>
        <v>12966.569635353317</v>
      </c>
      <c r="N1344" s="19">
        <f t="shared" si="189"/>
        <v>236.69697482864979</v>
      </c>
      <c r="O1344" s="17">
        <f t="shared" si="187"/>
        <v>335.75</v>
      </c>
      <c r="P1344" s="19">
        <f ca="1">IF(ISERROR(IF(O1344&lt;fi_h/20,0,(OFFSET('Base de dados'!$A$5,IF(O1344&lt;20,1,IF(O1344&gt;1000,10,MATCH(O1344,Cargas,1))),Coluna_fih,1,1))*(1+0.13*0.25)*(PI()*(fi_h/1000)^2/4)*SQRT(2*9.81*(O1344/100-fi_h/2/1000))*1000)),"",IF(O1344&lt;fi_h/20,0,(OFFSET('Base de dados'!$A$5,IF(O1344&lt;20,1,IF(O1344&gt;1000,10,MATCH(O1344,Cargas,1))),Coluna_fih,1,1))*(PI()*(fi_h/1000)^2/4)*SQRT(2*9.81*(O1344/100-fi_h/2/1000))*1000))</f>
        <v>48.897933068967028</v>
      </c>
      <c r="Q1344" s="19">
        <f ca="1">IF(O1344="","",IF(Tipo_Vertedor="Retangular",IF(O1344&lt;=cota_s*100,0,IF(Tipo_Vertedor="Retangular",Cd_sr*Lef_sr*((O1344/100-cota_s)^(3/2))*1000)),IF(O1344&lt;=cota_s*100+fi_s/20,0,(OFFSET('Base de dados'!$A$4,IF(O1344&lt;20,1,IF(O1344&gt;1000,10,MATCH(O1344,Cargas,1))),Coluna_fis,1,1))*(PI()*(fi_s/1000)^2/4)*(2*9.81*(O1344/100-cota_s-fi_s/2/1000))^0.5*1000)))</f>
        <v>5027.7725413293556</v>
      </c>
      <c r="R1344" s="19">
        <f t="shared" ca="1" si="190"/>
        <v>5076.6704743983228</v>
      </c>
      <c r="S1344" s="19">
        <f t="shared" ca="1" si="191"/>
        <v>7889.899160954993</v>
      </c>
    </row>
    <row r="1345" spans="13:19">
      <c r="M1345" s="81">
        <f t="shared" ca="1" si="188"/>
        <v>12980.03409514713</v>
      </c>
      <c r="N1345" s="19">
        <f t="shared" si="189"/>
        <v>236.89518458972489</v>
      </c>
      <c r="O1345" s="17">
        <f t="shared" si="187"/>
        <v>336</v>
      </c>
      <c r="P1345" s="19">
        <f ca="1">IF(ISERROR(IF(O1345&lt;fi_h/20,0,(OFFSET('Base de dados'!$A$5,IF(O1345&lt;20,1,IF(O1345&gt;1000,10,MATCH(O1345,Cargas,1))),Coluna_fih,1,1))*(1+0.13*0.25)*(PI()*(fi_h/1000)^2/4)*SQRT(2*9.81*(O1345/100-fi_h/2/1000))*1000)),"",IF(O1345&lt;fi_h/20,0,(OFFSET('Base de dados'!$A$5,IF(O1345&lt;20,1,IF(O1345&gt;1000,10,MATCH(O1345,Cargas,1))),Coluna_fih,1,1))*(PI()*(fi_h/1000)^2/4)*SQRT(2*9.81*(O1345/100-fi_h/2/1000))*1000))</f>
        <v>48.916445337107461</v>
      </c>
      <c r="Q1345" s="19">
        <f ca="1">IF(O1345="","",IF(Tipo_Vertedor="Retangular",IF(O1345&lt;=cota_s*100,0,IF(Tipo_Vertedor="Retangular",Cd_sr*Lef_sr*((O1345/100-cota_s)^(3/2))*1000)),IF(O1345&lt;=cota_s*100+fi_s/20,0,(OFFSET('Base de dados'!$A$4,IF(O1345&lt;20,1,IF(O1345&gt;1000,10,MATCH(O1345,Cargas,1))),Coluna_fis,1,1))*(PI()*(fi_s/1000)^2/4)*(2*9.81*(O1345/100-cota_s-fi_s/2/1000))^0.5*1000)))</f>
        <v>5034.6114968191923</v>
      </c>
      <c r="R1345" s="19">
        <f t="shared" ca="1" si="190"/>
        <v>5083.5279421563</v>
      </c>
      <c r="S1345" s="19">
        <f t="shared" ca="1" si="191"/>
        <v>7896.5061529908298</v>
      </c>
    </row>
    <row r="1346" spans="13:19">
      <c r="M1346" s="81">
        <f t="shared" ca="1" si="188"/>
        <v>12993.502258418506</v>
      </c>
      <c r="N1346" s="19">
        <f t="shared" si="189"/>
        <v>237.09341272357912</v>
      </c>
      <c r="O1346" s="17">
        <f t="shared" si="187"/>
        <v>336.25</v>
      </c>
      <c r="P1346" s="19">
        <f ca="1">IF(ISERROR(IF(O1346&lt;fi_h/20,0,(OFFSET('Base de dados'!$A$5,IF(O1346&lt;20,1,IF(O1346&gt;1000,10,MATCH(O1346,Cargas,1))),Coluna_fih,1,1))*(1+0.13*0.25)*(PI()*(fi_h/1000)^2/4)*SQRT(2*9.81*(O1346/100-fi_h/2/1000))*1000)),"",IF(O1346&lt;fi_h/20,0,(OFFSET('Base de dados'!$A$5,IF(O1346&lt;20,1,IF(O1346&gt;1000,10,MATCH(O1346,Cargas,1))),Coluna_fih,1,1))*(PI()*(fi_h/1000)^2/4)*SQRT(2*9.81*(O1346/100-fi_h/2/1000))*1000))</f>
        <v>48.934950601990657</v>
      </c>
      <c r="Q1346" s="19">
        <f ca="1">IF(O1346="","",IF(Tipo_Vertedor="Retangular",IF(O1346&lt;=cota_s*100,0,IF(Tipo_Vertedor="Retangular",Cd_sr*Lef_sr*((O1346/100-cota_s)^(3/2))*1000)),IF(O1346&lt;=cota_s*100+fi_s/20,0,(OFFSET('Base de dados'!$A$4,IF(O1346&lt;20,1,IF(O1346&gt;1000,10,MATCH(O1346,Cargas,1))),Coluna_fis,1,1))*(PI()*(fi_s/1000)^2/4)*(2*9.81*(O1346/100-cota_s-fi_s/2/1000))^0.5*1000)))</f>
        <v>5041.4535503638781</v>
      </c>
      <c r="R1346" s="19">
        <f t="shared" ca="1" si="190"/>
        <v>5090.3885009658688</v>
      </c>
      <c r="S1346" s="19">
        <f t="shared" ca="1" si="191"/>
        <v>7903.1137574526374</v>
      </c>
    </row>
    <row r="1347" spans="13:19">
      <c r="M1347" s="81">
        <f t="shared" ca="1" si="188"/>
        <v>13006.97412337461</v>
      </c>
      <c r="N1347" s="19">
        <f t="shared" si="189"/>
        <v>237.2916592182537</v>
      </c>
      <c r="O1347" s="17">
        <f t="shared" si="187"/>
        <v>336.5</v>
      </c>
      <c r="P1347" s="19">
        <f ca="1">IF(ISERROR(IF(O1347&lt;fi_h/20,0,(OFFSET('Base de dados'!$A$5,IF(O1347&lt;20,1,IF(O1347&gt;1000,10,MATCH(O1347,Cargas,1))),Coluna_fih,1,1))*(1+0.13*0.25)*(PI()*(fi_h/1000)^2/4)*SQRT(2*9.81*(O1347/100-fi_h/2/1000))*1000)),"",IF(O1347&lt;fi_h/20,0,(OFFSET('Base de dados'!$A$5,IF(O1347&lt;20,1,IF(O1347&gt;1000,10,MATCH(O1347,Cargas,1))),Coluna_fih,1,1))*(PI()*(fi_h/1000)^2/4)*SQRT(2*9.81*(O1347/100-fi_h/2/1000))*1000))</f>
        <v>48.953448871558678</v>
      </c>
      <c r="Q1347" s="19">
        <f ca="1">IF(O1347="","",IF(Tipo_Vertedor="Retangular",IF(O1347&lt;=cota_s*100,0,IF(Tipo_Vertedor="Retangular",Cd_sr*Lef_sr*((O1347/100-cota_s)^(3/2))*1000)),IF(O1347&lt;=cota_s*100+fi_s/20,0,(OFFSET('Base de dados'!$A$4,IF(O1347&lt;20,1,IF(O1347&gt;1000,10,MATCH(O1347,Cargas,1))),Coluna_fis,1,1))*(PI()*(fi_s/1000)^2/4)*(2*9.81*(O1347/100-cota_s-fi_s/2/1000))^0.5*1000)))</f>
        <v>5048.2987005612604</v>
      </c>
      <c r="R1347" s="19">
        <f t="shared" ca="1" si="190"/>
        <v>5097.2521494328194</v>
      </c>
      <c r="S1347" s="19">
        <f t="shared" ca="1" si="191"/>
        <v>7909.7219739417897</v>
      </c>
    </row>
    <row r="1348" spans="13:19">
      <c r="M1348" s="81">
        <f t="shared" ca="1" si="188"/>
        <v>13020.449688225035</v>
      </c>
      <c r="N1348" s="19">
        <f t="shared" si="189"/>
        <v>237.48992406180633</v>
      </c>
      <c r="O1348" s="17">
        <f t="shared" si="187"/>
        <v>336.75</v>
      </c>
      <c r="P1348" s="19">
        <f ca="1">IF(ISERROR(IF(O1348&lt;fi_h/20,0,(OFFSET('Base de dados'!$A$5,IF(O1348&lt;20,1,IF(O1348&gt;1000,10,MATCH(O1348,Cargas,1))),Coluna_fih,1,1))*(1+0.13*0.25)*(PI()*(fi_h/1000)^2/4)*SQRT(2*9.81*(O1348/100-fi_h/2/1000))*1000)),"",IF(O1348&lt;fi_h/20,0,(OFFSET('Base de dados'!$A$5,IF(O1348&lt;20,1,IF(O1348&gt;1000,10,MATCH(O1348,Cargas,1))),Coluna_fih,1,1))*(PI()*(fi_h/1000)^2/4)*SQRT(2*9.81*(O1348/100-fi_h/2/1000))*1000))</f>
        <v>48.971940153738572</v>
      </c>
      <c r="Q1348" s="19">
        <f ca="1">IF(O1348="","",IF(Tipo_Vertedor="Retangular",IF(O1348&lt;=cota_s*100,0,IF(Tipo_Vertedor="Retangular",Cd_sr*Lef_sr*((O1348/100-cota_s)^(3/2))*1000)),IF(O1348&lt;=cota_s*100+fi_s/20,0,(OFFSET('Base de dados'!$A$4,IF(O1348&lt;20,1,IF(O1348&gt;1000,10,MATCH(O1348,Cargas,1))),Coluna_fis,1,1))*(PI()*(fi_s/1000)^2/4)*(2*9.81*(O1348/100-cota_s-fi_s/2/1000))^0.5*1000)))</f>
        <v>5055.1469460110839</v>
      </c>
      <c r="R1348" s="19">
        <f t="shared" ca="1" si="190"/>
        <v>5104.1188861648225</v>
      </c>
      <c r="S1348" s="19">
        <f t="shared" ca="1" si="191"/>
        <v>7916.3308020602117</v>
      </c>
    </row>
    <row r="1349" spans="13:19">
      <c r="M1349" s="81">
        <f t="shared" ca="1" si="188"/>
        <v>13033.928951181821</v>
      </c>
      <c r="N1349" s="19">
        <f t="shared" si="189"/>
        <v>237.68820724231134</v>
      </c>
      <c r="O1349" s="17">
        <f t="shared" si="187"/>
        <v>337</v>
      </c>
      <c r="P1349" s="19">
        <f ca="1">IF(ISERROR(IF(O1349&lt;fi_h/20,0,(OFFSET('Base de dados'!$A$5,IF(O1349&lt;20,1,IF(O1349&gt;1000,10,MATCH(O1349,Cargas,1))),Coluna_fih,1,1))*(1+0.13*0.25)*(PI()*(fi_h/1000)^2/4)*SQRT(2*9.81*(O1349/100-fi_h/2/1000))*1000)),"",IF(O1349&lt;fi_h/20,0,(OFFSET('Base de dados'!$A$5,IF(O1349&lt;20,1,IF(O1349&gt;1000,10,MATCH(O1349,Cargas,1))),Coluna_fih,1,1))*(PI()*(fi_h/1000)^2/4)*SQRT(2*9.81*(O1349/100-fi_h/2/1000))*1000))</f>
        <v>48.990424456442454</v>
      </c>
      <c r="Q1349" s="19">
        <f ca="1">IF(O1349="","",IF(Tipo_Vertedor="Retangular",IF(O1349&lt;=cota_s*100,0,IF(Tipo_Vertedor="Retangular",Cd_sr*Lef_sr*((O1349/100-cota_s)^(3/2))*1000)),IF(O1349&lt;=cota_s*100+fi_s/20,0,(OFFSET('Base de dados'!$A$4,IF(O1349&lt;20,1,IF(O1349&gt;1000,10,MATCH(O1349,Cargas,1))),Coluna_fis,1,1))*(PI()*(fi_s/1000)^2/4)*(2*9.81*(O1349/100-cota_s-fi_s/2/1000))^0.5*1000)))</f>
        <v>5061.9982853150013</v>
      </c>
      <c r="R1349" s="19">
        <f t="shared" ca="1" si="190"/>
        <v>5110.9887097714436</v>
      </c>
      <c r="S1349" s="19">
        <f t="shared" ca="1" si="191"/>
        <v>7922.9402414103779</v>
      </c>
    </row>
    <row r="1350" spans="13:19">
      <c r="M1350" s="81">
        <f t="shared" ca="1" si="188"/>
        <v>13047.411910459443</v>
      </c>
      <c r="N1350" s="19">
        <f t="shared" si="189"/>
        <v>237.88650874785975</v>
      </c>
      <c r="O1350" s="17">
        <f t="shared" si="187"/>
        <v>337.25</v>
      </c>
      <c r="P1350" s="19">
        <f ca="1">IF(ISERROR(IF(O1350&lt;fi_h/20,0,(OFFSET('Base de dados'!$A$5,IF(O1350&lt;20,1,IF(O1350&gt;1000,10,MATCH(O1350,Cargas,1))),Coluna_fih,1,1))*(1+0.13*0.25)*(PI()*(fi_h/1000)^2/4)*SQRT(2*9.81*(O1350/100-fi_h/2/1000))*1000)),"",IF(O1350&lt;fi_h/20,0,(OFFSET('Base de dados'!$A$5,IF(O1350&lt;20,1,IF(O1350&gt;1000,10,MATCH(O1350,Cargas,1))),Coluna_fih,1,1))*(PI()*(fi_h/1000)^2/4)*SQRT(2*9.81*(O1350/100-fi_h/2/1000))*1000))</f>
        <v>49.00890178756751</v>
      </c>
      <c r="Q1350" s="19">
        <f ca="1">IF(O1350="","",IF(Tipo_Vertedor="Retangular",IF(O1350&lt;=cota_s*100,0,IF(Tipo_Vertedor="Retangular",Cd_sr*Lef_sr*((O1350/100-cota_s)^(3/2))*1000)),IF(O1350&lt;=cota_s*100+fi_s/20,0,(OFFSET('Base de dados'!$A$4,IF(O1350&lt;20,1,IF(O1350&gt;1000,10,MATCH(O1350,Cargas,1))),Coluna_fis,1,1))*(PI()*(fi_s/1000)^2/4)*(2*9.81*(O1350/100-cota_s-fi_s/2/1000))^0.5*1000)))</f>
        <v>5068.8527170765501</v>
      </c>
      <c r="R1350" s="19">
        <f t="shared" ca="1" si="190"/>
        <v>5117.8616188641172</v>
      </c>
      <c r="S1350" s="19">
        <f t="shared" ca="1" si="191"/>
        <v>7929.5502915953248</v>
      </c>
    </row>
    <row r="1351" spans="13:19">
      <c r="M1351" s="81">
        <f t="shared" ca="1" si="188"/>
        <v>13060.89856427479</v>
      </c>
      <c r="N1351" s="19">
        <f t="shared" si="189"/>
        <v>238.084828566559</v>
      </c>
      <c r="O1351" s="17">
        <f t="shared" si="187"/>
        <v>337.5</v>
      </c>
      <c r="P1351" s="19">
        <f ca="1">IF(ISERROR(IF(O1351&lt;fi_h/20,0,(OFFSET('Base de dados'!$A$5,IF(O1351&lt;20,1,IF(O1351&gt;1000,10,MATCH(O1351,Cargas,1))),Coluna_fih,1,1))*(1+0.13*0.25)*(PI()*(fi_h/1000)^2/4)*SQRT(2*9.81*(O1351/100-fi_h/2/1000))*1000)),"",IF(O1351&lt;fi_h/20,0,(OFFSET('Base de dados'!$A$5,IF(O1351&lt;20,1,IF(O1351&gt;1000,10,MATCH(O1351,Cargas,1))),Coluna_fih,1,1))*(PI()*(fi_h/1000)^2/4)*SQRT(2*9.81*(O1351/100-fi_h/2/1000))*1000))</f>
        <v>49.027372154996037</v>
      </c>
      <c r="Q1351" s="19">
        <f ca="1">IF(O1351="","",IF(Tipo_Vertedor="Retangular",IF(O1351&lt;=cota_s*100,0,IF(Tipo_Vertedor="Retangular",Cd_sr*Lef_sr*((O1351/100-cota_s)^(3/2))*1000)),IF(O1351&lt;=cota_s*100+fi_s/20,0,(OFFSET('Base de dados'!$A$4,IF(O1351&lt;20,1,IF(O1351&gt;1000,10,MATCH(O1351,Cargas,1))),Coluna_fis,1,1))*(PI()*(fi_s/1000)^2/4)*(2*9.81*(O1351/100-cota_s-fi_s/2/1000))^0.5*1000)))</f>
        <v>5075.710239901161</v>
      </c>
      <c r="R1351" s="19">
        <f t="shared" ca="1" si="190"/>
        <v>5124.7376120561566</v>
      </c>
      <c r="S1351" s="19">
        <f t="shared" ca="1" si="191"/>
        <v>7936.1609522186336</v>
      </c>
    </row>
    <row r="1352" spans="13:19">
      <c r="M1352" s="81">
        <f t="shared" ca="1" si="188"/>
        <v>13074.388910847187</v>
      </c>
      <c r="N1352" s="19">
        <f t="shared" si="189"/>
        <v>238.28316668653324</v>
      </c>
      <c r="O1352" s="17">
        <f t="shared" si="187"/>
        <v>337.75</v>
      </c>
      <c r="P1352" s="19">
        <f ca="1">IF(ISERROR(IF(O1352&lt;fi_h/20,0,(OFFSET('Base de dados'!$A$5,IF(O1352&lt;20,1,IF(O1352&gt;1000,10,MATCH(O1352,Cargas,1))),Coluna_fih,1,1))*(1+0.13*0.25)*(PI()*(fi_h/1000)^2/4)*SQRT(2*9.81*(O1352/100-fi_h/2/1000))*1000)),"",IF(O1352&lt;fi_h/20,0,(OFFSET('Base de dados'!$A$5,IF(O1352&lt;20,1,IF(O1352&gt;1000,10,MATCH(O1352,Cargas,1))),Coluna_fih,1,1))*(PI()*(fi_h/1000)^2/4)*SQRT(2*9.81*(O1352/100-fi_h/2/1000))*1000))</f>
        <v>49.045835566595493</v>
      </c>
      <c r="Q1352" s="19">
        <f ca="1">IF(O1352="","",IF(Tipo_Vertedor="Retangular",IF(O1352&lt;=cota_s*100,0,IF(Tipo_Vertedor="Retangular",Cd_sr*Lef_sr*((O1352/100-cota_s)^(3/2))*1000)),IF(O1352&lt;=cota_s*100+fi_s/20,0,(OFFSET('Base de dados'!$A$4,IF(O1352&lt;20,1,IF(O1352&gt;1000,10,MATCH(O1352,Cargas,1))),Coluna_fis,1,1))*(PI()*(fi_s/1000)^2/4)*(2*9.81*(O1352/100-cota_s-fi_s/2/1000))^0.5*1000)))</f>
        <v>5082.5708523961512</v>
      </c>
      <c r="R1352" s="19">
        <f t="shared" ca="1" si="190"/>
        <v>5131.6166879627463</v>
      </c>
      <c r="S1352" s="19">
        <f t="shared" ca="1" si="191"/>
        <v>7942.7722228844405</v>
      </c>
    </row>
    <row r="1353" spans="13:19">
      <c r="M1353" s="81">
        <f t="shared" ca="1" si="188"/>
        <v>13087.882948398361</v>
      </c>
      <c r="N1353" s="19">
        <f t="shared" si="189"/>
        <v>238.48152309592282</v>
      </c>
      <c r="O1353" s="17">
        <f t="shared" si="187"/>
        <v>338</v>
      </c>
      <c r="P1353" s="19">
        <f ca="1">IF(ISERROR(IF(O1353&lt;fi_h/20,0,(OFFSET('Base de dados'!$A$5,IF(O1353&lt;20,1,IF(O1353&gt;1000,10,MATCH(O1353,Cargas,1))),Coluna_fih,1,1))*(1+0.13*0.25)*(PI()*(fi_h/1000)^2/4)*SQRT(2*9.81*(O1353/100-fi_h/2/1000))*1000)),"",IF(O1353&lt;fi_h/20,0,(OFFSET('Base de dados'!$A$5,IF(O1353&lt;20,1,IF(O1353&gt;1000,10,MATCH(O1353,Cargas,1))),Coluna_fih,1,1))*(PI()*(fi_h/1000)^2/4)*SQRT(2*9.81*(O1353/100-fi_h/2/1000))*1000))</f>
        <v>49.064292030218539</v>
      </c>
      <c r="Q1353" s="19">
        <f ca="1">IF(O1353="","",IF(Tipo_Vertedor="Retangular",IF(O1353&lt;=cota_s*100,0,IF(Tipo_Vertedor="Retangular",Cd_sr*Lef_sr*((O1353/100-cota_s)^(3/2))*1000)),IF(O1353&lt;=cota_s*100+fi_s/20,0,(OFFSET('Base de dados'!$A$4,IF(O1353&lt;20,1,IF(O1353&gt;1000,10,MATCH(O1353,Cargas,1))),Coluna_fis,1,1))*(PI()*(fi_s/1000)^2/4)*(2*9.81*(O1353/100-cota_s-fi_s/2/1000))^0.5*1000)))</f>
        <v>5089.434553170714</v>
      </c>
      <c r="R1353" s="19">
        <f t="shared" ca="1" si="190"/>
        <v>5138.4988452009329</v>
      </c>
      <c r="S1353" s="19">
        <f t="shared" ca="1" si="191"/>
        <v>7949.384103197428</v>
      </c>
    </row>
    <row r="1354" spans="13:19">
      <c r="M1354" s="81">
        <f t="shared" ca="1" si="188"/>
        <v>13101.380675152461</v>
      </c>
      <c r="N1354" s="19">
        <f t="shared" si="189"/>
        <v>238.67989778288489</v>
      </c>
      <c r="O1354" s="17">
        <f t="shared" si="187"/>
        <v>338.25</v>
      </c>
      <c r="P1354" s="19">
        <f ca="1">IF(ISERROR(IF(O1354&lt;fi_h/20,0,(OFFSET('Base de dados'!$A$5,IF(O1354&lt;20,1,IF(O1354&gt;1000,10,MATCH(O1354,Cargas,1))),Coluna_fih,1,1))*(1+0.13*0.25)*(PI()*(fi_h/1000)^2/4)*SQRT(2*9.81*(O1354/100-fi_h/2/1000))*1000)),"",IF(O1354&lt;fi_h/20,0,(OFFSET('Base de dados'!$A$5,IF(O1354&lt;20,1,IF(O1354&gt;1000,10,MATCH(O1354,Cargas,1))),Coluna_fih,1,1))*(PI()*(fi_h/1000)^2/4)*SQRT(2*9.81*(O1354/100-fi_h/2/1000))*1000))</f>
        <v>49.082741553703059</v>
      </c>
      <c r="Q1354" s="19">
        <f ca="1">IF(O1354="","",IF(Tipo_Vertedor="Retangular",IF(O1354&lt;=cota_s*100,0,IF(Tipo_Vertedor="Retangular",Cd_sr*Lef_sr*((O1354/100-cota_s)^(3/2))*1000)),IF(O1354&lt;=cota_s*100+fi_s/20,0,(OFFSET('Base de dados'!$A$4,IF(O1354&lt;20,1,IF(O1354&gt;1000,10,MATCH(O1354,Cargas,1))),Coluna_fis,1,1))*(PI()*(fi_s/1000)^2/4)*(2*9.81*(O1354/100-cota_s-fi_s/2/1000))^0.5*1000)))</f>
        <v>5096.3013408359266</v>
      </c>
      <c r="R1354" s="19">
        <f t="shared" ca="1" si="190"/>
        <v>5145.3840823896298</v>
      </c>
      <c r="S1354" s="19">
        <f t="shared" ca="1" si="191"/>
        <v>7955.99659276283</v>
      </c>
    </row>
    <row r="1355" spans="13:19">
      <c r="M1355" s="81">
        <f t="shared" ca="1" si="188"/>
        <v>13114.882089336032</v>
      </c>
      <c r="N1355" s="19">
        <f t="shared" si="189"/>
        <v>238.87829073559286</v>
      </c>
      <c r="O1355" s="17">
        <f t="shared" si="187"/>
        <v>338.5</v>
      </c>
      <c r="P1355" s="19">
        <f ca="1">IF(ISERROR(IF(O1355&lt;fi_h/20,0,(OFFSET('Base de dados'!$A$5,IF(O1355&lt;20,1,IF(O1355&gt;1000,10,MATCH(O1355,Cargas,1))),Coluna_fih,1,1))*(1+0.13*0.25)*(PI()*(fi_h/1000)^2/4)*SQRT(2*9.81*(O1355/100-fi_h/2/1000))*1000)),"",IF(O1355&lt;fi_h/20,0,(OFFSET('Base de dados'!$A$5,IF(O1355&lt;20,1,IF(O1355&gt;1000,10,MATCH(O1355,Cargas,1))),Coluna_fih,1,1))*(PI()*(fi_h/1000)^2/4)*SQRT(2*9.81*(O1355/100-fi_h/2/1000))*1000))</f>
        <v>49.101184144872228</v>
      </c>
      <c r="Q1355" s="19">
        <f ca="1">IF(O1355="","",IF(Tipo_Vertedor="Retangular",IF(O1355&lt;=cota_s*100,0,IF(Tipo_Vertedor="Retangular",Cd_sr*Lef_sr*((O1355/100-cota_s)^(3/2))*1000)),IF(O1355&lt;=cota_s*100+fi_s/20,0,(OFFSET('Base de dados'!$A$4,IF(O1355&lt;20,1,IF(O1355&gt;1000,10,MATCH(O1355,Cargas,1))),Coluna_fis,1,1))*(PI()*(fi_s/1000)^2/4)*(2*9.81*(O1355/100-cota_s-fi_s/2/1000))^0.5*1000)))</f>
        <v>5103.1712140047293</v>
      </c>
      <c r="R1355" s="19">
        <f t="shared" ca="1" si="190"/>
        <v>5152.2723981496019</v>
      </c>
      <c r="S1355" s="19">
        <f t="shared" ca="1" si="191"/>
        <v>7962.6096911864288</v>
      </c>
    </row>
    <row r="1356" spans="13:19">
      <c r="M1356" s="81">
        <f t="shared" ca="1" si="188"/>
        <v>13128.38718917802</v>
      </c>
      <c r="N1356" s="19">
        <f t="shared" si="189"/>
        <v>239.07670194223644</v>
      </c>
      <c r="O1356" s="17">
        <f t="shared" si="187"/>
        <v>338.75</v>
      </c>
      <c r="P1356" s="19">
        <f ca="1">IF(ISERROR(IF(O1356&lt;fi_h/20,0,(OFFSET('Base de dados'!$A$5,IF(O1356&lt;20,1,IF(O1356&gt;1000,10,MATCH(O1356,Cargas,1))),Coluna_fih,1,1))*(1+0.13*0.25)*(PI()*(fi_h/1000)^2/4)*SQRT(2*9.81*(O1356/100-fi_h/2/1000))*1000)),"",IF(O1356&lt;fi_h/20,0,(OFFSET('Base de dados'!$A$5,IF(O1356&lt;20,1,IF(O1356&gt;1000,10,MATCH(O1356,Cargas,1))),Coluna_fih,1,1))*(PI()*(fi_h/1000)^2/4)*SQRT(2*9.81*(O1356/100-fi_h/2/1000))*1000))</f>
        <v>49.119619811534527</v>
      </c>
      <c r="Q1356" s="19">
        <f ca="1">IF(O1356="","",IF(Tipo_Vertedor="Retangular",IF(O1356&lt;=cota_s*100,0,IF(Tipo_Vertedor="Retangular",Cd_sr*Lef_sr*((O1356/100-cota_s)^(3/2))*1000)),IF(O1356&lt;=cota_s*100+fi_s/20,0,(OFFSET('Base de dados'!$A$4,IF(O1356&lt;20,1,IF(O1356&gt;1000,10,MATCH(O1356,Cargas,1))),Coluna_fis,1,1))*(PI()*(fi_s/1000)^2/4)*(2*9.81*(O1356/100-cota_s-fi_s/2/1000))^0.5*1000)))</f>
        <v>5110.0441712919364</v>
      </c>
      <c r="R1356" s="19">
        <f t="shared" ca="1" si="190"/>
        <v>5159.1637911034713</v>
      </c>
      <c r="S1356" s="19">
        <f t="shared" ca="1" si="191"/>
        <v>7969.2233980745486</v>
      </c>
    </row>
    <row r="1357" spans="13:19">
      <c r="M1357" s="81">
        <f t="shared" ca="1" si="188"/>
        <v>13141.895972909766</v>
      </c>
      <c r="N1357" s="19">
        <f t="shared" si="189"/>
        <v>239.27513139102174</v>
      </c>
      <c r="O1357" s="17">
        <f t="shared" si="187"/>
        <v>339</v>
      </c>
      <c r="P1357" s="19">
        <f ca="1">IF(ISERROR(IF(O1357&lt;fi_h/20,0,(OFFSET('Base de dados'!$A$5,IF(O1357&lt;20,1,IF(O1357&gt;1000,10,MATCH(O1357,Cargas,1))),Coluna_fih,1,1))*(1+0.13*0.25)*(PI()*(fi_h/1000)^2/4)*SQRT(2*9.81*(O1357/100-fi_h/2/1000))*1000)),"",IF(O1357&lt;fi_h/20,0,(OFFSET('Base de dados'!$A$5,IF(O1357&lt;20,1,IF(O1357&gt;1000,10,MATCH(O1357,Cargas,1))),Coluna_fih,1,1))*(PI()*(fi_h/1000)^2/4)*SQRT(2*9.81*(O1357/100-fi_h/2/1000))*1000))</f>
        <v>49.138048561483792</v>
      </c>
      <c r="Q1357" s="19">
        <f ca="1">IF(O1357="","",IF(Tipo_Vertedor="Retangular",IF(O1357&lt;=cota_s*100,0,IF(Tipo_Vertedor="Retangular",Cd_sr*Lef_sr*((O1357/100-cota_s)^(3/2))*1000)),IF(O1357&lt;=cota_s*100+fi_s/20,0,(OFFSET('Base de dados'!$A$4,IF(O1357&lt;20,1,IF(O1357&gt;1000,10,MATCH(O1357,Cargas,1))),Coluna_fis,1,1))*(PI()*(fi_s/1000)^2/4)*(2*9.81*(O1357/100-cota_s-fi_s/2/1000))^0.5*1000)))</f>
        <v>5116.9202113142237</v>
      </c>
      <c r="R1357" s="19">
        <f t="shared" ca="1" si="190"/>
        <v>5166.0582598757073</v>
      </c>
      <c r="S1357" s="19">
        <f t="shared" ca="1" si="191"/>
        <v>7975.8377130340577</v>
      </c>
    </row>
    <row r="1358" spans="13:19">
      <c r="M1358" s="81">
        <f t="shared" ca="1" si="188"/>
        <v>13155.408438765004</v>
      </c>
      <c r="N1358" s="19">
        <f t="shared" si="189"/>
        <v>239.47357907017124</v>
      </c>
      <c r="O1358" s="17">
        <f t="shared" si="187"/>
        <v>339.25</v>
      </c>
      <c r="P1358" s="19">
        <f ca="1">IF(ISERROR(IF(O1358&lt;fi_h/20,0,(OFFSET('Base de dados'!$A$5,IF(O1358&lt;20,1,IF(O1358&gt;1000,10,MATCH(O1358,Cargas,1))),Coluna_fih,1,1))*(1+0.13*0.25)*(PI()*(fi_h/1000)^2/4)*SQRT(2*9.81*(O1358/100-fi_h/2/1000))*1000)),"",IF(O1358&lt;fi_h/20,0,(OFFSET('Base de dados'!$A$5,IF(O1358&lt;20,1,IF(O1358&gt;1000,10,MATCH(O1358,Cargas,1))),Coluna_fih,1,1))*(PI()*(fi_h/1000)^2/4)*SQRT(2*9.81*(O1358/100-fi_h/2/1000))*1000))</f>
        <v>49.156470402499224</v>
      </c>
      <c r="Q1358" s="19">
        <f ca="1">IF(O1358="","",IF(Tipo_Vertedor="Retangular",IF(O1358&lt;=cota_s*100,0,IF(Tipo_Vertedor="Retangular",Cd_sr*Lef_sr*((O1358/100-cota_s)^(3/2))*1000)),IF(O1358&lt;=cota_s*100+fi_s/20,0,(OFFSET('Base de dados'!$A$4,IF(O1358&lt;20,1,IF(O1358&gt;1000,10,MATCH(O1358,Cargas,1))),Coluna_fis,1,1))*(PI()*(fi_s/1000)^2/4)*(2*9.81*(O1358/100-cota_s-fi_s/2/1000))^0.5*1000)))</f>
        <v>5123.7993326901296</v>
      </c>
      <c r="R1358" s="19">
        <f t="shared" ca="1" si="190"/>
        <v>5172.9558030926291</v>
      </c>
      <c r="S1358" s="19">
        <f t="shared" ca="1" si="191"/>
        <v>7982.4526356723754</v>
      </c>
    </row>
    <row r="1359" spans="13:19">
      <c r="M1359" s="81">
        <f t="shared" ca="1" si="188"/>
        <v>13168.924584979841</v>
      </c>
      <c r="N1359" s="19">
        <f t="shared" si="189"/>
        <v>239.67204496792357</v>
      </c>
      <c r="O1359" s="17">
        <f t="shared" si="187"/>
        <v>339.5</v>
      </c>
      <c r="P1359" s="19">
        <f ca="1">IF(ISERROR(IF(O1359&lt;fi_h/20,0,(OFFSET('Base de dados'!$A$5,IF(O1359&lt;20,1,IF(O1359&gt;1000,10,MATCH(O1359,Cargas,1))),Coluna_fih,1,1))*(1+0.13*0.25)*(PI()*(fi_h/1000)^2/4)*SQRT(2*9.81*(O1359/100-fi_h/2/1000))*1000)),"",IF(O1359&lt;fi_h/20,0,(OFFSET('Base de dados'!$A$5,IF(O1359&lt;20,1,IF(O1359&gt;1000,10,MATCH(O1359,Cargas,1))),Coluna_fih,1,1))*(PI()*(fi_h/1000)^2/4)*SQRT(2*9.81*(O1359/100-fi_h/2/1000))*1000))</f>
        <v>49.17488534234549</v>
      </c>
      <c r="Q1359" s="19">
        <f ca="1">IF(O1359="","",IF(Tipo_Vertedor="Retangular",IF(O1359&lt;=cota_s*100,0,IF(Tipo_Vertedor="Retangular",Cd_sr*Lef_sr*((O1359/100-cota_s)^(3/2))*1000)),IF(O1359&lt;=cota_s*100+fi_s/20,0,(OFFSET('Base de dados'!$A$4,IF(O1359&lt;20,1,IF(O1359&gt;1000,10,MATCH(O1359,Cargas,1))),Coluna_fis,1,1))*(PI()*(fi_s/1000)^2/4)*(2*9.81*(O1359/100-cota_s-fi_s/2/1000))^0.5*1000)))</f>
        <v>5130.6815340400435</v>
      </c>
      <c r="R1359" s="19">
        <f t="shared" ca="1" si="190"/>
        <v>5179.8564193823886</v>
      </c>
      <c r="S1359" s="19">
        <f t="shared" ca="1" si="191"/>
        <v>7989.0681655974522</v>
      </c>
    </row>
    <row r="1360" spans="13:19">
      <c r="M1360" s="81">
        <f t="shared" ca="1" si="188"/>
        <v>13182.444409792777</v>
      </c>
      <c r="N1360" s="19">
        <f t="shared" si="189"/>
        <v>239.87052907253377</v>
      </c>
      <c r="O1360" s="17">
        <f t="shared" si="187"/>
        <v>339.75</v>
      </c>
      <c r="P1360" s="19">
        <f ca="1">IF(ISERROR(IF(O1360&lt;fi_h/20,0,(OFFSET('Base de dados'!$A$5,IF(O1360&lt;20,1,IF(O1360&gt;1000,10,MATCH(O1360,Cargas,1))),Coluna_fih,1,1))*(1+0.13*0.25)*(PI()*(fi_h/1000)^2/4)*SQRT(2*9.81*(O1360/100-fi_h/2/1000))*1000)),"",IF(O1360&lt;fi_h/20,0,(OFFSET('Base de dados'!$A$5,IF(O1360&lt;20,1,IF(O1360&gt;1000,10,MATCH(O1360,Cargas,1))),Coluna_fih,1,1))*(PI()*(fi_h/1000)^2/4)*SQRT(2*9.81*(O1360/100-fi_h/2/1000))*1000))</f>
        <v>49.193293388772695</v>
      </c>
      <c r="Q1360" s="19">
        <f ca="1">IF(O1360="","",IF(Tipo_Vertedor="Retangular",IF(O1360&lt;=cota_s*100,0,IF(Tipo_Vertedor="Retangular",Cd_sr*Lef_sr*((O1360/100-cota_s)^(3/2))*1000)),IF(O1360&lt;=cota_s*100+fi_s/20,0,(OFFSET('Base de dados'!$A$4,IF(O1360&lt;20,1,IF(O1360&gt;1000,10,MATCH(O1360,Cargas,1))),Coluna_fis,1,1))*(PI()*(fi_s/1000)^2/4)*(2*9.81*(O1360/100-cota_s-fi_s/2/1000))^0.5*1000)))</f>
        <v>5137.5668139862119</v>
      </c>
      <c r="R1360" s="19">
        <f t="shared" ca="1" si="190"/>
        <v>5186.7601073749847</v>
      </c>
      <c r="S1360" s="19">
        <f t="shared" ca="1" si="191"/>
        <v>7995.6843024177924</v>
      </c>
    </row>
    <row r="1361" spans="13:19">
      <c r="M1361" s="81">
        <f t="shared" ca="1" si="188"/>
        <v>13195.967911444674</v>
      </c>
      <c r="N1361" s="19">
        <f t="shared" si="189"/>
        <v>240.069031372273</v>
      </c>
      <c r="O1361" s="17">
        <f t="shared" si="187"/>
        <v>340</v>
      </c>
      <c r="P1361" s="19">
        <f ca="1">IF(ISERROR(IF(O1361&lt;fi_h/20,0,(OFFSET('Base de dados'!$A$5,IF(O1361&lt;20,1,IF(O1361&gt;1000,10,MATCH(O1361,Cargas,1))),Coluna_fih,1,1))*(1+0.13*0.25)*(PI()*(fi_h/1000)^2/4)*SQRT(2*9.81*(O1361/100-fi_h/2/1000))*1000)),"",IF(O1361&lt;fi_h/20,0,(OFFSET('Base de dados'!$A$5,IF(O1361&lt;20,1,IF(O1361&gt;1000,10,MATCH(O1361,Cargas,1))),Coluna_fih,1,1))*(PI()*(fi_h/1000)^2/4)*SQRT(2*9.81*(O1361/100-fi_h/2/1000))*1000))</f>
        <v>49.21169454951648</v>
      </c>
      <c r="Q1361" s="19">
        <f ca="1">IF(O1361="","",IF(Tipo_Vertedor="Retangular",IF(O1361&lt;=cota_s*100,0,IF(Tipo_Vertedor="Retangular",Cd_sr*Lef_sr*((O1361/100-cota_s)^(3/2))*1000)),IF(O1361&lt;=cota_s*100+fi_s/20,0,(OFFSET('Base de dados'!$A$4,IF(O1361&lt;20,1,IF(O1361&gt;1000,10,MATCH(O1361,Cargas,1))),Coluna_fis,1,1))*(PI()*(fi_s/1000)^2/4)*(2*9.81*(O1361/100-cota_s-fi_s/2/1000))^0.5*1000)))</f>
        <v>5144.4551711527229</v>
      </c>
      <c r="R1361" s="19">
        <f t="shared" ca="1" si="190"/>
        <v>5193.6668657022392</v>
      </c>
      <c r="S1361" s="19">
        <f t="shared" ca="1" si="191"/>
        <v>8002.3010457424334</v>
      </c>
    </row>
    <row r="1362" spans="13:19">
      <c r="M1362" s="81">
        <f t="shared" ca="1" si="188"/>
        <v>13209.495088178766</v>
      </c>
      <c r="N1362" s="19">
        <f t="shared" si="189"/>
        <v>240.26755185542865</v>
      </c>
      <c r="O1362" s="17">
        <f t="shared" si="187"/>
        <v>340.25</v>
      </c>
      <c r="P1362" s="19">
        <f ca="1">IF(ISERROR(IF(O1362&lt;fi_h/20,0,(OFFSET('Base de dados'!$A$5,IF(O1362&lt;20,1,IF(O1362&gt;1000,10,MATCH(O1362,Cargas,1))),Coluna_fih,1,1))*(1+0.13*0.25)*(PI()*(fi_h/1000)^2/4)*SQRT(2*9.81*(O1362/100-fi_h/2/1000))*1000)),"",IF(O1362&lt;fi_h/20,0,(OFFSET('Base de dados'!$A$5,IF(O1362&lt;20,1,IF(O1362&gt;1000,10,MATCH(O1362,Cargas,1))),Coluna_fih,1,1))*(PI()*(fi_h/1000)^2/4)*SQRT(2*9.81*(O1362/100-fi_h/2/1000))*1000))</f>
        <v>49.230088832298016</v>
      </c>
      <c r="Q1362" s="19">
        <f ca="1">IF(O1362="","",IF(Tipo_Vertedor="Retangular",IF(O1362&lt;=cota_s*100,0,IF(Tipo_Vertedor="Retangular",Cd_sr*Lef_sr*((O1362/100-cota_s)^(3/2))*1000)),IF(O1362&lt;=cota_s*100+fi_s/20,0,(OFFSET('Base de dados'!$A$4,IF(O1362&lt;20,1,IF(O1362&gt;1000,10,MATCH(O1362,Cargas,1))),Coluna_fis,1,1))*(PI()*(fi_s/1000)^2/4)*(2*9.81*(O1362/100-cota_s-fi_s/2/1000))^0.5*1000)))</f>
        <v>5151.3466041655138</v>
      </c>
      <c r="R1362" s="19">
        <f t="shared" ca="1" si="190"/>
        <v>5200.5766929978117</v>
      </c>
      <c r="S1362" s="19">
        <f t="shared" ca="1" si="191"/>
        <v>8008.9183951809546</v>
      </c>
    </row>
    <row r="1363" spans="13:19">
      <c r="M1363" s="81">
        <f t="shared" ca="1" si="188"/>
        <v>13223.025938240648</v>
      </c>
      <c r="N1363" s="19">
        <f t="shared" si="189"/>
        <v>240.4660905103041</v>
      </c>
      <c r="O1363" s="17">
        <f t="shared" ref="O1363:O1426" si="192">IF(ISERROR(IF(O1362+passo_altura&gt;h_max_puls*100,"",O1362+passo_altura)),"",IF(O1362+passo_altura&gt;h_max_puls*100,"",O1362+passo_altura))</f>
        <v>340.5</v>
      </c>
      <c r="P1363" s="19">
        <f ca="1">IF(ISERROR(IF(O1363&lt;fi_h/20,0,(OFFSET('Base de dados'!$A$5,IF(O1363&lt;20,1,IF(O1363&gt;1000,10,MATCH(O1363,Cargas,1))),Coluna_fih,1,1))*(1+0.13*0.25)*(PI()*(fi_h/1000)^2/4)*SQRT(2*9.81*(O1363/100-fi_h/2/1000))*1000)),"",IF(O1363&lt;fi_h/20,0,(OFFSET('Base de dados'!$A$5,IF(O1363&lt;20,1,IF(O1363&gt;1000,10,MATCH(O1363,Cargas,1))),Coluna_fih,1,1))*(PI()*(fi_h/1000)^2/4)*SQRT(2*9.81*(O1363/100-fi_h/2/1000))*1000))</f>
        <v>49.248476244824026</v>
      </c>
      <c r="Q1363" s="19">
        <f ca="1">IF(O1363="","",IF(Tipo_Vertedor="Retangular",IF(O1363&lt;=cota_s*100,0,IF(Tipo_Vertedor="Retangular",Cd_sr*Lef_sr*((O1363/100-cota_s)^(3/2))*1000)),IF(O1363&lt;=cota_s*100+fi_s/20,0,(OFFSET('Base de dados'!$A$4,IF(O1363&lt;20,1,IF(O1363&gt;1000,10,MATCH(O1363,Cargas,1))),Coluna_fis,1,1))*(PI()*(fi_s/1000)^2/4)*(2*9.81*(O1363/100-cota_s-fi_s/2/1000))^0.5*1000)))</f>
        <v>5158.2411116523535</v>
      </c>
      <c r="R1363" s="19">
        <f t="shared" ca="1" si="190"/>
        <v>5207.4895878971774</v>
      </c>
      <c r="S1363" s="19">
        <f t="shared" ca="1" si="191"/>
        <v>8015.5363503434692</v>
      </c>
    </row>
    <row r="1364" spans="13:19">
      <c r="M1364" s="81">
        <f t="shared" ca="1" si="188"/>
        <v>13236.560459878272</v>
      </c>
      <c r="N1364" s="19">
        <f t="shared" si="189"/>
        <v>240.66464732521902</v>
      </c>
      <c r="O1364" s="17">
        <f t="shared" si="192"/>
        <v>340.75</v>
      </c>
      <c r="P1364" s="19">
        <f ca="1">IF(ISERROR(IF(O1364&lt;fi_h/20,0,(OFFSET('Base de dados'!$A$5,IF(O1364&lt;20,1,IF(O1364&gt;1000,10,MATCH(O1364,Cargas,1))),Coluna_fih,1,1))*(1+0.13*0.25)*(PI()*(fi_h/1000)^2/4)*SQRT(2*9.81*(O1364/100-fi_h/2/1000))*1000)),"",IF(O1364&lt;fi_h/20,0,(OFFSET('Base de dados'!$A$5,IF(O1364&lt;20,1,IF(O1364&gt;1000,10,MATCH(O1364,Cargas,1))),Coluna_fih,1,1))*(PI()*(fi_h/1000)^2/4)*SQRT(2*9.81*(O1364/100-fi_h/2/1000))*1000))</f>
        <v>49.266856794786904</v>
      </c>
      <c r="Q1364" s="19">
        <f ca="1">IF(O1364="","",IF(Tipo_Vertedor="Retangular",IF(O1364&lt;=cota_s*100,0,IF(Tipo_Vertedor="Retangular",Cd_sr*Lef_sr*((O1364/100-cota_s)^(3/2))*1000)),IF(O1364&lt;=cota_s*100+fi_s/20,0,(OFFSET('Base de dados'!$A$4,IF(O1364&lt;20,1,IF(O1364&gt;1000,10,MATCH(O1364,Cargas,1))),Coluna_fis,1,1))*(PI()*(fi_s/1000)^2/4)*(2*9.81*(O1364/100-cota_s-fi_s/2/1000))^0.5*1000)))</f>
        <v>5165.138692242851</v>
      </c>
      <c r="R1364" s="19">
        <f t="shared" ca="1" si="190"/>
        <v>5214.4055490376377</v>
      </c>
      <c r="S1364" s="19">
        <f t="shared" ca="1" si="191"/>
        <v>8022.1549108406343</v>
      </c>
    </row>
    <row r="1365" spans="13:19">
      <c r="M1365" s="81">
        <f t="shared" ca="1" si="188"/>
        <v>13250.098651341945</v>
      </c>
      <c r="N1365" s="19">
        <f t="shared" si="189"/>
        <v>240.86322228850898</v>
      </c>
      <c r="O1365" s="17">
        <f t="shared" si="192"/>
        <v>341</v>
      </c>
      <c r="P1365" s="19">
        <f ca="1">IF(ISERROR(IF(O1365&lt;fi_h/20,0,(OFFSET('Base de dados'!$A$5,IF(O1365&lt;20,1,IF(O1365&gt;1000,10,MATCH(O1365,Cargas,1))),Coluna_fih,1,1))*(1+0.13*0.25)*(PI()*(fi_h/1000)^2/4)*SQRT(2*9.81*(O1365/100-fi_h/2/1000))*1000)),"",IF(O1365&lt;fi_h/20,0,(OFFSET('Base de dados'!$A$5,IF(O1365&lt;20,1,IF(O1365&gt;1000,10,MATCH(O1365,Cargas,1))),Coluna_fih,1,1))*(PI()*(fi_h/1000)^2/4)*SQRT(2*9.81*(O1365/100-fi_h/2/1000))*1000))</f>
        <v>49.285230489864631</v>
      </c>
      <c r="Q1365" s="19">
        <f ca="1">IF(O1365="","",IF(Tipo_Vertedor="Retangular",IF(O1365&lt;=cota_s*100,0,IF(Tipo_Vertedor="Retangular",Cd_sr*Lef_sr*((O1365/100-cota_s)^(3/2))*1000)),IF(O1365&lt;=cota_s*100+fi_s/20,0,(OFFSET('Base de dados'!$A$4,IF(O1365&lt;20,1,IF(O1365&gt;1000,10,MATCH(O1365,Cargas,1))),Coluna_fis,1,1))*(PI()*(fi_s/1000)^2/4)*(2*9.81*(O1365/100-cota_s-fi_s/2/1000))^0.5*1000)))</f>
        <v>5172.0393445684467</v>
      </c>
      <c r="R1365" s="19">
        <f t="shared" ca="1" si="190"/>
        <v>5221.324575058311</v>
      </c>
      <c r="S1365" s="19">
        <f t="shared" ca="1" si="191"/>
        <v>8028.7740762836329</v>
      </c>
    </row>
    <row r="1366" spans="13:19">
      <c r="M1366" s="81">
        <f t="shared" ca="1" si="188"/>
        <v>13263.640510884319</v>
      </c>
      <c r="N1366" s="19">
        <f t="shared" si="189"/>
        <v>241.06181538852584</v>
      </c>
      <c r="O1366" s="17">
        <f t="shared" si="192"/>
        <v>341.25</v>
      </c>
      <c r="P1366" s="19">
        <f ca="1">IF(ISERROR(IF(O1366&lt;fi_h/20,0,(OFFSET('Base de dados'!$A$5,IF(O1366&lt;20,1,IF(O1366&gt;1000,10,MATCH(O1366,Cargas,1))),Coluna_fih,1,1))*(1+0.13*0.25)*(PI()*(fi_h/1000)^2/4)*SQRT(2*9.81*(O1366/100-fi_h/2/1000))*1000)),"",IF(O1366&lt;fi_h/20,0,(OFFSET('Base de dados'!$A$5,IF(O1366&lt;20,1,IF(O1366&gt;1000,10,MATCH(O1366,Cargas,1))),Coluna_fih,1,1))*(PI()*(fi_h/1000)^2/4)*SQRT(2*9.81*(O1366/100-fi_h/2/1000))*1000))</f>
        <v>49.303597337720959</v>
      </c>
      <c r="Q1366" s="19">
        <f ca="1">IF(O1366="","",IF(Tipo_Vertedor="Retangular",IF(O1366&lt;=cota_s*100,0,IF(Tipo_Vertedor="Retangular",Cd_sr*Lef_sr*((O1366/100-cota_s)^(3/2))*1000)),IF(O1366&lt;=cota_s*100+fi_s/20,0,(OFFSET('Base de dados'!$A$4,IF(O1366&lt;20,1,IF(O1366&gt;1000,10,MATCH(O1366,Cargas,1))),Coluna_fis,1,1))*(PI()*(fi_s/1000)^2/4)*(2*9.81*(O1366/100-cota_s-fi_s/2/1000))^0.5*1000)))</f>
        <v>5178.9430672624039</v>
      </c>
      <c r="R1366" s="19">
        <f t="shared" ca="1" si="190"/>
        <v>5228.2466646001249</v>
      </c>
      <c r="S1366" s="19">
        <f t="shared" ca="1" si="191"/>
        <v>8035.3938462841943</v>
      </c>
    </row>
    <row r="1367" spans="13:19">
      <c r="M1367" s="81">
        <f t="shared" ref="M1367:M1430" ca="1" si="193">IF(O1367="","",2*N1367*1000/(Passo*60)+R1367)</f>
        <v>13277.186036760388</v>
      </c>
      <c r="N1367" s="19">
        <f t="shared" ref="N1367:N1430" si="194">IF(O1367="","",b_0*(O1367/100)^c_0)</f>
        <v>241.26042661363712</v>
      </c>
      <c r="O1367" s="17">
        <f t="shared" si="192"/>
        <v>341.5</v>
      </c>
      <c r="P1367" s="19">
        <f ca="1">IF(ISERROR(IF(O1367&lt;fi_h/20,0,(OFFSET('Base de dados'!$A$5,IF(O1367&lt;20,1,IF(O1367&gt;1000,10,MATCH(O1367,Cargas,1))),Coluna_fih,1,1))*(1+0.13*0.25)*(PI()*(fi_h/1000)^2/4)*SQRT(2*9.81*(O1367/100-fi_h/2/1000))*1000)),"",IF(O1367&lt;fi_h/20,0,(OFFSET('Base de dados'!$A$5,IF(O1367&lt;20,1,IF(O1367&gt;1000,10,MATCH(O1367,Cargas,1))),Coluna_fih,1,1))*(PI()*(fi_h/1000)^2/4)*SQRT(2*9.81*(O1367/100-fi_h/2/1000))*1000))</f>
        <v>49.321957346005327</v>
      </c>
      <c r="Q1367" s="19">
        <f ca="1">IF(O1367="","",IF(Tipo_Vertedor="Retangular",IF(O1367&lt;=cota_s*100,0,IF(Tipo_Vertedor="Retangular",Cd_sr*Lef_sr*((O1367/100-cota_s)^(3/2))*1000)),IF(O1367&lt;=cota_s*100+fi_s/20,0,(OFFSET('Base de dados'!$A$4,IF(O1367&lt;20,1,IF(O1367&gt;1000,10,MATCH(O1367,Cargas,1))),Coluna_fis,1,1))*(PI()*(fi_s/1000)^2/4)*(2*9.81*(O1367/100-cota_s-fi_s/2/1000))^0.5*1000)))</f>
        <v>5185.8498589598121</v>
      </c>
      <c r="R1367" s="19">
        <f t="shared" ref="R1367:R1430" ca="1" si="195">IF(O1367="","",Q1367+P1367)</f>
        <v>5235.1718163058176</v>
      </c>
      <c r="S1367" s="19">
        <f t="shared" ref="S1367:S1430" ca="1" si="196">IF(M1367="","",2*N1367*1000/(Passo*60))</f>
        <v>8042.0142204545709</v>
      </c>
    </row>
    <row r="1368" spans="13:19">
      <c r="M1368" s="81">
        <f t="shared" ca="1" si="193"/>
        <v>13290.735227227487</v>
      </c>
      <c r="N1368" s="19">
        <f t="shared" si="194"/>
        <v>241.45905595222663</v>
      </c>
      <c r="O1368" s="17">
        <f t="shared" si="192"/>
        <v>341.75</v>
      </c>
      <c r="P1368" s="19">
        <f ca="1">IF(ISERROR(IF(O1368&lt;fi_h/20,0,(OFFSET('Base de dados'!$A$5,IF(O1368&lt;20,1,IF(O1368&gt;1000,10,MATCH(O1368,Cargas,1))),Coluna_fih,1,1))*(1+0.13*0.25)*(PI()*(fi_h/1000)^2/4)*SQRT(2*9.81*(O1368/100-fi_h/2/1000))*1000)),"",IF(O1368&lt;fi_h/20,0,(OFFSET('Base de dados'!$A$5,IF(O1368&lt;20,1,IF(O1368&gt;1000,10,MATCH(O1368,Cargas,1))),Coluna_fih,1,1))*(PI()*(fi_h/1000)^2/4)*SQRT(2*9.81*(O1368/100-fi_h/2/1000))*1000))</f>
        <v>49.340310522352937</v>
      </c>
      <c r="Q1368" s="19">
        <f ca="1">IF(O1368="","",IF(Tipo_Vertedor="Retangular",IF(O1368&lt;=cota_s*100,0,IF(Tipo_Vertedor="Retangular",Cd_sr*Lef_sr*((O1368/100-cota_s)^(3/2))*1000)),IF(O1368&lt;=cota_s*100+fi_s/20,0,(OFFSET('Base de dados'!$A$4,IF(O1368&lt;20,1,IF(O1368&gt;1000,10,MATCH(O1368,Cargas,1))),Coluna_fis,1,1))*(PI()*(fi_s/1000)^2/4)*(2*9.81*(O1368/100-cota_s-fi_s/2/1000))^0.5*1000)))</f>
        <v>5192.7597182975787</v>
      </c>
      <c r="R1368" s="19">
        <f t="shared" ca="1" si="195"/>
        <v>5242.100028819932</v>
      </c>
      <c r="S1368" s="19">
        <f t="shared" ca="1" si="196"/>
        <v>8048.6351984075545</v>
      </c>
    </row>
    <row r="1369" spans="13:19">
      <c r="M1369" s="81">
        <f t="shared" ca="1" si="193"/>
        <v>13304.288080545275</v>
      </c>
      <c r="N1369" s="19">
        <f t="shared" si="194"/>
        <v>241.65770339269397</v>
      </c>
      <c r="O1369" s="17">
        <f t="shared" si="192"/>
        <v>342</v>
      </c>
      <c r="P1369" s="19">
        <f ca="1">IF(ISERROR(IF(O1369&lt;fi_h/20,0,(OFFSET('Base de dados'!$A$5,IF(O1369&lt;20,1,IF(O1369&gt;1000,10,MATCH(O1369,Cargas,1))),Coluna_fih,1,1))*(1+0.13*0.25)*(PI()*(fi_h/1000)^2/4)*SQRT(2*9.81*(O1369/100-fi_h/2/1000))*1000)),"",IF(O1369&lt;fi_h/20,0,(OFFSET('Base de dados'!$A$5,IF(O1369&lt;20,1,IF(O1369&gt;1000,10,MATCH(O1369,Cargas,1))),Coluna_fih,1,1))*(PI()*(fi_h/1000)^2/4)*SQRT(2*9.81*(O1369/100-fi_h/2/1000))*1000))</f>
        <v>49.358656874384792</v>
      </c>
      <c r="Q1369" s="19">
        <f ca="1">IF(O1369="","",IF(Tipo_Vertedor="Retangular",IF(O1369&lt;=cota_s*100,0,IF(Tipo_Vertedor="Retangular",Cd_sr*Lef_sr*((O1369/100-cota_s)^(3/2))*1000)),IF(O1369&lt;=cota_s*100+fi_s/20,0,(OFFSET('Base de dados'!$A$4,IF(O1369&lt;20,1,IF(O1369&gt;1000,10,MATCH(O1369,Cargas,1))),Coluna_fis,1,1))*(PI()*(fi_s/1000)^2/4)*(2*9.81*(O1369/100-cota_s-fi_s/2/1000))^0.5*1000)))</f>
        <v>5199.672643914424</v>
      </c>
      <c r="R1369" s="19">
        <f t="shared" ca="1" si="195"/>
        <v>5249.0313007888089</v>
      </c>
      <c r="S1369" s="19">
        <f t="shared" ca="1" si="196"/>
        <v>8055.2567797564661</v>
      </c>
    </row>
    <row r="1370" spans="13:19">
      <c r="M1370" s="81">
        <f t="shared" ca="1" si="193"/>
        <v>13317.844594975737</v>
      </c>
      <c r="N1370" s="19">
        <f t="shared" si="194"/>
        <v>241.85636892345451</v>
      </c>
      <c r="O1370" s="17">
        <f t="shared" si="192"/>
        <v>342.25</v>
      </c>
      <c r="P1370" s="19">
        <f ca="1">IF(ISERROR(IF(O1370&lt;fi_h/20,0,(OFFSET('Base de dados'!$A$5,IF(O1370&lt;20,1,IF(O1370&gt;1000,10,MATCH(O1370,Cargas,1))),Coluna_fih,1,1))*(1+0.13*0.25)*(PI()*(fi_h/1000)^2/4)*SQRT(2*9.81*(O1370/100-fi_h/2/1000))*1000)),"",IF(O1370&lt;fi_h/20,0,(OFFSET('Base de dados'!$A$5,IF(O1370&lt;20,1,IF(O1370&gt;1000,10,MATCH(O1370,Cargas,1))),Coluna_fih,1,1))*(PI()*(fi_h/1000)^2/4)*SQRT(2*9.81*(O1370/100-fi_h/2/1000))*1000))</f>
        <v>49.376996409707807</v>
      </c>
      <c r="Q1370" s="19">
        <f ca="1">IF(O1370="","",IF(Tipo_Vertedor="Retangular",IF(O1370&lt;=cota_s*100,0,IF(Tipo_Vertedor="Retangular",Cd_sr*Lef_sr*((O1370/100-cota_s)^(3/2))*1000)),IF(O1370&lt;=cota_s*100+fi_s/20,0,(OFFSET('Base de dados'!$A$4,IF(O1370&lt;20,1,IF(O1370&gt;1000,10,MATCH(O1370,Cargas,1))),Coluna_fis,1,1))*(PI()*(fi_s/1000)^2/4)*(2*9.81*(O1370/100-cota_s-fi_s/2/1000))^0.5*1000)))</f>
        <v>5206.5886344508781</v>
      </c>
      <c r="R1370" s="19">
        <f t="shared" ca="1" si="195"/>
        <v>5255.9656308605863</v>
      </c>
      <c r="S1370" s="19">
        <f t="shared" ca="1" si="196"/>
        <v>8061.8789641151507</v>
      </c>
    </row>
    <row r="1371" spans="13:19">
      <c r="M1371" s="81">
        <f t="shared" ca="1" si="193"/>
        <v>13331.404768783195</v>
      </c>
      <c r="N1371" s="19">
        <f t="shared" si="194"/>
        <v>242.0550525329399</v>
      </c>
      <c r="O1371" s="17">
        <f t="shared" si="192"/>
        <v>342.5</v>
      </c>
      <c r="P1371" s="19">
        <f ca="1">IF(ISERROR(IF(O1371&lt;fi_h/20,0,(OFFSET('Base de dados'!$A$5,IF(O1371&lt;20,1,IF(O1371&gt;1000,10,MATCH(O1371,Cargas,1))),Coluna_fih,1,1))*(1+0.13*0.25)*(PI()*(fi_h/1000)^2/4)*SQRT(2*9.81*(O1371/100-fi_h/2/1000))*1000)),"",IF(O1371&lt;fi_h/20,0,(OFFSET('Base de dados'!$A$5,IF(O1371&lt;20,1,IF(O1371&gt;1000,10,MATCH(O1371,Cargas,1))),Coluna_fih,1,1))*(PI()*(fi_h/1000)^2/4)*SQRT(2*9.81*(O1371/100-fi_h/2/1000))*1000))</f>
        <v>49.395329135914665</v>
      </c>
      <c r="Q1371" s="19">
        <f ca="1">IF(O1371="","",IF(Tipo_Vertedor="Retangular",IF(O1371&lt;=cota_s*100,0,IF(Tipo_Vertedor="Retangular",Cd_sr*Lef_sr*((O1371/100-cota_s)^(3/2))*1000)),IF(O1371&lt;=cota_s*100+fi_s/20,0,(OFFSET('Base de dados'!$A$4,IF(O1371&lt;20,1,IF(O1371&gt;1000,10,MATCH(O1371,Cargas,1))),Coluna_fis,1,1))*(PI()*(fi_s/1000)^2/4)*(2*9.81*(O1371/100-cota_s-fi_s/2/1000))^0.5*1000)))</f>
        <v>5213.5076885492836</v>
      </c>
      <c r="R1371" s="19">
        <f t="shared" ca="1" si="195"/>
        <v>5262.9030176851984</v>
      </c>
      <c r="S1371" s="19">
        <f t="shared" ca="1" si="196"/>
        <v>8068.5017510979969</v>
      </c>
    </row>
    <row r="1372" spans="13:19">
      <c r="M1372" s="81">
        <f t="shared" ca="1" si="193"/>
        <v>13344.968600234275</v>
      </c>
      <c r="N1372" s="19">
        <f t="shared" si="194"/>
        <v>242.25375420959722</v>
      </c>
      <c r="O1372" s="17">
        <f t="shared" si="192"/>
        <v>342.75</v>
      </c>
      <c r="P1372" s="19">
        <f ca="1">IF(ISERROR(IF(O1372&lt;fi_h/20,0,(OFFSET('Base de dados'!$A$5,IF(O1372&lt;20,1,IF(O1372&gt;1000,10,MATCH(O1372,Cargas,1))),Coluna_fih,1,1))*(1+0.13*0.25)*(PI()*(fi_h/1000)^2/4)*SQRT(2*9.81*(O1372/100-fi_h/2/1000))*1000)),"",IF(O1372&lt;fi_h/20,0,(OFFSET('Base de dados'!$A$5,IF(O1372&lt;20,1,IF(O1372&gt;1000,10,MATCH(O1372,Cargas,1))),Coluna_fih,1,1))*(PI()*(fi_h/1000)^2/4)*SQRT(2*9.81*(O1372/100-fi_h/2/1000))*1000))</f>
        <v>49.413655060584041</v>
      </c>
      <c r="Q1372" s="19">
        <f ca="1">IF(O1372="","",IF(Tipo_Vertedor="Retangular",IF(O1372&lt;=cota_s*100,0,IF(Tipo_Vertedor="Retangular",Cd_sr*Lef_sr*((O1372/100-cota_s)^(3/2))*1000)),IF(O1372&lt;=cota_s*100+fi_s/20,0,(OFFSET('Base de dados'!$A$4,IF(O1372&lt;20,1,IF(O1372&gt;1000,10,MATCH(O1372,Cargas,1))),Coluna_fis,1,1))*(PI()*(fi_s/1000)^2/4)*(2*9.81*(O1372/100-cota_s-fi_s/2/1000))^0.5*1000)))</f>
        <v>5220.429804853783</v>
      </c>
      <c r="R1372" s="19">
        <f t="shared" ca="1" si="195"/>
        <v>5269.8434599143675</v>
      </c>
      <c r="S1372" s="19">
        <f t="shared" ca="1" si="196"/>
        <v>8075.1251403199076</v>
      </c>
    </row>
    <row r="1373" spans="13:19">
      <c r="M1373" s="81">
        <f t="shared" ca="1" si="193"/>
        <v>13358.536087597906</v>
      </c>
      <c r="N1373" s="19">
        <f t="shared" si="194"/>
        <v>242.45247394188942</v>
      </c>
      <c r="O1373" s="17">
        <f t="shared" si="192"/>
        <v>343</v>
      </c>
      <c r="P1373" s="19">
        <f ca="1">IF(ISERROR(IF(O1373&lt;fi_h/20,0,(OFFSET('Base de dados'!$A$5,IF(O1373&lt;20,1,IF(O1373&gt;1000,10,MATCH(O1373,Cargas,1))),Coluna_fih,1,1))*(1+0.13*0.25)*(PI()*(fi_h/1000)^2/4)*SQRT(2*9.81*(O1373/100-fi_h/2/1000))*1000)),"",IF(O1373&lt;fi_h/20,0,(OFFSET('Base de dados'!$A$5,IF(O1373&lt;20,1,IF(O1373&gt;1000,10,MATCH(O1373,Cargas,1))),Coluna_fih,1,1))*(PI()*(fi_h/1000)^2/4)*SQRT(2*9.81*(O1373/100-fi_h/2/1000))*1000))</f>
        <v>49.431974191280545</v>
      </c>
      <c r="Q1373" s="19">
        <f ca="1">IF(O1373="","",IF(Tipo_Vertedor="Retangular",IF(O1373&lt;=cota_s*100,0,IF(Tipo_Vertedor="Retangular",Cd_sr*Lef_sr*((O1373/100-cota_s)^(3/2))*1000)),IF(O1373&lt;=cota_s*100+fi_s/20,0,(OFFSET('Base de dados'!$A$4,IF(O1373&lt;20,1,IF(O1373&gt;1000,10,MATCH(O1373,Cargas,1))),Coluna_fis,1,1))*(PI()*(fi_s/1000)^2/4)*(2*9.81*(O1373/100-cota_s-fi_s/2/1000))^0.5*1000)))</f>
        <v>5227.3549820103108</v>
      </c>
      <c r="R1373" s="19">
        <f t="shared" ca="1" si="195"/>
        <v>5276.7869562015912</v>
      </c>
      <c r="S1373" s="19">
        <f t="shared" ca="1" si="196"/>
        <v>8081.7491313963137</v>
      </c>
    </row>
    <row r="1374" spans="13:19">
      <c r="M1374" s="81">
        <f t="shared" ca="1" si="193"/>
        <v>13372.107229145338</v>
      </c>
      <c r="N1374" s="19">
        <f t="shared" si="194"/>
        <v>242.65121171829543</v>
      </c>
      <c r="O1374" s="17">
        <f t="shared" si="192"/>
        <v>343.25</v>
      </c>
      <c r="P1374" s="19">
        <f ca="1">IF(ISERROR(IF(O1374&lt;fi_h/20,0,(OFFSET('Base de dados'!$A$5,IF(O1374&lt;20,1,IF(O1374&gt;1000,10,MATCH(O1374,Cargas,1))),Coluna_fih,1,1))*(1+0.13*0.25)*(PI()*(fi_h/1000)^2/4)*SQRT(2*9.81*(O1374/100-fi_h/2/1000))*1000)),"",IF(O1374&lt;fi_h/20,0,(OFFSET('Base de dados'!$A$5,IF(O1374&lt;20,1,IF(O1374&gt;1000,10,MATCH(O1374,Cargas,1))),Coluna_fih,1,1))*(PI()*(fi_h/1000)^2/4)*SQRT(2*9.81*(O1374/100-fi_h/2/1000))*1000))</f>
        <v>49.450286535554767</v>
      </c>
      <c r="Q1374" s="19">
        <f ca="1">IF(O1374="","",IF(Tipo_Vertedor="Retangular",IF(O1374&lt;=cota_s*100,0,IF(Tipo_Vertedor="Retangular",Cd_sr*Lef_sr*((O1374/100-cota_s)^(3/2))*1000)),IF(O1374&lt;=cota_s*100+fi_s/20,0,(OFFSET('Base de dados'!$A$4,IF(O1374&lt;20,1,IF(O1374&gt;1000,10,MATCH(O1374,Cargas,1))),Coluna_fis,1,1))*(PI()*(fi_s/1000)^2/4)*(2*9.81*(O1374/100-cota_s-fi_s/2/1000))^0.5*1000)))</f>
        <v>5234.2832186666037</v>
      </c>
      <c r="R1374" s="19">
        <f t="shared" ca="1" si="195"/>
        <v>5283.7335052021581</v>
      </c>
      <c r="S1374" s="19">
        <f t="shared" ca="1" si="196"/>
        <v>8088.3737239431812</v>
      </c>
    </row>
    <row r="1375" spans="13:19">
      <c r="M1375" s="81">
        <f t="shared" ca="1" si="193"/>
        <v>13385.682023150122</v>
      </c>
      <c r="N1375" s="19">
        <f t="shared" si="194"/>
        <v>242.84996752730976</v>
      </c>
      <c r="O1375" s="17">
        <f t="shared" si="192"/>
        <v>343.5</v>
      </c>
      <c r="P1375" s="19">
        <f ca="1">IF(ISERROR(IF(O1375&lt;fi_h/20,0,(OFFSET('Base de dados'!$A$5,IF(O1375&lt;20,1,IF(O1375&gt;1000,10,MATCH(O1375,Cargas,1))),Coluna_fih,1,1))*(1+0.13*0.25)*(PI()*(fi_h/1000)^2/4)*SQRT(2*9.81*(O1375/100-fi_h/2/1000))*1000)),"",IF(O1375&lt;fi_h/20,0,(OFFSET('Base de dados'!$A$5,IF(O1375&lt;20,1,IF(O1375&gt;1000,10,MATCH(O1375,Cargas,1))),Coluna_fih,1,1))*(PI()*(fi_h/1000)^2/4)*SQRT(2*9.81*(O1375/100-fi_h/2/1000))*1000))</f>
        <v>49.468592100943319</v>
      </c>
      <c r="Q1375" s="19">
        <f ca="1">IF(O1375="","",IF(Tipo_Vertedor="Retangular",IF(O1375&lt;=cota_s*100,0,IF(Tipo_Vertedor="Retangular",Cd_sr*Lef_sr*((O1375/100-cota_s)^(3/2))*1000)),IF(O1375&lt;=cota_s*100+fi_s/20,0,(OFFSET('Base de dados'!$A$4,IF(O1375&lt;20,1,IF(O1375&gt;1000,10,MATCH(O1375,Cargas,1))),Coluna_fis,1,1))*(PI()*(fi_s/1000)^2/4)*(2*9.81*(O1375/100-cota_s-fi_s/2/1000))^0.5*1000)))</f>
        <v>5241.2145134721877</v>
      </c>
      <c r="R1375" s="19">
        <f t="shared" ca="1" si="195"/>
        <v>5290.6831055731309</v>
      </c>
      <c r="S1375" s="19">
        <f t="shared" ca="1" si="196"/>
        <v>8094.9989175769915</v>
      </c>
    </row>
    <row r="1376" spans="13:19">
      <c r="M1376" s="81">
        <f t="shared" ca="1" si="193"/>
        <v>13399.260467888096</v>
      </c>
      <c r="N1376" s="19">
        <f t="shared" si="194"/>
        <v>243.04874135744251</v>
      </c>
      <c r="O1376" s="17">
        <f t="shared" si="192"/>
        <v>343.75</v>
      </c>
      <c r="P1376" s="19">
        <f ca="1">IF(ISERROR(IF(O1376&lt;fi_h/20,0,(OFFSET('Base de dados'!$A$5,IF(O1376&lt;20,1,IF(O1376&gt;1000,10,MATCH(O1376,Cargas,1))),Coluna_fih,1,1))*(1+0.13*0.25)*(PI()*(fi_h/1000)^2/4)*SQRT(2*9.81*(O1376/100-fi_h/2/1000))*1000)),"",IF(O1376&lt;fi_h/20,0,(OFFSET('Base de dados'!$A$5,IF(O1376&lt;20,1,IF(O1376&gt;1000,10,MATCH(O1376,Cargas,1))),Coluna_fih,1,1))*(PI()*(fi_h/1000)^2/4)*SQRT(2*9.81*(O1376/100-fi_h/2/1000))*1000))</f>
        <v>49.486890894968894</v>
      </c>
      <c r="Q1376" s="19">
        <f ca="1">IF(O1376="","",IF(Tipo_Vertedor="Retangular",IF(O1376&lt;=cota_s*100,0,IF(Tipo_Vertedor="Retangular",Cd_sr*Lef_sr*((O1376/100-cota_s)^(3/2))*1000)),IF(O1376&lt;=cota_s*100+fi_s/20,0,(OFFSET('Base de dados'!$A$4,IF(O1376&lt;20,1,IF(O1376&gt;1000,10,MATCH(O1376,Cargas,1))),Coluna_fis,1,1))*(PI()*(fi_s/1000)^2/4)*(2*9.81*(O1376/100-cota_s-fi_s/2/1000))^0.5*1000)))</f>
        <v>5248.1488650783767</v>
      </c>
      <c r="R1376" s="19">
        <f t="shared" ca="1" si="195"/>
        <v>5297.635755973346</v>
      </c>
      <c r="S1376" s="19">
        <f t="shared" ca="1" si="196"/>
        <v>8101.6247119147502</v>
      </c>
    </row>
    <row r="1377" spans="13:19">
      <c r="M1377" s="81">
        <f t="shared" ca="1" si="193"/>
        <v>13412.842561637399</v>
      </c>
      <c r="N1377" s="19">
        <f t="shared" si="194"/>
        <v>243.24753319721989</v>
      </c>
      <c r="O1377" s="17">
        <f t="shared" si="192"/>
        <v>344</v>
      </c>
      <c r="P1377" s="19">
        <f ca="1">IF(ISERROR(IF(O1377&lt;fi_h/20,0,(OFFSET('Base de dados'!$A$5,IF(O1377&lt;20,1,IF(O1377&gt;1000,10,MATCH(O1377,Cargas,1))),Coluna_fih,1,1))*(1+0.13*0.25)*(PI()*(fi_h/1000)^2/4)*SQRT(2*9.81*(O1377/100-fi_h/2/1000))*1000)),"",IF(O1377&lt;fi_h/20,0,(OFFSET('Base de dados'!$A$5,IF(O1377&lt;20,1,IF(O1377&gt;1000,10,MATCH(O1377,Cargas,1))),Coluna_fih,1,1))*(PI()*(fi_h/1000)^2/4)*SQRT(2*9.81*(O1377/100-fi_h/2/1000))*1000))</f>
        <v>49.505182925140261</v>
      </c>
      <c r="Q1377" s="19">
        <f ca="1">IF(O1377="","",IF(Tipo_Vertedor="Retangular",IF(O1377&lt;=cota_s*100,0,IF(Tipo_Vertedor="Retangular",Cd_sr*Lef_sr*((O1377/100-cota_s)^(3/2))*1000)),IF(O1377&lt;=cota_s*100+fi_s/20,0,(OFFSET('Base de dados'!$A$4,IF(O1377&lt;20,1,IF(O1377&gt;1000,10,MATCH(O1377,Cargas,1))),Coluna_fis,1,1))*(PI()*(fi_s/1000)^2/4)*(2*9.81*(O1377/100-cota_s-fi_s/2/1000))^0.5*1000)))</f>
        <v>5255.0862721382618</v>
      </c>
      <c r="R1377" s="19">
        <f t="shared" ca="1" si="195"/>
        <v>5304.5914550634025</v>
      </c>
      <c r="S1377" s="19">
        <f t="shared" ca="1" si="196"/>
        <v>8108.2511065739964</v>
      </c>
    </row>
    <row r="1378" spans="13:19">
      <c r="M1378" s="81">
        <f t="shared" ca="1" si="193"/>
        <v>13426.428302678443</v>
      </c>
      <c r="N1378" s="19">
        <f t="shared" si="194"/>
        <v>243.44634303518325</v>
      </c>
      <c r="O1378" s="17">
        <f t="shared" si="192"/>
        <v>344.25</v>
      </c>
      <c r="P1378" s="19">
        <f ca="1">IF(ISERROR(IF(O1378&lt;fi_h/20,0,(OFFSET('Base de dados'!$A$5,IF(O1378&lt;20,1,IF(O1378&gt;1000,10,MATCH(O1378,Cargas,1))),Coluna_fih,1,1))*(1+0.13*0.25)*(PI()*(fi_h/1000)^2/4)*SQRT(2*9.81*(O1378/100-fi_h/2/1000))*1000)),"",IF(O1378&lt;fi_h/20,0,(OFFSET('Base de dados'!$A$5,IF(O1378&lt;20,1,IF(O1378&gt;1000,10,MATCH(O1378,Cargas,1))),Coluna_fih,1,1))*(PI()*(fi_h/1000)^2/4)*SQRT(2*9.81*(O1378/100-fi_h/2/1000))*1000))</f>
        <v>49.523468198952315</v>
      </c>
      <c r="Q1378" s="19">
        <f ca="1">IF(O1378="","",IF(Tipo_Vertedor="Retangular",IF(O1378&lt;=cota_s*100,0,IF(Tipo_Vertedor="Retangular",Cd_sr*Lef_sr*((O1378/100-cota_s)^(3/2))*1000)),IF(O1378&lt;=cota_s*100+fi_s/20,0,(OFFSET('Base de dados'!$A$4,IF(O1378&lt;20,1,IF(O1378&gt;1000,10,MATCH(O1378,Cargas,1))),Coluna_fis,1,1))*(PI()*(fi_s/1000)^2/4)*(2*9.81*(O1378/100-cota_s-fi_s/2/1000))^0.5*1000)))</f>
        <v>5262.0267333067168</v>
      </c>
      <c r="R1378" s="19">
        <f t="shared" ca="1" si="195"/>
        <v>5311.5502015056691</v>
      </c>
      <c r="S1378" s="19">
        <f t="shared" ca="1" si="196"/>
        <v>8114.8781011727742</v>
      </c>
    </row>
    <row r="1379" spans="13:19">
      <c r="M1379" s="81">
        <f t="shared" ca="1" si="193"/>
        <v>13440.017689293938</v>
      </c>
      <c r="N1379" s="19">
        <f t="shared" si="194"/>
        <v>243.64517085988973</v>
      </c>
      <c r="O1379" s="17">
        <f t="shared" si="192"/>
        <v>344.5</v>
      </c>
      <c r="P1379" s="19">
        <f ca="1">IF(ISERROR(IF(O1379&lt;fi_h/20,0,(OFFSET('Base de dados'!$A$5,IF(O1379&lt;20,1,IF(O1379&gt;1000,10,MATCH(O1379,Cargas,1))),Coluna_fih,1,1))*(1+0.13*0.25)*(PI()*(fi_h/1000)^2/4)*SQRT(2*9.81*(O1379/100-fi_h/2/1000))*1000)),"",IF(O1379&lt;fi_h/20,0,(OFFSET('Base de dados'!$A$5,IF(O1379&lt;20,1,IF(O1379&gt;1000,10,MATCH(O1379,Cargas,1))),Coluna_fih,1,1))*(PI()*(fi_h/1000)^2/4)*SQRT(2*9.81*(O1379/100-fi_h/2/1000))*1000))</f>
        <v>49.541746723886142</v>
      </c>
      <c r="Q1379" s="19">
        <f ca="1">IF(O1379="","",IF(Tipo_Vertedor="Retangular",IF(O1379&lt;=cota_s*100,0,IF(Tipo_Vertedor="Retangular",Cd_sr*Lef_sr*((O1379/100-cota_s)^(3/2))*1000)),IF(O1379&lt;=cota_s*100+fi_s/20,0,(OFFSET('Base de dados'!$A$4,IF(O1379&lt;20,1,IF(O1379&gt;1000,10,MATCH(O1379,Cargas,1))),Coluna_fis,1,1))*(PI()*(fi_s/1000)^2/4)*(2*9.81*(O1379/100-cota_s-fi_s/2/1000))^0.5*1000)))</f>
        <v>5268.9702472403933</v>
      </c>
      <c r="R1379" s="19">
        <f t="shared" ca="1" si="195"/>
        <v>5318.5119939642791</v>
      </c>
      <c r="S1379" s="19">
        <f t="shared" ca="1" si="196"/>
        <v>8121.505695329658</v>
      </c>
    </row>
    <row r="1380" spans="13:19">
      <c r="M1380" s="81">
        <f t="shared" ca="1" si="193"/>
        <v>13453.610719768854</v>
      </c>
      <c r="N1380" s="19">
        <f t="shared" si="194"/>
        <v>243.84401665991214</v>
      </c>
      <c r="O1380" s="17">
        <f t="shared" si="192"/>
        <v>344.75</v>
      </c>
      <c r="P1380" s="19">
        <f ca="1">IF(ISERROR(IF(O1380&lt;fi_h/20,0,(OFFSET('Base de dados'!$A$5,IF(O1380&lt;20,1,IF(O1380&gt;1000,10,MATCH(O1380,Cargas,1))),Coluna_fih,1,1))*(1+0.13*0.25)*(PI()*(fi_h/1000)^2/4)*SQRT(2*9.81*(O1380/100-fi_h/2/1000))*1000)),"",IF(O1380&lt;fi_h/20,0,(OFFSET('Base de dados'!$A$5,IF(O1380&lt;20,1,IF(O1380&gt;1000,10,MATCH(O1380,Cargas,1))),Coluna_fih,1,1))*(PI()*(fi_h/1000)^2/4)*SQRT(2*9.81*(O1380/100-fi_h/2/1000))*1000))</f>
        <v>49.56001850740904</v>
      </c>
      <c r="Q1380" s="19">
        <f ca="1">IF(O1380="","",IF(Tipo_Vertedor="Retangular",IF(O1380&lt;=cota_s*100,0,IF(Tipo_Vertedor="Retangular",Cd_sr*Lef_sr*((O1380/100-cota_s)^(3/2))*1000)),IF(O1380&lt;=cota_s*100+fi_s/20,0,(OFFSET('Base de dados'!$A$4,IF(O1380&lt;20,1,IF(O1380&gt;1000,10,MATCH(O1380,Cargas,1))),Coluna_fis,1,1))*(PI()*(fi_s/1000)^2/4)*(2*9.81*(O1380/100-cota_s-fi_s/2/1000))^0.5*1000)))</f>
        <v>5275.9168125977085</v>
      </c>
      <c r="R1380" s="19">
        <f t="shared" ca="1" si="195"/>
        <v>5325.4768311051175</v>
      </c>
      <c r="S1380" s="19">
        <f t="shared" ca="1" si="196"/>
        <v>8128.1338886637377</v>
      </c>
    </row>
    <row r="1381" spans="13:19">
      <c r="M1381" s="81">
        <f t="shared" ca="1" si="193"/>
        <v>13467.207392390455</v>
      </c>
      <c r="N1381" s="19">
        <f t="shared" si="194"/>
        <v>244.04288042383877</v>
      </c>
      <c r="O1381" s="17">
        <f t="shared" si="192"/>
        <v>345</v>
      </c>
      <c r="P1381" s="19">
        <f ca="1">IF(ISERROR(IF(O1381&lt;fi_h/20,0,(OFFSET('Base de dados'!$A$5,IF(O1381&lt;20,1,IF(O1381&gt;1000,10,MATCH(O1381,Cargas,1))),Coluna_fih,1,1))*(1+0.13*0.25)*(PI()*(fi_h/1000)^2/4)*SQRT(2*9.81*(O1381/100-fi_h/2/1000))*1000)),"",IF(O1381&lt;fi_h/20,0,(OFFSET('Base de dados'!$A$5,IF(O1381&lt;20,1,IF(O1381&gt;1000,10,MATCH(O1381,Cargas,1))),Coluna_fih,1,1))*(PI()*(fi_h/1000)^2/4)*SQRT(2*9.81*(O1381/100-fi_h/2/1000))*1000))</f>
        <v>49.578283556974526</v>
      </c>
      <c r="Q1381" s="19">
        <f ca="1">IF(O1381="","",IF(Tipo_Vertedor="Retangular",IF(O1381&lt;=cota_s*100,0,IF(Tipo_Vertedor="Retangular",Cd_sr*Lef_sr*((O1381/100-cota_s)^(3/2))*1000)),IF(O1381&lt;=cota_s*100+fi_s/20,0,(OFFSET('Base de dados'!$A$4,IF(O1381&lt;20,1,IF(O1381&gt;1000,10,MATCH(O1381,Cargas,1))),Coluna_fis,1,1))*(PI()*(fi_s/1000)^2/4)*(2*9.81*(O1381/100-cota_s-fi_s/2/1000))^0.5*1000)))</f>
        <v>5282.8664280388557</v>
      </c>
      <c r="R1381" s="19">
        <f t="shared" ca="1" si="195"/>
        <v>5332.4447115958301</v>
      </c>
      <c r="S1381" s="19">
        <f t="shared" ca="1" si="196"/>
        <v>8134.7626807946253</v>
      </c>
    </row>
    <row r="1382" spans="13:19">
      <c r="M1382" s="81">
        <f t="shared" ca="1" si="193"/>
        <v>13480.807705448242</v>
      </c>
      <c r="N1382" s="19">
        <f t="shared" si="194"/>
        <v>244.24176214027338</v>
      </c>
      <c r="O1382" s="17">
        <f t="shared" si="192"/>
        <v>345.25</v>
      </c>
      <c r="P1382" s="19">
        <f ca="1">IF(ISERROR(IF(O1382&lt;fi_h/20,0,(OFFSET('Base de dados'!$A$5,IF(O1382&lt;20,1,IF(O1382&gt;1000,10,MATCH(O1382,Cargas,1))),Coluna_fih,1,1))*(1+0.13*0.25)*(PI()*(fi_h/1000)^2/4)*SQRT(2*9.81*(O1382/100-fi_h/2/1000))*1000)),"",IF(O1382&lt;fi_h/20,0,(OFFSET('Base de dados'!$A$5,IF(O1382&lt;20,1,IF(O1382&gt;1000,10,MATCH(O1382,Cargas,1))),Coluna_fih,1,1))*(PI()*(fi_h/1000)^2/4)*SQRT(2*9.81*(O1382/100-fi_h/2/1000))*1000))</f>
        <v>49.596541880022372</v>
      </c>
      <c r="Q1382" s="19">
        <f ca="1">IF(O1382="","",IF(Tipo_Vertedor="Retangular",IF(O1382&lt;=cota_s*100,0,IF(Tipo_Vertedor="Retangular",Cd_sr*Lef_sr*((O1382/100-cota_s)^(3/2))*1000)),IF(O1382&lt;=cota_s*100+fi_s/20,0,(OFFSET('Base de dados'!$A$4,IF(O1382&lt;20,1,IF(O1382&gt;1000,10,MATCH(O1382,Cargas,1))),Coluna_fis,1,1))*(PI()*(fi_s/1000)^2/4)*(2*9.81*(O1382/100-cota_s-fi_s/2/1000))^0.5*1000)))</f>
        <v>5289.8190922257745</v>
      </c>
      <c r="R1382" s="19">
        <f t="shared" ca="1" si="195"/>
        <v>5339.4156341057969</v>
      </c>
      <c r="S1382" s="19">
        <f t="shared" ca="1" si="196"/>
        <v>8141.3920713424459</v>
      </c>
    </row>
    <row r="1383" spans="13:19">
      <c r="M1383" s="81">
        <f t="shared" ca="1" si="193"/>
        <v>13494.411657234003</v>
      </c>
      <c r="N1383" s="19">
        <f t="shared" si="194"/>
        <v>244.44066179783525</v>
      </c>
      <c r="O1383" s="17">
        <f t="shared" si="192"/>
        <v>345.5</v>
      </c>
      <c r="P1383" s="19">
        <f ca="1">IF(ISERROR(IF(O1383&lt;fi_h/20,0,(OFFSET('Base de dados'!$A$5,IF(O1383&lt;20,1,IF(O1383&gt;1000,10,MATCH(O1383,Cargas,1))),Coluna_fih,1,1))*(1+0.13*0.25)*(PI()*(fi_h/1000)^2/4)*SQRT(2*9.81*(O1383/100-fi_h/2/1000))*1000)),"",IF(O1383&lt;fi_h/20,0,(OFFSET('Base de dados'!$A$5,IF(O1383&lt;20,1,IF(O1383&gt;1000,10,MATCH(O1383,Cargas,1))),Coluna_fih,1,1))*(PI()*(fi_h/1000)^2/4)*SQRT(2*9.81*(O1383/100-fi_h/2/1000))*1000))</f>
        <v>49.614793483978708</v>
      </c>
      <c r="Q1383" s="19">
        <f ca="1">IF(O1383="","",IF(Tipo_Vertedor="Retangular",IF(O1383&lt;=cota_s*100,0,IF(Tipo_Vertedor="Retangular",Cd_sr*Lef_sr*((O1383/100-cota_s)^(3/2))*1000)),IF(O1383&lt;=cota_s*100+fi_s/20,0,(OFFSET('Base de dados'!$A$4,IF(O1383&lt;20,1,IF(O1383&gt;1000,10,MATCH(O1383,Cargas,1))),Coluna_fis,1,1))*(PI()*(fi_s/1000)^2/4)*(2*9.81*(O1383/100-cota_s-fi_s/2/1000))^0.5*1000)))</f>
        <v>5296.7748038221816</v>
      </c>
      <c r="R1383" s="19">
        <f t="shared" ca="1" si="195"/>
        <v>5346.3895973061608</v>
      </c>
      <c r="S1383" s="19">
        <f t="shared" ca="1" si="196"/>
        <v>8148.0220599278418</v>
      </c>
    </row>
    <row r="1384" spans="13:19">
      <c r="M1384" s="81">
        <f t="shared" ca="1" si="193"/>
        <v>13508.019246041766</v>
      </c>
      <c r="N1384" s="19">
        <f t="shared" si="194"/>
        <v>244.6395793851591</v>
      </c>
      <c r="O1384" s="17">
        <f t="shared" si="192"/>
        <v>345.75</v>
      </c>
      <c r="P1384" s="19">
        <f ca="1">IF(ISERROR(IF(O1384&lt;fi_h/20,0,(OFFSET('Base de dados'!$A$5,IF(O1384&lt;20,1,IF(O1384&gt;1000,10,MATCH(O1384,Cargas,1))),Coluna_fih,1,1))*(1+0.13*0.25)*(PI()*(fi_h/1000)^2/4)*SQRT(2*9.81*(O1384/100-fi_h/2/1000))*1000)),"",IF(O1384&lt;fi_h/20,0,(OFFSET('Base de dados'!$A$5,IF(O1384&lt;20,1,IF(O1384&gt;1000,10,MATCH(O1384,Cargas,1))),Coluna_fih,1,1))*(PI()*(fi_h/1000)^2/4)*SQRT(2*9.81*(O1384/100-fi_h/2/1000))*1000))</f>
        <v>49.633038376255982</v>
      </c>
      <c r="Q1384" s="19">
        <f ca="1">IF(O1384="","",IF(Tipo_Vertedor="Retangular",IF(O1384&lt;=cota_s*100,0,IF(Tipo_Vertedor="Retangular",Cd_sr*Lef_sr*((O1384/100-cota_s)^(3/2))*1000)),IF(O1384&lt;=cota_s*100+fi_s/20,0,(OFFSET('Base de dados'!$A$4,IF(O1384&lt;20,1,IF(O1384&gt;1000,10,MATCH(O1384,Cargas,1))),Coluna_fis,1,1))*(PI()*(fi_s/1000)^2/4)*(2*9.81*(O1384/100-cota_s-fi_s/2/1000))^0.5*1000)))</f>
        <v>5303.7335614935391</v>
      </c>
      <c r="R1384" s="19">
        <f t="shared" ca="1" si="195"/>
        <v>5353.3665998697952</v>
      </c>
      <c r="S1384" s="19">
        <f t="shared" ca="1" si="196"/>
        <v>8154.6526461719704</v>
      </c>
    </row>
    <row r="1385" spans="13:19">
      <c r="M1385" s="81">
        <f t="shared" ca="1" si="193"/>
        <v>13521.630470167816</v>
      </c>
      <c r="N1385" s="19">
        <f t="shared" si="194"/>
        <v>244.83851489089494</v>
      </c>
      <c r="O1385" s="17">
        <f t="shared" si="192"/>
        <v>346</v>
      </c>
      <c r="P1385" s="19">
        <f ca="1">IF(ISERROR(IF(O1385&lt;fi_h/20,0,(OFFSET('Base de dados'!$A$5,IF(O1385&lt;20,1,IF(O1385&gt;1000,10,MATCH(O1385,Cargas,1))),Coluna_fih,1,1))*(1+0.13*0.25)*(PI()*(fi_h/1000)^2/4)*SQRT(2*9.81*(O1385/100-fi_h/2/1000))*1000)),"",IF(O1385&lt;fi_h/20,0,(OFFSET('Base de dados'!$A$5,IF(O1385&lt;20,1,IF(O1385&gt;1000,10,MATCH(O1385,Cargas,1))),Coluna_fih,1,1))*(PI()*(fi_h/1000)^2/4)*SQRT(2*9.81*(O1385/100-fi_h/2/1000))*1000))</f>
        <v>49.651276564253024</v>
      </c>
      <c r="Q1385" s="19">
        <f ca="1">IF(O1385="","",IF(Tipo_Vertedor="Retangular",IF(O1385&lt;=cota_s*100,0,IF(Tipo_Vertedor="Retangular",Cd_sr*Lef_sr*((O1385/100-cota_s)^(3/2))*1000)),IF(O1385&lt;=cota_s*100+fi_s/20,0,(OFFSET('Base de dados'!$A$4,IF(O1385&lt;20,1,IF(O1385&gt;1000,10,MATCH(O1385,Cargas,1))),Coluna_fis,1,1))*(PI()*(fi_s/1000)^2/4)*(2*9.81*(O1385/100-cota_s-fi_s/2/1000))^0.5*1000)))</f>
        <v>5310.6953639070662</v>
      </c>
      <c r="R1385" s="19">
        <f t="shared" ca="1" si="195"/>
        <v>5360.346640471319</v>
      </c>
      <c r="S1385" s="19">
        <f t="shared" ca="1" si="196"/>
        <v>8161.2838296964974</v>
      </c>
    </row>
    <row r="1386" spans="13:19">
      <c r="M1386" s="81">
        <f t="shared" ca="1" si="193"/>
        <v>13535.245327910698</v>
      </c>
      <c r="N1386" s="19">
        <f t="shared" si="194"/>
        <v>245.03746830370844</v>
      </c>
      <c r="O1386" s="17">
        <f t="shared" si="192"/>
        <v>346.25</v>
      </c>
      <c r="P1386" s="19">
        <f ca="1">IF(ISERROR(IF(O1386&lt;fi_h/20,0,(OFFSET('Base de dados'!$A$5,IF(O1386&lt;20,1,IF(O1386&gt;1000,10,MATCH(O1386,Cargas,1))),Coluna_fih,1,1))*(1+0.13*0.25)*(PI()*(fi_h/1000)^2/4)*SQRT(2*9.81*(O1386/100-fi_h/2/1000))*1000)),"",IF(O1386&lt;fi_h/20,0,(OFFSET('Base de dados'!$A$5,IF(O1386&lt;20,1,IF(O1386&gt;1000,10,MATCH(O1386,Cargas,1))),Coluna_fih,1,1))*(PI()*(fi_h/1000)^2/4)*SQRT(2*9.81*(O1386/100-fi_h/2/1000))*1000))</f>
        <v>49.669508055355095</v>
      </c>
      <c r="Q1386" s="19">
        <f ca="1">IF(O1386="","",IF(Tipo_Vertedor="Retangular",IF(O1386&lt;=cota_s*100,0,IF(Tipo_Vertedor="Retangular",Cd_sr*Lef_sr*((O1386/100-cota_s)^(3/2))*1000)),IF(O1386&lt;=cota_s*100+fi_s/20,0,(OFFSET('Base de dados'!$A$4,IF(O1386&lt;20,1,IF(O1386&gt;1000,10,MATCH(O1386,Cargas,1))),Coluna_fis,1,1))*(PI()*(fi_s/1000)^2/4)*(2*9.81*(O1386/100-cota_s-fi_s/2/1000))^0.5*1000)))</f>
        <v>5317.6602097317273</v>
      </c>
      <c r="R1386" s="19">
        <f t="shared" ca="1" si="195"/>
        <v>5367.3297177870827</v>
      </c>
      <c r="S1386" s="19">
        <f t="shared" ca="1" si="196"/>
        <v>8167.9156101236149</v>
      </c>
    </row>
    <row r="1387" spans="13:19">
      <c r="M1387" s="81">
        <f t="shared" ca="1" si="193"/>
        <v>13548.863817571175</v>
      </c>
      <c r="N1387" s="19">
        <f t="shared" si="194"/>
        <v>245.23643961228032</v>
      </c>
      <c r="O1387" s="17">
        <f t="shared" si="192"/>
        <v>346.5</v>
      </c>
      <c r="P1387" s="19">
        <f ca="1">IF(ISERROR(IF(O1387&lt;fi_h/20,0,(OFFSET('Base de dados'!$A$5,IF(O1387&lt;20,1,IF(O1387&gt;1000,10,MATCH(O1387,Cargas,1))),Coluna_fih,1,1))*(1+0.13*0.25)*(PI()*(fi_h/1000)^2/4)*SQRT(2*9.81*(O1387/100-fi_h/2/1000))*1000)),"",IF(O1387&lt;fi_h/20,0,(OFFSET('Base de dados'!$A$5,IF(O1387&lt;20,1,IF(O1387&gt;1000,10,MATCH(O1387,Cargas,1))),Coluna_fih,1,1))*(PI()*(fi_h/1000)^2/4)*SQRT(2*9.81*(O1387/100-fi_h/2/1000))*1000))</f>
        <v>49.687732856933884</v>
      </c>
      <c r="Q1387" s="19">
        <f ca="1">IF(O1387="","",IF(Tipo_Vertedor="Retangular",IF(O1387&lt;=cota_s*100,0,IF(Tipo_Vertedor="Retangular",Cd_sr*Lef_sr*((O1387/100-cota_s)^(3/2))*1000)),IF(O1387&lt;=cota_s*100+fi_s/20,0,(OFFSET('Base de dados'!$A$4,IF(O1387&lt;20,1,IF(O1387&gt;1000,10,MATCH(O1387,Cargas,1))),Coluna_fis,1,1))*(PI()*(fi_s/1000)^2/4)*(2*9.81*(O1387/100-cota_s-fi_s/2/1000))^0.5*1000)))</f>
        <v>5324.6280976382295</v>
      </c>
      <c r="R1387" s="19">
        <f t="shared" ca="1" si="195"/>
        <v>5374.315830495163</v>
      </c>
      <c r="S1387" s="19">
        <f t="shared" ca="1" si="196"/>
        <v>8174.5479870760109</v>
      </c>
    </row>
    <row r="1388" spans="13:19">
      <c r="M1388" s="81">
        <f t="shared" ca="1" si="193"/>
        <v>13562.485937452264</v>
      </c>
      <c r="N1388" s="19">
        <f t="shared" si="194"/>
        <v>245.4354288053068</v>
      </c>
      <c r="O1388" s="17">
        <f t="shared" si="192"/>
        <v>346.75</v>
      </c>
      <c r="P1388" s="19">
        <f ca="1">IF(ISERROR(IF(O1388&lt;fi_h/20,0,(OFFSET('Base de dados'!$A$5,IF(O1388&lt;20,1,IF(O1388&gt;1000,10,MATCH(O1388,Cargas,1))),Coluna_fih,1,1))*(1+0.13*0.25)*(PI()*(fi_h/1000)^2/4)*SQRT(2*9.81*(O1388/100-fi_h/2/1000))*1000)),"",IF(O1388&lt;fi_h/20,0,(OFFSET('Base de dados'!$A$5,IF(O1388&lt;20,1,IF(O1388&gt;1000,10,MATCH(O1388,Cargas,1))),Coluna_fih,1,1))*(PI()*(fi_h/1000)^2/4)*SQRT(2*9.81*(O1388/100-fi_h/2/1000))*1000))</f>
        <v>49.705950976347594</v>
      </c>
      <c r="Q1388" s="19">
        <f ca="1">IF(O1388="","",IF(Tipo_Vertedor="Retangular",IF(O1388&lt;=cota_s*100,0,IF(Tipo_Vertedor="Retangular",Cd_sr*Lef_sr*((O1388/100-cota_s)^(3/2))*1000)),IF(O1388&lt;=cota_s*100+fi_s/20,0,(OFFSET('Base de dados'!$A$4,IF(O1388&lt;20,1,IF(O1388&gt;1000,10,MATCH(O1388,Cargas,1))),Coluna_fis,1,1))*(PI()*(fi_s/1000)^2/4)*(2*9.81*(O1388/100-cota_s-fi_s/2/1000))^0.5*1000)))</f>
        <v>5331.5990262990244</v>
      </c>
      <c r="R1388" s="19">
        <f t="shared" ca="1" si="195"/>
        <v>5381.304977275372</v>
      </c>
      <c r="S1388" s="19">
        <f t="shared" ca="1" si="196"/>
        <v>8181.1809601768928</v>
      </c>
    </row>
    <row r="1389" spans="13:19">
      <c r="M1389" s="81">
        <f t="shared" ca="1" si="193"/>
        <v>13576.111685859218</v>
      </c>
      <c r="N1389" s="19">
        <f t="shared" si="194"/>
        <v>245.63443587149939</v>
      </c>
      <c r="O1389" s="17">
        <f t="shared" si="192"/>
        <v>347</v>
      </c>
      <c r="P1389" s="19">
        <f ca="1">IF(ISERROR(IF(O1389&lt;fi_h/20,0,(OFFSET('Base de dados'!$A$5,IF(O1389&lt;20,1,IF(O1389&gt;1000,10,MATCH(O1389,Cargas,1))),Coluna_fih,1,1))*(1+0.13*0.25)*(PI()*(fi_h/1000)^2/4)*SQRT(2*9.81*(O1389/100-fi_h/2/1000))*1000)),"",IF(O1389&lt;fi_h/20,0,(OFFSET('Base de dados'!$A$5,IF(O1389&lt;20,1,IF(O1389&gt;1000,10,MATCH(O1389,Cargas,1))),Coluna_fih,1,1))*(PI()*(fi_h/1000)^2/4)*SQRT(2*9.81*(O1389/100-fi_h/2/1000))*1000))</f>
        <v>49.724162420940921</v>
      </c>
      <c r="Q1389" s="19">
        <f ca="1">IF(O1389="","",IF(Tipo_Vertedor="Retangular",IF(O1389&lt;=cota_s*100,0,IF(Tipo_Vertedor="Retangular",Cd_sr*Lef_sr*((O1389/100-cota_s)^(3/2))*1000)),IF(O1389&lt;=cota_s*100+fi_s/20,0,(OFFSET('Base de dados'!$A$4,IF(O1389&lt;20,1,IF(O1389&gt;1000,10,MATCH(O1389,Cargas,1))),Coluna_fis,1,1))*(PI()*(fi_s/1000)^2/4)*(2*9.81*(O1389/100-cota_s-fi_s/2/1000))^0.5*1000)))</f>
        <v>5338.5729943882961</v>
      </c>
      <c r="R1389" s="19">
        <f t="shared" ca="1" si="195"/>
        <v>5388.2971568092371</v>
      </c>
      <c r="S1389" s="19">
        <f t="shared" ca="1" si="196"/>
        <v>8187.8145290499797</v>
      </c>
    </row>
    <row r="1390" spans="13:19">
      <c r="M1390" s="81">
        <f t="shared" ca="1" si="193"/>
        <v>13589.741061099496</v>
      </c>
      <c r="N1390" s="19">
        <f t="shared" si="194"/>
        <v>245.83346079958469</v>
      </c>
      <c r="O1390" s="17">
        <f t="shared" si="192"/>
        <v>347.25</v>
      </c>
      <c r="P1390" s="19">
        <f ca="1">IF(ISERROR(IF(O1390&lt;fi_h/20,0,(OFFSET('Base de dados'!$A$5,IF(O1390&lt;20,1,IF(O1390&gt;1000,10,MATCH(O1390,Cargas,1))),Coluna_fih,1,1))*(1+0.13*0.25)*(PI()*(fi_h/1000)^2/4)*SQRT(2*9.81*(O1390/100-fi_h/2/1000))*1000)),"",IF(O1390&lt;fi_h/20,0,(OFFSET('Base de dados'!$A$5,IF(O1390&lt;20,1,IF(O1390&gt;1000,10,MATCH(O1390,Cargas,1))),Coluna_fih,1,1))*(PI()*(fi_h/1000)^2/4)*SQRT(2*9.81*(O1390/100-fi_h/2/1000))*1000))</f>
        <v>49.74236719804513</v>
      </c>
      <c r="Q1390" s="19">
        <f ca="1">IF(O1390="","",IF(Tipo_Vertedor="Retangular",IF(O1390&lt;=cota_s*100,0,IF(Tipo_Vertedor="Retangular",Cd_sr*Lef_sr*((O1390/100-cota_s)^(3/2))*1000)),IF(O1390&lt;=cota_s*100+fi_s/20,0,(OFFSET('Base de dados'!$A$4,IF(O1390&lt;20,1,IF(O1390&gt;1000,10,MATCH(O1390,Cargas,1))),Coluna_fis,1,1))*(PI()*(fi_s/1000)^2/4)*(2*9.81*(O1390/100-cota_s-fi_s/2/1000))^0.5*1000)))</f>
        <v>5345.5500005819622</v>
      </c>
      <c r="R1390" s="19">
        <f t="shared" ca="1" si="195"/>
        <v>5395.2923677800072</v>
      </c>
      <c r="S1390" s="19">
        <f t="shared" ca="1" si="196"/>
        <v>8194.4486933194894</v>
      </c>
    </row>
    <row r="1391" spans="13:19">
      <c r="M1391" s="81">
        <f t="shared" ca="1" si="193"/>
        <v>13603.374061482809</v>
      </c>
      <c r="N1391" s="19">
        <f t="shared" si="194"/>
        <v>246.03250357830473</v>
      </c>
      <c r="O1391" s="17">
        <f t="shared" si="192"/>
        <v>347.5</v>
      </c>
      <c r="P1391" s="19">
        <f ca="1">IF(ISERROR(IF(O1391&lt;fi_h/20,0,(OFFSET('Base de dados'!$A$5,IF(O1391&lt;20,1,IF(O1391&gt;1000,10,MATCH(O1391,Cargas,1))),Coluna_fih,1,1))*(1+0.13*0.25)*(PI()*(fi_h/1000)^2/4)*SQRT(2*9.81*(O1391/100-fi_h/2/1000))*1000)),"",IF(O1391&lt;fi_h/20,0,(OFFSET('Base de dados'!$A$5,IF(O1391&lt;20,1,IF(O1391&gt;1000,10,MATCH(O1391,Cargas,1))),Coluna_fih,1,1))*(PI()*(fi_h/1000)^2/4)*SQRT(2*9.81*(O1391/100-fi_h/2/1000))*1000))</f>
        <v>49.760565314978088</v>
      </c>
      <c r="Q1391" s="19">
        <f ca="1">IF(O1391="","",IF(Tipo_Vertedor="Retangular",IF(O1391&lt;=cota_s*100,0,IF(Tipo_Vertedor="Retangular",Cd_sr*Lef_sr*((O1391/100-cota_s)^(3/2))*1000)),IF(O1391&lt;=cota_s*100+fi_s/20,0,(OFFSET('Base de dados'!$A$4,IF(O1391&lt;20,1,IF(O1391&gt;1000,10,MATCH(O1391,Cargas,1))),Coluna_fis,1,1))*(PI()*(fi_s/1000)^2/4)*(2*9.81*(O1391/100-cota_s-fi_s/2/1000))^0.5*1000)))</f>
        <v>5352.5300435576728</v>
      </c>
      <c r="R1391" s="19">
        <f t="shared" ca="1" si="195"/>
        <v>5402.2906088726513</v>
      </c>
      <c r="S1391" s="19">
        <f t="shared" ca="1" si="196"/>
        <v>8201.0834526101571</v>
      </c>
    </row>
    <row r="1392" spans="13:19">
      <c r="M1392" s="81">
        <f t="shared" ca="1" si="193"/>
        <v>13617.010685321062</v>
      </c>
      <c r="N1392" s="19">
        <f t="shared" si="194"/>
        <v>246.23156419641651</v>
      </c>
      <c r="O1392" s="17">
        <f t="shared" si="192"/>
        <v>347.75</v>
      </c>
      <c r="P1392" s="19">
        <f ca="1">IF(ISERROR(IF(O1392&lt;fi_h/20,0,(OFFSET('Base de dados'!$A$5,IF(O1392&lt;20,1,IF(O1392&gt;1000,10,MATCH(O1392,Cargas,1))),Coluna_fih,1,1))*(1+0.13*0.25)*(PI()*(fi_h/1000)^2/4)*SQRT(2*9.81*(O1392/100-fi_h/2/1000))*1000)),"",IF(O1392&lt;fi_h/20,0,(OFFSET('Base de dados'!$A$5,IF(O1392&lt;20,1,IF(O1392&gt;1000,10,MATCH(O1392,Cargas,1))),Coluna_fih,1,1))*(PI()*(fi_h/1000)^2/4)*SQRT(2*9.81*(O1392/100-fi_h/2/1000))*1000))</f>
        <v>49.778756779044237</v>
      </c>
      <c r="Q1392" s="19">
        <f ca="1">IF(O1392="","",IF(Tipo_Vertedor="Retangular",IF(O1392&lt;=cota_s*100,0,IF(Tipo_Vertedor="Retangular",Cd_sr*Lef_sr*((O1392/100-cota_s)^(3/2))*1000)),IF(O1392&lt;=cota_s*100+fi_s/20,0,(OFFSET('Base de dados'!$A$4,IF(O1392&lt;20,1,IF(O1392&gt;1000,10,MATCH(O1392,Cargas,1))),Coluna_fis,1,1))*(PI()*(fi_s/1000)^2/4)*(2*9.81*(O1392/100-cota_s-fi_s/2/1000))^0.5*1000)))</f>
        <v>5359.5131219947989</v>
      </c>
      <c r="R1392" s="19">
        <f t="shared" ca="1" si="195"/>
        <v>5409.2918787738436</v>
      </c>
      <c r="S1392" s="19">
        <f t="shared" ca="1" si="196"/>
        <v>8207.7188065472183</v>
      </c>
    </row>
    <row r="1393" spans="13:19">
      <c r="M1393" s="81">
        <f t="shared" ca="1" si="193"/>
        <v>13630.650930928387</v>
      </c>
      <c r="N1393" s="19">
        <f t="shared" si="194"/>
        <v>246.43064264269242</v>
      </c>
      <c r="O1393" s="17">
        <f t="shared" si="192"/>
        <v>348</v>
      </c>
      <c r="P1393" s="19">
        <f ca="1">IF(ISERROR(IF(O1393&lt;fi_h/20,0,(OFFSET('Base de dados'!$A$5,IF(O1393&lt;20,1,IF(O1393&gt;1000,10,MATCH(O1393,Cargas,1))),Coluna_fih,1,1))*(1+0.13*0.25)*(PI()*(fi_h/1000)^2/4)*SQRT(2*9.81*(O1393/100-fi_h/2/1000))*1000)),"",IF(O1393&lt;fi_h/20,0,(OFFSET('Base de dados'!$A$5,IF(O1393&lt;20,1,IF(O1393&gt;1000,10,MATCH(O1393,Cargas,1))),Coluna_fih,1,1))*(PI()*(fi_h/1000)^2/4)*SQRT(2*9.81*(O1393/100-fi_h/2/1000))*1000))</f>
        <v>49.796941597534733</v>
      </c>
      <c r="Q1393" s="19">
        <f ca="1">IF(O1393="","",IF(Tipo_Vertedor="Retangular",IF(O1393&lt;=cota_s*100,0,IF(Tipo_Vertedor="Retangular",Cd_sr*Lef_sr*((O1393/100-cota_s)^(3/2))*1000)),IF(O1393&lt;=cota_s*100+fi_s/20,0,(OFFSET('Base de dados'!$A$4,IF(O1393&lt;20,1,IF(O1393&gt;1000,10,MATCH(O1393,Cargas,1))),Coluna_fis,1,1))*(PI()*(fi_s/1000)^2/4)*(2*9.81*(O1393/100-cota_s-fi_s/2/1000))^0.5*1000)))</f>
        <v>5366.4992345744367</v>
      </c>
      <c r="R1393" s="19">
        <f t="shared" ca="1" si="195"/>
        <v>5416.2961761719716</v>
      </c>
      <c r="S1393" s="19">
        <f t="shared" ca="1" si="196"/>
        <v>8214.354754756414</v>
      </c>
    </row>
    <row r="1394" spans="13:19">
      <c r="M1394" s="81">
        <f t="shared" ca="1" si="193"/>
        <v>13644.294796621114</v>
      </c>
      <c r="N1394" s="19">
        <f t="shared" si="194"/>
        <v>246.62973890591982</v>
      </c>
      <c r="O1394" s="17">
        <f t="shared" si="192"/>
        <v>348.25</v>
      </c>
      <c r="P1394" s="19">
        <f ca="1">IF(ISERROR(IF(O1394&lt;fi_h/20,0,(OFFSET('Base de dados'!$A$5,IF(O1394&lt;20,1,IF(O1394&gt;1000,10,MATCH(O1394,Cargas,1))),Coluna_fih,1,1))*(1+0.13*0.25)*(PI()*(fi_h/1000)^2/4)*SQRT(2*9.81*(O1394/100-fi_h/2/1000))*1000)),"",IF(O1394&lt;fi_h/20,0,(OFFSET('Base de dados'!$A$5,IF(O1394&lt;20,1,IF(O1394&gt;1000,10,MATCH(O1394,Cargas,1))),Coluna_fih,1,1))*(PI()*(fi_h/1000)^2/4)*SQRT(2*9.81*(O1394/100-fi_h/2/1000))*1000))</f>
        <v>49.815119777727411</v>
      </c>
      <c r="Q1394" s="19">
        <f ca="1">IF(O1394="","",IF(Tipo_Vertedor="Retangular",IF(O1394&lt;=cota_s*100,0,IF(Tipo_Vertedor="Retangular",Cd_sr*Lef_sr*((O1394/100-cota_s)^(3/2))*1000)),IF(O1394&lt;=cota_s*100+fi_s/20,0,(OFFSET('Base de dados'!$A$4,IF(O1394&lt;20,1,IF(O1394&gt;1000,10,MATCH(O1394,Cargas,1))),Coluna_fis,1,1))*(PI()*(fi_s/1000)^2/4)*(2*9.81*(O1394/100-cota_s-fi_s/2/1000))^0.5*1000)))</f>
        <v>5373.4883799793915</v>
      </c>
      <c r="R1394" s="19">
        <f t="shared" ca="1" si="195"/>
        <v>5423.3034997571185</v>
      </c>
      <c r="S1394" s="19">
        <f t="shared" ca="1" si="196"/>
        <v>8220.9912968639946</v>
      </c>
    </row>
    <row r="1395" spans="13:19">
      <c r="M1395" s="81">
        <f t="shared" ca="1" si="193"/>
        <v>13657.942280717791</v>
      </c>
      <c r="N1395" s="19">
        <f t="shared" si="194"/>
        <v>246.82885297490114</v>
      </c>
      <c r="O1395" s="17">
        <f t="shared" si="192"/>
        <v>348.5</v>
      </c>
      <c r="P1395" s="19">
        <f ca="1">IF(ISERROR(IF(O1395&lt;fi_h/20,0,(OFFSET('Base de dados'!$A$5,IF(O1395&lt;20,1,IF(O1395&gt;1000,10,MATCH(O1395,Cargas,1))),Coluna_fih,1,1))*(1+0.13*0.25)*(PI()*(fi_h/1000)^2/4)*SQRT(2*9.81*(O1395/100-fi_h/2/1000))*1000)),"",IF(O1395&lt;fi_h/20,0,(OFFSET('Base de dados'!$A$5,IF(O1395&lt;20,1,IF(O1395&gt;1000,10,MATCH(O1395,Cargas,1))),Coluna_fih,1,1))*(PI()*(fi_h/1000)^2/4)*SQRT(2*9.81*(O1395/100-fi_h/2/1000))*1000))</f>
        <v>49.833291326886801</v>
      </c>
      <c r="Q1395" s="19">
        <f ca="1">IF(O1395="","",IF(Tipo_Vertedor="Retangular",IF(O1395&lt;=cota_s*100,0,IF(Tipo_Vertedor="Retangular",Cd_sr*Lef_sr*((O1395/100-cota_s)^(3/2))*1000)),IF(O1395&lt;=cota_s*100+fi_s/20,0,(OFFSET('Base de dados'!$A$4,IF(O1395&lt;20,1,IF(O1395&gt;1000,10,MATCH(O1395,Cargas,1))),Coluna_fis,1,1))*(PI()*(fi_s/1000)^2/4)*(2*9.81*(O1395/100-cota_s-fi_s/2/1000))^0.5*1000)))</f>
        <v>5380.4805568941983</v>
      </c>
      <c r="R1395" s="19">
        <f t="shared" ca="1" si="195"/>
        <v>5430.3138482210852</v>
      </c>
      <c r="S1395" s="19">
        <f t="shared" ca="1" si="196"/>
        <v>8227.6284324967055</v>
      </c>
    </row>
    <row r="1396" spans="13:19">
      <c r="M1396" s="81">
        <f t="shared" ca="1" si="193"/>
        <v>13671.593381539151</v>
      </c>
      <c r="N1396" s="19">
        <f t="shared" si="194"/>
        <v>247.0279848384541</v>
      </c>
      <c r="O1396" s="17">
        <f t="shared" si="192"/>
        <v>348.75</v>
      </c>
      <c r="P1396" s="19">
        <f ca="1">IF(ISERROR(IF(O1396&lt;fi_h/20,0,(OFFSET('Base de dados'!$A$5,IF(O1396&lt;20,1,IF(O1396&gt;1000,10,MATCH(O1396,Cargas,1))),Coluna_fih,1,1))*(1+0.13*0.25)*(PI()*(fi_h/1000)^2/4)*SQRT(2*9.81*(O1396/100-fi_h/2/1000))*1000)),"",IF(O1396&lt;fi_h/20,0,(OFFSET('Base de dados'!$A$5,IF(O1396&lt;20,1,IF(O1396&gt;1000,10,MATCH(O1396,Cargas,1))),Coluna_fih,1,1))*(PI()*(fi_h/1000)^2/4)*SQRT(2*9.81*(O1396/100-fi_h/2/1000))*1000))</f>
        <v>49.851456252264228</v>
      </c>
      <c r="Q1396" s="19">
        <f ca="1">IF(O1396="","",IF(Tipo_Vertedor="Retangular",IF(O1396&lt;=cota_s*100,0,IF(Tipo_Vertedor="Retangular",Cd_sr*Lef_sr*((O1396/100-cota_s)^(3/2))*1000)),IF(O1396&lt;=cota_s*100+fi_s/20,0,(OFFSET('Base de dados'!$A$4,IF(O1396&lt;20,1,IF(O1396&gt;1000,10,MATCH(O1396,Cargas,1))),Coluna_fis,1,1))*(PI()*(fi_s/1000)^2/4)*(2*9.81*(O1396/100-cota_s-fi_s/2/1000))^0.5*1000)))</f>
        <v>5387.4757640050848</v>
      </c>
      <c r="R1396" s="19">
        <f t="shared" ca="1" si="195"/>
        <v>5437.3272202573489</v>
      </c>
      <c r="S1396" s="19">
        <f t="shared" ca="1" si="196"/>
        <v>8234.2661612818029</v>
      </c>
    </row>
    <row r="1397" spans="13:19">
      <c r="M1397" s="81">
        <f t="shared" ca="1" si="193"/>
        <v>13685.248097408137</v>
      </c>
      <c r="N1397" s="19">
        <f t="shared" si="194"/>
        <v>247.2271344854112</v>
      </c>
      <c r="O1397" s="17">
        <f t="shared" si="192"/>
        <v>349</v>
      </c>
      <c r="P1397" s="19">
        <f ca="1">IF(ISERROR(IF(O1397&lt;fi_h/20,0,(OFFSET('Base de dados'!$A$5,IF(O1397&lt;20,1,IF(O1397&gt;1000,10,MATCH(O1397,Cargas,1))),Coluna_fih,1,1))*(1+0.13*0.25)*(PI()*(fi_h/1000)^2/4)*SQRT(2*9.81*(O1397/100-fi_h/2/1000))*1000)),"",IF(O1397&lt;fi_h/20,0,(OFFSET('Base de dados'!$A$5,IF(O1397&lt;20,1,IF(O1397&gt;1000,10,MATCH(O1397,Cargas,1))),Coluna_fih,1,1))*(PI()*(fi_h/1000)^2/4)*SQRT(2*9.81*(O1397/100-fi_h/2/1000))*1000))</f>
        <v>49.869614561097791</v>
      </c>
      <c r="Q1397" s="19">
        <f ca="1">IF(O1397="","",IF(Tipo_Vertedor="Retangular",IF(O1397&lt;=cota_s*100,0,IF(Tipo_Vertedor="Retangular",Cd_sr*Lef_sr*((O1397/100-cota_s)^(3/2))*1000)),IF(O1397&lt;=cota_s*100+fi_s/20,0,(OFFSET('Base de dados'!$A$4,IF(O1397&lt;20,1,IF(O1397&gt;1000,10,MATCH(O1397,Cargas,1))),Coluna_fis,1,1))*(PI()*(fi_s/1000)^2/4)*(2*9.81*(O1397/100-cota_s-fi_s/2/1000))^0.5*1000)))</f>
        <v>5394.4740000000011</v>
      </c>
      <c r="R1397" s="19">
        <f t="shared" ca="1" si="195"/>
        <v>5444.3436145610985</v>
      </c>
      <c r="S1397" s="19">
        <f t="shared" ca="1" si="196"/>
        <v>8240.9044828470396</v>
      </c>
    </row>
    <row r="1398" spans="13:19">
      <c r="M1398" s="81">
        <f t="shared" ca="1" si="193"/>
        <v>13698.906426649868</v>
      </c>
      <c r="N1398" s="19">
        <f t="shared" si="194"/>
        <v>247.42630190462009</v>
      </c>
      <c r="O1398" s="17">
        <f t="shared" si="192"/>
        <v>349.25</v>
      </c>
      <c r="P1398" s="19">
        <f ca="1">IF(ISERROR(IF(O1398&lt;fi_h/20,0,(OFFSET('Base de dados'!$A$5,IF(O1398&lt;20,1,IF(O1398&gt;1000,10,MATCH(O1398,Cargas,1))),Coluna_fih,1,1))*(1+0.13*0.25)*(PI()*(fi_h/1000)^2/4)*SQRT(2*9.81*(O1398/100-fi_h/2/1000))*1000)),"",IF(O1398&lt;fi_h/20,0,(OFFSET('Base de dados'!$A$5,IF(O1398&lt;20,1,IF(O1398&gt;1000,10,MATCH(O1398,Cargas,1))),Coluna_fih,1,1))*(PI()*(fi_h/1000)^2/4)*SQRT(2*9.81*(O1398/100-fi_h/2/1000))*1000))</f>
        <v>49.887766260612437</v>
      </c>
      <c r="Q1398" s="19">
        <f ca="1">IF(O1398="","",IF(Tipo_Vertedor="Retangular",IF(O1398&lt;=cota_s*100,0,IF(Tipo_Vertedor="Retangular",Cd_sr*Lef_sr*((O1398/100-cota_s)^(3/2))*1000)),IF(O1398&lt;=cota_s*100+fi_s/20,0,(OFFSET('Base de dados'!$A$4,IF(O1398&lt;20,1,IF(O1398&gt;1000,10,MATCH(O1398,Cargas,1))),Coluna_fis,1,1))*(PI()*(fi_s/1000)^2/4)*(2*9.81*(O1398/100-cota_s-fi_s/2/1000))^0.5*1000)))</f>
        <v>5401.4752635685863</v>
      </c>
      <c r="R1398" s="19">
        <f t="shared" ca="1" si="195"/>
        <v>5451.3630298291991</v>
      </c>
      <c r="S1398" s="19">
        <f t="shared" ca="1" si="196"/>
        <v>8247.5433968206689</v>
      </c>
    </row>
    <row r="1399" spans="13:19">
      <c r="M1399" s="81">
        <f t="shared" ca="1" si="193"/>
        <v>13712.568367591648</v>
      </c>
      <c r="N1399" s="19">
        <f t="shared" si="194"/>
        <v>247.62548708494327</v>
      </c>
      <c r="O1399" s="17">
        <f t="shared" si="192"/>
        <v>349.5</v>
      </c>
      <c r="P1399" s="19">
        <f ca="1">IF(ISERROR(IF(O1399&lt;fi_h/20,0,(OFFSET('Base de dados'!$A$5,IF(O1399&lt;20,1,IF(O1399&gt;1000,10,MATCH(O1399,Cargas,1))),Coluna_fih,1,1))*(1+0.13*0.25)*(PI()*(fi_h/1000)^2/4)*SQRT(2*9.81*(O1399/100-fi_h/2/1000))*1000)),"",IF(O1399&lt;fi_h/20,0,(OFFSET('Base de dados'!$A$5,IF(O1399&lt;20,1,IF(O1399&gt;1000,10,MATCH(O1399,Cargas,1))),Coluna_fih,1,1))*(PI()*(fi_h/1000)^2/4)*SQRT(2*9.81*(O1399/100-fi_h/2/1000))*1000))</f>
        <v>49.905911358019935</v>
      </c>
      <c r="Q1399" s="19">
        <f ca="1">IF(O1399="","",IF(Tipo_Vertedor="Retangular",IF(O1399&lt;=cota_s*100,0,IF(Tipo_Vertedor="Retangular",Cd_sr*Lef_sr*((O1399/100-cota_s)^(3/2))*1000)),IF(O1399&lt;=cota_s*100+fi_s/20,0,(OFFSET('Base de dados'!$A$4,IF(O1399&lt;20,1,IF(O1399&gt;1000,10,MATCH(O1399,Cargas,1))),Coluna_fis,1,1))*(PI()*(fi_s/1000)^2/4)*(2*9.81*(O1399/100-cota_s-fi_s/2/1000))^0.5*1000)))</f>
        <v>5408.4795534021869</v>
      </c>
      <c r="R1399" s="19">
        <f t="shared" ca="1" si="195"/>
        <v>5458.3854647602066</v>
      </c>
      <c r="S1399" s="19">
        <f t="shared" ca="1" si="196"/>
        <v>8254.1829028314423</v>
      </c>
    </row>
    <row r="1400" spans="13:19">
      <c r="M1400" s="81">
        <f t="shared" ca="1" si="193"/>
        <v>13726.233918562972</v>
      </c>
      <c r="N1400" s="19">
        <f t="shared" si="194"/>
        <v>247.82469001525834</v>
      </c>
      <c r="O1400" s="17">
        <f t="shared" si="192"/>
        <v>349.75</v>
      </c>
      <c r="P1400" s="19">
        <f ca="1">IF(ISERROR(IF(O1400&lt;fi_h/20,0,(OFFSET('Base de dados'!$A$5,IF(O1400&lt;20,1,IF(O1400&gt;1000,10,MATCH(O1400,Cargas,1))),Coluna_fih,1,1))*(1+0.13*0.25)*(PI()*(fi_h/1000)^2/4)*SQRT(2*9.81*(O1400/100-fi_h/2/1000))*1000)),"",IF(O1400&lt;fi_h/20,0,(OFFSET('Base de dados'!$A$5,IF(O1400&lt;20,1,IF(O1400&gt;1000,10,MATCH(O1400,Cargas,1))),Coluna_fih,1,1))*(PI()*(fi_h/1000)^2/4)*SQRT(2*9.81*(O1400/100-fi_h/2/1000))*1000))</f>
        <v>49.924049860518984</v>
      </c>
      <c r="Q1400" s="19">
        <f ca="1">IF(O1400="","",IF(Tipo_Vertedor="Retangular",IF(O1400&lt;=cota_s*100,0,IF(Tipo_Vertedor="Retangular",Cd_sr*Lef_sr*((O1400/100-cota_s)^(3/2))*1000)),IF(O1400&lt;=cota_s*100+fi_s/20,0,(OFFSET('Base de dados'!$A$4,IF(O1400&lt;20,1,IF(O1400&gt;1000,10,MATCH(O1400,Cargas,1))),Coluna_fis,1,1))*(PI()*(fi_s/1000)^2/4)*(2*9.81*(O1400/100-cota_s-fi_s/2/1000))^0.5*1000)))</f>
        <v>5415.4868681938406</v>
      </c>
      <c r="R1400" s="19">
        <f t="shared" ca="1" si="195"/>
        <v>5465.4109180543592</v>
      </c>
      <c r="S1400" s="19">
        <f t="shared" ca="1" si="196"/>
        <v>8260.8230005086116</v>
      </c>
    </row>
    <row r="1401" spans="13:19">
      <c r="M1401" s="81">
        <f t="shared" ca="1" si="193"/>
        <v>13739.903077895502</v>
      </c>
      <c r="N1401" s="19">
        <f t="shared" si="194"/>
        <v>248.02391068445766</v>
      </c>
      <c r="O1401" s="17">
        <f t="shared" si="192"/>
        <v>350</v>
      </c>
      <c r="P1401" s="19">
        <f ca="1">IF(ISERROR(IF(O1401&lt;fi_h/20,0,(OFFSET('Base de dados'!$A$5,IF(O1401&lt;20,1,IF(O1401&gt;1000,10,MATCH(O1401,Cargas,1))),Coluna_fih,1,1))*(1+0.13*0.25)*(PI()*(fi_h/1000)^2/4)*SQRT(2*9.81*(O1401/100-fi_h/2/1000))*1000)),"",IF(O1401&lt;fi_h/20,0,(OFFSET('Base de dados'!$A$5,IF(O1401&lt;20,1,IF(O1401&gt;1000,10,MATCH(O1401,Cargas,1))),Coluna_fih,1,1))*(PI()*(fi_h/1000)^2/4)*SQRT(2*9.81*(O1401/100-fi_h/2/1000))*1000))</f>
        <v>49.942181775295218</v>
      </c>
      <c r="Q1401" s="19">
        <f ca="1">IF(O1401="","",IF(Tipo_Vertedor="Retangular",IF(O1401&lt;=cota_s*100,0,IF(Tipo_Vertedor="Retangular",Cd_sr*Lef_sr*((O1401/100-cota_s)^(3/2))*1000)),IF(O1401&lt;=cota_s*100+fi_s/20,0,(OFFSET('Base de dados'!$A$4,IF(O1401&lt;20,1,IF(O1401&gt;1000,10,MATCH(O1401,Cargas,1))),Coluna_fis,1,1))*(PI()*(fi_s/1000)^2/4)*(2*9.81*(O1401/100-cota_s-fi_s/2/1000))^0.5*1000)))</f>
        <v>5422.4972066382843</v>
      </c>
      <c r="R1401" s="19">
        <f t="shared" ca="1" si="195"/>
        <v>5472.4393884135798</v>
      </c>
      <c r="S1401" s="19">
        <f t="shared" ca="1" si="196"/>
        <v>8267.4636894819214</v>
      </c>
    </row>
    <row r="1402" spans="13:19">
      <c r="M1402" s="81">
        <f t="shared" ca="1" si="193"/>
        <v>13753.575843923074</v>
      </c>
      <c r="N1402" s="19">
        <f t="shared" si="194"/>
        <v>248.22314908144855</v>
      </c>
      <c r="O1402" s="17">
        <f t="shared" si="192"/>
        <v>350.25</v>
      </c>
      <c r="P1402" s="19">
        <f ca="1">IF(ISERROR(IF(O1402&lt;fi_h/20,0,(OFFSET('Base de dados'!$A$5,IF(O1402&lt;20,1,IF(O1402&gt;1000,10,MATCH(O1402,Cargas,1))),Coluna_fih,1,1))*(1+0.13*0.25)*(PI()*(fi_h/1000)^2/4)*SQRT(2*9.81*(O1402/100-fi_h/2/1000))*1000)),"",IF(O1402&lt;fi_h/20,0,(OFFSET('Base de dados'!$A$5,IF(O1402&lt;20,1,IF(O1402&gt;1000,10,MATCH(O1402,Cargas,1))),Coluna_fih,1,1))*(PI()*(fi_h/1000)^2/4)*SQRT(2*9.81*(O1402/100-fi_h/2/1000))*1000))</f>
        <v>49.960307109521175</v>
      </c>
      <c r="Q1402" s="19">
        <f ca="1">IF(O1402="","",IF(Tipo_Vertedor="Retangular",IF(O1402&lt;=cota_s*100,0,IF(Tipo_Vertedor="Retangular",Cd_sr*Lef_sr*((O1402/100-cota_s)^(3/2))*1000)),IF(O1402&lt;=cota_s*100+fi_s/20,0,(OFFSET('Base de dados'!$A$4,IF(O1402&lt;20,1,IF(O1402&gt;1000,10,MATCH(O1402,Cargas,1))),Coluna_fis,1,1))*(PI()*(fi_s/1000)^2/4)*(2*9.81*(O1402/100-cota_s-fi_s/2/1000))^0.5*1000)))</f>
        <v>5429.5105674319348</v>
      </c>
      <c r="R1402" s="19">
        <f t="shared" ca="1" si="195"/>
        <v>5479.4708745414555</v>
      </c>
      <c r="S1402" s="19">
        <f t="shared" ca="1" si="196"/>
        <v>8274.1049693816185</v>
      </c>
    </row>
    <row r="1403" spans="13:19">
      <c r="M1403" s="81">
        <f t="shared" ca="1" si="193"/>
        <v>13767.252214981701</v>
      </c>
      <c r="N1403" s="19">
        <f t="shared" si="194"/>
        <v>248.42240519515332</v>
      </c>
      <c r="O1403" s="17">
        <f t="shared" si="192"/>
        <v>350.5</v>
      </c>
      <c r="P1403" s="19">
        <f ca="1">IF(ISERROR(IF(O1403&lt;fi_h/20,0,(OFFSET('Base de dados'!$A$5,IF(O1403&lt;20,1,IF(O1403&gt;1000,10,MATCH(O1403,Cargas,1))),Coluna_fih,1,1))*(1+0.13*0.25)*(PI()*(fi_h/1000)^2/4)*SQRT(2*9.81*(O1403/100-fi_h/2/1000))*1000)),"",IF(O1403&lt;fi_h/20,0,(OFFSET('Base de dados'!$A$5,IF(O1403&lt;20,1,IF(O1403&gt;1000,10,MATCH(O1403,Cargas,1))),Coluna_fih,1,1))*(PI()*(fi_h/1000)^2/4)*SQRT(2*9.81*(O1403/100-fi_h/2/1000))*1000))</f>
        <v>49.978425870356453</v>
      </c>
      <c r="Q1403" s="19">
        <f ca="1">IF(O1403="","",IF(Tipo_Vertedor="Retangular",IF(O1403&lt;=cota_s*100,0,IF(Tipo_Vertedor="Retangular",Cd_sr*Lef_sr*((O1403/100-cota_s)^(3/2))*1000)),IF(O1403&lt;=cota_s*100+fi_s/20,0,(OFFSET('Base de dados'!$A$4,IF(O1403&lt;20,1,IF(O1403&gt;1000,10,MATCH(O1403,Cargas,1))),Coluna_fis,1,1))*(PI()*(fi_s/1000)^2/4)*(2*9.81*(O1403/100-cota_s-fi_s/2/1000))^0.5*1000)))</f>
        <v>5436.5269492729003</v>
      </c>
      <c r="R1403" s="19">
        <f t="shared" ca="1" si="195"/>
        <v>5486.505375143257</v>
      </c>
      <c r="S1403" s="19">
        <f t="shared" ca="1" si="196"/>
        <v>8280.7468398384444</v>
      </c>
    </row>
    <row r="1404" spans="13:19">
      <c r="M1404" s="81">
        <f t="shared" ca="1" si="193"/>
        <v>13780.93218940953</v>
      </c>
      <c r="N1404" s="19">
        <f t="shared" si="194"/>
        <v>248.62167901450869</v>
      </c>
      <c r="O1404" s="17">
        <f t="shared" si="192"/>
        <v>350.75</v>
      </c>
      <c r="P1404" s="19">
        <f ca="1">IF(ISERROR(IF(O1404&lt;fi_h/20,0,(OFFSET('Base de dados'!$A$5,IF(O1404&lt;20,1,IF(O1404&gt;1000,10,MATCH(O1404,Cargas,1))),Coluna_fih,1,1))*(1+0.13*0.25)*(PI()*(fi_h/1000)^2/4)*SQRT(2*9.81*(O1404/100-fi_h/2/1000))*1000)),"",IF(O1404&lt;fi_h/20,0,(OFFSET('Base de dados'!$A$5,IF(O1404&lt;20,1,IF(O1404&gt;1000,10,MATCH(O1404,Cargas,1))),Coluna_fih,1,1))*(PI()*(fi_h/1000)^2/4)*SQRT(2*9.81*(O1404/100-fi_h/2/1000))*1000))</f>
        <v>49.996538064947643</v>
      </c>
      <c r="Q1404" s="19">
        <f ca="1">IF(O1404="","",IF(Tipo_Vertedor="Retangular",IF(O1404&lt;=cota_s*100,0,IF(Tipo_Vertedor="Retangular",Cd_sr*Lef_sr*((O1404/100-cota_s)^(3/2))*1000)),IF(O1404&lt;=cota_s*100+fi_s/20,0,(OFFSET('Base de dados'!$A$4,IF(O1404&lt;20,1,IF(O1404&gt;1000,10,MATCH(O1404,Cargas,1))),Coluna_fis,1,1))*(PI()*(fi_s/1000)^2/4)*(2*9.81*(O1404/100-cota_s-fi_s/2/1000))^0.5*1000)))</f>
        <v>5443.54635086096</v>
      </c>
      <c r="R1404" s="19">
        <f t="shared" ca="1" si="195"/>
        <v>5493.5428889259074</v>
      </c>
      <c r="S1404" s="19">
        <f t="shared" ca="1" si="196"/>
        <v>8287.3893004836227</v>
      </c>
    </row>
    <row r="1405" spans="13:19">
      <c r="M1405" s="81">
        <f t="shared" ca="1" si="193"/>
        <v>13794.6157655469</v>
      </c>
      <c r="N1405" s="19">
        <f t="shared" si="194"/>
        <v>248.82097052846663</v>
      </c>
      <c r="O1405" s="17">
        <f t="shared" si="192"/>
        <v>351</v>
      </c>
      <c r="P1405" s="19">
        <f ca="1">IF(ISERROR(IF(O1405&lt;fi_h/20,0,(OFFSET('Base de dados'!$A$5,IF(O1405&lt;20,1,IF(O1405&gt;1000,10,MATCH(O1405,Cargas,1))),Coluna_fih,1,1))*(1+0.13*0.25)*(PI()*(fi_h/1000)^2/4)*SQRT(2*9.81*(O1405/100-fi_h/2/1000))*1000)),"",IF(O1405&lt;fi_h/20,0,(OFFSET('Base de dados'!$A$5,IF(O1405&lt;20,1,IF(O1405&gt;1000,10,MATCH(O1405,Cargas,1))),Coluna_fih,1,1))*(PI()*(fi_h/1000)^2/4)*SQRT(2*9.81*(O1405/100-fi_h/2/1000))*1000))</f>
        <v>50.014643700428387</v>
      </c>
      <c r="Q1405" s="19">
        <f ca="1">IF(O1405="","",IF(Tipo_Vertedor="Retangular",IF(O1405&lt;=cota_s*100,0,IF(Tipo_Vertedor="Retangular",Cd_sr*Lef_sr*((O1405/100-cota_s)^(3/2))*1000)),IF(O1405&lt;=cota_s*100+fi_s/20,0,(OFFSET('Base de dados'!$A$4,IF(O1405&lt;20,1,IF(O1405&gt;1000,10,MATCH(O1405,Cargas,1))),Coluna_fis,1,1))*(PI()*(fi_s/1000)^2/4)*(2*9.81*(O1405/100-cota_s-fi_s/2/1000))^0.5*1000)))</f>
        <v>5450.5687708975838</v>
      </c>
      <c r="R1405" s="19">
        <f t="shared" ca="1" si="195"/>
        <v>5500.5834145980125</v>
      </c>
      <c r="S1405" s="19">
        <f t="shared" ca="1" si="196"/>
        <v>8294.0323509488881</v>
      </c>
    </row>
    <row r="1406" spans="13:19">
      <c r="M1406" s="81">
        <f t="shared" ca="1" si="193"/>
        <v>13808.302941736281</v>
      </c>
      <c r="N1406" s="19">
        <f t="shared" si="194"/>
        <v>249.0202797259937</v>
      </c>
      <c r="O1406" s="17">
        <f t="shared" si="192"/>
        <v>351.25</v>
      </c>
      <c r="P1406" s="19">
        <f ca="1">IF(ISERROR(IF(O1406&lt;fi_h/20,0,(OFFSET('Base de dados'!$A$5,IF(O1406&lt;20,1,IF(O1406&gt;1000,10,MATCH(O1406,Cargas,1))),Coluna_fih,1,1))*(1+0.13*0.25)*(PI()*(fi_h/1000)^2/4)*SQRT(2*9.81*(O1406/100-fi_h/2/1000))*1000)),"",IF(O1406&lt;fi_h/20,0,(OFFSET('Base de dados'!$A$5,IF(O1406&lt;20,1,IF(O1406&gt;1000,10,MATCH(O1406,Cargas,1))),Coluna_fih,1,1))*(PI()*(fi_h/1000)^2/4)*SQRT(2*9.81*(O1406/100-fi_h/2/1000))*1000))</f>
        <v>50.032742783919446</v>
      </c>
      <c r="Q1406" s="19">
        <f ca="1">IF(O1406="","",IF(Tipo_Vertedor="Retangular",IF(O1406&lt;=cota_s*100,0,IF(Tipo_Vertedor="Retangular",Cd_sr*Lef_sr*((O1406/100-cota_s)^(3/2))*1000)),IF(O1406&lt;=cota_s*100+fi_s/20,0,(OFFSET('Base de dados'!$A$4,IF(O1406&lt;20,1,IF(O1406&gt;1000,10,MATCH(O1406,Cargas,1))),Coluna_fis,1,1))*(PI()*(fi_s/1000)^2/4)*(2*9.81*(O1406/100-cota_s-fi_s/2/1000))^0.5*1000)))</f>
        <v>5457.5942080859049</v>
      </c>
      <c r="R1406" s="19">
        <f t="shared" ca="1" si="195"/>
        <v>5507.6269508698242</v>
      </c>
      <c r="S1406" s="19">
        <f t="shared" ca="1" si="196"/>
        <v>8300.6759908664571</v>
      </c>
    </row>
    <row r="1407" spans="13:19">
      <c r="M1407" s="81">
        <f t="shared" ca="1" si="193"/>
        <v>13821.993716322289</v>
      </c>
      <c r="N1407" s="19">
        <f t="shared" si="194"/>
        <v>249.21960659607092</v>
      </c>
      <c r="O1407" s="17">
        <f t="shared" si="192"/>
        <v>351.5</v>
      </c>
      <c r="P1407" s="19">
        <f ca="1">IF(ISERROR(IF(O1407&lt;fi_h/20,0,(OFFSET('Base de dados'!$A$5,IF(O1407&lt;20,1,IF(O1407&gt;1000,10,MATCH(O1407,Cargas,1))),Coluna_fih,1,1))*(1+0.13*0.25)*(PI()*(fi_h/1000)^2/4)*SQRT(2*9.81*(O1407/100-fi_h/2/1000))*1000)),"",IF(O1407&lt;fi_h/20,0,(OFFSET('Base de dados'!$A$5,IF(O1407&lt;20,1,IF(O1407&gt;1000,10,MATCH(O1407,Cargas,1))),Coluna_fih,1,1))*(PI()*(fi_h/1000)^2/4)*SQRT(2*9.81*(O1407/100-fi_h/2/1000))*1000))</f>
        <v>50.050835322528705</v>
      </c>
      <c r="Q1407" s="19">
        <f ca="1">IF(O1407="","",IF(Tipo_Vertedor="Retangular",IF(O1407&lt;=cota_s*100,0,IF(Tipo_Vertedor="Retangular",Cd_sr*Lef_sr*((O1407/100-cota_s)^(3/2))*1000)),IF(O1407&lt;=cota_s*100+fi_s/20,0,(OFFSET('Base de dados'!$A$4,IF(O1407&lt;20,1,IF(O1407&gt;1000,10,MATCH(O1407,Cargas,1))),Coluna_fis,1,1))*(PI()*(fi_s/1000)^2/4)*(2*9.81*(O1407/100-cota_s-fi_s/2/1000))^0.5*1000)))</f>
        <v>5464.6226611307293</v>
      </c>
      <c r="R1407" s="19">
        <f t="shared" ca="1" si="195"/>
        <v>5514.6734964532579</v>
      </c>
      <c r="S1407" s="19">
        <f t="shared" ca="1" si="196"/>
        <v>8307.3202198690306</v>
      </c>
    </row>
    <row r="1408" spans="13:19">
      <c r="M1408" s="81">
        <f t="shared" ca="1" si="193"/>
        <v>13835.688087651699</v>
      </c>
      <c r="N1408" s="19">
        <f t="shared" si="194"/>
        <v>249.41895112769444</v>
      </c>
      <c r="O1408" s="17">
        <f t="shared" si="192"/>
        <v>351.75</v>
      </c>
      <c r="P1408" s="19">
        <f ca="1">IF(ISERROR(IF(O1408&lt;fi_h/20,0,(OFFSET('Base de dados'!$A$5,IF(O1408&lt;20,1,IF(O1408&gt;1000,10,MATCH(O1408,Cargas,1))),Coluna_fih,1,1))*(1+0.13*0.25)*(PI()*(fi_h/1000)^2/4)*SQRT(2*9.81*(O1408/100-fi_h/2/1000))*1000)),"",IF(O1408&lt;fi_h/20,0,(OFFSET('Base de dados'!$A$5,IF(O1408&lt;20,1,IF(O1408&gt;1000,10,MATCH(O1408,Cargas,1))),Coluna_fih,1,1))*(PI()*(fi_h/1000)^2/4)*SQRT(2*9.81*(O1408/100-fi_h/2/1000))*1000))</f>
        <v>50.068921323351177</v>
      </c>
      <c r="Q1408" s="19">
        <f ca="1">IF(O1408="","",IF(Tipo_Vertedor="Retangular",IF(O1408&lt;=cota_s*100,0,IF(Tipo_Vertedor="Retangular",Cd_sr*Lef_sr*((O1408/100-cota_s)^(3/2))*1000)),IF(O1408&lt;=cota_s*100+fi_s/20,0,(OFFSET('Base de dados'!$A$4,IF(O1408&lt;20,1,IF(O1408&gt;1000,10,MATCH(O1408,Cargas,1))),Coluna_fis,1,1))*(PI()*(fi_s/1000)^2/4)*(2*9.81*(O1408/100-cota_s-fi_s/2/1000))^0.5*1000)))</f>
        <v>5471.6541287385326</v>
      </c>
      <c r="R1408" s="19">
        <f t="shared" ca="1" si="195"/>
        <v>5521.7230500618834</v>
      </c>
      <c r="S1408" s="19">
        <f t="shared" ca="1" si="196"/>
        <v>8313.9650375898145</v>
      </c>
    </row>
    <row r="1409" spans="13:19">
      <c r="M1409" s="81">
        <f t="shared" ca="1" si="193"/>
        <v>13849.386054073413</v>
      </c>
      <c r="N1409" s="19">
        <f t="shared" si="194"/>
        <v>249.61831330987476</v>
      </c>
      <c r="O1409" s="17">
        <f t="shared" si="192"/>
        <v>352</v>
      </c>
      <c r="P1409" s="19">
        <f ca="1">IF(ISERROR(IF(O1409&lt;fi_h/20,0,(OFFSET('Base de dados'!$A$5,IF(O1409&lt;20,1,IF(O1409&gt;1000,10,MATCH(O1409,Cargas,1))),Coluna_fih,1,1))*(1+0.13*0.25)*(PI()*(fi_h/1000)^2/4)*SQRT(2*9.81*(O1409/100-fi_h/2/1000))*1000)),"",IF(O1409&lt;fi_h/20,0,(OFFSET('Base de dados'!$A$5,IF(O1409&lt;20,1,IF(O1409&gt;1000,10,MATCH(O1409,Cargas,1))),Coluna_fih,1,1))*(PI()*(fi_h/1000)^2/4)*SQRT(2*9.81*(O1409/100-fi_h/2/1000))*1000))</f>
        <v>50.087000793469088</v>
      </c>
      <c r="Q1409" s="19">
        <f ca="1">IF(O1409="","",IF(Tipo_Vertedor="Retangular",IF(O1409&lt;=cota_s*100,0,IF(Tipo_Vertedor="Retangular",Cd_sr*Lef_sr*((O1409/100-cota_s)^(3/2))*1000)),IF(O1409&lt;=cota_s*100+fi_s/20,0,(OFFSET('Base de dados'!$A$4,IF(O1409&lt;20,1,IF(O1409&gt;1000,10,MATCH(O1409,Cargas,1))),Coluna_fis,1,1))*(PI()*(fi_s/1000)^2/4)*(2*9.81*(O1409/100-cota_s-fi_s/2/1000))^0.5*1000)))</f>
        <v>5478.6886096174512</v>
      </c>
      <c r="R1409" s="19">
        <f t="shared" ca="1" si="195"/>
        <v>5528.7756104109203</v>
      </c>
      <c r="S1409" s="19">
        <f t="shared" ca="1" si="196"/>
        <v>8320.6104436624919</v>
      </c>
    </row>
    <row r="1410" spans="13:19">
      <c r="M1410" s="81">
        <f t="shared" ca="1" si="193"/>
        <v>13863.087613938473</v>
      </c>
      <c r="N1410" s="19">
        <f t="shared" si="194"/>
        <v>249.81769313163727</v>
      </c>
      <c r="O1410" s="17">
        <f t="shared" si="192"/>
        <v>352.25</v>
      </c>
      <c r="P1410" s="19">
        <f ca="1">IF(ISERROR(IF(O1410&lt;fi_h/20,0,(OFFSET('Base de dados'!$A$5,IF(O1410&lt;20,1,IF(O1410&gt;1000,10,MATCH(O1410,Cargas,1))),Coluna_fih,1,1))*(1+0.13*0.25)*(PI()*(fi_h/1000)^2/4)*SQRT(2*9.81*(O1410/100-fi_h/2/1000))*1000)),"",IF(O1410&lt;fi_h/20,0,(OFFSET('Base de dados'!$A$5,IF(O1410&lt;20,1,IF(O1410&gt;1000,10,MATCH(O1410,Cargas,1))),Coluna_fih,1,1))*(PI()*(fi_h/1000)^2/4)*SQRT(2*9.81*(O1410/100-fi_h/2/1000))*1000))</f>
        <v>50.105073739951891</v>
      </c>
      <c r="Q1410" s="19">
        <f ca="1">IF(O1410="","",IF(Tipo_Vertedor="Retangular",IF(O1410&lt;=cota_s*100,0,IF(Tipo_Vertedor="Retangular",Cd_sr*Lef_sr*((O1410/100-cota_s)^(3/2))*1000)),IF(O1410&lt;=cota_s*100+fi_s/20,0,(OFFSET('Base de dados'!$A$4,IF(O1410&lt;20,1,IF(O1410&gt;1000,10,MATCH(O1410,Cargas,1))),Coluna_fis,1,1))*(PI()*(fi_s/1000)^2/4)*(2*9.81*(O1410/100-cota_s-fi_s/2/1000))^0.5*1000)))</f>
        <v>5485.7261024772788</v>
      </c>
      <c r="R1410" s="19">
        <f t="shared" ca="1" si="195"/>
        <v>5535.8311762172307</v>
      </c>
      <c r="S1410" s="19">
        <f t="shared" ca="1" si="196"/>
        <v>8327.256437721242</v>
      </c>
    </row>
    <row r="1411" spans="13:19">
      <c r="M1411" s="81">
        <f t="shared" ca="1" si="193"/>
        <v>13876.792765600052</v>
      </c>
      <c r="N1411" s="19">
        <f t="shared" si="194"/>
        <v>250.01709058202175</v>
      </c>
      <c r="O1411" s="17">
        <f t="shared" si="192"/>
        <v>352.5</v>
      </c>
      <c r="P1411" s="19">
        <f ca="1">IF(ISERROR(IF(O1411&lt;fi_h/20,0,(OFFSET('Base de dados'!$A$5,IF(O1411&lt;20,1,IF(O1411&gt;1000,10,MATCH(O1411,Cargas,1))),Coluna_fih,1,1))*(1+0.13*0.25)*(PI()*(fi_h/1000)^2/4)*SQRT(2*9.81*(O1411/100-fi_h/2/1000))*1000)),"",IF(O1411&lt;fi_h/20,0,(OFFSET('Base de dados'!$A$5,IF(O1411&lt;20,1,IF(O1411&gt;1000,10,MATCH(O1411,Cargas,1))),Coluna_fih,1,1))*(PI()*(fi_h/1000)^2/4)*SQRT(2*9.81*(O1411/100-fi_h/2/1000))*1000))</f>
        <v>50.123140169856264</v>
      </c>
      <c r="Q1411" s="19">
        <f ca="1">IF(O1411="","",IF(Tipo_Vertedor="Retangular",IF(O1411&lt;=cota_s*100,0,IF(Tipo_Vertedor="Retangular",Cd_sr*Lef_sr*((O1411/100-cota_s)^(3/2))*1000)),IF(O1411&lt;=cota_s*100+fi_s/20,0,(OFFSET('Base de dados'!$A$4,IF(O1411&lt;20,1,IF(O1411&gt;1000,10,MATCH(O1411,Cargas,1))),Coluna_fis,1,1))*(PI()*(fi_s/1000)^2/4)*(2*9.81*(O1411/100-cota_s-fi_s/2/1000))^0.5*1000)))</f>
        <v>5492.7666060294714</v>
      </c>
      <c r="R1411" s="19">
        <f t="shared" ca="1" si="195"/>
        <v>5542.8897461993274</v>
      </c>
      <c r="S1411" s="19">
        <f t="shared" ca="1" si="196"/>
        <v>8333.9030194007246</v>
      </c>
    </row>
    <row r="1412" spans="13:19">
      <c r="M1412" s="81">
        <f t="shared" ca="1" si="193"/>
        <v>13890.501507413441</v>
      </c>
      <c r="N1412" s="19">
        <f t="shared" si="194"/>
        <v>250.21650565008264</v>
      </c>
      <c r="O1412" s="17">
        <f t="shared" si="192"/>
        <v>352.75</v>
      </c>
      <c r="P1412" s="19">
        <f ca="1">IF(ISERROR(IF(O1412&lt;fi_h/20,0,(OFFSET('Base de dados'!$A$5,IF(O1412&lt;20,1,IF(O1412&gt;1000,10,MATCH(O1412,Cargas,1))),Coluna_fih,1,1))*(1+0.13*0.25)*(PI()*(fi_h/1000)^2/4)*SQRT(2*9.81*(O1412/100-fi_h/2/1000))*1000)),"",IF(O1412&lt;fi_h/20,0,(OFFSET('Base de dados'!$A$5,IF(O1412&lt;20,1,IF(O1412&gt;1000,10,MATCH(O1412,Cargas,1))),Coluna_fih,1,1))*(PI()*(fi_h/1000)^2/4)*SQRT(2*9.81*(O1412/100-fi_h/2/1000))*1000))</f>
        <v>50.141200090226221</v>
      </c>
      <c r="Q1412" s="19">
        <f ca="1">IF(O1412="","",IF(Tipo_Vertedor="Retangular",IF(O1412&lt;=cota_s*100,0,IF(Tipo_Vertedor="Retangular",Cd_sr*Lef_sr*((O1412/100-cota_s)^(3/2))*1000)),IF(O1412&lt;=cota_s*100+fi_s/20,0,(OFFSET('Base de dados'!$A$4,IF(O1412&lt;20,1,IF(O1412&gt;1000,10,MATCH(O1412,Cargas,1))),Coluna_fis,1,1))*(PI()*(fi_s/1000)^2/4)*(2*9.81*(O1412/100-cota_s-fi_s/2/1000))^0.5*1000)))</f>
        <v>5499.8101189871259</v>
      </c>
      <c r="R1412" s="19">
        <f t="shared" ca="1" si="195"/>
        <v>5549.9513190773523</v>
      </c>
      <c r="S1412" s="19">
        <f t="shared" ca="1" si="196"/>
        <v>8340.5501883360885</v>
      </c>
    </row>
    <row r="1413" spans="13:19">
      <c r="M1413" s="81">
        <f t="shared" ca="1" si="193"/>
        <v>13904.213837736059</v>
      </c>
      <c r="N1413" s="19">
        <f t="shared" si="194"/>
        <v>250.41593832488894</v>
      </c>
      <c r="O1413" s="17">
        <f t="shared" si="192"/>
        <v>353</v>
      </c>
      <c r="P1413" s="19">
        <f ca="1">IF(ISERROR(IF(O1413&lt;fi_h/20,0,(OFFSET('Base de dados'!$A$5,IF(O1413&lt;20,1,IF(O1413&gt;1000,10,MATCH(O1413,Cargas,1))),Coluna_fih,1,1))*(1+0.13*0.25)*(PI()*(fi_h/1000)^2/4)*SQRT(2*9.81*(O1413/100-fi_h/2/1000))*1000)),"",IF(O1413&lt;fi_h/20,0,(OFFSET('Base de dados'!$A$5,IF(O1413&lt;20,1,IF(O1413&gt;1000,10,MATCH(O1413,Cargas,1))),Coluna_fih,1,1))*(PI()*(fi_h/1000)^2/4)*SQRT(2*9.81*(O1413/100-fi_h/2/1000))*1000))</f>
        <v>50.159253508093045</v>
      </c>
      <c r="Q1413" s="19">
        <f ca="1">IF(O1413="","",IF(Tipo_Vertedor="Retangular",IF(O1413&lt;=cota_s*100,0,IF(Tipo_Vertedor="Retangular",Cd_sr*Lef_sr*((O1413/100-cota_s)^(3/2))*1000)),IF(O1413&lt;=cota_s*100+fi_s/20,0,(OFFSET('Base de dados'!$A$4,IF(O1413&lt;20,1,IF(O1413&gt;1000,10,MATCH(O1413,Cargas,1))),Coluna_fis,1,1))*(PI()*(fi_s/1000)^2/4)*(2*9.81*(O1413/100-cota_s-fi_s/2/1000))^0.5*1000)))</f>
        <v>5506.8566400650016</v>
      </c>
      <c r="R1413" s="19">
        <f t="shared" ca="1" si="195"/>
        <v>5557.0158935730942</v>
      </c>
      <c r="S1413" s="19">
        <f t="shared" ca="1" si="196"/>
        <v>8347.1979441629646</v>
      </c>
    </row>
    <row r="1414" spans="13:19">
      <c r="M1414" s="81">
        <f t="shared" ca="1" si="193"/>
        <v>13917.929754927445</v>
      </c>
      <c r="N1414" s="19">
        <f t="shared" si="194"/>
        <v>250.61538859552428</v>
      </c>
      <c r="O1414" s="17">
        <f t="shared" si="192"/>
        <v>353.25</v>
      </c>
      <c r="P1414" s="19">
        <f ca="1">IF(ISERROR(IF(O1414&lt;fi_h/20,0,(OFFSET('Base de dados'!$A$5,IF(O1414&lt;20,1,IF(O1414&gt;1000,10,MATCH(O1414,Cargas,1))),Coluna_fih,1,1))*(1+0.13*0.25)*(PI()*(fi_h/1000)^2/4)*SQRT(2*9.81*(O1414/100-fi_h/2/1000))*1000)),"",IF(O1414&lt;fi_h/20,0,(OFFSET('Base de dados'!$A$5,IF(O1414&lt;20,1,IF(O1414&gt;1000,10,MATCH(O1414,Cargas,1))),Coluna_fih,1,1))*(PI()*(fi_h/1000)^2/4)*SQRT(2*9.81*(O1414/100-fi_h/2/1000))*1000))</f>
        <v>50.177300430475412</v>
      </c>
      <c r="Q1414" s="19">
        <f ca="1">IF(O1414="","",IF(Tipo_Vertedor="Retangular",IF(O1414&lt;=cota_s*100,0,IF(Tipo_Vertedor="Retangular",Cd_sr*Lef_sr*((O1414/100-cota_s)^(3/2))*1000)),IF(O1414&lt;=cota_s*100+fi_s/20,0,(OFFSET('Base de dados'!$A$4,IF(O1414&lt;20,1,IF(O1414&gt;1000,10,MATCH(O1414,Cargas,1))),Coluna_fis,1,1))*(PI()*(fi_s/1000)^2/4)*(2*9.81*(O1414/100-cota_s-fi_s/2/1000))^0.5*1000)))</f>
        <v>5513.9061679794959</v>
      </c>
      <c r="R1414" s="19">
        <f t="shared" ca="1" si="195"/>
        <v>5564.0834684099709</v>
      </c>
      <c r="S1414" s="19">
        <f t="shared" ca="1" si="196"/>
        <v>8353.8462865174752</v>
      </c>
    </row>
    <row r="1415" spans="13:19">
      <c r="M1415" s="81">
        <f t="shared" ca="1" si="193"/>
        <v>13931.64925734924</v>
      </c>
      <c r="N1415" s="19">
        <f t="shared" si="194"/>
        <v>250.81485645108646</v>
      </c>
      <c r="O1415" s="17">
        <f t="shared" si="192"/>
        <v>353.5</v>
      </c>
      <c r="P1415" s="19">
        <f ca="1">IF(ISERROR(IF(O1415&lt;fi_h/20,0,(OFFSET('Base de dados'!$A$5,IF(O1415&lt;20,1,IF(O1415&gt;1000,10,MATCH(O1415,Cargas,1))),Coluna_fih,1,1))*(1+0.13*0.25)*(PI()*(fi_h/1000)^2/4)*SQRT(2*9.81*(O1415/100-fi_h/2/1000))*1000)),"",IF(O1415&lt;fi_h/20,0,(OFFSET('Base de dados'!$A$5,IF(O1415&lt;20,1,IF(O1415&gt;1000,10,MATCH(O1415,Cargas,1))),Coluna_fih,1,1))*(PI()*(fi_h/1000)^2/4)*SQRT(2*9.81*(O1415/100-fi_h/2/1000))*1000))</f>
        <v>50.195340864379354</v>
      </c>
      <c r="Q1415" s="19">
        <f ca="1">IF(O1415="","",IF(Tipo_Vertedor="Retangular",IF(O1415&lt;=cota_s*100,0,IF(Tipo_Vertedor="Retangular",Cd_sr*Lef_sr*((O1415/100-cota_s)^(3/2))*1000)),IF(O1415&lt;=cota_s*100+fi_s/20,0,(OFFSET('Base de dados'!$A$4,IF(O1415&lt;20,1,IF(O1415&gt;1000,10,MATCH(O1415,Cargas,1))),Coluna_fis,1,1))*(PI()*(fi_s/1000)^2/4)*(2*9.81*(O1415/100-cota_s-fi_s/2/1000))^0.5*1000)))</f>
        <v>5520.958701448646</v>
      </c>
      <c r="R1415" s="19">
        <f t="shared" ca="1" si="195"/>
        <v>5571.1540423130255</v>
      </c>
      <c r="S1415" s="19">
        <f t="shared" ca="1" si="196"/>
        <v>8360.4952150362151</v>
      </c>
    </row>
    <row r="1416" spans="13:19">
      <c r="M1416" s="81">
        <f t="shared" ca="1" si="193"/>
        <v>13945.372343365198</v>
      </c>
      <c r="N1416" s="19">
        <f t="shared" si="194"/>
        <v>251.01434188068802</v>
      </c>
      <c r="O1416" s="17">
        <f t="shared" si="192"/>
        <v>353.75</v>
      </c>
      <c r="P1416" s="19">
        <f ca="1">IF(ISERROR(IF(O1416&lt;fi_h/20,0,(OFFSET('Base de dados'!$A$5,IF(O1416&lt;20,1,IF(O1416&gt;1000,10,MATCH(O1416,Cargas,1))),Coluna_fih,1,1))*(1+0.13*0.25)*(PI()*(fi_h/1000)^2/4)*SQRT(2*9.81*(O1416/100-fi_h/2/1000))*1000)),"",IF(O1416&lt;fi_h/20,0,(OFFSET('Base de dados'!$A$5,IF(O1416&lt;20,1,IF(O1416&gt;1000,10,MATCH(O1416,Cargas,1))),Coluna_fih,1,1))*(PI()*(fi_h/1000)^2/4)*SQRT(2*9.81*(O1416/100-fi_h/2/1000))*1000))</f>
        <v>50.2133748167983</v>
      </c>
      <c r="Q1416" s="19">
        <f ca="1">IF(O1416="","",IF(Tipo_Vertedor="Retangular",IF(O1416&lt;=cota_s*100,0,IF(Tipo_Vertedor="Retangular",Cd_sr*Lef_sr*((O1416/100-cota_s)^(3/2))*1000)),IF(O1416&lt;=cota_s*100+fi_s/20,0,(OFFSET('Base de dados'!$A$4,IF(O1416&lt;20,1,IF(O1416&gt;1000,10,MATCH(O1416,Cargas,1))),Coluna_fis,1,1))*(PI()*(fi_s/1000)^2/4)*(2*9.81*(O1416/100-cota_s-fi_s/2/1000))^0.5*1000)))</f>
        <v>5528.0142391921299</v>
      </c>
      <c r="R1416" s="19">
        <f t="shared" ca="1" si="195"/>
        <v>5578.227614008928</v>
      </c>
      <c r="S1416" s="19">
        <f t="shared" ca="1" si="196"/>
        <v>8367.1447293562687</v>
      </c>
    </row>
    <row r="1417" spans="13:19">
      <c r="M1417" s="81">
        <f t="shared" ca="1" si="193"/>
        <v>13959.099011341174</v>
      </c>
      <c r="N1417" s="19">
        <f t="shared" si="194"/>
        <v>251.21384487345591</v>
      </c>
      <c r="O1417" s="17">
        <f t="shared" si="192"/>
        <v>354</v>
      </c>
      <c r="P1417" s="19">
        <f ca="1">IF(ISERROR(IF(O1417&lt;fi_h/20,0,(OFFSET('Base de dados'!$A$5,IF(O1417&lt;20,1,IF(O1417&gt;1000,10,MATCH(O1417,Cargas,1))),Coluna_fih,1,1))*(1+0.13*0.25)*(PI()*(fi_h/1000)^2/4)*SQRT(2*9.81*(O1417/100-fi_h/2/1000))*1000)),"",IF(O1417&lt;fi_h/20,0,(OFFSET('Base de dados'!$A$5,IF(O1417&lt;20,1,IF(O1417&gt;1000,10,MATCH(O1417,Cargas,1))),Coluna_fih,1,1))*(PI()*(fi_h/1000)^2/4)*SQRT(2*9.81*(O1417/100-fi_h/2/1000))*1000))</f>
        <v>50.231402294713185</v>
      </c>
      <c r="Q1417" s="19">
        <f ca="1">IF(O1417="","",IF(Tipo_Vertedor="Retangular",IF(O1417&lt;=cota_s*100,0,IF(Tipo_Vertedor="Retangular",Cd_sr*Lef_sr*((O1417/100-cota_s)^(3/2))*1000)),IF(O1417&lt;=cota_s*100+fi_s/20,0,(OFFSET('Base de dados'!$A$4,IF(O1417&lt;20,1,IF(O1417&gt;1000,10,MATCH(O1417,Cargas,1))),Coluna_fis,1,1))*(PI()*(fi_s/1000)^2/4)*(2*9.81*(O1417/100-cota_s-fi_s/2/1000))^0.5*1000)))</f>
        <v>5535.0727799312635</v>
      </c>
      <c r="R1417" s="19">
        <f t="shared" ca="1" si="195"/>
        <v>5585.3041822259765</v>
      </c>
      <c r="S1417" s="19">
        <f t="shared" ca="1" si="196"/>
        <v>8373.794829115197</v>
      </c>
    </row>
    <row r="1418" spans="13:19">
      <c r="M1418" s="81">
        <f t="shared" ca="1" si="193"/>
        <v>13972.829259645132</v>
      </c>
      <c r="N1418" s="19">
        <f t="shared" si="194"/>
        <v>251.41336541853153</v>
      </c>
      <c r="O1418" s="17">
        <f t="shared" si="192"/>
        <v>354.25</v>
      </c>
      <c r="P1418" s="19">
        <f ca="1">IF(ISERROR(IF(O1418&lt;fi_h/20,0,(OFFSET('Base de dados'!$A$5,IF(O1418&lt;20,1,IF(O1418&gt;1000,10,MATCH(O1418,Cargas,1))),Coluna_fih,1,1))*(1+0.13*0.25)*(PI()*(fi_h/1000)^2/4)*SQRT(2*9.81*(O1418/100-fi_h/2/1000))*1000)),"",IF(O1418&lt;fi_h/20,0,(OFFSET('Base de dados'!$A$5,IF(O1418&lt;20,1,IF(O1418&gt;1000,10,MATCH(O1418,Cargas,1))),Coluna_fih,1,1))*(PI()*(fi_h/1000)^2/4)*SQRT(2*9.81*(O1418/100-fi_h/2/1000))*1000))</f>
        <v>50.249423305092364</v>
      </c>
      <c r="Q1418" s="19">
        <f ca="1">IF(O1418="","",IF(Tipo_Vertedor="Retangular",IF(O1418&lt;=cota_s*100,0,IF(Tipo_Vertedor="Retangular",Cd_sr*Lef_sr*((O1418/100-cota_s)^(3/2))*1000)),IF(O1418&lt;=cota_s*100+fi_s/20,0,(OFFSET('Base de dados'!$A$4,IF(O1418&lt;20,1,IF(O1418&gt;1000,10,MATCH(O1418,Cargas,1))),Coluna_fis,1,1))*(PI()*(fi_s/1000)^2/4)*(2*9.81*(O1418/100-cota_s-fi_s/2/1000))^0.5*1000)))</f>
        <v>5542.1343223889889</v>
      </c>
      <c r="R1418" s="19">
        <f t="shared" ca="1" si="195"/>
        <v>5592.383745694081</v>
      </c>
      <c r="S1418" s="19">
        <f t="shared" ca="1" si="196"/>
        <v>8380.4455139510501</v>
      </c>
    </row>
    <row r="1419" spans="13:19">
      <c r="M1419" s="81">
        <f t="shared" ca="1" si="193"/>
        <v>13986.563086647115</v>
      </c>
      <c r="N1419" s="19">
        <f t="shared" si="194"/>
        <v>251.61290350507028</v>
      </c>
      <c r="O1419" s="17">
        <f t="shared" si="192"/>
        <v>354.5</v>
      </c>
      <c r="P1419" s="19">
        <f ca="1">IF(ISERROR(IF(O1419&lt;fi_h/20,0,(OFFSET('Base de dados'!$A$5,IF(O1419&lt;20,1,IF(O1419&gt;1000,10,MATCH(O1419,Cargas,1))),Coluna_fih,1,1))*(1+0.13*0.25)*(PI()*(fi_h/1000)^2/4)*SQRT(2*9.81*(O1419/100-fi_h/2/1000))*1000)),"",IF(O1419&lt;fi_h/20,0,(OFFSET('Base de dados'!$A$5,IF(O1419&lt;20,1,IF(O1419&gt;1000,10,MATCH(O1419,Cargas,1))),Coluna_fih,1,1))*(PI()*(fi_h/1000)^2/4)*SQRT(2*9.81*(O1419/100-fi_h/2/1000))*1000))</f>
        <v>50.267437854891732</v>
      </c>
      <c r="Q1419" s="19">
        <f ca="1">IF(O1419="","",IF(Tipo_Vertedor="Retangular",IF(O1419&lt;=cota_s*100,0,IF(Tipo_Vertedor="Retangular",Cd_sr*Lef_sr*((O1419/100-cota_s)^(3/2))*1000)),IF(O1419&lt;=cota_s*100+fi_s/20,0,(OFFSET('Base de dados'!$A$4,IF(O1419&lt;20,1,IF(O1419&gt;1000,10,MATCH(O1419,Cargas,1))),Coluna_fis,1,1))*(PI()*(fi_s/1000)^2/4)*(2*9.81*(O1419/100-cota_s-fi_s/2/1000))^0.5*1000)))</f>
        <v>5549.1988652898799</v>
      </c>
      <c r="R1419" s="19">
        <f t="shared" ca="1" si="195"/>
        <v>5599.4663031447717</v>
      </c>
      <c r="S1419" s="19">
        <f t="shared" ca="1" si="196"/>
        <v>8387.0967835023421</v>
      </c>
    </row>
    <row r="1420" spans="13:19">
      <c r="M1420" s="81">
        <f t="shared" ca="1" si="193"/>
        <v>14000.30049071927</v>
      </c>
      <c r="N1420" s="19">
        <f t="shared" si="194"/>
        <v>251.81245912224244</v>
      </c>
      <c r="O1420" s="17">
        <f t="shared" si="192"/>
        <v>354.75</v>
      </c>
      <c r="P1420" s="19">
        <f ca="1">IF(ISERROR(IF(O1420&lt;fi_h/20,0,(OFFSET('Base de dados'!$A$5,IF(O1420&lt;20,1,IF(O1420&gt;1000,10,MATCH(O1420,Cargas,1))),Coluna_fih,1,1))*(1+0.13*0.25)*(PI()*(fi_h/1000)^2/4)*SQRT(2*9.81*(O1420/100-fi_h/2/1000))*1000)),"",IF(O1420&lt;fi_h/20,0,(OFFSET('Base de dados'!$A$5,IF(O1420&lt;20,1,IF(O1420&gt;1000,10,MATCH(O1420,Cargas,1))),Coluna_fih,1,1))*(PI()*(fi_h/1000)^2/4)*SQRT(2*9.81*(O1420/100-fi_h/2/1000))*1000))</f>
        <v>50.285445951054726</v>
      </c>
      <c r="Q1420" s="19">
        <f ca="1">IF(O1420="","",IF(Tipo_Vertedor="Retangular",IF(O1420&lt;=cota_s*100,0,IF(Tipo_Vertedor="Retangular",Cd_sr*Lef_sr*((O1420/100-cota_s)^(3/2))*1000)),IF(O1420&lt;=cota_s*100+fi_s/20,0,(OFFSET('Base de dados'!$A$4,IF(O1420&lt;20,1,IF(O1420&gt;1000,10,MATCH(O1420,Cargas,1))),Coluna_fis,1,1))*(PI()*(fi_s/1000)^2/4)*(2*9.81*(O1420/100-cota_s-fi_s/2/1000))^0.5*1000)))</f>
        <v>5556.2664073601327</v>
      </c>
      <c r="R1420" s="19">
        <f t="shared" ca="1" si="195"/>
        <v>5606.5518533111872</v>
      </c>
      <c r="S1420" s="19">
        <f t="shared" ca="1" si="196"/>
        <v>8393.7486374080818</v>
      </c>
    </row>
    <row r="1421" spans="13:19">
      <c r="M1421" s="81">
        <f t="shared" ca="1" si="193"/>
        <v>14014.041470235814</v>
      </c>
      <c r="N1421" s="19">
        <f t="shared" si="194"/>
        <v>252.01203225923209</v>
      </c>
      <c r="O1421" s="17">
        <f t="shared" si="192"/>
        <v>355</v>
      </c>
      <c r="P1421" s="19">
        <f ca="1">IF(ISERROR(IF(O1421&lt;fi_h/20,0,(OFFSET('Base de dados'!$A$5,IF(O1421&lt;20,1,IF(O1421&gt;1000,10,MATCH(O1421,Cargas,1))),Coluna_fih,1,1))*(1+0.13*0.25)*(PI()*(fi_h/1000)^2/4)*SQRT(2*9.81*(O1421/100-fi_h/2/1000))*1000)),"",IF(O1421&lt;fi_h/20,0,(OFFSET('Base de dados'!$A$5,IF(O1421&lt;20,1,IF(O1421&gt;1000,10,MATCH(O1421,Cargas,1))),Coluna_fih,1,1))*(PI()*(fi_h/1000)^2/4)*SQRT(2*9.81*(O1421/100-fi_h/2/1000))*1000))</f>
        <v>50.303447600512321</v>
      </c>
      <c r="Q1421" s="19">
        <f ca="1">IF(O1421="","",IF(Tipo_Vertedor="Retangular",IF(O1421&lt;=cota_s*100,0,IF(Tipo_Vertedor="Retangular",Cd_sr*Lef_sr*((O1421/100-cota_s)^(3/2))*1000)),IF(O1421&lt;=cota_s*100+fi_s/20,0,(OFFSET('Base de dados'!$A$4,IF(O1421&lt;20,1,IF(O1421&gt;1000,10,MATCH(O1421,Cargas,1))),Coluna_fis,1,1))*(PI()*(fi_s/1000)^2/4)*(2*9.81*(O1421/100-cota_s-fi_s/2/1000))^0.5*1000)))</f>
        <v>5563.3369473275661</v>
      </c>
      <c r="R1421" s="19">
        <f t="shared" ca="1" si="195"/>
        <v>5613.6403949280784</v>
      </c>
      <c r="S1421" s="19">
        <f t="shared" ca="1" si="196"/>
        <v>8400.4010753077364</v>
      </c>
    </row>
    <row r="1422" spans="13:19">
      <c r="M1422" s="81">
        <f t="shared" ca="1" si="193"/>
        <v>14027.78602357306</v>
      </c>
      <c r="N1422" s="19">
        <f t="shared" si="194"/>
        <v>252.21162290523799</v>
      </c>
      <c r="O1422" s="17">
        <f t="shared" si="192"/>
        <v>355.25</v>
      </c>
      <c r="P1422" s="19">
        <f ca="1">IF(ISERROR(IF(O1422&lt;fi_h/20,0,(OFFSET('Base de dados'!$A$5,IF(O1422&lt;20,1,IF(O1422&gt;1000,10,MATCH(O1422,Cargas,1))),Coluna_fih,1,1))*(1+0.13*0.25)*(PI()*(fi_h/1000)^2/4)*SQRT(2*9.81*(O1422/100-fi_h/2/1000))*1000)),"",IF(O1422&lt;fi_h/20,0,(OFFSET('Base de dados'!$A$5,IF(O1422&lt;20,1,IF(O1422&gt;1000,10,MATCH(O1422,Cargas,1))),Coluna_fih,1,1))*(PI()*(fi_h/1000)^2/4)*SQRT(2*9.81*(O1422/100-fi_h/2/1000))*1000))</f>
        <v>50.321442810183129</v>
      </c>
      <c r="Q1422" s="19">
        <f ca="1">IF(O1422="","",IF(Tipo_Vertedor="Retangular",IF(O1422&lt;=cota_s*100,0,IF(Tipo_Vertedor="Retangular",Cd_sr*Lef_sr*((O1422/100-cota_s)^(3/2))*1000)),IF(O1422&lt;=cota_s*100+fi_s/20,0,(OFFSET('Base de dados'!$A$4,IF(O1422&lt;20,1,IF(O1422&gt;1000,10,MATCH(O1422,Cargas,1))),Coluna_fis,1,1))*(PI()*(fi_s/1000)^2/4)*(2*9.81*(O1422/100-cota_s-fi_s/2/1000))^0.5*1000)))</f>
        <v>5570.4104839216116</v>
      </c>
      <c r="R1422" s="19">
        <f t="shared" ca="1" si="195"/>
        <v>5620.7319267317944</v>
      </c>
      <c r="S1422" s="19">
        <f t="shared" ca="1" si="196"/>
        <v>8407.0540968412661</v>
      </c>
    </row>
    <row r="1423" spans="13:19">
      <c r="M1423" s="81">
        <f t="shared" ca="1" si="193"/>
        <v>14041.5341491094</v>
      </c>
      <c r="N1423" s="19">
        <f t="shared" si="194"/>
        <v>252.41123104947306</v>
      </c>
      <c r="O1423" s="17">
        <f t="shared" si="192"/>
        <v>355.5</v>
      </c>
      <c r="P1423" s="19">
        <f ca="1">IF(ISERROR(IF(O1423&lt;fi_h/20,0,(OFFSET('Base de dados'!$A$5,IF(O1423&lt;20,1,IF(O1423&gt;1000,10,MATCH(O1423,Cargas,1))),Coluna_fih,1,1))*(1+0.13*0.25)*(PI()*(fi_h/1000)^2/4)*SQRT(2*9.81*(O1423/100-fi_h/2/1000))*1000)),"",IF(O1423&lt;fi_h/20,0,(OFFSET('Base de dados'!$A$5,IF(O1423&lt;20,1,IF(O1423&gt;1000,10,MATCH(O1423,Cargas,1))),Coluna_fih,1,1))*(PI()*(fi_h/1000)^2/4)*SQRT(2*9.81*(O1423/100-fi_h/2/1000))*1000))</f>
        <v>50.339431586973397</v>
      </c>
      <c r="Q1423" s="19">
        <f ca="1">IF(O1423="","",IF(Tipo_Vertedor="Retangular",IF(O1423&lt;=cota_s*100,0,IF(Tipo_Vertedor="Retangular",Cd_sr*Lef_sr*((O1423/100-cota_s)^(3/2))*1000)),IF(O1423&lt;=cota_s*100+fi_s/20,0,(OFFSET('Base de dados'!$A$4,IF(O1423&lt;20,1,IF(O1423&gt;1000,10,MATCH(O1423,Cargas,1))),Coluna_fis,1,1))*(PI()*(fi_s/1000)^2/4)*(2*9.81*(O1423/100-cota_s-fi_s/2/1000))^0.5*1000)))</f>
        <v>5577.4870158733238</v>
      </c>
      <c r="R1423" s="19">
        <f t="shared" ca="1" si="195"/>
        <v>5627.8264474602975</v>
      </c>
      <c r="S1423" s="19">
        <f t="shared" ca="1" si="196"/>
        <v>8413.7077016491021</v>
      </c>
    </row>
    <row r="1424" spans="13:19">
      <c r="M1424" s="81">
        <f t="shared" ca="1" si="193"/>
        <v>14055.285845225275</v>
      </c>
      <c r="N1424" s="19">
        <f t="shared" si="194"/>
        <v>252.61085668116428</v>
      </c>
      <c r="O1424" s="17">
        <f t="shared" si="192"/>
        <v>355.75</v>
      </c>
      <c r="P1424" s="19">
        <f ca="1">IF(ISERROR(IF(O1424&lt;fi_h/20,0,(OFFSET('Base de dados'!$A$5,IF(O1424&lt;20,1,IF(O1424&gt;1000,10,MATCH(O1424,Cargas,1))),Coluna_fih,1,1))*(1+0.13*0.25)*(PI()*(fi_h/1000)^2/4)*SQRT(2*9.81*(O1424/100-fi_h/2/1000))*1000)),"",IF(O1424&lt;fi_h/20,0,(OFFSET('Base de dados'!$A$5,IF(O1424&lt;20,1,IF(O1424&gt;1000,10,MATCH(O1424,Cargas,1))),Coluna_fih,1,1))*(PI()*(fi_h/1000)^2/4)*SQRT(2*9.81*(O1424/100-fi_h/2/1000))*1000))</f>
        <v>50.357413937777004</v>
      </c>
      <c r="Q1424" s="19">
        <f ca="1">IF(O1424="","",IF(Tipo_Vertedor="Retangular",IF(O1424&lt;=cota_s*100,0,IF(Tipo_Vertedor="Retangular",Cd_sr*Lef_sr*((O1424/100-cota_s)^(3/2))*1000)),IF(O1424&lt;=cota_s*100+fi_s/20,0,(OFFSET('Base de dados'!$A$4,IF(O1424&lt;20,1,IF(O1424&gt;1000,10,MATCH(O1424,Cargas,1))),Coluna_fis,1,1))*(PI()*(fi_s/1000)^2/4)*(2*9.81*(O1424/100-cota_s-fi_s/2/1000))^0.5*1000)))</f>
        <v>5584.5665419153565</v>
      </c>
      <c r="R1424" s="19">
        <f t="shared" ca="1" si="195"/>
        <v>5634.9239558531335</v>
      </c>
      <c r="S1424" s="19">
        <f t="shared" ca="1" si="196"/>
        <v>8420.3618893721414</v>
      </c>
    </row>
    <row r="1425" spans="13:19">
      <c r="M1425" s="81">
        <f t="shared" ca="1" si="193"/>
        <v>14069.041110303217</v>
      </c>
      <c r="N1425" s="19">
        <f t="shared" si="194"/>
        <v>252.81049978955289</v>
      </c>
      <c r="O1425" s="17">
        <f t="shared" si="192"/>
        <v>356</v>
      </c>
      <c r="P1425" s="19">
        <f ca="1">IF(ISERROR(IF(O1425&lt;fi_h/20,0,(OFFSET('Base de dados'!$A$5,IF(O1425&lt;20,1,IF(O1425&gt;1000,10,MATCH(O1425,Cargas,1))),Coluna_fih,1,1))*(1+0.13*0.25)*(PI()*(fi_h/1000)^2/4)*SQRT(2*9.81*(O1425/100-fi_h/2/1000))*1000)),"",IF(O1425&lt;fi_h/20,0,(OFFSET('Base de dados'!$A$5,IF(O1425&lt;20,1,IF(O1425&gt;1000,10,MATCH(O1425,Cargas,1))),Coluna_fih,1,1))*(PI()*(fi_h/1000)^2/4)*SQRT(2*9.81*(O1425/100-fi_h/2/1000))*1000))</f>
        <v>50.375389869475562</v>
      </c>
      <c r="Q1425" s="19">
        <f ca="1">IF(O1425="","",IF(Tipo_Vertedor="Retangular",IF(O1425&lt;=cota_s*100,0,IF(Tipo_Vertedor="Retangular",Cd_sr*Lef_sr*((O1425/100-cota_s)^(3/2))*1000)),IF(O1425&lt;=cota_s*100+fi_s/20,0,(OFFSET('Base de dados'!$A$4,IF(O1425&lt;20,1,IF(O1425&gt;1000,10,MATCH(O1425,Cargas,1))),Coluna_fis,1,1))*(PI()*(fi_s/1000)^2/4)*(2*9.81*(O1425/100-cota_s-fi_s/2/1000))^0.5*1000)))</f>
        <v>5591.6490607819787</v>
      </c>
      <c r="R1425" s="19">
        <f t="shared" ca="1" si="195"/>
        <v>5642.0244506514546</v>
      </c>
      <c r="S1425" s="19">
        <f t="shared" ca="1" si="196"/>
        <v>8427.0166596517629</v>
      </c>
    </row>
    <row r="1426" spans="13:19">
      <c r="M1426" s="81">
        <f t="shared" ca="1" si="193"/>
        <v>14082.799942727823</v>
      </c>
      <c r="N1426" s="19">
        <f t="shared" si="194"/>
        <v>253.0101603638945</v>
      </c>
      <c r="O1426" s="17">
        <f t="shared" si="192"/>
        <v>356.25</v>
      </c>
      <c r="P1426" s="19">
        <f ca="1">IF(ISERROR(IF(O1426&lt;fi_h/20,0,(OFFSET('Base de dados'!$A$5,IF(O1426&lt;20,1,IF(O1426&gt;1000,10,MATCH(O1426,Cargas,1))),Coluna_fih,1,1))*(1+0.13*0.25)*(PI()*(fi_h/1000)^2/4)*SQRT(2*9.81*(O1426/100-fi_h/2/1000))*1000)),"",IF(O1426&lt;fi_h/20,0,(OFFSET('Base de dados'!$A$5,IF(O1426&lt;20,1,IF(O1426&gt;1000,10,MATCH(O1426,Cargas,1))),Coluna_fih,1,1))*(PI()*(fi_h/1000)^2/4)*SQRT(2*9.81*(O1426/100-fi_h/2/1000))*1000))</f>
        <v>50.393359388938379</v>
      </c>
      <c r="Q1426" s="19">
        <f ca="1">IF(O1426="","",IF(Tipo_Vertedor="Retangular",IF(O1426&lt;=cota_s*100,0,IF(Tipo_Vertedor="Retangular",Cd_sr*Lef_sr*((O1426/100-cota_s)^(3/2))*1000)),IF(O1426&lt;=cota_s*100+fi_s/20,0,(OFFSET('Base de dados'!$A$4,IF(O1426&lt;20,1,IF(O1426&gt;1000,10,MATCH(O1426,Cargas,1))),Coluna_fis,1,1))*(PI()*(fi_s/1000)^2/4)*(2*9.81*(O1426/100-cota_s-fi_s/2/1000))^0.5*1000)))</f>
        <v>5598.7345712090673</v>
      </c>
      <c r="R1426" s="19">
        <f t="shared" ca="1" si="195"/>
        <v>5649.1279305980061</v>
      </c>
      <c r="S1426" s="19">
        <f t="shared" ca="1" si="196"/>
        <v>8433.6720121298167</v>
      </c>
    </row>
    <row r="1427" spans="13:19">
      <c r="M1427" s="81">
        <f t="shared" ca="1" si="193"/>
        <v>14096.562340885732</v>
      </c>
      <c r="N1427" s="19">
        <f t="shared" si="194"/>
        <v>253.20983839345865</v>
      </c>
      <c r="O1427" s="17">
        <f t="shared" ref="O1427:O1490" si="197">IF(ISERROR(IF(O1426+passo_altura&gt;h_max_puls*100,"",O1426+passo_altura)),"",IF(O1426+passo_altura&gt;h_max_puls*100,"",O1426+passo_altura))</f>
        <v>356.5</v>
      </c>
      <c r="P1427" s="19">
        <f ca="1">IF(ISERROR(IF(O1427&lt;fi_h/20,0,(OFFSET('Base de dados'!$A$5,IF(O1427&lt;20,1,IF(O1427&gt;1000,10,MATCH(O1427,Cargas,1))),Coluna_fih,1,1))*(1+0.13*0.25)*(PI()*(fi_h/1000)^2/4)*SQRT(2*9.81*(O1427/100-fi_h/2/1000))*1000)),"",IF(O1427&lt;fi_h/20,0,(OFFSET('Base de dados'!$A$5,IF(O1427&lt;20,1,IF(O1427&gt;1000,10,MATCH(O1427,Cargas,1))),Coluna_fih,1,1))*(PI()*(fi_h/1000)^2/4)*SQRT(2*9.81*(O1427/100-fi_h/2/1000))*1000))</f>
        <v>50.411322503022539</v>
      </c>
      <c r="Q1427" s="19">
        <f ca="1">IF(O1427="","",IF(Tipo_Vertedor="Retangular",IF(O1427&lt;=cota_s*100,0,IF(Tipo_Vertedor="Retangular",Cd_sr*Lef_sr*((O1427/100-cota_s)^(3/2))*1000)),IF(O1427&lt;=cota_s*100+fi_s/20,0,(OFFSET('Base de dados'!$A$4,IF(O1427&lt;20,1,IF(O1427&gt;1000,10,MATCH(O1427,Cargas,1))),Coluna_fis,1,1))*(PI()*(fi_s/1000)^2/4)*(2*9.81*(O1427/100-cota_s-fi_s/2/1000))^0.5*1000)))</f>
        <v>5605.8230719340863</v>
      </c>
      <c r="R1427" s="19">
        <f t="shared" ca="1" si="195"/>
        <v>5656.2343944371087</v>
      </c>
      <c r="S1427" s="19">
        <f t="shared" ca="1" si="196"/>
        <v>8440.3279464486222</v>
      </c>
    </row>
    <row r="1428" spans="13:19">
      <c r="M1428" s="81">
        <f t="shared" ca="1" si="193"/>
        <v>14110.32830316565</v>
      </c>
      <c r="N1428" s="19">
        <f t="shared" si="194"/>
        <v>253.40953386752909</v>
      </c>
      <c r="O1428" s="17">
        <f t="shared" si="197"/>
        <v>356.75</v>
      </c>
      <c r="P1428" s="19">
        <f ca="1">IF(ISERROR(IF(O1428&lt;fi_h/20,0,(OFFSET('Base de dados'!$A$5,IF(O1428&lt;20,1,IF(O1428&gt;1000,10,MATCH(O1428,Cargas,1))),Coluna_fih,1,1))*(1+0.13*0.25)*(PI()*(fi_h/1000)^2/4)*SQRT(2*9.81*(O1428/100-fi_h/2/1000))*1000)),"",IF(O1428&lt;fi_h/20,0,(OFFSET('Base de dados'!$A$5,IF(O1428&lt;20,1,IF(O1428&gt;1000,10,MATCH(O1428,Cargas,1))),Coluna_fih,1,1))*(PI()*(fi_h/1000)^2/4)*SQRT(2*9.81*(O1428/100-fi_h/2/1000))*1000))</f>
        <v>50.429279218572908</v>
      </c>
      <c r="Q1428" s="19">
        <f ca="1">IF(O1428="","",IF(Tipo_Vertedor="Retangular",IF(O1428&lt;=cota_s*100,0,IF(Tipo_Vertedor="Retangular",Cd_sr*Lef_sr*((O1428/100-cota_s)^(3/2))*1000)),IF(O1428&lt;=cota_s*100+fi_s/20,0,(OFFSET('Base de dados'!$A$4,IF(O1428&lt;20,1,IF(O1428&gt;1000,10,MATCH(O1428,Cargas,1))),Coluna_fis,1,1))*(PI()*(fi_s/1000)^2/4)*(2*9.81*(O1428/100-cota_s-fi_s/2/1000))^0.5*1000)))</f>
        <v>5612.9145616961068</v>
      </c>
      <c r="R1428" s="19">
        <f t="shared" ca="1" si="195"/>
        <v>5663.3438409146802</v>
      </c>
      <c r="S1428" s="19">
        <f t="shared" ca="1" si="196"/>
        <v>8446.98446225097</v>
      </c>
    </row>
    <row r="1429" spans="13:19">
      <c r="M1429" s="81">
        <f t="shared" ca="1" si="193"/>
        <v>14124.097827958332</v>
      </c>
      <c r="N1429" s="19">
        <f t="shared" si="194"/>
        <v>253.60924677540353</v>
      </c>
      <c r="O1429" s="17">
        <f t="shared" si="197"/>
        <v>357</v>
      </c>
      <c r="P1429" s="19">
        <f ca="1">IF(ISERROR(IF(O1429&lt;fi_h/20,0,(OFFSET('Base de dados'!$A$5,IF(O1429&lt;20,1,IF(O1429&gt;1000,10,MATCH(O1429,Cargas,1))),Coluna_fih,1,1))*(1+0.13*0.25)*(PI()*(fi_h/1000)^2/4)*SQRT(2*9.81*(O1429/100-fi_h/2/1000))*1000)),"",IF(O1429&lt;fi_h/20,0,(OFFSET('Base de dados'!$A$5,IF(O1429&lt;20,1,IF(O1429&gt;1000,10,MATCH(O1429,Cargas,1))),Coluna_fih,1,1))*(PI()*(fi_h/1000)^2/4)*SQRT(2*9.81*(O1429/100-fi_h/2/1000))*1000))</f>
        <v>50.447229542422164</v>
      </c>
      <c r="Q1429" s="19">
        <f ca="1">IF(O1429="","",IF(Tipo_Vertedor="Retangular",IF(O1429&lt;=cota_s*100,0,IF(Tipo_Vertedor="Retangular",Cd_sr*Lef_sr*((O1429/100-cota_s)^(3/2))*1000)),IF(O1429&lt;=cota_s*100+fi_s/20,0,(OFFSET('Base de dados'!$A$4,IF(O1429&lt;20,1,IF(O1429&gt;1000,10,MATCH(O1429,Cargas,1))),Coluna_fis,1,1))*(PI()*(fi_s/1000)^2/4)*(2*9.81*(O1429/100-cota_s-fi_s/2/1000))^0.5*1000)))</f>
        <v>5620.0090392357915</v>
      </c>
      <c r="R1429" s="19">
        <f t="shared" ca="1" si="195"/>
        <v>5670.4562687782136</v>
      </c>
      <c r="S1429" s="19">
        <f t="shared" ca="1" si="196"/>
        <v>8453.6415591801178</v>
      </c>
    </row>
    <row r="1430" spans="13:19">
      <c r="M1430" s="81">
        <f t="shared" ca="1" si="193"/>
        <v>14137.870913656581</v>
      </c>
      <c r="N1430" s="19">
        <f t="shared" si="194"/>
        <v>253.80897710639397</v>
      </c>
      <c r="O1430" s="17">
        <f t="shared" si="197"/>
        <v>357.25</v>
      </c>
      <c r="P1430" s="19">
        <f ca="1">IF(ISERROR(IF(O1430&lt;fi_h/20,0,(OFFSET('Base de dados'!$A$5,IF(O1430&lt;20,1,IF(O1430&gt;1000,10,MATCH(O1430,Cargas,1))),Coluna_fih,1,1))*(1+0.13*0.25)*(PI()*(fi_h/1000)^2/4)*SQRT(2*9.81*(O1430/100-fi_h/2/1000))*1000)),"",IF(O1430&lt;fi_h/20,0,(OFFSET('Base de dados'!$A$5,IF(O1430&lt;20,1,IF(O1430&gt;1000,10,MATCH(O1430,Cargas,1))),Coluna_fih,1,1))*(PI()*(fi_h/1000)^2/4)*SQRT(2*9.81*(O1430/100-fi_h/2/1000))*1000))</f>
        <v>50.465173481390863</v>
      </c>
      <c r="Q1430" s="19">
        <f ca="1">IF(O1430="","",IF(Tipo_Vertedor="Retangular",IF(O1430&lt;=cota_s*100,0,IF(Tipo_Vertedor="Retangular",Cd_sr*Lef_sr*((O1430/100-cota_s)^(3/2))*1000)),IF(O1430&lt;=cota_s*100+fi_s/20,0,(OFFSET('Base de dados'!$A$4,IF(O1430&lt;20,1,IF(O1430&gt;1000,10,MATCH(O1430,Cargas,1))),Coluna_fis,1,1))*(PI()*(fi_s/1000)^2/4)*(2*9.81*(O1430/100-cota_s-fi_s/2/1000))^0.5*1000)))</f>
        <v>5627.106503295392</v>
      </c>
      <c r="R1430" s="19">
        <f t="shared" ca="1" si="195"/>
        <v>5677.5716767767826</v>
      </c>
      <c r="S1430" s="19">
        <f t="shared" ca="1" si="196"/>
        <v>8460.2992368797986</v>
      </c>
    </row>
    <row r="1431" spans="13:19">
      <c r="M1431" s="81">
        <f t="shared" ref="M1431:M1494" ca="1" si="198">IF(O1431="","",2*N1431*1000/(Passo*60)+R1431)</f>
        <v>14151.647558655251</v>
      </c>
      <c r="N1431" s="19">
        <f t="shared" ref="N1431:N1494" si="199">IF(O1431="","",b_0*(O1431/100)^c_0)</f>
        <v>254.00872484982625</v>
      </c>
      <c r="O1431" s="17">
        <f t="shared" si="197"/>
        <v>357.5</v>
      </c>
      <c r="P1431" s="19">
        <f ca="1">IF(ISERROR(IF(O1431&lt;fi_h/20,0,(OFFSET('Base de dados'!$A$5,IF(O1431&lt;20,1,IF(O1431&gt;1000,10,MATCH(O1431,Cargas,1))),Coluna_fih,1,1))*(1+0.13*0.25)*(PI()*(fi_h/1000)^2/4)*SQRT(2*9.81*(O1431/100-fi_h/2/1000))*1000)),"",IF(O1431&lt;fi_h/20,0,(OFFSET('Base de dados'!$A$5,IF(O1431&lt;20,1,IF(O1431&gt;1000,10,MATCH(O1431,Cargas,1))),Coluna_fih,1,1))*(PI()*(fi_h/1000)^2/4)*SQRT(2*9.81*(O1431/100-fi_h/2/1000))*1000))</f>
        <v>50.483111042287383</v>
      </c>
      <c r="Q1431" s="19">
        <f ca="1">IF(O1431="","",IF(Tipo_Vertedor="Retangular",IF(O1431&lt;=cota_s*100,0,IF(Tipo_Vertedor="Retangular",Cd_sr*Lef_sr*((O1431/100-cota_s)^(3/2))*1000)),IF(O1431&lt;=cota_s*100+fi_s/20,0,(OFFSET('Base de dados'!$A$4,IF(O1431&lt;20,1,IF(O1431&gt;1000,10,MATCH(O1431,Cargas,1))),Coluna_fis,1,1))*(PI()*(fi_s/1000)^2/4)*(2*9.81*(O1431/100-cota_s-fi_s/2/1000))^0.5*1000)))</f>
        <v>5634.2069526187552</v>
      </c>
      <c r="R1431" s="19">
        <f t="shared" ref="R1431:R1494" ca="1" si="200">IF(O1431="","",Q1431+P1431)</f>
        <v>5684.6900636610426</v>
      </c>
      <c r="S1431" s="19">
        <f t="shared" ref="S1431:S1494" ca="1" si="201">IF(M1431="","",2*N1431*1000/(Passo*60))</f>
        <v>8466.9574949942089</v>
      </c>
    </row>
    <row r="1432" spans="13:19">
      <c r="M1432" s="81">
        <f t="shared" ca="1" si="198"/>
        <v>14165.427761351209</v>
      </c>
      <c r="N1432" s="19">
        <f t="shared" si="199"/>
        <v>254.20848999504017</v>
      </c>
      <c r="O1432" s="17">
        <f t="shared" si="197"/>
        <v>357.75</v>
      </c>
      <c r="P1432" s="19">
        <f ca="1">IF(ISERROR(IF(O1432&lt;fi_h/20,0,(OFFSET('Base de dados'!$A$5,IF(O1432&lt;20,1,IF(O1432&gt;1000,10,MATCH(O1432,Cargas,1))),Coluna_fih,1,1))*(1+0.13*0.25)*(PI()*(fi_h/1000)^2/4)*SQRT(2*9.81*(O1432/100-fi_h/2/1000))*1000)),"",IF(O1432&lt;fi_h/20,0,(OFFSET('Base de dados'!$A$5,IF(O1432&lt;20,1,IF(O1432&gt;1000,10,MATCH(O1432,Cargas,1))),Coluna_fih,1,1))*(PI()*(fi_h/1000)^2/4)*SQRT(2*9.81*(O1432/100-fi_h/2/1000))*1000))</f>
        <v>50.501042231908066</v>
      </c>
      <c r="Q1432" s="19">
        <f ca="1">IF(O1432="","",IF(Tipo_Vertedor="Retangular",IF(O1432&lt;=cota_s*100,0,IF(Tipo_Vertedor="Retangular",Cd_sr*Lef_sr*((O1432/100-cota_s)^(3/2))*1000)),IF(O1432&lt;=cota_s*100+fi_s/20,0,(OFFSET('Base de dados'!$A$4,IF(O1432&lt;20,1,IF(O1432&gt;1000,10,MATCH(O1432,Cargas,1))),Coluna_fis,1,1))*(PI()*(fi_s/1000)^2/4)*(2*9.81*(O1432/100-cota_s-fi_s/2/1000))^0.5*1000)))</f>
        <v>5641.3103859512948</v>
      </c>
      <c r="R1432" s="19">
        <f t="shared" ca="1" si="200"/>
        <v>5691.8114281832031</v>
      </c>
      <c r="S1432" s="19">
        <f t="shared" ca="1" si="201"/>
        <v>8473.6163331680054</v>
      </c>
    </row>
    <row r="1433" spans="13:19">
      <c r="M1433" s="81">
        <f t="shared" ca="1" si="198"/>
        <v>14179.211520143381</v>
      </c>
      <c r="N1433" s="19">
        <f t="shared" si="199"/>
        <v>254.40827253138971</v>
      </c>
      <c r="O1433" s="17">
        <f t="shared" si="197"/>
        <v>358</v>
      </c>
      <c r="P1433" s="19">
        <f ca="1">IF(ISERROR(IF(O1433&lt;fi_h/20,0,(OFFSET('Base de dados'!$A$5,IF(O1433&lt;20,1,IF(O1433&gt;1000,10,MATCH(O1433,Cargas,1))),Coluna_fih,1,1))*(1+0.13*0.25)*(PI()*(fi_h/1000)^2/4)*SQRT(2*9.81*(O1433/100-fi_h/2/1000))*1000)),"",IF(O1433&lt;fi_h/20,0,(OFFSET('Base de dados'!$A$5,IF(O1433&lt;20,1,IF(O1433&gt;1000,10,MATCH(O1433,Cargas,1))),Coluna_fih,1,1))*(PI()*(fi_h/1000)^2/4)*SQRT(2*9.81*(O1433/100-fi_h/2/1000))*1000))</f>
        <v>50.518967057037145</v>
      </c>
      <c r="Q1433" s="19">
        <f ca="1">IF(O1433="","",IF(Tipo_Vertedor="Retangular",IF(O1433&lt;=cota_s*100,0,IF(Tipo_Vertedor="Retangular",Cd_sr*Lef_sr*((O1433/100-cota_s)^(3/2))*1000)),IF(O1433&lt;=cota_s*100+fi_s/20,0,(OFFSET('Base de dados'!$A$4,IF(O1433&lt;20,1,IF(O1433&gt;1000,10,MATCH(O1433,Cargas,1))),Coluna_fis,1,1))*(PI()*(fi_s/1000)^2/4)*(2*9.81*(O1433/100-cota_s-fi_s/2/1000))^0.5*1000)))</f>
        <v>5648.4168020400193</v>
      </c>
      <c r="R1433" s="19">
        <f t="shared" ca="1" si="200"/>
        <v>5698.9357690970564</v>
      </c>
      <c r="S1433" s="19">
        <f t="shared" ca="1" si="201"/>
        <v>8480.2757510463234</v>
      </c>
    </row>
    <row r="1434" spans="13:19">
      <c r="M1434" s="81">
        <f t="shared" ca="1" si="198"/>
        <v>14192.99883343271</v>
      </c>
      <c r="N1434" s="19">
        <f t="shared" si="199"/>
        <v>254.60807244824252</v>
      </c>
      <c r="O1434" s="17">
        <f t="shared" si="197"/>
        <v>358.25</v>
      </c>
      <c r="P1434" s="19">
        <f ca="1">IF(ISERROR(IF(O1434&lt;fi_h/20,0,(OFFSET('Base de dados'!$A$5,IF(O1434&lt;20,1,IF(O1434&gt;1000,10,MATCH(O1434,Cargas,1))),Coluna_fih,1,1))*(1+0.13*0.25)*(PI()*(fi_h/1000)^2/4)*SQRT(2*9.81*(O1434/100-fi_h/2/1000))*1000)),"",IF(O1434&lt;fi_h/20,0,(OFFSET('Base de dados'!$A$5,IF(O1434&lt;20,1,IF(O1434&gt;1000,10,MATCH(O1434,Cargas,1))),Coluna_fih,1,1))*(PI()*(fi_h/1000)^2/4)*SQRT(2*9.81*(O1434/100-fi_h/2/1000))*1000))</f>
        <v>50.536885524446873</v>
      </c>
      <c r="Q1434" s="19">
        <f ca="1">IF(O1434="","",IF(Tipo_Vertedor="Retangular",IF(O1434&lt;=cota_s*100,0,IF(Tipo_Vertedor="Retangular",Cd_sr*Lef_sr*((O1434/100-cota_s)^(3/2))*1000)),IF(O1434&lt;=cota_s*100+fi_s/20,0,(OFFSET('Base de dados'!$A$4,IF(O1434&lt;20,1,IF(O1434&gt;1000,10,MATCH(O1434,Cargas,1))),Coluna_fis,1,1))*(PI()*(fi_s/1000)^2/4)*(2*9.81*(O1434/100-cota_s-fi_s/2/1000))^0.5*1000)))</f>
        <v>5655.5261996335112</v>
      </c>
      <c r="R1434" s="19">
        <f t="shared" ca="1" si="200"/>
        <v>5706.0630851579581</v>
      </c>
      <c r="S1434" s="19">
        <f t="shared" ca="1" si="201"/>
        <v>8486.9357482747509</v>
      </c>
    </row>
    <row r="1435" spans="13:19">
      <c r="M1435" s="81">
        <f t="shared" ca="1" si="198"/>
        <v>14206.789699622168</v>
      </c>
      <c r="N1435" s="19">
        <f t="shared" si="199"/>
        <v>254.80788973498045</v>
      </c>
      <c r="O1435" s="17">
        <f t="shared" si="197"/>
        <v>358.5</v>
      </c>
      <c r="P1435" s="19">
        <f ca="1">IF(ISERROR(IF(O1435&lt;fi_h/20,0,(OFFSET('Base de dados'!$A$5,IF(O1435&lt;20,1,IF(O1435&gt;1000,10,MATCH(O1435,Cargas,1))),Coluna_fih,1,1))*(1+0.13*0.25)*(PI()*(fi_h/1000)^2/4)*SQRT(2*9.81*(O1435/100-fi_h/2/1000))*1000)),"",IF(O1435&lt;fi_h/20,0,(OFFSET('Base de dados'!$A$5,IF(O1435&lt;20,1,IF(O1435&gt;1000,10,MATCH(O1435,Cargas,1))),Coluna_fih,1,1))*(PI()*(fi_h/1000)^2/4)*SQRT(2*9.81*(O1435/100-fi_h/2/1000))*1000))</f>
        <v>50.554797640897448</v>
      </c>
      <c r="Q1435" s="19">
        <f ca="1">IF(O1435="","",IF(Tipo_Vertedor="Retangular",IF(O1435&lt;=cota_s*100,0,IF(Tipo_Vertedor="Retangular",Cd_sr*Lef_sr*((O1435/100-cota_s)^(3/2))*1000)),IF(O1435&lt;=cota_s*100+fi_s/20,0,(OFFSET('Base de dados'!$A$4,IF(O1435&lt;20,1,IF(O1435&gt;1000,10,MATCH(O1435,Cargas,1))),Coluna_fis,1,1))*(PI()*(fi_s/1000)^2/4)*(2*9.81*(O1435/100-cota_s-fi_s/2/1000))^0.5*1000)))</f>
        <v>5662.6385774819228</v>
      </c>
      <c r="R1435" s="19">
        <f t="shared" ca="1" si="200"/>
        <v>5713.1933751228198</v>
      </c>
      <c r="S1435" s="19">
        <f t="shared" ca="1" si="201"/>
        <v>8493.5963244993491</v>
      </c>
    </row>
    <row r="1436" spans="13:19">
      <c r="M1436" s="81">
        <f t="shared" ca="1" si="198"/>
        <v>14220.584117116756</v>
      </c>
      <c r="N1436" s="19">
        <f t="shared" si="199"/>
        <v>255.00772438099912</v>
      </c>
      <c r="O1436" s="17">
        <f t="shared" si="197"/>
        <v>358.75</v>
      </c>
      <c r="P1436" s="19">
        <f ca="1">IF(ISERROR(IF(O1436&lt;fi_h/20,0,(OFFSET('Base de dados'!$A$5,IF(O1436&lt;20,1,IF(O1436&gt;1000,10,MATCH(O1436,Cargas,1))),Coluna_fih,1,1))*(1+0.13*0.25)*(PI()*(fi_h/1000)^2/4)*SQRT(2*9.81*(O1436/100-fi_h/2/1000))*1000)),"",IF(O1436&lt;fi_h/20,0,(OFFSET('Base de dados'!$A$5,IF(O1436&lt;20,1,IF(O1436&gt;1000,10,MATCH(O1436,Cargas,1))),Coluna_fih,1,1))*(PI()*(fi_h/1000)^2/4)*SQRT(2*9.81*(O1436/100-fi_h/2/1000))*1000))</f>
        <v>50.572703413137141</v>
      </c>
      <c r="Q1436" s="19">
        <f ca="1">IF(O1436="","",IF(Tipo_Vertedor="Retangular",IF(O1436&lt;=cota_s*100,0,IF(Tipo_Vertedor="Retangular",Cd_sr*Lef_sr*((O1436/100-cota_s)^(3/2))*1000)),IF(O1436&lt;=cota_s*100+fi_s/20,0,(OFFSET('Base de dados'!$A$4,IF(O1436&lt;20,1,IF(O1436&gt;1000,10,MATCH(O1436,Cargas,1))),Coluna_fis,1,1))*(PI()*(fi_s/1000)^2/4)*(2*9.81*(O1436/100-cota_s-fi_s/2/1000))^0.5*1000)))</f>
        <v>5669.7539343369817</v>
      </c>
      <c r="R1436" s="19">
        <f t="shared" ca="1" si="200"/>
        <v>5720.3266377501186</v>
      </c>
      <c r="S1436" s="19">
        <f t="shared" ca="1" si="201"/>
        <v>8500.2574793666372</v>
      </c>
    </row>
    <row r="1437" spans="13:19">
      <c r="M1437" s="81">
        <f t="shared" ca="1" si="198"/>
        <v>14234.382084323475</v>
      </c>
      <c r="N1437" s="19">
        <f t="shared" si="199"/>
        <v>255.20757637570782</v>
      </c>
      <c r="O1437" s="17">
        <f t="shared" si="197"/>
        <v>359</v>
      </c>
      <c r="P1437" s="19">
        <f ca="1">IF(ISERROR(IF(O1437&lt;fi_h/20,0,(OFFSET('Base de dados'!$A$5,IF(O1437&lt;20,1,IF(O1437&gt;1000,10,MATCH(O1437,Cargas,1))),Coluna_fih,1,1))*(1+0.13*0.25)*(PI()*(fi_h/1000)^2/4)*SQRT(2*9.81*(O1437/100-fi_h/2/1000))*1000)),"",IF(O1437&lt;fi_h/20,0,(OFFSET('Base de dados'!$A$5,IF(O1437&lt;20,1,IF(O1437&gt;1000,10,MATCH(O1437,Cargas,1))),Coluna_fih,1,1))*(PI()*(fi_h/1000)^2/4)*SQRT(2*9.81*(O1437/100-fi_h/2/1000))*1000))</f>
        <v>50.590602847902261</v>
      </c>
      <c r="Q1437" s="19">
        <f ca="1">IF(O1437="","",IF(Tipo_Vertedor="Retangular",IF(O1437&lt;=cota_s*100,0,IF(Tipo_Vertedor="Retangular",Cd_sr*Lef_sr*((O1437/100-cota_s)^(3/2))*1000)),IF(O1437&lt;=cota_s*100+fi_s/20,0,(OFFSET('Base de dados'!$A$4,IF(O1437&lt;20,1,IF(O1437&gt;1000,10,MATCH(O1437,Cargas,1))),Coluna_fis,1,1))*(PI()*(fi_s/1000)^2/4)*(2*9.81*(O1437/100-cota_s-fi_s/2/1000))^0.5*1000)))</f>
        <v>5676.87226895198</v>
      </c>
      <c r="R1437" s="19">
        <f t="shared" ca="1" si="200"/>
        <v>5727.4628717998821</v>
      </c>
      <c r="S1437" s="19">
        <f t="shared" ca="1" si="201"/>
        <v>8506.9192125235932</v>
      </c>
    </row>
    <row r="1438" spans="13:19">
      <c r="M1438" s="81">
        <f t="shared" ca="1" si="198"/>
        <v>14248.183599651355</v>
      </c>
      <c r="N1438" s="19">
        <f t="shared" si="199"/>
        <v>255.40744570852993</v>
      </c>
      <c r="O1438" s="17">
        <f t="shared" si="197"/>
        <v>359.25</v>
      </c>
      <c r="P1438" s="19">
        <f ca="1">IF(ISERROR(IF(O1438&lt;fi_h/20,0,(OFFSET('Base de dados'!$A$5,IF(O1438&lt;20,1,IF(O1438&gt;1000,10,MATCH(O1438,Cargas,1))),Coluna_fih,1,1))*(1+0.13*0.25)*(PI()*(fi_h/1000)^2/4)*SQRT(2*9.81*(O1438/100-fi_h/2/1000))*1000)),"",IF(O1438&lt;fi_h/20,0,(OFFSET('Base de dados'!$A$5,IF(O1438&lt;20,1,IF(O1438&gt;1000,10,MATCH(O1438,Cargas,1))),Coluna_fih,1,1))*(PI()*(fi_h/1000)^2/4)*SQRT(2*9.81*(O1438/100-fi_h/2/1000))*1000))</f>
        <v>50.608495951917192</v>
      </c>
      <c r="Q1438" s="19">
        <f ca="1">IF(O1438="","",IF(Tipo_Vertedor="Retangular",IF(O1438&lt;=cota_s*100,0,IF(Tipo_Vertedor="Retangular",Cd_sr*Lef_sr*((O1438/100-cota_s)^(3/2))*1000)),IF(O1438&lt;=cota_s*100+fi_s/20,0,(OFFSET('Base de dados'!$A$4,IF(O1438&lt;20,1,IF(O1438&gt;1000,10,MATCH(O1438,Cargas,1))),Coluna_fis,1,1))*(PI()*(fi_s/1000)^2/4)*(2*9.81*(O1438/100-cota_s-fi_s/2/1000))^0.5*1000)))</f>
        <v>5683.993580081773</v>
      </c>
      <c r="R1438" s="19">
        <f t="shared" ca="1" si="200"/>
        <v>5734.6020760336905</v>
      </c>
      <c r="S1438" s="19">
        <f t="shared" ca="1" si="201"/>
        <v>8513.5815236176641</v>
      </c>
    </row>
    <row r="1439" spans="13:19">
      <c r="M1439" s="81">
        <f t="shared" ca="1" si="198"/>
        <v>14261.988661511432</v>
      </c>
      <c r="N1439" s="19">
        <f t="shared" si="199"/>
        <v>255.60733236890272</v>
      </c>
      <c r="O1439" s="17">
        <f t="shared" si="197"/>
        <v>359.5</v>
      </c>
      <c r="P1439" s="19">
        <f ca="1">IF(ISERROR(IF(O1439&lt;fi_h/20,0,(OFFSET('Base de dados'!$A$5,IF(O1439&lt;20,1,IF(O1439&gt;1000,10,MATCH(O1439,Cargas,1))),Coluna_fih,1,1))*(1+0.13*0.25)*(PI()*(fi_h/1000)^2/4)*SQRT(2*9.81*(O1439/100-fi_h/2/1000))*1000)),"",IF(O1439&lt;fi_h/20,0,(OFFSET('Base de dados'!$A$5,IF(O1439&lt;20,1,IF(O1439&gt;1000,10,MATCH(O1439,Cargas,1))),Coluna_fih,1,1))*(PI()*(fi_h/1000)^2/4)*SQRT(2*9.81*(O1439/100-fi_h/2/1000))*1000))</f>
        <v>50.626382731894473</v>
      </c>
      <c r="Q1439" s="19">
        <f ca="1">IF(O1439="","",IF(Tipo_Vertedor="Retangular",IF(O1439&lt;=cota_s*100,0,IF(Tipo_Vertedor="Retangular",Cd_sr*Lef_sr*((O1439/100-cota_s)^(3/2))*1000)),IF(O1439&lt;=cota_s*100+fi_s/20,0,(OFFSET('Base de dados'!$A$4,IF(O1439&lt;20,1,IF(O1439&gt;1000,10,MATCH(O1439,Cargas,1))),Coluna_fis,1,1))*(PI()*(fi_s/1000)^2/4)*(2*9.81*(O1439/100-cota_s-fi_s/2/1000))^0.5*1000)))</f>
        <v>5691.1178664827803</v>
      </c>
      <c r="R1439" s="19">
        <f t="shared" ca="1" si="200"/>
        <v>5741.7442492146747</v>
      </c>
      <c r="S1439" s="19">
        <f t="shared" ca="1" si="201"/>
        <v>8520.2444122967572</v>
      </c>
    </row>
    <row r="1440" spans="13:19">
      <c r="M1440" s="81">
        <f t="shared" ca="1" si="198"/>
        <v>14275.797268316734</v>
      </c>
      <c r="N1440" s="19">
        <f t="shared" si="199"/>
        <v>255.80723634627682</v>
      </c>
      <c r="O1440" s="17">
        <f t="shared" si="197"/>
        <v>359.75</v>
      </c>
      <c r="P1440" s="19">
        <f ca="1">IF(ISERROR(IF(O1440&lt;fi_h/20,0,(OFFSET('Base de dados'!$A$5,IF(O1440&lt;20,1,IF(O1440&gt;1000,10,MATCH(O1440,Cargas,1))),Coluna_fih,1,1))*(1+0.13*0.25)*(PI()*(fi_h/1000)^2/4)*SQRT(2*9.81*(O1440/100-fi_h/2/1000))*1000)),"",IF(O1440&lt;fi_h/20,0,(OFFSET('Base de dados'!$A$5,IF(O1440&lt;20,1,IF(O1440&gt;1000,10,MATCH(O1440,Cargas,1))),Coluna_fih,1,1))*(PI()*(fi_h/1000)^2/4)*SQRT(2*9.81*(O1440/100-fi_h/2/1000))*1000))</f>
        <v>50.644263194534723</v>
      </c>
      <c r="Q1440" s="19">
        <f ca="1">IF(O1440="","",IF(Tipo_Vertedor="Retangular",IF(O1440&lt;=cota_s*100,0,IF(Tipo_Vertedor="Retangular",Cd_sr*Lef_sr*((O1440/100-cota_s)^(3/2))*1000)),IF(O1440&lt;=cota_s*100+fi_s/20,0,(OFFSET('Base de dados'!$A$4,IF(O1440&lt;20,1,IF(O1440&gt;1000,10,MATCH(O1440,Cargas,1))),Coluna_fis,1,1))*(PI()*(fi_s/1000)^2/4)*(2*9.81*(O1440/100-cota_s-fi_s/2/1000))^0.5*1000)))</f>
        <v>5698.2451269129715</v>
      </c>
      <c r="R1440" s="19">
        <f t="shared" ca="1" si="200"/>
        <v>5748.8893901075062</v>
      </c>
      <c r="S1440" s="19">
        <f t="shared" ca="1" si="201"/>
        <v>8526.9078782092274</v>
      </c>
    </row>
    <row r="1441" spans="13:19">
      <c r="M1441" s="81">
        <f t="shared" ca="1" si="198"/>
        <v>14289.609418482309</v>
      </c>
      <c r="N1441" s="19">
        <f t="shared" si="199"/>
        <v>256.00715763011698</v>
      </c>
      <c r="O1441" s="17">
        <f t="shared" si="197"/>
        <v>360</v>
      </c>
      <c r="P1441" s="19">
        <f ca="1">IF(ISERROR(IF(O1441&lt;fi_h/20,0,(OFFSET('Base de dados'!$A$5,IF(O1441&lt;20,1,IF(O1441&gt;1000,10,MATCH(O1441,Cargas,1))),Coluna_fih,1,1))*(1+0.13*0.25)*(PI()*(fi_h/1000)^2/4)*SQRT(2*9.81*(O1441/100-fi_h/2/1000))*1000)),"",IF(O1441&lt;fi_h/20,0,(OFFSET('Base de dados'!$A$5,IF(O1441&lt;20,1,IF(O1441&gt;1000,10,MATCH(O1441,Cargas,1))),Coluna_fih,1,1))*(PI()*(fi_h/1000)^2/4)*SQRT(2*9.81*(O1441/100-fi_h/2/1000))*1000))</f>
        <v>50.662137346526833</v>
      </c>
      <c r="Q1441" s="19">
        <f ca="1">IF(O1441="","",IF(Tipo_Vertedor="Retangular",IF(O1441&lt;=cota_s*100,0,IF(Tipo_Vertedor="Retangular",Cd_sr*Lef_sr*((O1441/100-cota_s)^(3/2))*1000)),IF(O1441&lt;=cota_s*100+fi_s/20,0,(OFFSET('Base de dados'!$A$4,IF(O1441&lt;20,1,IF(O1441&gt;1000,10,MATCH(O1441,Cargas,1))),Coluna_fis,1,1))*(PI()*(fi_s/1000)^2/4)*(2*9.81*(O1441/100-cota_s-fi_s/2/1000))^0.5*1000)))</f>
        <v>5705.3753601318822</v>
      </c>
      <c r="R1441" s="19">
        <f t="shared" ca="1" si="200"/>
        <v>5756.037497478409</v>
      </c>
      <c r="S1441" s="19">
        <f t="shared" ca="1" si="201"/>
        <v>8533.5719210038988</v>
      </c>
    </row>
    <row r="1442" spans="13:19">
      <c r="M1442" s="81">
        <f t="shared" ca="1" si="198"/>
        <v>14303.425110425189</v>
      </c>
      <c r="N1442" s="19">
        <f t="shared" si="199"/>
        <v>256.20709620990158</v>
      </c>
      <c r="O1442" s="17">
        <f t="shared" si="197"/>
        <v>360.25</v>
      </c>
      <c r="P1442" s="19">
        <f ca="1">IF(ISERROR(IF(O1442&lt;fi_h/20,0,(OFFSET('Base de dados'!$A$5,IF(O1442&lt;20,1,IF(O1442&gt;1000,10,MATCH(O1442,Cargas,1))),Coluna_fih,1,1))*(1+0.13*0.25)*(PI()*(fi_h/1000)^2/4)*SQRT(2*9.81*(O1442/100-fi_h/2/1000))*1000)),"",IF(O1442&lt;fi_h/20,0,(OFFSET('Base de dados'!$A$5,IF(O1442&lt;20,1,IF(O1442&gt;1000,10,MATCH(O1442,Cargas,1))),Coluna_fih,1,1))*(PI()*(fi_h/1000)^2/4)*SQRT(2*9.81*(O1442/100-fi_h/2/1000))*1000))</f>
        <v>50.680005194547796</v>
      </c>
      <c r="Q1442" s="19">
        <f ca="1">IF(O1442="","",IF(Tipo_Vertedor="Retangular",IF(O1442&lt;=cota_s*100,0,IF(Tipo_Vertedor="Retangular",Cd_sr*Lef_sr*((O1442/100-cota_s)^(3/2))*1000)),IF(O1442&lt;=cota_s*100+fi_s/20,0,(OFFSET('Base de dados'!$A$4,IF(O1442&lt;20,1,IF(O1442&gt;1000,10,MATCH(O1442,Cargas,1))),Coluna_fis,1,1))*(PI()*(fi_s/1000)^2/4)*(2*9.81*(O1442/100-cota_s-fi_s/2/1000))^0.5*1000)))</f>
        <v>5712.5085649005878</v>
      </c>
      <c r="R1442" s="19">
        <f t="shared" ca="1" si="200"/>
        <v>5763.1885700951352</v>
      </c>
      <c r="S1442" s="19">
        <f t="shared" ca="1" si="201"/>
        <v>8540.2365403300537</v>
      </c>
    </row>
    <row r="1443" spans="13:19">
      <c r="M1443" s="81">
        <f t="shared" ca="1" si="198"/>
        <v>14317.244342564392</v>
      </c>
      <c r="N1443" s="19">
        <f t="shared" si="199"/>
        <v>256.40705207512246</v>
      </c>
      <c r="O1443" s="17">
        <f t="shared" si="197"/>
        <v>360.5</v>
      </c>
      <c r="P1443" s="19">
        <f ca="1">IF(ISERROR(IF(O1443&lt;fi_h/20,0,(OFFSET('Base de dados'!$A$5,IF(O1443&lt;20,1,IF(O1443&gt;1000,10,MATCH(O1443,Cargas,1))),Coluna_fih,1,1))*(1+0.13*0.25)*(PI()*(fi_h/1000)^2/4)*SQRT(2*9.81*(O1443/100-fi_h/2/1000))*1000)),"",IF(O1443&lt;fi_h/20,0,(OFFSET('Base de dados'!$A$5,IF(O1443&lt;20,1,IF(O1443&gt;1000,10,MATCH(O1443,Cargas,1))),Coluna_fih,1,1))*(PI()*(fi_h/1000)^2/4)*SQRT(2*9.81*(O1443/100-fi_h/2/1000))*1000))</f>
        <v>50.6978667452629</v>
      </c>
      <c r="Q1443" s="19">
        <f ca="1">IF(O1443="","",IF(Tipo_Vertedor="Retangular",IF(O1443&lt;=cota_s*100,0,IF(Tipo_Vertedor="Retangular",Cd_sr*Lef_sr*((O1443/100-cota_s)^(3/2))*1000)),IF(O1443&lt;=cota_s*100+fi_s/20,0,(OFFSET('Base de dados'!$A$4,IF(O1443&lt;20,1,IF(O1443&gt;1000,10,MATCH(O1443,Cargas,1))),Coluna_fis,1,1))*(PI()*(fi_s/1000)^2/4)*(2*9.81*(O1443/100-cota_s-fi_s/2/1000))^0.5*1000)))</f>
        <v>5719.6447399817143</v>
      </c>
      <c r="R1443" s="19">
        <f t="shared" ca="1" si="200"/>
        <v>5770.3426067269775</v>
      </c>
      <c r="S1443" s="19">
        <f t="shared" ca="1" si="201"/>
        <v>8546.9017358374149</v>
      </c>
    </row>
    <row r="1444" spans="13:19">
      <c r="M1444" s="81">
        <f t="shared" ca="1" si="198"/>
        <v>14331.067113320951</v>
      </c>
      <c r="N1444" s="19">
        <f t="shared" si="199"/>
        <v>256.6070252152856</v>
      </c>
      <c r="O1444" s="17">
        <f t="shared" si="197"/>
        <v>360.75</v>
      </c>
      <c r="P1444" s="19">
        <f ca="1">IF(ISERROR(IF(O1444&lt;fi_h/20,0,(OFFSET('Base de dados'!$A$5,IF(O1444&lt;20,1,IF(O1444&gt;1000,10,MATCH(O1444,Cargas,1))),Coluna_fih,1,1))*(1+0.13*0.25)*(PI()*(fi_h/1000)^2/4)*SQRT(2*9.81*(O1444/100-fi_h/2/1000))*1000)),"",IF(O1444&lt;fi_h/20,0,(OFFSET('Base de dados'!$A$5,IF(O1444&lt;20,1,IF(O1444&gt;1000,10,MATCH(O1444,Cargas,1))),Coluna_fih,1,1))*(PI()*(fi_h/1000)^2/4)*SQRT(2*9.81*(O1444/100-fi_h/2/1000))*1000))</f>
        <v>50.715722005325702</v>
      </c>
      <c r="Q1444" s="19">
        <f ca="1">IF(O1444="","",IF(Tipo_Vertedor="Retangular",IF(O1444&lt;=cota_s*100,0,IF(Tipo_Vertedor="Retangular",Cd_sr*Lef_sr*((O1444/100-cota_s)^(3/2))*1000)),IF(O1444&lt;=cota_s*100+fi_s/20,0,(OFFSET('Base de dados'!$A$4,IF(O1444&lt;20,1,IF(O1444&gt;1000,10,MATCH(O1444,Cargas,1))),Coluna_fis,1,1))*(PI()*(fi_s/1000)^2/4)*(2*9.81*(O1444/100-cota_s-fi_s/2/1000))^0.5*1000)))</f>
        <v>5726.7838841394378</v>
      </c>
      <c r="R1444" s="19">
        <f t="shared" ca="1" si="200"/>
        <v>5777.4996061447637</v>
      </c>
      <c r="S1444" s="19">
        <f t="shared" ca="1" si="201"/>
        <v>8553.5675071761871</v>
      </c>
    </row>
    <row r="1445" spans="13:19">
      <c r="M1445" s="81">
        <f t="shared" ca="1" si="198"/>
        <v>14344.893421117853</v>
      </c>
      <c r="N1445" s="19">
        <f t="shared" si="199"/>
        <v>256.8070156199102</v>
      </c>
      <c r="O1445" s="17">
        <f t="shared" si="197"/>
        <v>361</v>
      </c>
      <c r="P1445" s="19">
        <f ca="1">IF(ISERROR(IF(O1445&lt;fi_h/20,0,(OFFSET('Base de dados'!$A$5,IF(O1445&lt;20,1,IF(O1445&gt;1000,10,MATCH(O1445,Cargas,1))),Coluna_fih,1,1))*(1+0.13*0.25)*(PI()*(fi_h/1000)^2/4)*SQRT(2*9.81*(O1445/100-fi_h/2/1000))*1000)),"",IF(O1445&lt;fi_h/20,0,(OFFSET('Base de dados'!$A$5,IF(O1445&lt;20,1,IF(O1445&gt;1000,10,MATCH(O1445,Cargas,1))),Coluna_fih,1,1))*(PI()*(fi_h/1000)^2/4)*SQRT(2*9.81*(O1445/100-fi_h/2/1000))*1000))</f>
        <v>50.733570981378001</v>
      </c>
      <c r="Q1445" s="19">
        <f ca="1">IF(O1445="","",IF(Tipo_Vertedor="Retangular",IF(O1445&lt;=cota_s*100,0,IF(Tipo_Vertedor="Retangular",Cd_sr*Lef_sr*((O1445/100-cota_s)^(3/2))*1000)),IF(O1445&lt;=cota_s*100+fi_s/20,0,(OFFSET('Base de dados'!$A$4,IF(O1445&lt;20,1,IF(O1445&gt;1000,10,MATCH(O1445,Cargas,1))),Coluna_fis,1,1))*(PI()*(fi_s/1000)^2/4)*(2*9.81*(O1445/100-cota_s-fi_s/2/1000))^0.5*1000)))</f>
        <v>5733.9259961394682</v>
      </c>
      <c r="R1445" s="19">
        <f t="shared" ca="1" si="200"/>
        <v>5784.6595671208461</v>
      </c>
      <c r="S1445" s="19">
        <f t="shared" ca="1" si="201"/>
        <v>8560.233853997006</v>
      </c>
    </row>
    <row r="1446" spans="13:19">
      <c r="M1446" s="81">
        <f t="shared" ca="1" si="198"/>
        <v>14358.723264380082</v>
      </c>
      <c r="N1446" s="19">
        <f t="shared" si="199"/>
        <v>257.00702327852918</v>
      </c>
      <c r="O1446" s="17">
        <f t="shared" si="197"/>
        <v>361.25</v>
      </c>
      <c r="P1446" s="19">
        <f ca="1">IF(ISERROR(IF(O1446&lt;fi_h/20,0,(OFFSET('Base de dados'!$A$5,IF(O1446&lt;20,1,IF(O1446&gt;1000,10,MATCH(O1446,Cargas,1))),Coluna_fih,1,1))*(1+0.13*0.25)*(PI()*(fi_h/1000)^2/4)*SQRT(2*9.81*(O1446/100-fi_h/2/1000))*1000)),"",IF(O1446&lt;fi_h/20,0,(OFFSET('Base de dados'!$A$5,IF(O1446&lt;20,1,IF(O1446&gt;1000,10,MATCH(O1446,Cargas,1))),Coluna_fih,1,1))*(PI()*(fi_h/1000)^2/4)*SQRT(2*9.81*(O1446/100-fi_h/2/1000))*1000))</f>
        <v>50.751413680049964</v>
      </c>
      <c r="Q1446" s="19">
        <f ca="1">IF(O1446="","",IF(Tipo_Vertedor="Retangular",IF(O1446&lt;=cota_s*100,0,IF(Tipo_Vertedor="Retangular",Cd_sr*Lef_sr*((O1446/100-cota_s)^(3/2))*1000)),IF(O1446&lt;=cota_s*100+fi_s/20,0,(OFFSET('Base de dados'!$A$4,IF(O1446&lt;20,1,IF(O1446&gt;1000,10,MATCH(O1446,Cargas,1))),Coluna_fis,1,1))*(PI()*(fi_s/1000)^2/4)*(2*9.81*(O1446/100-cota_s-fi_s/2/1000))^0.5*1000)))</f>
        <v>5741.0710747490584</v>
      </c>
      <c r="R1446" s="19">
        <f t="shared" ca="1" si="200"/>
        <v>5791.8224884291085</v>
      </c>
      <c r="S1446" s="19">
        <f t="shared" ca="1" si="201"/>
        <v>8566.9007759509732</v>
      </c>
    </row>
    <row r="1447" spans="13:19">
      <c r="M1447" s="81">
        <f t="shared" ca="1" si="198"/>
        <v>14372.556641534593</v>
      </c>
      <c r="N1447" s="19">
        <f t="shared" si="199"/>
        <v>257.20704818068918</v>
      </c>
      <c r="O1447" s="17">
        <f t="shared" si="197"/>
        <v>361.5</v>
      </c>
      <c r="P1447" s="19">
        <f ca="1">IF(ISERROR(IF(O1447&lt;fi_h/20,0,(OFFSET('Base de dados'!$A$5,IF(O1447&lt;20,1,IF(O1447&gt;1000,10,MATCH(O1447,Cargas,1))),Coluna_fih,1,1))*(1+0.13*0.25)*(PI()*(fi_h/1000)^2/4)*SQRT(2*9.81*(O1447/100-fi_h/2/1000))*1000)),"",IF(O1447&lt;fi_h/20,0,(OFFSET('Base de dados'!$A$5,IF(O1447&lt;20,1,IF(O1447&gt;1000,10,MATCH(O1447,Cargas,1))),Coluna_fih,1,1))*(PI()*(fi_h/1000)^2/4)*SQRT(2*9.81*(O1447/100-fi_h/2/1000))*1000))</f>
        <v>50.769250107960097</v>
      </c>
      <c r="Q1447" s="19">
        <f ca="1">IF(O1447="","",IF(Tipo_Vertedor="Retangular",IF(O1447&lt;=cota_s*100,0,IF(Tipo_Vertedor="Retangular",Cd_sr*Lef_sr*((O1447/100-cota_s)^(3/2))*1000)),IF(O1447&lt;=cota_s*100+fi_s/20,0,(OFFSET('Base de dados'!$A$4,IF(O1447&lt;20,1,IF(O1447&gt;1000,10,MATCH(O1447,Cargas,1))),Coluna_fis,1,1))*(PI()*(fi_s/1000)^2/4)*(2*9.81*(O1447/100-cota_s-fi_s/2/1000))^0.5*1000)))</f>
        <v>5748.2191187369945</v>
      </c>
      <c r="R1447" s="19">
        <f t="shared" ca="1" si="200"/>
        <v>5798.9883688449545</v>
      </c>
      <c r="S1447" s="19">
        <f t="shared" ca="1" si="201"/>
        <v>8573.5682726896393</v>
      </c>
    </row>
    <row r="1448" spans="13:19">
      <c r="M1448" s="81">
        <f t="shared" ca="1" si="198"/>
        <v>14386.393551010315</v>
      </c>
      <c r="N1448" s="19">
        <f t="shared" si="199"/>
        <v>257.40709031595026</v>
      </c>
      <c r="O1448" s="17">
        <f t="shared" si="197"/>
        <v>361.75</v>
      </c>
      <c r="P1448" s="19">
        <f ca="1">IF(ISERROR(IF(O1448&lt;fi_h/20,0,(OFFSET('Base de dados'!$A$5,IF(O1448&lt;20,1,IF(O1448&gt;1000,10,MATCH(O1448,Cargas,1))),Coluna_fih,1,1))*(1+0.13*0.25)*(PI()*(fi_h/1000)^2/4)*SQRT(2*9.81*(O1448/100-fi_h/2/1000))*1000)),"",IF(O1448&lt;fi_h/20,0,(OFFSET('Base de dados'!$A$5,IF(O1448&lt;20,1,IF(O1448&gt;1000,10,MATCH(O1448,Cargas,1))),Coluna_fih,1,1))*(PI()*(fi_h/1000)^2/4)*SQRT(2*9.81*(O1448/100-fi_h/2/1000))*1000))</f>
        <v>50.787080271715261</v>
      </c>
      <c r="Q1448" s="19">
        <f ca="1">IF(O1448="","",IF(Tipo_Vertedor="Retangular",IF(O1448&lt;=cota_s*100,0,IF(Tipo_Vertedor="Retangular",Cd_sr*Lef_sr*((O1448/100-cota_s)^(3/2))*1000)),IF(O1448&lt;=cota_s*100+fi_s/20,0,(OFFSET('Base de dados'!$A$4,IF(O1448&lt;20,1,IF(O1448&gt;1000,10,MATCH(O1448,Cargas,1))),Coluna_fis,1,1))*(PI()*(fi_s/1000)^2/4)*(2*9.81*(O1448/100-cota_s-fi_s/2/1000))^0.5*1000)))</f>
        <v>5755.3701268735913</v>
      </c>
      <c r="R1448" s="19">
        <f t="shared" ca="1" si="200"/>
        <v>5806.1572071453065</v>
      </c>
      <c r="S1448" s="19">
        <f t="shared" ca="1" si="201"/>
        <v>8580.2363438650082</v>
      </c>
    </row>
    <row r="1449" spans="13:19">
      <c r="M1449" s="81">
        <f t="shared" ca="1" si="198"/>
        <v>14400.233991238147</v>
      </c>
      <c r="N1449" s="19">
        <f t="shared" si="199"/>
        <v>257.60714967388611</v>
      </c>
      <c r="O1449" s="17">
        <f t="shared" si="197"/>
        <v>362</v>
      </c>
      <c r="P1449" s="19">
        <f ca="1">IF(ISERROR(IF(O1449&lt;fi_h/20,0,(OFFSET('Base de dados'!$A$5,IF(O1449&lt;20,1,IF(O1449&gt;1000,10,MATCH(O1449,Cargas,1))),Coluna_fih,1,1))*(1+0.13*0.25)*(PI()*(fi_h/1000)^2/4)*SQRT(2*9.81*(O1449/100-fi_h/2/1000))*1000)),"",IF(O1449&lt;fi_h/20,0,(OFFSET('Base de dados'!$A$5,IF(O1449&lt;20,1,IF(O1449&gt;1000,10,MATCH(O1449,Cargas,1))),Coluna_fih,1,1))*(PI()*(fi_h/1000)^2/4)*SQRT(2*9.81*(O1449/100-fi_h/2/1000))*1000))</f>
        <v>50.804904177910743</v>
      </c>
      <c r="Q1449" s="19">
        <f ca="1">IF(O1449="","",IF(Tipo_Vertedor="Retangular",IF(O1449&lt;=cota_s*100,0,IF(Tipo_Vertedor="Retangular",Cd_sr*Lef_sr*((O1449/100-cota_s)^(3/2))*1000)),IF(O1449&lt;=cota_s*100+fi_s/20,0,(OFFSET('Base de dados'!$A$4,IF(O1449&lt;20,1,IF(O1449&gt;1000,10,MATCH(O1449,Cargas,1))),Coluna_fis,1,1))*(PI()*(fi_s/1000)^2/4)*(2*9.81*(O1449/100-cota_s-fi_s/2/1000))^0.5*1000)))</f>
        <v>5762.5240979306991</v>
      </c>
      <c r="R1449" s="19">
        <f t="shared" ca="1" si="200"/>
        <v>5813.3290021086095</v>
      </c>
      <c r="S1449" s="19">
        <f t="shared" ca="1" si="201"/>
        <v>8586.9049891295363</v>
      </c>
    </row>
    <row r="1450" spans="13:19">
      <c r="M1450" s="81">
        <f t="shared" ca="1" si="198"/>
        <v>14414.077960650939</v>
      </c>
      <c r="N1450" s="19">
        <f t="shared" si="199"/>
        <v>257.80722624408378</v>
      </c>
      <c r="O1450" s="17">
        <f t="shared" si="197"/>
        <v>362.25</v>
      </c>
      <c r="P1450" s="19">
        <f ca="1">IF(ISERROR(IF(O1450&lt;fi_h/20,0,(OFFSET('Base de dados'!$A$5,IF(O1450&lt;20,1,IF(O1450&gt;1000,10,MATCH(O1450,Cargas,1))),Coluna_fih,1,1))*(1+0.13*0.25)*(PI()*(fi_h/1000)^2/4)*SQRT(2*9.81*(O1450/100-fi_h/2/1000))*1000)),"",IF(O1450&lt;fi_h/20,0,(OFFSET('Base de dados'!$A$5,IF(O1450&lt;20,1,IF(O1450&gt;1000,10,MATCH(O1450,Cargas,1))),Coluna_fih,1,1))*(PI()*(fi_h/1000)^2/4)*SQRT(2*9.81*(O1450/100-fi_h/2/1000))*1000))</f>
        <v>50.822721833130252</v>
      </c>
      <c r="Q1450" s="19">
        <f ca="1">IF(O1450="","",IF(Tipo_Vertedor="Retangular",IF(O1450&lt;=cota_s*100,0,IF(Tipo_Vertedor="Retangular",Cd_sr*Lef_sr*((O1450/100-cota_s)^(3/2))*1000)),IF(O1450&lt;=cota_s*100+fi_s/20,0,(OFFSET('Base de dados'!$A$4,IF(O1450&lt;20,1,IF(O1450&gt;1000,10,MATCH(O1450,Cargas,1))),Coluna_fis,1,1))*(PI()*(fi_s/1000)^2/4)*(2*9.81*(O1450/100-cota_s-fi_s/2/1000))^0.5*1000)))</f>
        <v>5769.6810306816833</v>
      </c>
      <c r="R1450" s="19">
        <f t="shared" ca="1" si="200"/>
        <v>5820.5037525148136</v>
      </c>
      <c r="S1450" s="19">
        <f t="shared" ca="1" si="201"/>
        <v>8593.5742081361259</v>
      </c>
    </row>
    <row r="1451" spans="13:19">
      <c r="M1451" s="81">
        <f t="shared" ca="1" si="198"/>
        <v>14427.925457683525</v>
      </c>
      <c r="N1451" s="19">
        <f t="shared" si="199"/>
        <v>258.00732001614398</v>
      </c>
      <c r="O1451" s="17">
        <f t="shared" si="197"/>
        <v>362.5</v>
      </c>
      <c r="P1451" s="19">
        <f ca="1">IF(ISERROR(IF(O1451&lt;fi_h/20,0,(OFFSET('Base de dados'!$A$5,IF(O1451&lt;20,1,IF(O1451&gt;1000,10,MATCH(O1451,Cargas,1))),Coluna_fih,1,1))*(1+0.13*0.25)*(PI()*(fi_h/1000)^2/4)*SQRT(2*9.81*(O1451/100-fi_h/2/1000))*1000)),"",IF(O1451&lt;fi_h/20,0,(OFFSET('Base de dados'!$A$5,IF(O1451&lt;20,1,IF(O1451&gt;1000,10,MATCH(O1451,Cargas,1))),Coluna_fih,1,1))*(PI()*(fi_h/1000)^2/4)*SQRT(2*9.81*(O1451/100-fi_h/2/1000))*1000))</f>
        <v>50.840533243945998</v>
      </c>
      <c r="Q1451" s="19">
        <f ca="1">IF(O1451="","",IF(Tipo_Vertedor="Retangular",IF(O1451&lt;=cota_s*100,0,IF(Tipo_Vertedor="Retangular",Cd_sr*Lef_sr*((O1451/100-cota_s)^(3/2))*1000)),IF(O1451&lt;=cota_s*100+fi_s/20,0,(OFFSET('Base de dados'!$A$4,IF(O1451&lt;20,1,IF(O1451&gt;1000,10,MATCH(O1451,Cargas,1))),Coluna_fis,1,1))*(PI()*(fi_s/1000)^2/4)*(2*9.81*(O1451/100-cota_s-fi_s/2/1000))^0.5*1000)))</f>
        <v>5776.8409239014463</v>
      </c>
      <c r="R1451" s="19">
        <f t="shared" ca="1" si="200"/>
        <v>5827.6814571453924</v>
      </c>
      <c r="S1451" s="19">
        <f t="shared" ca="1" si="201"/>
        <v>8600.2440005381322</v>
      </c>
    </row>
    <row r="1452" spans="13:19">
      <c r="M1452" s="81">
        <f t="shared" ca="1" si="198"/>
        <v>14441.776480772669</v>
      </c>
      <c r="N1452" s="19">
        <f t="shared" si="199"/>
        <v>258.20743097968074</v>
      </c>
      <c r="O1452" s="17">
        <f t="shared" si="197"/>
        <v>362.75</v>
      </c>
      <c r="P1452" s="19">
        <f ca="1">IF(ISERROR(IF(O1452&lt;fi_h/20,0,(OFFSET('Base de dados'!$A$5,IF(O1452&lt;20,1,IF(O1452&gt;1000,10,MATCH(O1452,Cargas,1))),Coluna_fih,1,1))*(1+0.13*0.25)*(PI()*(fi_h/1000)^2/4)*SQRT(2*9.81*(O1452/100-fi_h/2/1000))*1000)),"",IF(O1452&lt;fi_h/20,0,(OFFSET('Base de dados'!$A$5,IF(O1452&lt;20,1,IF(O1452&gt;1000,10,MATCH(O1452,Cargas,1))),Coluna_fih,1,1))*(PI()*(fi_h/1000)^2/4)*SQRT(2*9.81*(O1452/100-fi_h/2/1000))*1000))</f>
        <v>50.85833841691862</v>
      </c>
      <c r="Q1452" s="19">
        <f ca="1">IF(O1452="","",IF(Tipo_Vertedor="Retangular",IF(O1452&lt;=cota_s*100,0,IF(Tipo_Vertedor="Retangular",Cd_sr*Lef_sr*((O1452/100-cota_s)^(3/2))*1000)),IF(O1452&lt;=cota_s*100+fi_s/20,0,(OFFSET('Base de dados'!$A$4,IF(O1452&lt;20,1,IF(O1452&gt;1000,10,MATCH(O1452,Cargas,1))),Coluna_fis,1,1))*(PI()*(fi_s/1000)^2/4)*(2*9.81*(O1452/100-cota_s-fi_s/2/1000))^0.5*1000)))</f>
        <v>5784.0037763663922</v>
      </c>
      <c r="R1452" s="19">
        <f t="shared" ca="1" si="200"/>
        <v>5834.862114783311</v>
      </c>
      <c r="S1452" s="19">
        <f t="shared" ca="1" si="201"/>
        <v>8606.914365989358</v>
      </c>
    </row>
    <row r="1453" spans="13:19">
      <c r="M1453" s="81">
        <f t="shared" ca="1" si="198"/>
        <v>14455.6310283571</v>
      </c>
      <c r="N1453" s="19">
        <f t="shared" si="199"/>
        <v>258.40755912432144</v>
      </c>
      <c r="O1453" s="17">
        <f t="shared" si="197"/>
        <v>363</v>
      </c>
      <c r="P1453" s="19">
        <f ca="1">IF(ISERROR(IF(O1453&lt;fi_h/20,0,(OFFSET('Base de dados'!$A$5,IF(O1453&lt;20,1,IF(O1453&gt;1000,10,MATCH(O1453,Cargas,1))),Coluna_fih,1,1))*(1+0.13*0.25)*(PI()*(fi_h/1000)^2/4)*SQRT(2*9.81*(O1453/100-fi_h/2/1000))*1000)),"",IF(O1453&lt;fi_h/20,0,(OFFSET('Base de dados'!$A$5,IF(O1453&lt;20,1,IF(O1453&gt;1000,10,MATCH(O1453,Cargas,1))),Coluna_fih,1,1))*(PI()*(fi_h/1000)^2/4)*SQRT(2*9.81*(O1453/100-fi_h/2/1000))*1000))</f>
        <v>50.876137358597333</v>
      </c>
      <c r="Q1453" s="19">
        <f ca="1">IF(O1453="","",IF(Tipo_Vertedor="Retangular",IF(O1453&lt;=cota_s*100,0,IF(Tipo_Vertedor="Retangular",Cd_sr*Lef_sr*((O1453/100-cota_s)^(3/2))*1000)),IF(O1453&lt;=cota_s*100+fi_s/20,0,(OFFSET('Base de dados'!$A$4,IF(O1453&lt;20,1,IF(O1453&gt;1000,10,MATCH(O1453,Cargas,1))),Coluna_fis,1,1))*(PI()*(fi_s/1000)^2/4)*(2*9.81*(O1453/100-cota_s-fi_s/2/1000))^0.5*1000)))</f>
        <v>5791.1695868544539</v>
      </c>
      <c r="R1453" s="19">
        <f t="shared" ca="1" si="200"/>
        <v>5842.0457242130515</v>
      </c>
      <c r="S1453" s="19">
        <f t="shared" ca="1" si="201"/>
        <v>8613.5853041440478</v>
      </c>
    </row>
    <row r="1454" spans="13:19">
      <c r="M1454" s="81">
        <f t="shared" ca="1" si="198"/>
        <v>14469.489098877497</v>
      </c>
      <c r="N1454" s="19">
        <f t="shared" si="199"/>
        <v>258.60770443970711</v>
      </c>
      <c r="O1454" s="17">
        <f t="shared" si="197"/>
        <v>363.25</v>
      </c>
      <c r="P1454" s="19">
        <f ca="1">IF(ISERROR(IF(O1454&lt;fi_h/20,0,(OFFSET('Base de dados'!$A$5,IF(O1454&lt;20,1,IF(O1454&gt;1000,10,MATCH(O1454,Cargas,1))),Coluna_fih,1,1))*(1+0.13*0.25)*(PI()*(fi_h/1000)^2/4)*SQRT(2*9.81*(O1454/100-fi_h/2/1000))*1000)),"",IF(O1454&lt;fi_h/20,0,(OFFSET('Base de dados'!$A$5,IF(O1454&lt;20,1,IF(O1454&gt;1000,10,MATCH(O1454,Cargas,1))),Coluna_fih,1,1))*(PI()*(fi_h/1000)^2/4)*SQRT(2*9.81*(O1454/100-fi_h/2/1000))*1000))</f>
        <v>50.893930075519876</v>
      </c>
      <c r="Q1454" s="19">
        <f ca="1">IF(O1454="","",IF(Tipo_Vertedor="Retangular",IF(O1454&lt;=cota_s*100,0,IF(Tipo_Vertedor="Retangular",Cd_sr*Lef_sr*((O1454/100-cota_s)^(3/2))*1000)),IF(O1454&lt;=cota_s*100+fi_s/20,0,(OFFSET('Base de dados'!$A$4,IF(O1454&lt;20,1,IF(O1454&gt;1000,10,MATCH(O1454,Cargas,1))),Coluna_fis,1,1))*(PI()*(fi_s/1000)^2/4)*(2*9.81*(O1454/100-cota_s-fi_s/2/1000))^0.5*1000)))</f>
        <v>5798.3383541450739</v>
      </c>
      <c r="R1454" s="19">
        <f t="shared" ca="1" si="200"/>
        <v>5849.232284220594</v>
      </c>
      <c r="S1454" s="19">
        <f t="shared" ca="1" si="201"/>
        <v>8620.2568146569029</v>
      </c>
    </row>
    <row r="1455" spans="13:19">
      <c r="M1455" s="81">
        <f t="shared" ca="1" si="198"/>
        <v>14483.350690776484</v>
      </c>
      <c r="N1455" s="19">
        <f t="shared" si="199"/>
        <v>258.80786691549207</v>
      </c>
      <c r="O1455" s="17">
        <f t="shared" si="197"/>
        <v>363.5</v>
      </c>
      <c r="P1455" s="19">
        <f ca="1">IF(ISERROR(IF(O1455&lt;fi_h/20,0,(OFFSET('Base de dados'!$A$5,IF(O1455&lt;20,1,IF(O1455&gt;1000,10,MATCH(O1455,Cargas,1))),Coluna_fih,1,1))*(1+0.13*0.25)*(PI()*(fi_h/1000)^2/4)*SQRT(2*9.81*(O1455/100-fi_h/2/1000))*1000)),"",IF(O1455&lt;fi_h/20,0,(OFFSET('Base de dados'!$A$5,IF(O1455&lt;20,1,IF(O1455&gt;1000,10,MATCH(O1455,Cargas,1))),Coluna_fih,1,1))*(PI()*(fi_h/1000)^2/4)*SQRT(2*9.81*(O1455/100-fi_h/2/1000))*1000))</f>
        <v>50.911716574212555</v>
      </c>
      <c r="Q1455" s="19">
        <f ca="1">IF(O1455="","",IF(Tipo_Vertedor="Retangular",IF(O1455&lt;=cota_s*100,0,IF(Tipo_Vertedor="Retangular",Cd_sr*Lef_sr*((O1455/100-cota_s)^(3/2))*1000)),IF(O1455&lt;=cota_s*100+fi_s/20,0,(OFFSET('Base de dados'!$A$4,IF(O1455&lt;20,1,IF(O1455&gt;1000,10,MATCH(O1455,Cargas,1))),Coluna_fis,1,1))*(PI()*(fi_s/1000)^2/4)*(2*9.81*(O1455/100-cota_s-fi_s/2/1000))^0.5*1000)))</f>
        <v>5805.5100770192012</v>
      </c>
      <c r="R1455" s="19">
        <f t="shared" ca="1" si="200"/>
        <v>5856.4217935934139</v>
      </c>
      <c r="S1455" s="19">
        <f t="shared" ca="1" si="201"/>
        <v>8626.9288971830701</v>
      </c>
    </row>
    <row r="1456" spans="13:19">
      <c r="M1456" s="81">
        <f t="shared" ca="1" si="198"/>
        <v>14497.215802498609</v>
      </c>
      <c r="N1456" s="19">
        <f t="shared" si="199"/>
        <v>259.00804654134379</v>
      </c>
      <c r="O1456" s="17">
        <f t="shared" si="197"/>
        <v>363.75</v>
      </c>
      <c r="P1456" s="19">
        <f ca="1">IF(ISERROR(IF(O1456&lt;fi_h/20,0,(OFFSET('Base de dados'!$A$5,IF(O1456&lt;20,1,IF(O1456&gt;1000,10,MATCH(O1456,Cargas,1))),Coluna_fih,1,1))*(1+0.13*0.25)*(PI()*(fi_h/1000)^2/4)*SQRT(2*9.81*(O1456/100-fi_h/2/1000))*1000)),"",IF(O1456&lt;fi_h/20,0,(OFFSET('Base de dados'!$A$5,IF(O1456&lt;20,1,IF(O1456&gt;1000,10,MATCH(O1456,Cargas,1))),Coluna_fih,1,1))*(PI()*(fi_h/1000)^2/4)*SQRT(2*9.81*(O1456/100-fi_h/2/1000))*1000))</f>
        <v>50.929496861190302</v>
      </c>
      <c r="Q1456" s="19">
        <f ca="1">IF(O1456="","",IF(Tipo_Vertedor="Retangular",IF(O1456&lt;=cota_s*100,0,IF(Tipo_Vertedor="Retangular",Cd_sr*Lef_sr*((O1456/100-cota_s)^(3/2))*1000)),IF(O1456&lt;=cota_s*100+fi_s/20,0,(OFFSET('Base de dados'!$A$4,IF(O1456&lt;20,1,IF(O1456&gt;1000,10,MATCH(O1456,Cargas,1))),Coluna_fis,1,1))*(PI()*(fi_s/1000)^2/4)*(2*9.81*(O1456/100-cota_s-fi_s/2/1000))^0.5*1000)))</f>
        <v>5812.6847542592941</v>
      </c>
      <c r="R1456" s="19">
        <f t="shared" ca="1" si="200"/>
        <v>5863.6142511204844</v>
      </c>
      <c r="S1456" s="19">
        <f t="shared" ca="1" si="201"/>
        <v>8633.6015513781258</v>
      </c>
    </row>
    <row r="1457" spans="13:19">
      <c r="M1457" s="81">
        <f t="shared" ca="1" si="198"/>
        <v>14511.084432490381</v>
      </c>
      <c r="N1457" s="19">
        <f t="shared" si="199"/>
        <v>259.2082433069433</v>
      </c>
      <c r="O1457" s="17">
        <f t="shared" si="197"/>
        <v>364</v>
      </c>
      <c r="P1457" s="19">
        <f ca="1">IF(ISERROR(IF(O1457&lt;fi_h/20,0,(OFFSET('Base de dados'!$A$5,IF(O1457&lt;20,1,IF(O1457&gt;1000,10,MATCH(O1457,Cargas,1))),Coluna_fih,1,1))*(1+0.13*0.25)*(PI()*(fi_h/1000)^2/4)*SQRT(2*9.81*(O1457/100-fi_h/2/1000))*1000)),"",IF(O1457&lt;fi_h/20,0,(OFFSET('Base de dados'!$A$5,IF(O1457&lt;20,1,IF(O1457&gt;1000,10,MATCH(O1457,Cargas,1))),Coluna_fih,1,1))*(PI()*(fi_h/1000)^2/4)*SQRT(2*9.81*(O1457/100-fi_h/2/1000))*1000))</f>
        <v>50.947270942956656</v>
      </c>
      <c r="Q1457" s="19">
        <f ca="1">IF(O1457="","",IF(Tipo_Vertedor="Retangular",IF(O1457&lt;=cota_s*100,0,IF(Tipo_Vertedor="Retangular",Cd_sr*Lef_sr*((O1457/100-cota_s)^(3/2))*1000)),IF(O1457&lt;=cota_s*100+fi_s/20,0,(OFFSET('Base de dados'!$A$4,IF(O1457&lt;20,1,IF(O1457&gt;1000,10,MATCH(O1457,Cargas,1))),Coluna_fis,1,1))*(PI()*(fi_s/1000)^2/4)*(2*9.81*(O1457/100-cota_s-fi_s/2/1000))^0.5*1000)))</f>
        <v>5819.8623846493147</v>
      </c>
      <c r="R1457" s="19">
        <f t="shared" ca="1" si="200"/>
        <v>5870.8096555922712</v>
      </c>
      <c r="S1457" s="19">
        <f t="shared" ca="1" si="201"/>
        <v>8640.2747768981098</v>
      </c>
    </row>
    <row r="1458" spans="13:19">
      <c r="M1458" s="81">
        <f t="shared" ca="1" si="198"/>
        <v>14524.956579200212</v>
      </c>
      <c r="N1458" s="19">
        <f t="shared" si="199"/>
        <v>259.40845720198462</v>
      </c>
      <c r="O1458" s="17">
        <f t="shared" si="197"/>
        <v>364.25</v>
      </c>
      <c r="P1458" s="19">
        <f ca="1">IF(ISERROR(IF(O1458&lt;fi_h/20,0,(OFFSET('Base de dados'!$A$5,IF(O1458&lt;20,1,IF(O1458&gt;1000,10,MATCH(O1458,Cargas,1))),Coluna_fih,1,1))*(1+0.13*0.25)*(PI()*(fi_h/1000)^2/4)*SQRT(2*9.81*(O1458/100-fi_h/2/1000))*1000)),"",IF(O1458&lt;fi_h/20,0,(OFFSET('Base de dados'!$A$5,IF(O1458&lt;20,1,IF(O1458&gt;1000,10,MATCH(O1458,Cargas,1))),Coluna_fih,1,1))*(PI()*(fi_h/1000)^2/4)*SQRT(2*9.81*(O1458/100-fi_h/2/1000))*1000))</f>
        <v>50.965038826003841</v>
      </c>
      <c r="Q1458" s="19">
        <f ca="1">IF(O1458="","",IF(Tipo_Vertedor="Retangular",IF(O1458&lt;=cota_s*100,0,IF(Tipo_Vertedor="Retangular",Cd_sr*Lef_sr*((O1458/100-cota_s)^(3/2))*1000)),IF(O1458&lt;=cota_s*100+fi_s/20,0,(OFFSET('Base de dados'!$A$4,IF(O1458&lt;20,1,IF(O1458&gt;1000,10,MATCH(O1458,Cargas,1))),Coluna_fis,1,1))*(PI()*(fi_s/1000)^2/4)*(2*9.81*(O1458/100-cota_s-fi_s/2/1000))^0.5*1000)))</f>
        <v>5827.04296697472</v>
      </c>
      <c r="R1458" s="19">
        <f t="shared" ca="1" si="200"/>
        <v>5878.0080058007243</v>
      </c>
      <c r="S1458" s="19">
        <f t="shared" ca="1" si="201"/>
        <v>8646.9485733994879</v>
      </c>
    </row>
    <row r="1459" spans="13:19">
      <c r="M1459" s="81">
        <f t="shared" ca="1" si="198"/>
        <v>14538.832241078475</v>
      </c>
      <c r="N1459" s="19">
        <f t="shared" si="199"/>
        <v>259.60868821617549</v>
      </c>
      <c r="O1459" s="17">
        <f t="shared" si="197"/>
        <v>364.5</v>
      </c>
      <c r="P1459" s="19">
        <f ca="1">IF(ISERROR(IF(O1459&lt;fi_h/20,0,(OFFSET('Base de dados'!$A$5,IF(O1459&lt;20,1,IF(O1459&gt;1000,10,MATCH(O1459,Cargas,1))),Coluna_fih,1,1))*(1+0.13*0.25)*(PI()*(fi_h/1000)^2/4)*SQRT(2*9.81*(O1459/100-fi_h/2/1000))*1000)),"",IF(O1459&lt;fi_h/20,0,(OFFSET('Base de dados'!$A$5,IF(O1459&lt;20,1,IF(O1459&gt;1000,10,MATCH(O1459,Cargas,1))),Coluna_fih,1,1))*(PI()*(fi_h/1000)^2/4)*SQRT(2*9.81*(O1459/100-fi_h/2/1000))*1000))</f>
        <v>50.982800516812731</v>
      </c>
      <c r="Q1459" s="19">
        <f ca="1">IF(O1459="","",IF(Tipo_Vertedor="Retangular",IF(O1459&lt;=cota_s*100,0,IF(Tipo_Vertedor="Retangular",Cd_sr*Lef_sr*((O1459/100-cota_s)^(3/2))*1000)),IF(O1459&lt;=cota_s*100+fi_s/20,0,(OFFSET('Base de dados'!$A$4,IF(O1459&lt;20,1,IF(O1459&gt;1000,10,MATCH(O1459,Cargas,1))),Coluna_fis,1,1))*(PI()*(fi_s/1000)^2/4)*(2*9.81*(O1459/100-cota_s-fi_s/2/1000))^0.5*1000)))</f>
        <v>5834.226500022477</v>
      </c>
      <c r="R1459" s="19">
        <f t="shared" ca="1" si="200"/>
        <v>5885.2093005392899</v>
      </c>
      <c r="S1459" s="19">
        <f t="shared" ca="1" si="201"/>
        <v>8653.6229405391841</v>
      </c>
    </row>
    <row r="1460" spans="13:19">
      <c r="M1460" s="81">
        <f t="shared" ca="1" si="198"/>
        <v>14552.711416577433</v>
      </c>
      <c r="N1460" s="19">
        <f t="shared" si="199"/>
        <v>259.80893633923654</v>
      </c>
      <c r="O1460" s="17">
        <f t="shared" si="197"/>
        <v>364.75</v>
      </c>
      <c r="P1460" s="19">
        <f ca="1">IF(ISERROR(IF(O1460&lt;fi_h/20,0,(OFFSET('Base de dados'!$A$5,IF(O1460&lt;20,1,IF(O1460&gt;1000,10,MATCH(O1460,Cargas,1))),Coluna_fih,1,1))*(1+0.13*0.25)*(PI()*(fi_h/1000)^2/4)*SQRT(2*9.81*(O1460/100-fi_h/2/1000))*1000)),"",IF(O1460&lt;fi_h/20,0,(OFFSET('Base de dados'!$A$5,IF(O1460&lt;20,1,IF(O1460&gt;1000,10,MATCH(O1460,Cargas,1))),Coluna_fih,1,1))*(PI()*(fi_h/1000)^2/4)*SQRT(2*9.81*(O1460/100-fi_h/2/1000))*1000))</f>
        <v>51.000556021852987</v>
      </c>
      <c r="Q1460" s="19">
        <f ca="1">IF(O1460="","",IF(Tipo_Vertedor="Retangular",IF(O1460&lt;=cota_s*100,0,IF(Tipo_Vertedor="Retangular",Cd_sr*Lef_sr*((O1460/100-cota_s)^(3/2))*1000)),IF(O1460&lt;=cota_s*100+fi_s/20,0,(OFFSET('Base de dados'!$A$4,IF(O1460&lt;20,1,IF(O1460&gt;1000,10,MATCH(O1460,Cargas,1))),Coluna_fis,1,1))*(PI()*(fi_s/1000)^2/4)*(2*9.81*(O1460/100-cota_s-fi_s/2/1000))^0.5*1000)))</f>
        <v>5841.4129825810287</v>
      </c>
      <c r="R1460" s="19">
        <f t="shared" ca="1" si="200"/>
        <v>5892.413538602882</v>
      </c>
      <c r="S1460" s="19">
        <f t="shared" ca="1" si="201"/>
        <v>8660.2978779745517</v>
      </c>
    </row>
    <row r="1461" spans="13:19">
      <c r="M1461" s="81">
        <f t="shared" ca="1" si="198"/>
        <v>14566.594104151296</v>
      </c>
      <c r="N1461" s="19">
        <f t="shared" si="199"/>
        <v>260.0092015609016</v>
      </c>
      <c r="O1461" s="17">
        <f t="shared" si="197"/>
        <v>365</v>
      </c>
      <c r="P1461" s="19">
        <f ca="1">IF(ISERROR(IF(O1461&lt;fi_h/20,0,(OFFSET('Base de dados'!$A$5,IF(O1461&lt;20,1,IF(O1461&gt;1000,10,MATCH(O1461,Cargas,1))),Coluna_fih,1,1))*(1+0.13*0.25)*(PI()*(fi_h/1000)^2/4)*SQRT(2*9.81*(O1461/100-fi_h/2/1000))*1000)),"",IF(O1461&lt;fi_h/20,0,(OFFSET('Base de dados'!$A$5,IF(O1461&lt;20,1,IF(O1461&gt;1000,10,MATCH(O1461,Cargas,1))),Coluna_fih,1,1))*(PI()*(fi_h/1000)^2/4)*SQRT(2*9.81*(O1461/100-fi_h/2/1000))*1000))</f>
        <v>51.018305347582917</v>
      </c>
      <c r="Q1461" s="19">
        <f ca="1">IF(O1461="","",IF(Tipo_Vertedor="Retangular",IF(O1461&lt;=cota_s*100,0,IF(Tipo_Vertedor="Retangular",Cd_sr*Lef_sr*((O1461/100-cota_s)^(3/2))*1000)),IF(O1461&lt;=cota_s*100+fi_s/20,0,(OFFSET('Base de dados'!$A$4,IF(O1461&lt;20,1,IF(O1461&gt;1000,10,MATCH(O1461,Cargas,1))),Coluna_fis,1,1))*(PI()*(fi_s/1000)^2/4)*(2*9.81*(O1461/100-cota_s-fi_s/2/1000))^0.5*1000)))</f>
        <v>5848.6024134403269</v>
      </c>
      <c r="R1461" s="19">
        <f t="shared" ca="1" si="200"/>
        <v>5899.6207187879099</v>
      </c>
      <c r="S1461" s="19">
        <f t="shared" ca="1" si="201"/>
        <v>8666.9733853633861</v>
      </c>
    </row>
    <row r="1462" spans="13:19">
      <c r="M1462" s="81">
        <f t="shared" ca="1" si="198"/>
        <v>14580.480302256179</v>
      </c>
      <c r="N1462" s="19">
        <f t="shared" si="199"/>
        <v>260.20948387091795</v>
      </c>
      <c r="O1462" s="17">
        <f t="shared" si="197"/>
        <v>365.25</v>
      </c>
      <c r="P1462" s="19">
        <f ca="1">IF(ISERROR(IF(O1462&lt;fi_h/20,0,(OFFSET('Base de dados'!$A$5,IF(O1462&lt;20,1,IF(O1462&gt;1000,10,MATCH(O1462,Cargas,1))),Coluna_fih,1,1))*(1+0.13*0.25)*(PI()*(fi_h/1000)^2/4)*SQRT(2*9.81*(O1462/100-fi_h/2/1000))*1000)),"",IF(O1462&lt;fi_h/20,0,(OFFSET('Base de dados'!$A$5,IF(O1462&lt;20,1,IF(O1462&gt;1000,10,MATCH(O1462,Cargas,1))),Coluna_fih,1,1))*(PI()*(fi_h/1000)^2/4)*SQRT(2*9.81*(O1462/100-fi_h/2/1000))*1000))</f>
        <v>51.03604850044966</v>
      </c>
      <c r="Q1462" s="19">
        <f ca="1">IF(O1462="","",IF(Tipo_Vertedor="Retangular",IF(O1462&lt;=cota_s*100,0,IF(Tipo_Vertedor="Retangular",Cd_sr*Lef_sr*((O1462/100-cota_s)^(3/2))*1000)),IF(O1462&lt;=cota_s*100+fi_s/20,0,(OFFSET('Base de dados'!$A$4,IF(O1462&lt;20,1,IF(O1462&gt;1000,10,MATCH(O1462,Cargas,1))),Coluna_fis,1,1))*(PI()*(fi_s/1000)^2/4)*(2*9.81*(O1462/100-cota_s-fi_s/2/1000))^0.5*1000)))</f>
        <v>5855.7947913917969</v>
      </c>
      <c r="R1462" s="19">
        <f t="shared" ca="1" si="200"/>
        <v>5906.8308398922463</v>
      </c>
      <c r="S1462" s="19">
        <f t="shared" ca="1" si="201"/>
        <v>8673.6494623639319</v>
      </c>
    </row>
    <row r="1463" spans="13:19">
      <c r="M1463" s="81">
        <f t="shared" ca="1" si="198"/>
        <v>14594.370009350114</v>
      </c>
      <c r="N1463" s="19">
        <f t="shared" si="199"/>
        <v>260.40978325904581</v>
      </c>
      <c r="O1463" s="17">
        <f t="shared" si="197"/>
        <v>365.5</v>
      </c>
      <c r="P1463" s="19">
        <f ca="1">IF(ISERROR(IF(O1463&lt;fi_h/20,0,(OFFSET('Base de dados'!$A$5,IF(O1463&lt;20,1,IF(O1463&gt;1000,10,MATCH(O1463,Cargas,1))),Coluna_fih,1,1))*(1+0.13*0.25)*(PI()*(fi_h/1000)^2/4)*SQRT(2*9.81*(O1463/100-fi_h/2/1000))*1000)),"",IF(O1463&lt;fi_h/20,0,(OFFSET('Base de dados'!$A$5,IF(O1463&lt;20,1,IF(O1463&gt;1000,10,MATCH(O1463,Cargas,1))),Coluna_fih,1,1))*(PI()*(fi_h/1000)^2/4)*SQRT(2*9.81*(O1463/100-fi_h/2/1000))*1000))</f>
        <v>51.053785486889161</v>
      </c>
      <c r="Q1463" s="19">
        <f ca="1">IF(O1463="","",IF(Tipo_Vertedor="Retangular",IF(O1463&lt;=cota_s*100,0,IF(Tipo_Vertedor="Retangular",Cd_sr*Lef_sr*((O1463/100-cota_s)^(3/2))*1000)),IF(O1463&lt;=cota_s*100+fi_s/20,0,(OFFSET('Base de dados'!$A$4,IF(O1463&lt;20,1,IF(O1463&gt;1000,10,MATCH(O1463,Cargas,1))),Coluna_fis,1,1))*(PI()*(fi_s/1000)^2/4)*(2*9.81*(O1463/100-cota_s-fi_s/2/1000))^0.5*1000)))</f>
        <v>5862.9901152283646</v>
      </c>
      <c r="R1463" s="19">
        <f t="shared" ca="1" si="200"/>
        <v>5914.0439007152536</v>
      </c>
      <c r="S1463" s="19">
        <f t="shared" ca="1" si="201"/>
        <v>8680.3261086348593</v>
      </c>
    </row>
    <row r="1464" spans="13:19">
      <c r="M1464" s="81">
        <f t="shared" ca="1" si="198"/>
        <v>14608.263223893036</v>
      </c>
      <c r="N1464" s="19">
        <f t="shared" si="199"/>
        <v>260.61009971505865</v>
      </c>
      <c r="O1464" s="17">
        <f t="shared" si="197"/>
        <v>365.75</v>
      </c>
      <c r="P1464" s="19">
        <f ca="1">IF(ISERROR(IF(O1464&lt;fi_h/20,0,(OFFSET('Base de dados'!$A$5,IF(O1464&lt;20,1,IF(O1464&gt;1000,10,MATCH(O1464,Cargas,1))),Coluna_fih,1,1))*(1+0.13*0.25)*(PI()*(fi_h/1000)^2/4)*SQRT(2*9.81*(O1464/100-fi_h/2/1000))*1000)),"",IF(O1464&lt;fi_h/20,0,(OFFSET('Base de dados'!$A$5,IF(O1464&lt;20,1,IF(O1464&gt;1000,10,MATCH(O1464,Cargas,1))),Coluna_fih,1,1))*(PI()*(fi_h/1000)^2/4)*SQRT(2*9.81*(O1464/100-fi_h/2/1000))*1000))</f>
        <v>51.071516313326136</v>
      </c>
      <c r="Q1464" s="19">
        <f ca="1">IF(O1464="","",IF(Tipo_Vertedor="Retangular",IF(O1464&lt;=cota_s*100,0,IF(Tipo_Vertedor="Retangular",Cd_sr*Lef_sr*((O1464/100-cota_s)^(3/2))*1000)),IF(O1464&lt;=cota_s*100+fi_s/20,0,(OFFSET('Base de dados'!$A$4,IF(O1464&lt;20,1,IF(O1464&gt;1000,10,MATCH(O1464,Cargas,1))),Coluna_fis,1,1))*(PI()*(fi_s/1000)^2/4)*(2*9.81*(O1464/100-cota_s-fi_s/2/1000))^0.5*1000)))</f>
        <v>5870.188383744422</v>
      </c>
      <c r="R1464" s="19">
        <f t="shared" ca="1" si="200"/>
        <v>5921.2599000577484</v>
      </c>
      <c r="S1464" s="19">
        <f t="shared" ca="1" si="201"/>
        <v>8687.003323835288</v>
      </c>
    </row>
    <row r="1465" spans="13:19">
      <c r="M1465" s="81">
        <f t="shared" ca="1" si="198"/>
        <v>14622.159944346786</v>
      </c>
      <c r="N1465" s="19">
        <f t="shared" si="199"/>
        <v>260.81043322874291</v>
      </c>
      <c r="O1465" s="17">
        <f t="shared" si="197"/>
        <v>366</v>
      </c>
      <c r="P1465" s="19">
        <f ca="1">IF(ISERROR(IF(O1465&lt;fi_h/20,0,(OFFSET('Base de dados'!$A$5,IF(O1465&lt;20,1,IF(O1465&gt;1000,10,MATCH(O1465,Cargas,1))),Coluna_fih,1,1))*(1+0.13*0.25)*(PI()*(fi_h/1000)^2/4)*SQRT(2*9.81*(O1465/100-fi_h/2/1000))*1000)),"",IF(O1465&lt;fi_h/20,0,(OFFSET('Base de dados'!$A$5,IF(O1465&lt;20,1,IF(O1465&gt;1000,10,MATCH(O1465,Cargas,1))),Coluna_fih,1,1))*(PI()*(fi_h/1000)^2/4)*SQRT(2*9.81*(O1465/100-fi_h/2/1000))*1000))</f>
        <v>51.089240986174175</v>
      </c>
      <c r="Q1465" s="19">
        <f ca="1">IF(O1465="","",IF(Tipo_Vertedor="Retangular",IF(O1465&lt;=cota_s*100,0,IF(Tipo_Vertedor="Retangular",Cd_sr*Lef_sr*((O1465/100-cota_s)^(3/2))*1000)),IF(O1465&lt;=cota_s*100+fi_s/20,0,(OFFSET('Base de dados'!$A$4,IF(O1465&lt;20,1,IF(O1465&gt;1000,10,MATCH(O1465,Cargas,1))),Coluna_fis,1,1))*(PI()*(fi_s/1000)^2/4)*(2*9.81*(O1465/100-cota_s-fi_s/2/1000))^0.5*1000)))</f>
        <v>5877.3895957358482</v>
      </c>
      <c r="R1465" s="19">
        <f t="shared" ca="1" si="200"/>
        <v>5928.4788367220226</v>
      </c>
      <c r="S1465" s="19">
        <f t="shared" ca="1" si="201"/>
        <v>8693.6811076247632</v>
      </c>
    </row>
    <row r="1466" spans="13:19">
      <c r="M1466" s="81">
        <f t="shared" ca="1" si="198"/>
        <v>14636.060169175114</v>
      </c>
      <c r="N1466" s="19">
        <f t="shared" si="199"/>
        <v>261.01078378989831</v>
      </c>
      <c r="O1466" s="17">
        <f t="shared" si="197"/>
        <v>366.25</v>
      </c>
      <c r="P1466" s="19">
        <f ca="1">IF(ISERROR(IF(O1466&lt;fi_h/20,0,(OFFSET('Base de dados'!$A$5,IF(O1466&lt;20,1,IF(O1466&gt;1000,10,MATCH(O1466,Cargas,1))),Coluna_fih,1,1))*(1+0.13*0.25)*(PI()*(fi_h/1000)^2/4)*SQRT(2*9.81*(O1466/100-fi_h/2/1000))*1000)),"",IF(O1466&lt;fi_h/20,0,(OFFSET('Base de dados'!$A$5,IF(O1466&lt;20,1,IF(O1466&gt;1000,10,MATCH(O1466,Cargas,1))),Coluna_fih,1,1))*(PI()*(fi_h/1000)^2/4)*SQRT(2*9.81*(O1466/100-fi_h/2/1000))*1000))</f>
        <v>51.10695951183579</v>
      </c>
      <c r="Q1466" s="19">
        <f ca="1">IF(O1466="","",IF(Tipo_Vertedor="Retangular",IF(O1466&lt;=cota_s*100,0,IF(Tipo_Vertedor="Retangular",Cd_sr*Lef_sr*((O1466/100-cota_s)^(3/2))*1000)),IF(O1466&lt;=cota_s*100+fi_s/20,0,(OFFSET('Base de dados'!$A$4,IF(O1466&lt;20,1,IF(O1466&gt;1000,10,MATCH(O1466,Cargas,1))),Coluna_fis,1,1))*(PI()*(fi_s/1000)^2/4)*(2*9.81*(O1466/100-cota_s-fi_s/2/1000))^0.5*1000)))</f>
        <v>5884.5937500000009</v>
      </c>
      <c r="R1466" s="19">
        <f t="shared" ca="1" si="200"/>
        <v>5935.700709511837</v>
      </c>
      <c r="S1466" s="19">
        <f t="shared" ca="1" si="201"/>
        <v>8700.3594596632774</v>
      </c>
    </row>
    <row r="1467" spans="13:19">
      <c r="M1467" s="81">
        <f t="shared" ca="1" si="198"/>
        <v>14649.963896843652</v>
      </c>
      <c r="N1467" s="19">
        <f t="shared" si="199"/>
        <v>261.21115138833738</v>
      </c>
      <c r="O1467" s="17">
        <f t="shared" si="197"/>
        <v>366.5</v>
      </c>
      <c r="P1467" s="19">
        <f ca="1">IF(ISERROR(IF(O1467&lt;fi_h/20,0,(OFFSET('Base de dados'!$A$5,IF(O1467&lt;20,1,IF(O1467&gt;1000,10,MATCH(O1467,Cargas,1))),Coluna_fih,1,1))*(1+0.13*0.25)*(PI()*(fi_h/1000)^2/4)*SQRT(2*9.81*(O1467/100-fi_h/2/1000))*1000)),"",IF(O1467&lt;fi_h/20,0,(OFFSET('Base de dados'!$A$5,IF(O1467&lt;20,1,IF(O1467&gt;1000,10,MATCH(O1467,Cargas,1))),Coluna_fih,1,1))*(PI()*(fi_h/1000)^2/4)*SQRT(2*9.81*(O1467/100-fi_h/2/1000))*1000))</f>
        <v>51.124671896702331</v>
      </c>
      <c r="Q1467" s="19">
        <f ca="1">IF(O1467="","",IF(Tipo_Vertedor="Retangular",IF(O1467&lt;=cota_s*100,0,IF(Tipo_Vertedor="Retangular",Cd_sr*Lef_sr*((O1467/100-cota_s)^(3/2))*1000)),IF(O1467&lt;=cota_s*100+fi_s/20,0,(OFFSET('Base de dados'!$A$4,IF(O1467&lt;20,1,IF(O1467&gt;1000,10,MATCH(O1467,Cargas,1))),Coluna_fis,1,1))*(PI()*(fi_s/1000)^2/4)*(2*9.81*(O1467/100-cota_s-fi_s/2/1000))^0.5*1000)))</f>
        <v>5891.8008453357033</v>
      </c>
      <c r="R1467" s="19">
        <f t="shared" ca="1" si="200"/>
        <v>5942.9255172324056</v>
      </c>
      <c r="S1467" s="19">
        <f t="shared" ca="1" si="201"/>
        <v>8707.0383796112455</v>
      </c>
    </row>
    <row r="1468" spans="13:19">
      <c r="M1468" s="81">
        <f t="shared" ca="1" si="198"/>
        <v>14663.871125819936</v>
      </c>
      <c r="N1468" s="19">
        <f t="shared" si="199"/>
        <v>261.41153601388595</v>
      </c>
      <c r="O1468" s="17">
        <f t="shared" si="197"/>
        <v>366.75</v>
      </c>
      <c r="P1468" s="19">
        <f ca="1">IF(ISERROR(IF(O1468&lt;fi_h/20,0,(OFFSET('Base de dados'!$A$5,IF(O1468&lt;20,1,IF(O1468&gt;1000,10,MATCH(O1468,Cargas,1))),Coluna_fih,1,1))*(1+0.13*0.25)*(PI()*(fi_h/1000)^2/4)*SQRT(2*9.81*(O1468/100-fi_h/2/1000))*1000)),"",IF(O1468&lt;fi_h/20,0,(OFFSET('Base de dados'!$A$5,IF(O1468&lt;20,1,IF(O1468&gt;1000,10,MATCH(O1468,Cargas,1))),Coluna_fih,1,1))*(PI()*(fi_h/1000)^2/4)*SQRT(2*9.81*(O1468/100-fi_h/2/1000))*1000))</f>
        <v>51.142378147154126</v>
      </c>
      <c r="Q1468" s="19">
        <f ca="1">IF(O1468="","",IF(Tipo_Vertedor="Retangular",IF(O1468&lt;=cota_s*100,0,IF(Tipo_Vertedor="Retangular",Cd_sr*Lef_sr*((O1468/100-cota_s)^(3/2))*1000)),IF(O1468&lt;=cota_s*100+fi_s/20,0,(OFFSET('Base de dados'!$A$4,IF(O1468&lt;20,1,IF(O1468&gt;1000,10,MATCH(O1468,Cargas,1))),Coluna_fis,1,1))*(PI()*(fi_s/1000)^2/4)*(2*9.81*(O1468/100-cota_s-fi_s/2/1000))^0.5*1000)))</f>
        <v>5899.0108805432519</v>
      </c>
      <c r="R1468" s="19">
        <f t="shared" ca="1" si="200"/>
        <v>5950.1532586904059</v>
      </c>
      <c r="S1468" s="19">
        <f t="shared" ca="1" si="201"/>
        <v>8713.7178671295314</v>
      </c>
    </row>
    <row r="1469" spans="13:19">
      <c r="M1469" s="81">
        <f t="shared" ca="1" si="198"/>
        <v>14677.781854573401</v>
      </c>
      <c r="N1469" s="19">
        <f t="shared" si="199"/>
        <v>261.61193765638274</v>
      </c>
      <c r="O1469" s="17">
        <f t="shared" si="197"/>
        <v>367</v>
      </c>
      <c r="P1469" s="19">
        <f ca="1">IF(ISERROR(IF(O1469&lt;fi_h/20,0,(OFFSET('Base de dados'!$A$5,IF(O1469&lt;20,1,IF(O1469&gt;1000,10,MATCH(O1469,Cargas,1))),Coluna_fih,1,1))*(1+0.13*0.25)*(PI()*(fi_h/1000)^2/4)*SQRT(2*9.81*(O1469/100-fi_h/2/1000))*1000)),"",IF(O1469&lt;fi_h/20,0,(OFFSET('Base de dados'!$A$5,IF(O1469&lt;20,1,IF(O1469&gt;1000,10,MATCH(O1469,Cargas,1))),Coluna_fih,1,1))*(PI()*(fi_h/1000)^2/4)*SQRT(2*9.81*(O1469/100-fi_h/2/1000))*1000))</f>
        <v>51.160078269560451</v>
      </c>
      <c r="Q1469" s="19">
        <f ca="1">IF(O1469="","",IF(Tipo_Vertedor="Retangular",IF(O1469&lt;=cota_s*100,0,IF(Tipo_Vertedor="Retangular",Cd_sr*Lef_sr*((O1469/100-cota_s)^(3/2))*1000)),IF(O1469&lt;=cota_s*100+fi_s/20,0,(OFFSET('Base de dados'!$A$4,IF(O1469&lt;20,1,IF(O1469&gt;1000,10,MATCH(O1469,Cargas,1))),Coluna_fis,1,1))*(PI()*(fi_s/1000)^2/4)*(2*9.81*(O1469/100-cota_s-fi_s/2/1000))^0.5*1000)))</f>
        <v>5906.2238544244146</v>
      </c>
      <c r="R1469" s="19">
        <f t="shared" ca="1" si="200"/>
        <v>5957.3839326939751</v>
      </c>
      <c r="S1469" s="19">
        <f t="shared" ca="1" si="201"/>
        <v>8720.3979218794248</v>
      </c>
    </row>
    <row r="1470" spans="13:19">
      <c r="M1470" s="81">
        <f t="shared" ca="1" si="198"/>
        <v>14691.696081575345</v>
      </c>
      <c r="N1470" s="19">
        <f t="shared" si="199"/>
        <v>261.81235630567943</v>
      </c>
      <c r="O1470" s="17">
        <f t="shared" si="197"/>
        <v>367.25</v>
      </c>
      <c r="P1470" s="19">
        <f ca="1">IF(ISERROR(IF(O1470&lt;fi_h/20,0,(OFFSET('Base de dados'!$A$5,IF(O1470&lt;20,1,IF(O1470&gt;1000,10,MATCH(O1470,Cargas,1))),Coluna_fih,1,1))*(1+0.13*0.25)*(PI()*(fi_h/1000)^2/4)*SQRT(2*9.81*(O1470/100-fi_h/2/1000))*1000)),"",IF(O1470&lt;fi_h/20,0,(OFFSET('Base de dados'!$A$5,IF(O1470&lt;20,1,IF(O1470&gt;1000,10,MATCH(O1470,Cargas,1))),Coluna_fih,1,1))*(PI()*(fi_h/1000)^2/4)*SQRT(2*9.81*(O1470/100-fi_h/2/1000))*1000))</f>
        <v>51.177772270279547</v>
      </c>
      <c r="Q1470" s="19">
        <f ca="1">IF(O1470="","",IF(Tipo_Vertedor="Retangular",IF(O1470&lt;=cota_s*100,0,IF(Tipo_Vertedor="Retangular",Cd_sr*Lef_sr*((O1470/100-cota_s)^(3/2))*1000)),IF(O1470&lt;=cota_s*100+fi_s/20,0,(OFFSET('Base de dados'!$A$4,IF(O1470&lt;20,1,IF(O1470&gt;1000,10,MATCH(O1470,Cargas,1))),Coluna_fis,1,1))*(PI()*(fi_s/1000)^2/4)*(2*9.81*(O1470/100-cota_s-fi_s/2/1000))^0.5*1000)))</f>
        <v>5913.4397657824165</v>
      </c>
      <c r="R1470" s="19">
        <f t="shared" ca="1" si="200"/>
        <v>5964.6175380526965</v>
      </c>
      <c r="S1470" s="19">
        <f t="shared" ca="1" si="201"/>
        <v>8727.078543522648</v>
      </c>
    </row>
    <row r="1471" spans="13:19">
      <c r="M1471" s="81">
        <f t="shared" ca="1" si="198"/>
        <v>14705.613805298963</v>
      </c>
      <c r="N1471" s="19">
        <f t="shared" si="199"/>
        <v>262.01279195164074</v>
      </c>
      <c r="O1471" s="17">
        <f t="shared" si="197"/>
        <v>367.5</v>
      </c>
      <c r="P1471" s="19">
        <f ca="1">IF(ISERROR(IF(O1471&lt;fi_h/20,0,(OFFSET('Base de dados'!$A$5,IF(O1471&lt;20,1,IF(O1471&gt;1000,10,MATCH(O1471,Cargas,1))),Coluna_fih,1,1))*(1+0.13*0.25)*(PI()*(fi_h/1000)^2/4)*SQRT(2*9.81*(O1471/100-fi_h/2/1000))*1000)),"",IF(O1471&lt;fi_h/20,0,(OFFSET('Base de dados'!$A$5,IF(O1471&lt;20,1,IF(O1471&gt;1000,10,MATCH(O1471,Cargas,1))),Coluna_fih,1,1))*(PI()*(fi_h/1000)^2/4)*SQRT(2*9.81*(O1471/100-fi_h/2/1000))*1000))</f>
        <v>51.195460155658694</v>
      </c>
      <c r="Q1471" s="19">
        <f ca="1">IF(O1471="","",IF(Tipo_Vertedor="Retangular",IF(O1471&lt;=cota_s*100,0,IF(Tipo_Vertedor="Retangular",Cd_sr*Lef_sr*((O1471/100-cota_s)^(3/2))*1000)),IF(O1471&lt;=cota_s*100+fi_s/20,0,(OFFSET('Base de dados'!$A$4,IF(O1471&lt;20,1,IF(O1471&gt;1000,10,MATCH(O1471,Cargas,1))),Coluna_fis,1,1))*(PI()*(fi_s/1000)^2/4)*(2*9.81*(O1471/100-cota_s-fi_s/2/1000))^0.5*1000)))</f>
        <v>5920.658613421946</v>
      </c>
      <c r="R1471" s="19">
        <f t="shared" ca="1" si="200"/>
        <v>5971.854073577605</v>
      </c>
      <c r="S1471" s="19">
        <f t="shared" ca="1" si="201"/>
        <v>8733.7597317213585</v>
      </c>
    </row>
    <row r="1472" spans="13:19">
      <c r="M1472" s="81">
        <f t="shared" ca="1" si="198"/>
        <v>14719.535024219327</v>
      </c>
      <c r="N1472" s="19">
        <f t="shared" si="199"/>
        <v>262.21324458414415</v>
      </c>
      <c r="O1472" s="17">
        <f t="shared" si="197"/>
        <v>367.75</v>
      </c>
      <c r="P1472" s="19">
        <f ca="1">IF(ISERROR(IF(O1472&lt;fi_h/20,0,(OFFSET('Base de dados'!$A$5,IF(O1472&lt;20,1,IF(O1472&gt;1000,10,MATCH(O1472,Cargas,1))),Coluna_fih,1,1))*(1+0.13*0.25)*(PI()*(fi_h/1000)^2/4)*SQRT(2*9.81*(O1472/100-fi_h/2/1000))*1000)),"",IF(O1472&lt;fi_h/20,0,(OFFSET('Base de dados'!$A$5,IF(O1472&lt;20,1,IF(O1472&gt;1000,10,MATCH(O1472,Cargas,1))),Coluna_fih,1,1))*(PI()*(fi_h/1000)^2/4)*SQRT(2*9.81*(O1472/100-fi_h/2/1000))*1000))</f>
        <v>51.213141932034205</v>
      </c>
      <c r="Q1472" s="19">
        <f ca="1">IF(O1472="","",IF(Tipo_Vertedor="Retangular",IF(O1472&lt;=cota_s*100,0,IF(Tipo_Vertedor="Retangular",Cd_sr*Lef_sr*((O1472/100-cota_s)^(3/2))*1000)),IF(O1472&lt;=cota_s*100+fi_s/20,0,(OFFSET('Base de dados'!$A$4,IF(O1472&lt;20,1,IF(O1472&gt;1000,10,MATCH(O1472,Cargas,1))),Coluna_fis,1,1))*(PI()*(fi_s/1000)^2/4)*(2*9.81*(O1472/100-cota_s-fi_s/2/1000))^0.5*1000)))</f>
        <v>5927.880396149154</v>
      </c>
      <c r="R1472" s="19">
        <f t="shared" ca="1" si="200"/>
        <v>5979.0935380811879</v>
      </c>
      <c r="S1472" s="19">
        <f t="shared" ca="1" si="201"/>
        <v>8740.4414861381392</v>
      </c>
    </row>
    <row r="1473" spans="13:19">
      <c r="M1473" s="81">
        <f t="shared" ca="1" si="198"/>
        <v>14733.459736813373</v>
      </c>
      <c r="N1473" s="19">
        <f t="shared" si="199"/>
        <v>262.41371419308018</v>
      </c>
      <c r="O1473" s="17">
        <f t="shared" si="197"/>
        <v>368</v>
      </c>
      <c r="P1473" s="19">
        <f ca="1">IF(ISERROR(IF(O1473&lt;fi_h/20,0,(OFFSET('Base de dados'!$A$5,IF(O1473&lt;20,1,IF(O1473&gt;1000,10,MATCH(O1473,Cargas,1))),Coluna_fih,1,1))*(1+0.13*0.25)*(PI()*(fi_h/1000)^2/4)*SQRT(2*9.81*(O1473/100-fi_h/2/1000))*1000)),"",IF(O1473&lt;fi_h/20,0,(OFFSET('Base de dados'!$A$5,IF(O1473&lt;20,1,IF(O1473&gt;1000,10,MATCH(O1473,Cargas,1))),Coluna_fih,1,1))*(PI()*(fi_h/1000)^2/4)*SQRT(2*9.81*(O1473/100-fi_h/2/1000))*1000))</f>
        <v>51.230817605731445</v>
      </c>
      <c r="Q1473" s="19">
        <f ca="1">IF(O1473="","",IF(Tipo_Vertedor="Retangular",IF(O1473&lt;=cota_s*100,0,IF(Tipo_Vertedor="Retangular",Cd_sr*Lef_sr*((O1473/100-cota_s)^(3/2))*1000)),IF(O1473&lt;=cota_s*100+fi_s/20,0,(OFFSET('Base de dados'!$A$4,IF(O1473&lt;20,1,IF(O1473&gt;1000,10,MATCH(O1473,Cargas,1))),Coluna_fis,1,1))*(PI()*(fi_s/1000)^2/4)*(2*9.81*(O1473/100-cota_s-fi_s/2/1000))^0.5*1000)))</f>
        <v>5935.1051127716346</v>
      </c>
      <c r="R1473" s="19">
        <f t="shared" ca="1" si="200"/>
        <v>5986.3359303773659</v>
      </c>
      <c r="S1473" s="19">
        <f t="shared" ca="1" si="201"/>
        <v>8747.1238064360059</v>
      </c>
    </row>
    <row r="1474" spans="13:19">
      <c r="M1474" s="81">
        <f t="shared" ca="1" si="198"/>
        <v>14747.387941559913</v>
      </c>
      <c r="N1474" s="19">
        <f t="shared" si="199"/>
        <v>262.61420076835208</v>
      </c>
      <c r="O1474" s="17">
        <f t="shared" si="197"/>
        <v>368.25</v>
      </c>
      <c r="P1474" s="19">
        <f ca="1">IF(ISERROR(IF(O1474&lt;fi_h/20,0,(OFFSET('Base de dados'!$A$5,IF(O1474&lt;20,1,IF(O1474&gt;1000,10,MATCH(O1474,Cargas,1))),Coluna_fih,1,1))*(1+0.13*0.25)*(PI()*(fi_h/1000)^2/4)*SQRT(2*9.81*(O1474/100-fi_h/2/1000))*1000)),"",IF(O1474&lt;fi_h/20,0,(OFFSET('Base de dados'!$A$5,IF(O1474&lt;20,1,IF(O1474&gt;1000,10,MATCH(O1474,Cargas,1))),Coluna_fih,1,1))*(PI()*(fi_h/1000)^2/4)*SQRT(2*9.81*(O1474/100-fi_h/2/1000))*1000))</f>
        <v>51.248487183064888</v>
      </c>
      <c r="Q1474" s="19">
        <f ca="1">IF(O1474="","",IF(Tipo_Vertedor="Retangular",IF(O1474&lt;=cota_s*100,0,IF(Tipo_Vertedor="Retangular",Cd_sr*Lef_sr*((O1474/100-cota_s)^(3/2))*1000)),IF(O1474&lt;=cota_s*100+fi_s/20,0,(OFFSET('Base de dados'!$A$4,IF(O1474&lt;20,1,IF(O1474&gt;1000,10,MATCH(O1474,Cargas,1))),Coluna_fis,1,1))*(PI()*(fi_s/1000)^2/4)*(2*9.81*(O1474/100-cota_s-fi_s/2/1000))^0.5*1000)))</f>
        <v>5942.3327620984464</v>
      </c>
      <c r="R1474" s="19">
        <f t="shared" ca="1" si="200"/>
        <v>5993.5812492815112</v>
      </c>
      <c r="S1474" s="19">
        <f t="shared" ca="1" si="201"/>
        <v>8753.8066922784019</v>
      </c>
    </row>
    <row r="1475" spans="13:19">
      <c r="M1475" s="81">
        <f t="shared" ca="1" si="198"/>
        <v>14761.319636939643</v>
      </c>
      <c r="N1475" s="19">
        <f t="shared" si="199"/>
        <v>262.81470429987633</v>
      </c>
      <c r="O1475" s="17">
        <f t="shared" si="197"/>
        <v>368.5</v>
      </c>
      <c r="P1475" s="19">
        <f ca="1">IF(ISERROR(IF(O1475&lt;fi_h/20,0,(OFFSET('Base de dados'!$A$5,IF(O1475&lt;20,1,IF(O1475&gt;1000,10,MATCH(O1475,Cargas,1))),Coluna_fih,1,1))*(1+0.13*0.25)*(PI()*(fi_h/1000)^2/4)*SQRT(2*9.81*(O1475/100-fi_h/2/1000))*1000)),"",IF(O1475&lt;fi_h/20,0,(OFFSET('Base de dados'!$A$5,IF(O1475&lt;20,1,IF(O1475&gt;1000,10,MATCH(O1475,Cargas,1))),Coluna_fih,1,1))*(PI()*(fi_h/1000)^2/4)*SQRT(2*9.81*(O1475/100-fi_h/2/1000))*1000))</f>
        <v>51.266150670338106</v>
      </c>
      <c r="Q1475" s="19">
        <f ca="1">IF(O1475="","",IF(Tipo_Vertedor="Retangular",IF(O1475&lt;=cota_s*100,0,IF(Tipo_Vertedor="Retangular",Cd_sr*Lef_sr*((O1475/100-cota_s)^(3/2))*1000)),IF(O1475&lt;=cota_s*100+fi_s/20,0,(OFFSET('Base de dados'!$A$4,IF(O1475&lt;20,1,IF(O1475&gt;1000,10,MATCH(O1475,Cargas,1))),Coluna_fis,1,1))*(PI()*(fi_s/1000)^2/4)*(2*9.81*(O1475/100-cota_s-fi_s/2/1000))^0.5*1000)))</f>
        <v>5949.5633429400932</v>
      </c>
      <c r="R1475" s="19">
        <f t="shared" ca="1" si="200"/>
        <v>6000.8294936104312</v>
      </c>
      <c r="S1475" s="19">
        <f t="shared" ca="1" si="201"/>
        <v>8760.4901433292125</v>
      </c>
    </row>
    <row r="1476" spans="13:19">
      <c r="M1476" s="81">
        <f t="shared" ca="1" si="198"/>
        <v>14775.254821435095</v>
      </c>
      <c r="N1476" s="19">
        <f t="shared" si="199"/>
        <v>263.01522477758186</v>
      </c>
      <c r="O1476" s="17">
        <f t="shared" si="197"/>
        <v>368.75</v>
      </c>
      <c r="P1476" s="19">
        <f ca="1">IF(ISERROR(IF(O1476&lt;fi_h/20,0,(OFFSET('Base de dados'!$A$5,IF(O1476&lt;20,1,IF(O1476&gt;1000,10,MATCH(O1476,Cargas,1))),Coluna_fih,1,1))*(1+0.13*0.25)*(PI()*(fi_h/1000)^2/4)*SQRT(2*9.81*(O1476/100-fi_h/2/1000))*1000)),"",IF(O1476&lt;fi_h/20,0,(OFFSET('Base de dados'!$A$5,IF(O1476&lt;20,1,IF(O1476&gt;1000,10,MATCH(O1476,Cargas,1))),Coluna_fih,1,1))*(PI()*(fi_h/1000)^2/4)*SQRT(2*9.81*(O1476/100-fi_h/2/1000))*1000))</f>
        <v>51.283808073843858</v>
      </c>
      <c r="Q1476" s="19">
        <f ca="1">IF(O1476="","",IF(Tipo_Vertedor="Retangular",IF(O1476&lt;=cota_s*100,0,IF(Tipo_Vertedor="Retangular",Cd_sr*Lef_sr*((O1476/100-cota_s)^(3/2))*1000)),IF(O1476&lt;=cota_s*100+fi_s/20,0,(OFFSET('Base de dados'!$A$4,IF(O1476&lt;20,1,IF(O1476&gt;1000,10,MATCH(O1476,Cargas,1))),Coluna_fis,1,1))*(PI()*(fi_s/1000)^2/4)*(2*9.81*(O1476/100-cota_s-fi_s/2/1000))^0.5*1000)))</f>
        <v>5956.7968541085229</v>
      </c>
      <c r="R1476" s="19">
        <f t="shared" ca="1" si="200"/>
        <v>6008.0806621823667</v>
      </c>
      <c r="S1476" s="19">
        <f t="shared" ca="1" si="201"/>
        <v>8767.1741592527287</v>
      </c>
    </row>
    <row r="1477" spans="13:19">
      <c r="M1477" s="81">
        <f t="shared" ca="1" si="198"/>
        <v>14789.193493530674</v>
      </c>
      <c r="N1477" s="19">
        <f t="shared" si="199"/>
        <v>263.21576219141053</v>
      </c>
      <c r="O1477" s="17">
        <f t="shared" si="197"/>
        <v>369</v>
      </c>
      <c r="P1477" s="19">
        <f ca="1">IF(ISERROR(IF(O1477&lt;fi_h/20,0,(OFFSET('Base de dados'!$A$5,IF(O1477&lt;20,1,IF(O1477&gt;1000,10,MATCH(O1477,Cargas,1))),Coluna_fih,1,1))*(1+0.13*0.25)*(PI()*(fi_h/1000)^2/4)*SQRT(2*9.81*(O1477/100-fi_h/2/1000))*1000)),"",IF(O1477&lt;fi_h/20,0,(OFFSET('Base de dados'!$A$5,IF(O1477&lt;20,1,IF(O1477&gt;1000,10,MATCH(O1477,Cargas,1))),Coluna_fih,1,1))*(PI()*(fi_h/1000)^2/4)*SQRT(2*9.81*(O1477/100-fi_h/2/1000))*1000))</f>
        <v>51.301459399864001</v>
      </c>
      <c r="Q1477" s="19">
        <f ca="1">IF(O1477="","",IF(Tipo_Vertedor="Retangular",IF(O1477&lt;=cota_s*100,0,IF(Tipo_Vertedor="Retangular",Cd_sr*Lef_sr*((O1477/100-cota_s)^(3/2))*1000)),IF(O1477&lt;=cota_s*100+fi_s/20,0,(OFFSET('Base de dados'!$A$4,IF(O1477&lt;20,1,IF(O1477&gt;1000,10,MATCH(O1477,Cargas,1))),Coluna_fis,1,1))*(PI()*(fi_s/1000)^2/4)*(2*9.81*(O1477/100-cota_s-fi_s/2/1000))^0.5*1000)))</f>
        <v>5964.0332944171269</v>
      </c>
      <c r="R1477" s="19">
        <f t="shared" ca="1" si="200"/>
        <v>6015.334753816991</v>
      </c>
      <c r="S1477" s="19">
        <f t="shared" ca="1" si="201"/>
        <v>8773.8587397136835</v>
      </c>
    </row>
    <row r="1478" spans="13:19">
      <c r="M1478" s="81">
        <f t="shared" ca="1" si="198"/>
        <v>14803.135651712641</v>
      </c>
      <c r="N1478" s="19">
        <f t="shared" si="199"/>
        <v>263.41631653131702</v>
      </c>
      <c r="O1478" s="17">
        <f t="shared" si="197"/>
        <v>369.25</v>
      </c>
      <c r="P1478" s="19">
        <f ca="1">IF(ISERROR(IF(O1478&lt;fi_h/20,0,(OFFSET('Base de dados'!$A$5,IF(O1478&lt;20,1,IF(O1478&gt;1000,10,MATCH(O1478,Cargas,1))),Coluna_fih,1,1))*(1+0.13*0.25)*(PI()*(fi_h/1000)^2/4)*SQRT(2*9.81*(O1478/100-fi_h/2/1000))*1000)),"",IF(O1478&lt;fi_h/20,0,(OFFSET('Base de dados'!$A$5,IF(O1478&lt;20,1,IF(O1478&gt;1000,10,MATCH(O1478,Cargas,1))),Coluna_fih,1,1))*(PI()*(fi_h/1000)^2/4)*SQRT(2*9.81*(O1478/100-fi_h/2/1000))*1000))</f>
        <v>51.319104654669673</v>
      </c>
      <c r="Q1478" s="19">
        <f ca="1">IF(O1478="","",IF(Tipo_Vertedor="Retangular",IF(O1478&lt;=cota_s*100,0,IF(Tipo_Vertedor="Retangular",Cd_sr*Lef_sr*((O1478/100-cota_s)^(3/2))*1000)),IF(O1478&lt;=cota_s*100+fi_s/20,0,(OFFSET('Base de dados'!$A$4,IF(O1478&lt;20,1,IF(O1478&gt;1000,10,MATCH(O1478,Cargas,1))),Coluna_fis,1,1))*(PI()*(fi_s/1000)^2/4)*(2*9.81*(O1478/100-cota_s-fi_s/2/1000))^0.5*1000)))</f>
        <v>5971.272662680738</v>
      </c>
      <c r="R1478" s="19">
        <f t="shared" ca="1" si="200"/>
        <v>6022.5917673354079</v>
      </c>
      <c r="S1478" s="19">
        <f t="shared" ca="1" si="201"/>
        <v>8780.5438843772336</v>
      </c>
    </row>
    <row r="1479" spans="13:19">
      <c r="M1479" s="81">
        <f t="shared" ca="1" si="198"/>
        <v>14817.081294469106</v>
      </c>
      <c r="N1479" s="19">
        <f t="shared" si="199"/>
        <v>263.61688778726869</v>
      </c>
      <c r="O1479" s="17">
        <f t="shared" si="197"/>
        <v>369.5</v>
      </c>
      <c r="P1479" s="19">
        <f ca="1">IF(ISERROR(IF(O1479&lt;fi_h/20,0,(OFFSET('Base de dados'!$A$5,IF(O1479&lt;20,1,IF(O1479&gt;1000,10,MATCH(O1479,Cargas,1))),Coluna_fih,1,1))*(1+0.13*0.25)*(PI()*(fi_h/1000)^2/4)*SQRT(2*9.81*(O1479/100-fi_h/2/1000))*1000)),"",IF(O1479&lt;fi_h/20,0,(OFFSET('Base de dados'!$A$5,IF(O1479&lt;20,1,IF(O1479&gt;1000,10,MATCH(O1479,Cargas,1))),Coluna_fih,1,1))*(PI()*(fi_h/1000)^2/4)*SQRT(2*9.81*(O1479/100-fi_h/2/1000))*1000))</f>
        <v>51.336743844521159</v>
      </c>
      <c r="Q1479" s="19">
        <f ca="1">IF(O1479="","",IF(Tipo_Vertedor="Retangular",IF(O1479&lt;=cota_s*100,0,IF(Tipo_Vertedor="Retangular",Cd_sr*Lef_sr*((O1479/100-cota_s)^(3/2))*1000)),IF(O1479&lt;=cota_s*100+fi_s/20,0,(OFFSET('Base de dados'!$A$4,IF(O1479&lt;20,1,IF(O1479&gt;1000,10,MATCH(O1479,Cargas,1))),Coluna_fis,1,1))*(PI()*(fi_s/1000)^2/4)*(2*9.81*(O1479/100-cota_s-fi_s/2/1000))^0.5*1000)))</f>
        <v>5978.514957715629</v>
      </c>
      <c r="R1479" s="19">
        <f t="shared" ca="1" si="200"/>
        <v>6029.8517015601501</v>
      </c>
      <c r="S1479" s="19">
        <f t="shared" ca="1" si="201"/>
        <v>8787.229592908956</v>
      </c>
    </row>
    <row r="1480" spans="13:19">
      <c r="M1480" s="81">
        <f t="shared" ca="1" si="198"/>
        <v>14831.030420290022</v>
      </c>
      <c r="N1480" s="19">
        <f t="shared" si="199"/>
        <v>263.8174759492457</v>
      </c>
      <c r="O1480" s="17">
        <f t="shared" si="197"/>
        <v>369.75</v>
      </c>
      <c r="P1480" s="19">
        <f ca="1">IF(ISERROR(IF(O1480&lt;fi_h/20,0,(OFFSET('Base de dados'!$A$5,IF(O1480&lt;20,1,IF(O1480&gt;1000,10,MATCH(O1480,Cargas,1))),Coluna_fih,1,1))*(1+0.13*0.25)*(PI()*(fi_h/1000)^2/4)*SQRT(2*9.81*(O1480/100-fi_h/2/1000))*1000)),"",IF(O1480&lt;fi_h/20,0,(OFFSET('Base de dados'!$A$5,IF(O1480&lt;20,1,IF(O1480&gt;1000,10,MATCH(O1480,Cargas,1))),Coluna_fih,1,1))*(PI()*(fi_h/1000)^2/4)*SQRT(2*9.81*(O1480/100-fi_h/2/1000))*1000))</f>
        <v>51.354376975668039</v>
      </c>
      <c r="Q1480" s="19">
        <f ca="1">IF(O1480="","",IF(Tipo_Vertedor="Retangular",IF(O1480&lt;=cota_s*100,0,IF(Tipo_Vertedor="Retangular",Cd_sr*Lef_sr*((O1480/100-cota_s)^(3/2))*1000)),IF(O1480&lt;=cota_s*100+fi_s/20,0,(OFFSET('Base de dados'!$A$4,IF(O1480&lt;20,1,IF(O1480&gt;1000,10,MATCH(O1480,Cargas,1))),Coluna_fis,1,1))*(PI()*(fi_s/1000)^2/4)*(2*9.81*(O1480/100-cota_s-fi_s/2/1000))^0.5*1000)))</f>
        <v>5985.7601783394994</v>
      </c>
      <c r="R1480" s="19">
        <f t="shared" ca="1" si="200"/>
        <v>6037.1145553151673</v>
      </c>
      <c r="S1480" s="19">
        <f t="shared" ca="1" si="201"/>
        <v>8793.9158649748551</v>
      </c>
    </row>
    <row r="1481" spans="13:19">
      <c r="M1481" s="81">
        <f t="shared" ca="1" si="198"/>
        <v>14844.983027667209</v>
      </c>
      <c r="N1481" s="19">
        <f t="shared" si="199"/>
        <v>264.01808100724094</v>
      </c>
      <c r="O1481" s="17">
        <f t="shared" si="197"/>
        <v>370</v>
      </c>
      <c r="P1481" s="19">
        <f ca="1">IF(ISERROR(IF(O1481&lt;fi_h/20,0,(OFFSET('Base de dados'!$A$5,IF(O1481&lt;20,1,IF(O1481&gt;1000,10,MATCH(O1481,Cargas,1))),Coluna_fih,1,1))*(1+0.13*0.25)*(PI()*(fi_h/1000)^2/4)*SQRT(2*9.81*(O1481/100-fi_h/2/1000))*1000)),"",IF(O1481&lt;fi_h/20,0,(OFFSET('Base de dados'!$A$5,IF(O1481&lt;20,1,IF(O1481&gt;1000,10,MATCH(O1481,Cargas,1))),Coluna_fih,1,1))*(PI()*(fi_h/1000)^2/4)*SQRT(2*9.81*(O1481/100-fi_h/2/1000))*1000))</f>
        <v>51.372004054349162</v>
      </c>
      <c r="Q1481" s="19">
        <f ca="1">IF(O1481="","",IF(Tipo_Vertedor="Retangular",IF(O1481&lt;=cota_s*100,0,IF(Tipo_Vertedor="Retangular",Cd_sr*Lef_sr*((O1481/100-cota_s)^(3/2))*1000)),IF(O1481&lt;=cota_s*100+fi_s/20,0,(OFFSET('Base de dados'!$A$4,IF(O1481&lt;20,1,IF(O1481&gt;1000,10,MATCH(O1481,Cargas,1))),Coluna_fis,1,1))*(PI()*(fi_s/1000)^2/4)*(2*9.81*(O1481/100-cota_s-fi_s/2/1000))^0.5*1000)))</f>
        <v>5993.008323371495</v>
      </c>
      <c r="R1481" s="19">
        <f t="shared" ca="1" si="200"/>
        <v>6044.3803274258444</v>
      </c>
      <c r="S1481" s="19">
        <f t="shared" ca="1" si="201"/>
        <v>8800.6027002413648</v>
      </c>
    </row>
    <row r="1482" spans="13:19">
      <c r="M1482" s="81">
        <f t="shared" ca="1" si="198"/>
        <v>14858.93911509429</v>
      </c>
      <c r="N1482" s="19">
        <f t="shared" si="199"/>
        <v>264.21870295125984</v>
      </c>
      <c r="O1482" s="17">
        <f t="shared" si="197"/>
        <v>370.25</v>
      </c>
      <c r="P1482" s="19">
        <f ca="1">IF(ISERROR(IF(O1482&lt;fi_h/20,0,(OFFSET('Base de dados'!$A$5,IF(O1482&lt;20,1,IF(O1482&gt;1000,10,MATCH(O1482,Cargas,1))),Coluna_fih,1,1))*(1+0.13*0.25)*(PI()*(fi_h/1000)^2/4)*SQRT(2*9.81*(O1482/100-fi_h/2/1000))*1000)),"",IF(O1482&lt;fi_h/20,0,(OFFSET('Base de dados'!$A$5,IF(O1482&lt;20,1,IF(O1482&gt;1000,10,MATCH(O1482,Cargas,1))),Coluna_fih,1,1))*(PI()*(fi_h/1000)^2/4)*SQRT(2*9.81*(O1482/100-fi_h/2/1000))*1000))</f>
        <v>51.38962508679267</v>
      </c>
      <c r="Q1482" s="19">
        <f ca="1">IF(O1482="","",IF(Tipo_Vertedor="Retangular",IF(O1482&lt;=cota_s*100,0,IF(Tipo_Vertedor="Retangular",Cd_sr*Lef_sr*((O1482/100-cota_s)^(3/2))*1000)),IF(O1482&lt;=cota_s*100+fi_s/20,0,(OFFSET('Base de dados'!$A$4,IF(O1482&lt;20,1,IF(O1482&gt;1000,10,MATCH(O1482,Cargas,1))),Coluna_fis,1,1))*(PI()*(fi_s/1000)^2/4)*(2*9.81*(O1482/100-cota_s-fi_s/2/1000))^0.5*1000)))</f>
        <v>6000.2593916321703</v>
      </c>
      <c r="R1482" s="19">
        <f t="shared" ca="1" si="200"/>
        <v>6051.6490167189631</v>
      </c>
      <c r="S1482" s="19">
        <f t="shared" ca="1" si="201"/>
        <v>8807.2900983753279</v>
      </c>
    </row>
    <row r="1483" spans="13:19">
      <c r="M1483" s="81">
        <f t="shared" ca="1" si="198"/>
        <v>14872.898681066759</v>
      </c>
      <c r="N1483" s="19">
        <f t="shared" si="199"/>
        <v>264.4193417713206</v>
      </c>
      <c r="O1483" s="17">
        <f t="shared" si="197"/>
        <v>370.5</v>
      </c>
      <c r="P1483" s="19">
        <f ca="1">IF(ISERROR(IF(O1483&lt;fi_h/20,0,(OFFSET('Base de dados'!$A$5,IF(O1483&lt;20,1,IF(O1483&gt;1000,10,MATCH(O1483,Cargas,1))),Coluna_fih,1,1))*(1+0.13*0.25)*(PI()*(fi_h/1000)^2/4)*SQRT(2*9.81*(O1483/100-fi_h/2/1000))*1000)),"",IF(O1483&lt;fi_h/20,0,(OFFSET('Base de dados'!$A$5,IF(O1483&lt;20,1,IF(O1483&gt;1000,10,MATCH(O1483,Cargas,1))),Coluna_fih,1,1))*(PI()*(fi_h/1000)^2/4)*SQRT(2*9.81*(O1483/100-fi_h/2/1000))*1000))</f>
        <v>51.40724007921601</v>
      </c>
      <c r="Q1483" s="19">
        <f ca="1">IF(O1483="","",IF(Tipo_Vertedor="Retangular",IF(O1483&lt;=cota_s*100,0,IF(Tipo_Vertedor="Retangular",Cd_sr*Lef_sr*((O1483/100-cota_s)^(3/2))*1000)),IF(O1483&lt;=cota_s*100+fi_s/20,0,(OFFSET('Base de dados'!$A$4,IF(O1483&lt;20,1,IF(O1483&gt;1000,10,MATCH(O1483,Cargas,1))),Coluna_fis,1,1))*(PI()*(fi_s/1000)^2/4)*(2*9.81*(O1483/100-cota_s-fi_s/2/1000))^0.5*1000)))</f>
        <v>6007.5133819435223</v>
      </c>
      <c r="R1483" s="19">
        <f t="shared" ca="1" si="200"/>
        <v>6058.9206220227379</v>
      </c>
      <c r="S1483" s="19">
        <f t="shared" ca="1" si="201"/>
        <v>8813.9780590440205</v>
      </c>
    </row>
    <row r="1484" spans="13:19">
      <c r="M1484" s="81">
        <f t="shared" ca="1" si="198"/>
        <v>14886.861724081926</v>
      </c>
      <c r="N1484" s="19">
        <f t="shared" si="199"/>
        <v>264.61999745745396</v>
      </c>
      <c r="O1484" s="17">
        <f t="shared" si="197"/>
        <v>370.75</v>
      </c>
      <c r="P1484" s="19">
        <f ca="1">IF(ISERROR(IF(O1484&lt;fi_h/20,0,(OFFSET('Base de dados'!$A$5,IF(O1484&lt;20,1,IF(O1484&gt;1000,10,MATCH(O1484,Cargas,1))),Coluna_fih,1,1))*(1+0.13*0.25)*(PI()*(fi_h/1000)^2/4)*SQRT(2*9.81*(O1484/100-fi_h/2/1000))*1000)),"",IF(O1484&lt;fi_h/20,0,(OFFSET('Base de dados'!$A$5,IF(O1484&lt;20,1,IF(O1484&gt;1000,10,MATCH(O1484,Cargas,1))),Coluna_fih,1,1))*(PI()*(fi_h/1000)^2/4)*SQRT(2*9.81*(O1484/100-fi_h/2/1000))*1000))</f>
        <v>51.424849037826029</v>
      </c>
      <c r="Q1484" s="19">
        <f ca="1">IF(O1484="","",IF(Tipo_Vertedor="Retangular",IF(O1484&lt;=cota_s*100,0,IF(Tipo_Vertedor="Retangular",Cd_sr*Lef_sr*((O1484/100-cota_s)^(3/2))*1000)),IF(O1484&lt;=cota_s*100+fi_s/20,0,(OFFSET('Base de dados'!$A$4,IF(O1484&lt;20,1,IF(O1484&gt;1000,10,MATCH(O1484,Cargas,1))),Coluna_fis,1,1))*(PI()*(fi_s/1000)^2/4)*(2*9.81*(O1484/100-cota_s-fi_s/2/1000))^0.5*1000)))</f>
        <v>6014.7702931289659</v>
      </c>
      <c r="R1484" s="19">
        <f t="shared" ca="1" si="200"/>
        <v>6066.1951421667918</v>
      </c>
      <c r="S1484" s="19">
        <f t="shared" ca="1" si="201"/>
        <v>8820.6665819151331</v>
      </c>
    </row>
    <row r="1485" spans="13:19">
      <c r="M1485" s="81">
        <f t="shared" ca="1" si="198"/>
        <v>14900.828242638932</v>
      </c>
      <c r="N1485" s="19">
        <f t="shared" si="199"/>
        <v>264.82066999970351</v>
      </c>
      <c r="O1485" s="17">
        <f t="shared" si="197"/>
        <v>371</v>
      </c>
      <c r="P1485" s="19">
        <f ca="1">IF(ISERROR(IF(O1485&lt;fi_h/20,0,(OFFSET('Base de dados'!$A$5,IF(O1485&lt;20,1,IF(O1485&gt;1000,10,MATCH(O1485,Cargas,1))),Coluna_fih,1,1))*(1+0.13*0.25)*(PI()*(fi_h/1000)^2/4)*SQRT(2*9.81*(O1485/100-fi_h/2/1000))*1000)),"",IF(O1485&lt;fi_h/20,0,(OFFSET('Base de dados'!$A$5,IF(O1485&lt;20,1,IF(O1485&gt;1000,10,MATCH(O1485,Cargas,1))),Coluna_fih,1,1))*(PI()*(fi_h/1000)^2/4)*SQRT(2*9.81*(O1485/100-fi_h/2/1000))*1000))</f>
        <v>51.442451968818894</v>
      </c>
      <c r="Q1485" s="19">
        <f ca="1">IF(O1485="","",IF(Tipo_Vertedor="Retangular",IF(O1485&lt;=cota_s*100,0,IF(Tipo_Vertedor="Retangular",Cd_sr*Lef_sr*((O1485/100-cota_s)^(3/2))*1000)),IF(O1485&lt;=cota_s*100+fi_s/20,0,(OFFSET('Base de dados'!$A$4,IF(O1485&lt;20,1,IF(O1485&gt;1000,10,MATCH(O1485,Cargas,1))),Coluna_fis,1,1))*(PI()*(fi_s/1000)^2/4)*(2*9.81*(O1485/100-cota_s-fi_s/2/1000))^0.5*1000)))</f>
        <v>6022.0301240133294</v>
      </c>
      <c r="R1485" s="19">
        <f t="shared" ca="1" si="200"/>
        <v>6073.4725759821486</v>
      </c>
      <c r="S1485" s="19">
        <f t="shared" ca="1" si="201"/>
        <v>8827.3556666567838</v>
      </c>
    </row>
    <row r="1486" spans="13:19">
      <c r="M1486" s="81">
        <f t="shared" ca="1" si="198"/>
        <v>14914.79823523875</v>
      </c>
      <c r="N1486" s="19">
        <f t="shared" si="199"/>
        <v>265.02135938812501</v>
      </c>
      <c r="O1486" s="17">
        <f t="shared" si="197"/>
        <v>371.25</v>
      </c>
      <c r="P1486" s="19">
        <f ca="1">IF(ISERROR(IF(O1486&lt;fi_h/20,0,(OFFSET('Base de dados'!$A$5,IF(O1486&lt;20,1,IF(O1486&gt;1000,10,MATCH(O1486,Cargas,1))),Coluna_fih,1,1))*(1+0.13*0.25)*(PI()*(fi_h/1000)^2/4)*SQRT(2*9.81*(O1486/100-fi_h/2/1000))*1000)),"",IF(O1486&lt;fi_h/20,0,(OFFSET('Base de dados'!$A$5,IF(O1486&lt;20,1,IF(O1486&gt;1000,10,MATCH(O1486,Cargas,1))),Coluna_fih,1,1))*(PI()*(fi_h/1000)^2/4)*SQRT(2*9.81*(O1486/100-fi_h/2/1000))*1000))</f>
        <v>51.460048878380221</v>
      </c>
      <c r="Q1486" s="19">
        <f ca="1">IF(O1486="","",IF(Tipo_Vertedor="Retangular",IF(O1486&lt;=cota_s*100,0,IF(Tipo_Vertedor="Retangular",Cd_sr*Lef_sr*((O1486/100-cota_s)^(3/2))*1000)),IF(O1486&lt;=cota_s*100+fi_s/20,0,(OFFSET('Base de dados'!$A$4,IF(O1486&lt;20,1,IF(O1486&gt;1000,10,MATCH(O1486,Cargas,1))),Coluna_fis,1,1))*(PI()*(fi_s/1000)^2/4)*(2*9.81*(O1486/100-cota_s-fi_s/2/1000))^0.5*1000)))</f>
        <v>6029.2928734228699</v>
      </c>
      <c r="R1486" s="19">
        <f t="shared" ca="1" si="200"/>
        <v>6080.7529223012498</v>
      </c>
      <c r="S1486" s="19">
        <f t="shared" ca="1" si="201"/>
        <v>8834.0453129375001</v>
      </c>
    </row>
    <row r="1487" spans="13:19">
      <c r="M1487" s="81">
        <f t="shared" ca="1" si="198"/>
        <v>14928.771700384183</v>
      </c>
      <c r="N1487" s="19">
        <f t="shared" si="199"/>
        <v>265.22206561278739</v>
      </c>
      <c r="O1487" s="17">
        <f t="shared" si="197"/>
        <v>371.5</v>
      </c>
      <c r="P1487" s="19">
        <f ca="1">IF(ISERROR(IF(O1487&lt;fi_h/20,0,(OFFSET('Base de dados'!$A$5,IF(O1487&lt;20,1,IF(O1487&gt;1000,10,MATCH(O1487,Cargas,1))),Coluna_fih,1,1))*(1+0.13*0.25)*(PI()*(fi_h/1000)^2/4)*SQRT(2*9.81*(O1487/100-fi_h/2/1000))*1000)),"",IF(O1487&lt;fi_h/20,0,(OFFSET('Base de dados'!$A$5,IF(O1487&lt;20,1,IF(O1487&gt;1000,10,MATCH(O1487,Cargas,1))),Coluna_fih,1,1))*(PI()*(fi_h/1000)^2/4)*SQRT(2*9.81*(O1487/100-fi_h/2/1000))*1000))</f>
        <v>51.477639772685038</v>
      </c>
      <c r="Q1487" s="19">
        <f ca="1">IF(O1487="","",IF(Tipo_Vertedor="Retangular",IF(O1487&lt;=cota_s*100,0,IF(Tipo_Vertedor="Retangular",Cd_sr*Lef_sr*((O1487/100-cota_s)^(3/2))*1000)),IF(O1487&lt;=cota_s*100+fi_s/20,0,(OFFSET('Base de dados'!$A$4,IF(O1487&lt;20,1,IF(O1487&gt;1000,10,MATCH(O1487,Cargas,1))),Coluna_fis,1,1))*(PI()*(fi_s/1000)^2/4)*(2*9.81*(O1487/100-cota_s-fi_s/2/1000))^0.5*1000)))</f>
        <v>6036.5585401852513</v>
      </c>
      <c r="R1487" s="19">
        <f t="shared" ca="1" si="200"/>
        <v>6088.0361799579359</v>
      </c>
      <c r="S1487" s="19">
        <f t="shared" ca="1" si="201"/>
        <v>8840.7355204262458</v>
      </c>
    </row>
    <row r="1488" spans="13:19">
      <c r="M1488" s="81">
        <f t="shared" ca="1" si="198"/>
        <v>14942.748636579829</v>
      </c>
      <c r="N1488" s="19">
        <f t="shared" si="199"/>
        <v>265.42278866377137</v>
      </c>
      <c r="O1488" s="17">
        <f t="shared" si="197"/>
        <v>371.75</v>
      </c>
      <c r="P1488" s="19">
        <f ca="1">IF(ISERROR(IF(O1488&lt;fi_h/20,0,(OFFSET('Base de dados'!$A$5,IF(O1488&lt;20,1,IF(O1488&gt;1000,10,MATCH(O1488,Cargas,1))),Coluna_fih,1,1))*(1+0.13*0.25)*(PI()*(fi_h/1000)^2/4)*SQRT(2*9.81*(O1488/100-fi_h/2/1000))*1000)),"",IF(O1488&lt;fi_h/20,0,(OFFSET('Base de dados'!$A$5,IF(O1488&lt;20,1,IF(O1488&gt;1000,10,MATCH(O1488,Cargas,1))),Coluna_fih,1,1))*(PI()*(fi_h/1000)^2/4)*SQRT(2*9.81*(O1488/100-fi_h/2/1000))*1000))</f>
        <v>51.495224657897822</v>
      </c>
      <c r="Q1488" s="19">
        <f ca="1">IF(O1488="","",IF(Tipo_Vertedor="Retangular",IF(O1488&lt;=cota_s*100,0,IF(Tipo_Vertedor="Retangular",Cd_sr*Lef_sr*((O1488/100-cota_s)^(3/2))*1000)),IF(O1488&lt;=cota_s*100+fi_s/20,0,(OFFSET('Base de dados'!$A$4,IF(O1488&lt;20,1,IF(O1488&gt;1000,10,MATCH(O1488,Cargas,1))),Coluna_fis,1,1))*(PI()*(fi_s/1000)^2/4)*(2*9.81*(O1488/100-cota_s-fi_s/2/1000))^0.5*1000)))</f>
        <v>6043.8271231295521</v>
      </c>
      <c r="R1488" s="19">
        <f t="shared" ca="1" si="200"/>
        <v>6095.3223477874499</v>
      </c>
      <c r="S1488" s="19">
        <f t="shared" ca="1" si="201"/>
        <v>8847.4262887923778</v>
      </c>
    </row>
    <row r="1489" spans="13:19">
      <c r="M1489" s="81">
        <f t="shared" ca="1" si="198"/>
        <v>14956.729042332121</v>
      </c>
      <c r="N1489" s="19">
        <f t="shared" si="199"/>
        <v>265.62352853117073</v>
      </c>
      <c r="O1489" s="17">
        <f t="shared" si="197"/>
        <v>372</v>
      </c>
      <c r="P1489" s="19">
        <f ca="1">IF(ISERROR(IF(O1489&lt;fi_h/20,0,(OFFSET('Base de dados'!$A$5,IF(O1489&lt;20,1,IF(O1489&gt;1000,10,MATCH(O1489,Cargas,1))),Coluna_fih,1,1))*(1+0.13*0.25)*(PI()*(fi_h/1000)^2/4)*SQRT(2*9.81*(O1489/100-fi_h/2/1000))*1000)),"",IF(O1489&lt;fi_h/20,0,(OFFSET('Base de dados'!$A$5,IF(O1489&lt;20,1,IF(O1489&gt;1000,10,MATCH(O1489,Cargas,1))),Coluna_fih,1,1))*(PI()*(fi_h/1000)^2/4)*SQRT(2*9.81*(O1489/100-fi_h/2/1000))*1000))</f>
        <v>51.512803540172527</v>
      </c>
      <c r="Q1489" s="19">
        <f ca="1">IF(O1489="","",IF(Tipo_Vertedor="Retangular",IF(O1489&lt;=cota_s*100,0,IF(Tipo_Vertedor="Retangular",Cd_sr*Lef_sr*((O1489/100-cota_s)^(3/2))*1000)),IF(O1489&lt;=cota_s*100+fi_s/20,0,(OFFSET('Base de dados'!$A$4,IF(O1489&lt;20,1,IF(O1489&gt;1000,10,MATCH(O1489,Cargas,1))),Coluna_fis,1,1))*(PI()*(fi_s/1000)^2/4)*(2*9.81*(O1489/100-cota_s-fi_s/2/1000))^0.5*1000)))</f>
        <v>6051.0986210862584</v>
      </c>
      <c r="R1489" s="19">
        <f t="shared" ca="1" si="200"/>
        <v>6102.6114246264306</v>
      </c>
      <c r="S1489" s="19">
        <f t="shared" ca="1" si="201"/>
        <v>8854.1176177056914</v>
      </c>
    </row>
    <row r="1490" spans="13:19">
      <c r="M1490" s="81">
        <f t="shared" ca="1" si="198"/>
        <v>14970.712916149296</v>
      </c>
      <c r="N1490" s="19">
        <f t="shared" si="199"/>
        <v>265.82428520509154</v>
      </c>
      <c r="O1490" s="17">
        <f t="shared" si="197"/>
        <v>372.25</v>
      </c>
      <c r="P1490" s="19">
        <f ca="1">IF(ISERROR(IF(O1490&lt;fi_h/20,0,(OFFSET('Base de dados'!$A$5,IF(O1490&lt;20,1,IF(O1490&gt;1000,10,MATCH(O1490,Cargas,1))),Coluna_fih,1,1))*(1+0.13*0.25)*(PI()*(fi_h/1000)^2/4)*SQRT(2*9.81*(O1490/100-fi_h/2/1000))*1000)),"",IF(O1490&lt;fi_h/20,0,(OFFSET('Base de dados'!$A$5,IF(O1490&lt;20,1,IF(O1490&gt;1000,10,MATCH(O1490,Cargas,1))),Coluna_fih,1,1))*(PI()*(fi_h/1000)^2/4)*SQRT(2*9.81*(O1490/100-fi_h/2/1000))*1000))</f>
        <v>51.530376425652605</v>
      </c>
      <c r="Q1490" s="19">
        <f ca="1">IF(O1490="","",IF(Tipo_Vertedor="Retangular",IF(O1490&lt;=cota_s*100,0,IF(Tipo_Vertedor="Retangular",Cd_sr*Lef_sr*((O1490/100-cota_s)^(3/2))*1000)),IF(O1490&lt;=cota_s*100+fi_s/20,0,(OFFSET('Base de dados'!$A$4,IF(O1490&lt;20,1,IF(O1490&gt;1000,10,MATCH(O1490,Cargas,1))),Coluna_fis,1,1))*(PI()*(fi_s/1000)^2/4)*(2*9.81*(O1490/100-cota_s-fi_s/2/1000))^0.5*1000)))</f>
        <v>6058.3730328872589</v>
      </c>
      <c r="R1490" s="19">
        <f t="shared" ca="1" si="200"/>
        <v>6109.9034093129112</v>
      </c>
      <c r="S1490" s="19">
        <f t="shared" ca="1" si="201"/>
        <v>8860.8095068363837</v>
      </c>
    </row>
    <row r="1491" spans="13:19">
      <c r="M1491" s="81">
        <f t="shared" ca="1" si="198"/>
        <v>14984.700256541404</v>
      </c>
      <c r="N1491" s="19">
        <f t="shared" si="199"/>
        <v>266.02505867565236</v>
      </c>
      <c r="O1491" s="17">
        <f t="shared" ref="O1491:O1554" si="202">IF(ISERROR(IF(O1490+passo_altura&gt;h_max_puls*100,"",O1490+passo_altura)),"",IF(O1490+passo_altura&gt;h_max_puls*100,"",O1490+passo_altura))</f>
        <v>372.5</v>
      </c>
      <c r="P1491" s="19">
        <f ca="1">IF(ISERROR(IF(O1491&lt;fi_h/20,0,(OFFSET('Base de dados'!$A$5,IF(O1491&lt;20,1,IF(O1491&gt;1000,10,MATCH(O1491,Cargas,1))),Coluna_fih,1,1))*(1+0.13*0.25)*(PI()*(fi_h/1000)^2/4)*SQRT(2*9.81*(O1491/100-fi_h/2/1000))*1000)),"",IF(O1491&lt;fi_h/20,0,(OFFSET('Base de dados'!$A$5,IF(O1491&lt;20,1,IF(O1491&gt;1000,10,MATCH(O1491,Cargas,1))),Coluna_fih,1,1))*(PI()*(fi_h/1000)^2/4)*SQRT(2*9.81*(O1491/100-fi_h/2/1000))*1000))</f>
        <v>51.547943320471063</v>
      </c>
      <c r="Q1491" s="19">
        <f ca="1">IF(O1491="","",IF(Tipo_Vertedor="Retangular",IF(O1491&lt;=cota_s*100,0,IF(Tipo_Vertedor="Retangular",Cd_sr*Lef_sr*((O1491/100-cota_s)^(3/2))*1000)),IF(O1491&lt;=cota_s*100+fi_s/20,0,(OFFSET('Base de dados'!$A$4,IF(O1491&lt;20,1,IF(O1491&gt;1000,10,MATCH(O1491,Cargas,1))),Coluna_fis,1,1))*(PI()*(fi_s/1000)^2/4)*(2*9.81*(O1491/100-cota_s-fi_s/2/1000))^0.5*1000)))</f>
        <v>6065.6503573658538</v>
      </c>
      <c r="R1491" s="19">
        <f t="shared" ca="1" si="200"/>
        <v>6117.1983006863247</v>
      </c>
      <c r="S1491" s="19">
        <f t="shared" ca="1" si="201"/>
        <v>8867.5019558550794</v>
      </c>
    </row>
    <row r="1492" spans="13:19">
      <c r="M1492" s="81">
        <f t="shared" ca="1" si="198"/>
        <v>14998.691062020291</v>
      </c>
      <c r="N1492" s="19">
        <f t="shared" si="199"/>
        <v>266.22584893298409</v>
      </c>
      <c r="O1492" s="17">
        <f t="shared" si="202"/>
        <v>372.75</v>
      </c>
      <c r="P1492" s="19">
        <f ca="1">IF(ISERROR(IF(O1492&lt;fi_h/20,0,(OFFSET('Base de dados'!$A$5,IF(O1492&lt;20,1,IF(O1492&gt;1000,10,MATCH(O1492,Cargas,1))),Coluna_fih,1,1))*(1+0.13*0.25)*(PI()*(fi_h/1000)^2/4)*SQRT(2*9.81*(O1492/100-fi_h/2/1000))*1000)),"",IF(O1492&lt;fi_h/20,0,(OFFSET('Base de dados'!$A$5,IF(O1492&lt;20,1,IF(O1492&gt;1000,10,MATCH(O1492,Cargas,1))),Coluna_fih,1,1))*(PI()*(fi_h/1000)^2/4)*SQRT(2*9.81*(O1492/100-fi_h/2/1000))*1000))</f>
        <v>51.56550423075042</v>
      </c>
      <c r="Q1492" s="19">
        <f ca="1">IF(O1492="","",IF(Tipo_Vertedor="Retangular",IF(O1492&lt;=cota_s*100,0,IF(Tipo_Vertedor="Retangular",Cd_sr*Lef_sr*((O1492/100-cota_s)^(3/2))*1000)),IF(O1492&lt;=cota_s*100+fi_s/20,0,(OFFSET('Base de dados'!$A$4,IF(O1492&lt;20,1,IF(O1492&gt;1000,10,MATCH(O1492,Cargas,1))),Coluna_fis,1,1))*(PI()*(fi_s/1000)^2/4)*(2*9.81*(O1492/100-cota_s-fi_s/2/1000))^0.5*1000)))</f>
        <v>6072.9305933567366</v>
      </c>
      <c r="R1492" s="19">
        <f t="shared" ca="1" si="200"/>
        <v>6124.4960975874874</v>
      </c>
      <c r="S1492" s="19">
        <f t="shared" ca="1" si="201"/>
        <v>8874.1949644328033</v>
      </c>
    </row>
    <row r="1493" spans="13:19">
      <c r="M1493" s="81">
        <f t="shared" ca="1" si="198"/>
        <v>15012.685331099608</v>
      </c>
      <c r="N1493" s="19">
        <f t="shared" si="199"/>
        <v>266.4266559672302</v>
      </c>
      <c r="O1493" s="17">
        <f t="shared" si="202"/>
        <v>373</v>
      </c>
      <c r="P1493" s="19">
        <f ca="1">IF(ISERROR(IF(O1493&lt;fi_h/20,0,(OFFSET('Base de dados'!$A$5,IF(O1493&lt;20,1,IF(O1493&gt;1000,10,MATCH(O1493,Cargas,1))),Coluna_fih,1,1))*(1+0.13*0.25)*(PI()*(fi_h/1000)^2/4)*SQRT(2*9.81*(O1493/100-fi_h/2/1000))*1000)),"",IF(O1493&lt;fi_h/20,0,(OFFSET('Base de dados'!$A$5,IF(O1493&lt;20,1,IF(O1493&gt;1000,10,MATCH(O1493,Cargas,1))),Coluna_fih,1,1))*(PI()*(fi_h/1000)^2/4)*SQRT(2*9.81*(O1493/100-fi_h/2/1000))*1000))</f>
        <v>51.583059162602815</v>
      </c>
      <c r="Q1493" s="19">
        <f ca="1">IF(O1493="","",IF(Tipo_Vertedor="Retangular",IF(O1493&lt;=cota_s*100,0,IF(Tipo_Vertedor="Retangular",Cd_sr*Lef_sr*((O1493/100-cota_s)^(3/2))*1000)),IF(O1493&lt;=cota_s*100+fi_s/20,0,(OFFSET('Base de dados'!$A$4,IF(O1493&lt;20,1,IF(O1493&gt;1000,10,MATCH(O1493,Cargas,1))),Coluna_fis,1,1))*(PI()*(fi_s/1000)^2/4)*(2*9.81*(O1493/100-cota_s-fi_s/2/1000))^0.5*1000)))</f>
        <v>6080.2137396959979</v>
      </c>
      <c r="R1493" s="19">
        <f t="shared" ca="1" si="200"/>
        <v>6131.7967988586006</v>
      </c>
      <c r="S1493" s="19">
        <f t="shared" ca="1" si="201"/>
        <v>8880.8885322410079</v>
      </c>
    </row>
    <row r="1494" spans="13:19">
      <c r="M1494" s="81">
        <f t="shared" ca="1" si="198"/>
        <v>15026.683062294809</v>
      </c>
      <c r="N1494" s="19">
        <f t="shared" si="199"/>
        <v>266.62747976854649</v>
      </c>
      <c r="O1494" s="17">
        <f t="shared" si="202"/>
        <v>373.25</v>
      </c>
      <c r="P1494" s="19">
        <f ca="1">IF(ISERROR(IF(O1494&lt;fi_h/20,0,(OFFSET('Base de dados'!$A$5,IF(O1494&lt;20,1,IF(O1494&gt;1000,10,MATCH(O1494,Cargas,1))),Coluna_fih,1,1))*(1+0.13*0.25)*(PI()*(fi_h/1000)^2/4)*SQRT(2*9.81*(O1494/100-fi_h/2/1000))*1000)),"",IF(O1494&lt;fi_h/20,0,(OFFSET('Base de dados'!$A$5,IF(O1494&lt;20,1,IF(O1494&gt;1000,10,MATCH(O1494,Cargas,1))),Coluna_fih,1,1))*(PI()*(fi_h/1000)^2/4)*SQRT(2*9.81*(O1494/100-fi_h/2/1000))*1000))</f>
        <v>51.600608122129962</v>
      </c>
      <c r="Q1494" s="19">
        <f ca="1">IF(O1494="","",IF(Tipo_Vertedor="Retangular",IF(O1494&lt;=cota_s*100,0,IF(Tipo_Vertedor="Retangular",Cd_sr*Lef_sr*((O1494/100-cota_s)^(3/2))*1000)),IF(O1494&lt;=cota_s*100+fi_s/20,0,(OFFSET('Base de dados'!$A$4,IF(O1494&lt;20,1,IF(O1494&gt;1000,10,MATCH(O1494,Cargas,1))),Coluna_fis,1,1))*(PI()*(fi_s/1000)^2/4)*(2*9.81*(O1494/100-cota_s-fi_s/2/1000))^0.5*1000)))</f>
        <v>6087.4997952211297</v>
      </c>
      <c r="R1494" s="19">
        <f t="shared" ca="1" si="200"/>
        <v>6139.10040334326</v>
      </c>
      <c r="S1494" s="19">
        <f t="shared" ca="1" si="201"/>
        <v>8887.5826589515491</v>
      </c>
    </row>
    <row r="1495" spans="13:19">
      <c r="M1495" s="81">
        <f t="shared" ref="M1495:M1558" ca="1" si="203">IF(O1495="","",2*N1495*1000/(Passo*60)+R1495)</f>
        <v>15040.684254123144</v>
      </c>
      <c r="N1495" s="19">
        <f t="shared" ref="N1495:N1558" si="204">IF(O1495="","",b_0*(O1495/100)^c_0)</f>
        <v>266.82832032710121</v>
      </c>
      <c r="O1495" s="17">
        <f t="shared" si="202"/>
        <v>373.5</v>
      </c>
      <c r="P1495" s="19">
        <f ca="1">IF(ISERROR(IF(O1495&lt;fi_h/20,0,(OFFSET('Base de dados'!$A$5,IF(O1495&lt;20,1,IF(O1495&gt;1000,10,MATCH(O1495,Cargas,1))),Coluna_fih,1,1))*(1+0.13*0.25)*(PI()*(fi_h/1000)^2/4)*SQRT(2*9.81*(O1495/100-fi_h/2/1000))*1000)),"",IF(O1495&lt;fi_h/20,0,(OFFSET('Base de dados'!$A$5,IF(O1495&lt;20,1,IF(O1495&gt;1000,10,MATCH(O1495,Cargas,1))),Coluna_fih,1,1))*(PI()*(fi_h/1000)^2/4)*SQRT(2*9.81*(O1495/100-fi_h/2/1000))*1000))</f>
        <v>51.618151115423231</v>
      </c>
      <c r="Q1495" s="19">
        <f ca="1">IF(O1495="","",IF(Tipo_Vertedor="Retangular",IF(O1495&lt;=cota_s*100,0,IF(Tipo_Vertedor="Retangular",Cd_sr*Lef_sr*((O1495/100-cota_s)^(3/2))*1000)),IF(O1495&lt;=cota_s*100+fi_s/20,0,(OFFSET('Base de dados'!$A$4,IF(O1495&lt;20,1,IF(O1495&gt;1000,10,MATCH(O1495,Cargas,1))),Coluna_fis,1,1))*(PI()*(fi_s/1000)^2/4)*(2*9.81*(O1495/100-cota_s-fi_s/2/1000))^0.5*1000)))</f>
        <v>6094.7887587710129</v>
      </c>
      <c r="R1495" s="19">
        <f t="shared" ref="R1495:R1558" ca="1" si="205">IF(O1495="","",Q1495+P1495)</f>
        <v>6146.4069098864366</v>
      </c>
      <c r="S1495" s="19">
        <f t="shared" ref="S1495:S1558" ca="1" si="206">IF(M1495="","",2*N1495*1000/(Passo*60))</f>
        <v>8894.277344236707</v>
      </c>
    </row>
    <row r="1496" spans="13:19">
      <c r="M1496" s="81">
        <f t="shared" ca="1" si="203"/>
        <v>15054.688905103631</v>
      </c>
      <c r="N1496" s="19">
        <f t="shared" si="204"/>
        <v>267.02917763307465</v>
      </c>
      <c r="O1496" s="17">
        <f t="shared" si="202"/>
        <v>373.75</v>
      </c>
      <c r="P1496" s="19">
        <f ca="1">IF(ISERROR(IF(O1496&lt;fi_h/20,0,(OFFSET('Base de dados'!$A$5,IF(O1496&lt;20,1,IF(O1496&gt;1000,10,MATCH(O1496,Cargas,1))),Coluna_fih,1,1))*(1+0.13*0.25)*(PI()*(fi_h/1000)^2/4)*SQRT(2*9.81*(O1496/100-fi_h/2/1000))*1000)),"",IF(O1496&lt;fi_h/20,0,(OFFSET('Base de dados'!$A$5,IF(O1496&lt;20,1,IF(O1496&gt;1000,10,MATCH(O1496,Cargas,1))),Coluna_fih,1,1))*(PI()*(fi_h/1000)^2/4)*SQRT(2*9.81*(O1496/100-fi_h/2/1000))*1000))</f>
        <v>51.635688148563588</v>
      </c>
      <c r="Q1496" s="19">
        <f ca="1">IF(O1496="","",IF(Tipo_Vertedor="Retangular",IF(O1496&lt;=cota_s*100,0,IF(Tipo_Vertedor="Retangular",Cd_sr*Lef_sr*((O1496/100-cota_s)^(3/2))*1000)),IF(O1496&lt;=cota_s*100+fi_s/20,0,(OFFSET('Base de dados'!$A$4,IF(O1496&lt;20,1,IF(O1496&gt;1000,10,MATCH(O1496,Cargas,1))),Coluna_fis,1,1))*(PI()*(fi_s/1000)^2/4)*(2*9.81*(O1496/100-cota_s-fi_s/2/1000))^0.5*1000)))</f>
        <v>6102.0806291859126</v>
      </c>
      <c r="R1496" s="19">
        <f t="shared" ca="1" si="205"/>
        <v>6153.7163173344761</v>
      </c>
      <c r="S1496" s="19">
        <f t="shared" ca="1" si="206"/>
        <v>8900.9725877691544</v>
      </c>
    </row>
    <row r="1497" spans="13:19">
      <c r="M1497" s="81">
        <f t="shared" ca="1" si="203"/>
        <v>15068.697013757101</v>
      </c>
      <c r="N1497" s="19">
        <f t="shared" si="204"/>
        <v>267.23005167665985</v>
      </c>
      <c r="O1497" s="17">
        <f t="shared" si="202"/>
        <v>374</v>
      </c>
      <c r="P1497" s="19">
        <f ca="1">IF(ISERROR(IF(O1497&lt;fi_h/20,0,(OFFSET('Base de dados'!$A$5,IF(O1497&lt;20,1,IF(O1497&gt;1000,10,MATCH(O1497,Cargas,1))),Coluna_fih,1,1))*(1+0.13*0.25)*(PI()*(fi_h/1000)^2/4)*SQRT(2*9.81*(O1497/100-fi_h/2/1000))*1000)),"",IF(O1497&lt;fi_h/20,0,(OFFSET('Base de dados'!$A$5,IF(O1497&lt;20,1,IF(O1497&gt;1000,10,MATCH(O1497,Cargas,1))),Coluna_fih,1,1))*(PI()*(fi_h/1000)^2/4)*SQRT(2*9.81*(O1497/100-fi_h/2/1000))*1000))</f>
        <v>51.653219227621761</v>
      </c>
      <c r="Q1497" s="19">
        <f ca="1">IF(O1497="","",IF(Tipo_Vertedor="Retangular",IF(O1497&lt;=cota_s*100,0,IF(Tipo_Vertedor="Retangular",Cd_sr*Lef_sr*((O1497/100-cota_s)^(3/2))*1000)),IF(O1497&lt;=cota_s*100+fi_s/20,0,(OFFSET('Base de dados'!$A$4,IF(O1497&lt;20,1,IF(O1497&gt;1000,10,MATCH(O1497,Cargas,1))),Coluna_fis,1,1))*(PI()*(fi_s/1000)^2/4)*(2*9.81*(O1497/100-cota_s-fi_s/2/1000))^0.5*1000)))</f>
        <v>6109.3754053074845</v>
      </c>
      <c r="R1497" s="19">
        <f t="shared" ca="1" si="205"/>
        <v>6161.0286245351062</v>
      </c>
      <c r="S1497" s="19">
        <f t="shared" ca="1" si="206"/>
        <v>8907.6683892219953</v>
      </c>
    </row>
    <row r="1498" spans="13:19">
      <c r="M1498" s="81">
        <f t="shared" ca="1" si="203"/>
        <v>15082.708578606156</v>
      </c>
      <c r="N1498" s="19">
        <f t="shared" si="204"/>
        <v>267.43094244806178</v>
      </c>
      <c r="O1498" s="17">
        <f t="shared" si="202"/>
        <v>374.25</v>
      </c>
      <c r="P1498" s="19">
        <f ca="1">IF(ISERROR(IF(O1498&lt;fi_h/20,0,(OFFSET('Base de dados'!$A$5,IF(O1498&lt;20,1,IF(O1498&gt;1000,10,MATCH(O1498,Cargas,1))),Coluna_fih,1,1))*(1+0.13*0.25)*(PI()*(fi_h/1000)^2/4)*SQRT(2*9.81*(O1498/100-fi_h/2/1000))*1000)),"",IF(O1498&lt;fi_h/20,0,(OFFSET('Base de dados'!$A$5,IF(O1498&lt;20,1,IF(O1498&gt;1000,10,MATCH(O1498,Cargas,1))),Coluna_fih,1,1))*(PI()*(fi_h/1000)^2/4)*SQRT(2*9.81*(O1498/100-fi_h/2/1000))*1000))</f>
        <v>51.670744358658098</v>
      </c>
      <c r="Q1498" s="19">
        <f ca="1">IF(O1498="","",IF(Tipo_Vertedor="Retangular",IF(O1498&lt;=cota_s*100,0,IF(Tipo_Vertedor="Retangular",Cd_sr*Lef_sr*((O1498/100-cota_s)^(3/2))*1000)),IF(O1498&lt;=cota_s*100+fi_s/20,0,(OFFSET('Base de dados'!$A$4,IF(O1498&lt;20,1,IF(O1498&gt;1000,10,MATCH(O1498,Cargas,1))),Coluna_fis,1,1))*(PI()*(fi_s/1000)^2/4)*(2*9.81*(O1498/100-cota_s-fi_s/2/1000))^0.5*1000)))</f>
        <v>6116.6730859787713</v>
      </c>
      <c r="R1498" s="19">
        <f t="shared" ca="1" si="205"/>
        <v>6168.3438303374296</v>
      </c>
      <c r="S1498" s="19">
        <f t="shared" ca="1" si="206"/>
        <v>8914.3647482687265</v>
      </c>
    </row>
    <row r="1499" spans="13:19">
      <c r="M1499" s="81">
        <f t="shared" ca="1" si="203"/>
        <v>15096.723598175176</v>
      </c>
      <c r="N1499" s="19">
        <f t="shared" si="204"/>
        <v>267.63184993749792</v>
      </c>
      <c r="O1499" s="17">
        <f t="shared" si="202"/>
        <v>374.5</v>
      </c>
      <c r="P1499" s="19">
        <f ca="1">IF(ISERROR(IF(O1499&lt;fi_h/20,0,(OFFSET('Base de dados'!$A$5,IF(O1499&lt;20,1,IF(O1499&gt;1000,10,MATCH(O1499,Cargas,1))),Coluna_fih,1,1))*(1+0.13*0.25)*(PI()*(fi_h/1000)^2/4)*SQRT(2*9.81*(O1499/100-fi_h/2/1000))*1000)),"",IF(O1499&lt;fi_h/20,0,(OFFSET('Base de dados'!$A$5,IF(O1499&lt;20,1,IF(O1499&gt;1000,10,MATCH(O1499,Cargas,1))),Coluna_fih,1,1))*(PI()*(fi_h/1000)^2/4)*SQRT(2*9.81*(O1499/100-fi_h/2/1000))*1000))</f>
        <v>51.688263547722713</v>
      </c>
      <c r="Q1499" s="19">
        <f ca="1">IF(O1499="","",IF(Tipo_Vertedor="Retangular",IF(O1499&lt;=cota_s*100,0,IF(Tipo_Vertedor="Retangular",Cd_sr*Lef_sr*((O1499/100-cota_s)^(3/2))*1000)),IF(O1499&lt;=cota_s*100+fi_s/20,0,(OFFSET('Base de dados'!$A$4,IF(O1499&lt;20,1,IF(O1499&gt;1000,10,MATCH(O1499,Cargas,1))),Coluna_fis,1,1))*(PI()*(fi_s/1000)^2/4)*(2*9.81*(O1499/100-cota_s-fi_s/2/1000))^0.5*1000)))</f>
        <v>6123.973670044189</v>
      </c>
      <c r="R1499" s="19">
        <f t="shared" ca="1" si="205"/>
        <v>6175.6619335919113</v>
      </c>
      <c r="S1499" s="19">
        <f t="shared" ca="1" si="206"/>
        <v>8921.0616645832652</v>
      </c>
    </row>
    <row r="1500" spans="13:19">
      <c r="M1500" s="81">
        <f t="shared" ca="1" si="203"/>
        <v>15110.74207099032</v>
      </c>
      <c r="N1500" s="19">
        <f t="shared" si="204"/>
        <v>267.83277413519778</v>
      </c>
      <c r="O1500" s="17">
        <f t="shared" si="202"/>
        <v>374.75</v>
      </c>
      <c r="P1500" s="19">
        <f ca="1">IF(ISERROR(IF(O1500&lt;fi_h/20,0,(OFFSET('Base de dados'!$A$5,IF(O1500&lt;20,1,IF(O1500&gt;1000,10,MATCH(O1500,Cargas,1))),Coluna_fih,1,1))*(1+0.13*0.25)*(PI()*(fi_h/1000)^2/4)*SQRT(2*9.81*(O1500/100-fi_h/2/1000))*1000)),"",IF(O1500&lt;fi_h/20,0,(OFFSET('Base de dados'!$A$5,IF(O1500&lt;20,1,IF(O1500&gt;1000,10,MATCH(O1500,Cargas,1))),Coluna_fih,1,1))*(PI()*(fi_h/1000)^2/4)*SQRT(2*9.81*(O1500/100-fi_h/2/1000))*1000))</f>
        <v>51.705776800855467</v>
      </c>
      <c r="Q1500" s="19">
        <f ca="1">IF(O1500="","",IF(Tipo_Vertedor="Retangular",IF(O1500&lt;=cota_s*100,0,IF(Tipo_Vertedor="Retangular",Cd_sr*Lef_sr*((O1500/100-cota_s)^(3/2))*1000)),IF(O1500&lt;=cota_s*100+fi_s/20,0,(OFFSET('Base de dados'!$A$4,IF(O1500&lt;20,1,IF(O1500&gt;1000,10,MATCH(O1500,Cargas,1))),Coluna_fis,1,1))*(PI()*(fi_s/1000)^2/4)*(2*9.81*(O1500/100-cota_s-fi_s/2/1000))^0.5*1000)))</f>
        <v>6131.2771563495389</v>
      </c>
      <c r="R1500" s="19">
        <f t="shared" ca="1" si="205"/>
        <v>6182.9829331503943</v>
      </c>
      <c r="S1500" s="19">
        <f t="shared" ca="1" si="206"/>
        <v>8927.7591378399266</v>
      </c>
    </row>
    <row r="1501" spans="13:19">
      <c r="M1501" s="81">
        <f t="shared" ca="1" si="203"/>
        <v>15124.763995579524</v>
      </c>
      <c r="N1501" s="19">
        <f t="shared" si="204"/>
        <v>268.03371503140335</v>
      </c>
      <c r="O1501" s="17">
        <f t="shared" si="202"/>
        <v>375</v>
      </c>
      <c r="P1501" s="19">
        <f ca="1">IF(ISERROR(IF(O1501&lt;fi_h/20,0,(OFFSET('Base de dados'!$A$5,IF(O1501&lt;20,1,IF(O1501&gt;1000,10,MATCH(O1501,Cargas,1))),Coluna_fih,1,1))*(1+0.13*0.25)*(PI()*(fi_h/1000)^2/4)*SQRT(2*9.81*(O1501/100-fi_h/2/1000))*1000)),"",IF(O1501&lt;fi_h/20,0,(OFFSET('Base de dados'!$A$5,IF(O1501&lt;20,1,IF(O1501&gt;1000,10,MATCH(O1501,Cargas,1))),Coluna_fih,1,1))*(PI()*(fi_h/1000)^2/4)*SQRT(2*9.81*(O1501/100-fi_h/2/1000))*1000))</f>
        <v>51.723284124085993</v>
      </c>
      <c r="Q1501" s="19">
        <f ca="1">IF(O1501="","",IF(Tipo_Vertedor="Retangular",IF(O1501&lt;=cota_s*100,0,IF(Tipo_Vertedor="Retangular",Cd_sr*Lef_sr*((O1501/100-cota_s)^(3/2))*1000)),IF(O1501&lt;=cota_s*100+fi_s/20,0,(OFFSET('Base de dados'!$A$4,IF(O1501&lt;20,1,IF(O1501&gt;1000,10,MATCH(O1501,Cargas,1))),Coluna_fis,1,1))*(PI()*(fi_s/1000)^2/4)*(2*9.81*(O1501/100-cota_s-fi_s/2/1000))^0.5*1000)))</f>
        <v>6138.5835437419937</v>
      </c>
      <c r="R1501" s="19">
        <f t="shared" ca="1" si="205"/>
        <v>6190.3068278660794</v>
      </c>
      <c r="S1501" s="19">
        <f t="shared" ca="1" si="206"/>
        <v>8934.4571677134445</v>
      </c>
    </row>
    <row r="1502" spans="13:19">
      <c r="M1502" s="81">
        <f t="shared" ca="1" si="203"/>
        <v>15138.789370472488</v>
      </c>
      <c r="N1502" s="19">
        <f t="shared" si="204"/>
        <v>268.23467261636864</v>
      </c>
      <c r="O1502" s="17">
        <f t="shared" si="202"/>
        <v>375.25</v>
      </c>
      <c r="P1502" s="19">
        <f ca="1">IF(ISERROR(IF(O1502&lt;fi_h/20,0,(OFFSET('Base de dados'!$A$5,IF(O1502&lt;20,1,IF(O1502&gt;1000,10,MATCH(O1502,Cargas,1))),Coluna_fih,1,1))*(1+0.13*0.25)*(PI()*(fi_h/1000)^2/4)*SQRT(2*9.81*(O1502/100-fi_h/2/1000))*1000)),"",IF(O1502&lt;fi_h/20,0,(OFFSET('Base de dados'!$A$5,IF(O1502&lt;20,1,IF(O1502&gt;1000,10,MATCH(O1502,Cargas,1))),Coluna_fih,1,1))*(PI()*(fi_h/1000)^2/4)*SQRT(2*9.81*(O1502/100-fi_h/2/1000))*1000))</f>
        <v>51.740785523433729</v>
      </c>
      <c r="Q1502" s="19">
        <f ca="1">IF(O1502="","",IF(Tipo_Vertedor="Retangular",IF(O1502&lt;=cota_s*100,0,IF(Tipo_Vertedor="Retangular",Cd_sr*Lef_sr*((O1502/100-cota_s)^(3/2))*1000)),IF(O1502&lt;=cota_s*100+fi_s/20,0,(OFFSET('Base de dados'!$A$4,IF(O1502&lt;20,1,IF(O1502&gt;1000,10,MATCH(O1502,Cargas,1))),Coluna_fis,1,1))*(PI()*(fi_s/1000)^2/4)*(2*9.81*(O1502/100-cota_s-fi_s/2/1000))^0.5*1000)))</f>
        <v>6145.8928310700985</v>
      </c>
      <c r="R1502" s="19">
        <f t="shared" ca="1" si="205"/>
        <v>6197.6336165935327</v>
      </c>
      <c r="S1502" s="19">
        <f t="shared" ca="1" si="206"/>
        <v>8941.1557538789548</v>
      </c>
    </row>
    <row r="1503" spans="13:19">
      <c r="M1503" s="81">
        <f t="shared" ca="1" si="203"/>
        <v>15152.818194200674</v>
      </c>
      <c r="N1503" s="19">
        <f t="shared" si="204"/>
        <v>268.43564688035991</v>
      </c>
      <c r="O1503" s="17">
        <f t="shared" si="202"/>
        <v>375.5</v>
      </c>
      <c r="P1503" s="19">
        <f ca="1">IF(ISERROR(IF(O1503&lt;fi_h/20,0,(OFFSET('Base de dados'!$A$5,IF(O1503&lt;20,1,IF(O1503&gt;1000,10,MATCH(O1503,Cargas,1))),Coluna_fih,1,1))*(1+0.13*0.25)*(PI()*(fi_h/1000)^2/4)*SQRT(2*9.81*(O1503/100-fi_h/2/1000))*1000)),"",IF(O1503&lt;fi_h/20,0,(OFFSET('Base de dados'!$A$5,IF(O1503&lt;20,1,IF(O1503&gt;1000,10,MATCH(O1503,Cargas,1))),Coluna_fih,1,1))*(PI()*(fi_h/1000)^2/4)*SQRT(2*9.81*(O1503/100-fi_h/2/1000))*1000))</f>
        <v>51.758281004907921</v>
      </c>
      <c r="Q1503" s="19">
        <f ca="1">IF(O1503="","",IF(Tipo_Vertedor="Retangular",IF(O1503&lt;=cota_s*100,0,IF(Tipo_Vertedor="Retangular",Cd_sr*Lef_sr*((O1503/100-cota_s)^(3/2))*1000)),IF(O1503&lt;=cota_s*100+fi_s/20,0,(OFFSET('Base de dados'!$A$4,IF(O1503&lt;20,1,IF(O1503&gt;1000,10,MATCH(O1503,Cargas,1))),Coluna_fis,1,1))*(PI()*(fi_s/1000)^2/4)*(2*9.81*(O1503/100-cota_s-fi_s/2/1000))^0.5*1000)))</f>
        <v>6153.2050171837682</v>
      </c>
      <c r="R1503" s="19">
        <f t="shared" ca="1" si="205"/>
        <v>6204.9632981886762</v>
      </c>
      <c r="S1503" s="19">
        <f t="shared" ca="1" si="206"/>
        <v>8947.854896011997</v>
      </c>
    </row>
    <row r="1504" spans="13:19">
      <c r="M1504" s="81">
        <f t="shared" ca="1" si="203"/>
        <v>15166.850465297312</v>
      </c>
      <c r="N1504" s="19">
        <f t="shared" si="204"/>
        <v>268.6366378136554</v>
      </c>
      <c r="O1504" s="17">
        <f t="shared" si="202"/>
        <v>375.75</v>
      </c>
      <c r="P1504" s="19">
        <f ca="1">IF(ISERROR(IF(O1504&lt;fi_h/20,0,(OFFSET('Base de dados'!$A$5,IF(O1504&lt;20,1,IF(O1504&gt;1000,10,MATCH(O1504,Cargas,1))),Coluna_fih,1,1))*(1+0.13*0.25)*(PI()*(fi_h/1000)^2/4)*SQRT(2*9.81*(O1504/100-fi_h/2/1000))*1000)),"",IF(O1504&lt;fi_h/20,0,(OFFSET('Base de dados'!$A$5,IF(O1504&lt;20,1,IF(O1504&gt;1000,10,MATCH(O1504,Cargas,1))),Coluna_fih,1,1))*(PI()*(fi_h/1000)^2/4)*SQRT(2*9.81*(O1504/100-fi_h/2/1000))*1000))</f>
        <v>51.775770574507682</v>
      </c>
      <c r="Q1504" s="19">
        <f ca="1">IF(O1504="","",IF(Tipo_Vertedor="Retangular",IF(O1504&lt;=cota_s*100,0,IF(Tipo_Vertedor="Retangular",Cd_sr*Lef_sr*((O1504/100-cota_s)^(3/2))*1000)),IF(O1504&lt;=cota_s*100+fi_s/20,0,(OFFSET('Base de dados'!$A$4,IF(O1504&lt;20,1,IF(O1504&gt;1000,10,MATCH(O1504,Cargas,1))),Coluna_fis,1,1))*(PI()*(fi_s/1000)^2/4)*(2*9.81*(O1504/100-cota_s-fi_s/2/1000))^0.5*1000)))</f>
        <v>6160.5201009342891</v>
      </c>
      <c r="R1504" s="19">
        <f t="shared" ca="1" si="205"/>
        <v>6212.2958715087971</v>
      </c>
      <c r="S1504" s="19">
        <f t="shared" ca="1" si="206"/>
        <v>8954.5545937885145</v>
      </c>
    </row>
    <row r="1505" spans="13:19">
      <c r="M1505" s="81">
        <f t="shared" ca="1" si="203"/>
        <v>15180.886182297398</v>
      </c>
      <c r="N1505" s="19">
        <f t="shared" si="204"/>
        <v>268.8376454065459</v>
      </c>
      <c r="O1505" s="17">
        <f t="shared" si="202"/>
        <v>376</v>
      </c>
      <c r="P1505" s="19">
        <f ca="1">IF(ISERROR(IF(O1505&lt;fi_h/20,0,(OFFSET('Base de dados'!$A$5,IF(O1505&lt;20,1,IF(O1505&gt;1000,10,MATCH(O1505,Cargas,1))),Coluna_fih,1,1))*(1+0.13*0.25)*(PI()*(fi_h/1000)^2/4)*SQRT(2*9.81*(O1505/100-fi_h/2/1000))*1000)),"",IF(O1505&lt;fi_h/20,0,(OFFSET('Base de dados'!$A$5,IF(O1505&lt;20,1,IF(O1505&gt;1000,10,MATCH(O1505,Cargas,1))),Coluna_fih,1,1))*(PI()*(fi_h/1000)^2/4)*SQRT(2*9.81*(O1505/100-fi_h/2/1000))*1000))</f>
        <v>51.793254238221969</v>
      </c>
      <c r="Q1505" s="19">
        <f ca="1">IF(O1505="","",IF(Tipo_Vertedor="Retangular",IF(O1505&lt;=cota_s*100,0,IF(Tipo_Vertedor="Retangular",Cd_sr*Lef_sr*((O1505/100-cota_s)^(3/2))*1000)),IF(O1505&lt;=cota_s*100+fi_s/20,0,(OFFSET('Base de dados'!$A$4,IF(O1505&lt;20,1,IF(O1505&gt;1000,10,MATCH(O1505,Cargas,1))),Coluna_fis,1,1))*(PI()*(fi_s/1000)^2/4)*(2*9.81*(O1505/100-cota_s-fi_s/2/1000))^0.5*1000)))</f>
        <v>6167.8380811743118</v>
      </c>
      <c r="R1505" s="19">
        <f t="shared" ca="1" si="205"/>
        <v>6219.6313354125341</v>
      </c>
      <c r="S1505" s="19">
        <f t="shared" ca="1" si="206"/>
        <v>8961.2548468848636</v>
      </c>
    </row>
    <row r="1506" spans="13:19">
      <c r="M1506" s="81">
        <f t="shared" ca="1" si="203"/>
        <v>15194.925343737668</v>
      </c>
      <c r="N1506" s="19">
        <f t="shared" si="204"/>
        <v>269.038669649334</v>
      </c>
      <c r="O1506" s="17">
        <f t="shared" si="202"/>
        <v>376.25</v>
      </c>
      <c r="P1506" s="19">
        <f ca="1">IF(ISERROR(IF(O1506&lt;fi_h/20,0,(OFFSET('Base de dados'!$A$5,IF(O1506&lt;20,1,IF(O1506&gt;1000,10,MATCH(O1506,Cargas,1))),Coluna_fih,1,1))*(1+0.13*0.25)*(PI()*(fi_h/1000)^2/4)*SQRT(2*9.81*(O1506/100-fi_h/2/1000))*1000)),"",IF(O1506&lt;fi_h/20,0,(OFFSET('Base de dados'!$A$5,IF(O1506&lt;20,1,IF(O1506&gt;1000,10,MATCH(O1506,Cargas,1))),Coluna_fih,1,1))*(PI()*(fi_h/1000)^2/4)*SQRT(2*9.81*(O1506/100-fi_h/2/1000))*1000))</f>
        <v>51.810732002029674</v>
      </c>
      <c r="Q1506" s="19">
        <f ca="1">IF(O1506="","",IF(Tipo_Vertedor="Retangular",IF(O1506&lt;=cota_s*100,0,IF(Tipo_Vertedor="Retangular",Cd_sr*Lef_sr*((O1506/100-cota_s)^(3/2))*1000)),IF(O1506&lt;=cota_s*100+fi_s/20,0,(OFFSET('Base de dados'!$A$4,IF(O1506&lt;20,1,IF(O1506&gt;1000,10,MATCH(O1506,Cargas,1))),Coluna_fis,1,1))*(PI()*(fi_s/1000)^2/4)*(2*9.81*(O1506/100-cota_s-fi_s/2/1000))^0.5*1000)))</f>
        <v>6175.1589567578394</v>
      </c>
      <c r="R1506" s="19">
        <f t="shared" ca="1" si="205"/>
        <v>6226.9696887598693</v>
      </c>
      <c r="S1506" s="19">
        <f t="shared" ca="1" si="206"/>
        <v>8967.955654977799</v>
      </c>
    </row>
    <row r="1507" spans="13:19">
      <c r="M1507" s="81">
        <f t="shared" ca="1" si="203"/>
        <v>15208.96794815662</v>
      </c>
      <c r="N1507" s="19">
        <f t="shared" si="204"/>
        <v>269.23971053233424</v>
      </c>
      <c r="O1507" s="17">
        <f t="shared" si="202"/>
        <v>376.5</v>
      </c>
      <c r="P1507" s="19">
        <f ca="1">IF(ISERROR(IF(O1507&lt;fi_h/20,0,(OFFSET('Base de dados'!$A$5,IF(O1507&lt;20,1,IF(O1507&gt;1000,10,MATCH(O1507,Cargas,1))),Coluna_fih,1,1))*(1+0.13*0.25)*(PI()*(fi_h/1000)^2/4)*SQRT(2*9.81*(O1507/100-fi_h/2/1000))*1000)),"",IF(O1507&lt;fi_h/20,0,(OFFSET('Base de dados'!$A$5,IF(O1507&lt;20,1,IF(O1507&gt;1000,10,MATCH(O1507,Cargas,1))),Coluna_fih,1,1))*(PI()*(fi_h/1000)^2/4)*SQRT(2*9.81*(O1507/100-fi_h/2/1000))*1000))</f>
        <v>51.828203871899554</v>
      </c>
      <c r="Q1507" s="19">
        <f ca="1">IF(O1507="","",IF(Tipo_Vertedor="Retangular",IF(O1507&lt;=cota_s*100,0,IF(Tipo_Vertedor="Retangular",Cd_sr*Lef_sr*((O1507/100-cota_s)^(3/2))*1000)),IF(O1507&lt;=cota_s*100+fi_s/20,0,(OFFSET('Base de dados'!$A$4,IF(O1507&lt;20,1,IF(O1507&gt;1000,10,MATCH(O1507,Cargas,1))),Coluna_fis,1,1))*(PI()*(fi_s/1000)^2/4)*(2*9.81*(O1507/100-cota_s-fi_s/2/1000))^0.5*1000)))</f>
        <v>6182.4827265402455</v>
      </c>
      <c r="R1507" s="19">
        <f t="shared" ca="1" si="205"/>
        <v>6234.3109304121454</v>
      </c>
      <c r="S1507" s="19">
        <f t="shared" ca="1" si="206"/>
        <v>8974.6570177444737</v>
      </c>
    </row>
    <row r="1508" spans="13:19">
      <c r="M1508" s="81">
        <f t="shared" ca="1" si="203"/>
        <v>15223.013994094496</v>
      </c>
      <c r="N1508" s="19">
        <f t="shared" si="204"/>
        <v>269.44076804587348</v>
      </c>
      <c r="O1508" s="17">
        <f t="shared" si="202"/>
        <v>376.75</v>
      </c>
      <c r="P1508" s="19">
        <f ca="1">IF(ISERROR(IF(O1508&lt;fi_h/20,0,(OFFSET('Base de dados'!$A$5,IF(O1508&lt;20,1,IF(O1508&gt;1000,10,MATCH(O1508,Cargas,1))),Coluna_fih,1,1))*(1+0.13*0.25)*(PI()*(fi_h/1000)^2/4)*SQRT(2*9.81*(O1508/100-fi_h/2/1000))*1000)),"",IF(O1508&lt;fi_h/20,0,(OFFSET('Base de dados'!$A$5,IF(O1508&lt;20,1,IF(O1508&gt;1000,10,MATCH(O1508,Cargas,1))),Coluna_fih,1,1))*(PI()*(fi_h/1000)^2/4)*SQRT(2*9.81*(O1508/100-fi_h/2/1000))*1000))</f>
        <v>51.845669853790362</v>
      </c>
      <c r="Q1508" s="19">
        <f ca="1">IF(O1508="","",IF(Tipo_Vertedor="Retangular",IF(O1508&lt;=cota_s*100,0,IF(Tipo_Vertedor="Retangular",Cd_sr*Lef_sr*((O1508/100-cota_s)^(3/2))*1000)),IF(O1508&lt;=cota_s*100+fi_s/20,0,(OFFSET('Base de dados'!$A$4,IF(O1508&lt;20,1,IF(O1508&gt;1000,10,MATCH(O1508,Cargas,1))),Coluna_fis,1,1))*(PI()*(fi_s/1000)^2/4)*(2*9.81*(O1508/100-cota_s-fi_s/2/1000))^0.5*1000)))</f>
        <v>6189.8093893782552</v>
      </c>
      <c r="R1508" s="19">
        <f t="shared" ca="1" si="205"/>
        <v>6241.6550592320455</v>
      </c>
      <c r="S1508" s="19">
        <f t="shared" ca="1" si="206"/>
        <v>8981.35893486245</v>
      </c>
    </row>
    <row r="1509" spans="13:19">
      <c r="M1509" s="81">
        <f t="shared" ca="1" si="203"/>
        <v>15237.063480093278</v>
      </c>
      <c r="N1509" s="19">
        <f t="shared" si="204"/>
        <v>269.64184218029055</v>
      </c>
      <c r="O1509" s="17">
        <f t="shared" si="202"/>
        <v>377</v>
      </c>
      <c r="P1509" s="19">
        <f ca="1">IF(ISERROR(IF(O1509&lt;fi_h/20,0,(OFFSET('Base de dados'!$A$5,IF(O1509&lt;20,1,IF(O1509&gt;1000,10,MATCH(O1509,Cargas,1))),Coluna_fih,1,1))*(1+0.13*0.25)*(PI()*(fi_h/1000)^2/4)*SQRT(2*9.81*(O1509/100-fi_h/2/1000))*1000)),"",IF(O1509&lt;fi_h/20,0,(OFFSET('Base de dados'!$A$5,IF(O1509&lt;20,1,IF(O1509&gt;1000,10,MATCH(O1509,Cargas,1))),Coluna_fih,1,1))*(PI()*(fi_h/1000)^2/4)*SQRT(2*9.81*(O1509/100-fi_h/2/1000))*1000))</f>
        <v>51.863129953650791</v>
      </c>
      <c r="Q1509" s="19">
        <f ca="1">IF(O1509="","",IF(Tipo_Vertedor="Retangular",IF(O1509&lt;=cota_s*100,0,IF(Tipo_Vertedor="Retangular",Cd_sr*Lef_sr*((O1509/100-cota_s)^(3/2))*1000)),IF(O1509&lt;=cota_s*100+fi_s/20,0,(OFFSET('Base de dados'!$A$4,IF(O1509&lt;20,1,IF(O1509&gt;1000,10,MATCH(O1509,Cargas,1))),Coluna_fis,1,1))*(PI()*(fi_s/1000)^2/4)*(2*9.81*(O1509/100-cota_s-fi_s/2/1000))^0.5*1000)))</f>
        <v>6197.1389441299425</v>
      </c>
      <c r="R1509" s="19">
        <f t="shared" ca="1" si="205"/>
        <v>6249.0020740835935</v>
      </c>
      <c r="S1509" s="19">
        <f t="shared" ca="1" si="206"/>
        <v>8988.061406009685</v>
      </c>
    </row>
    <row r="1510" spans="13:19">
      <c r="M1510" s="81">
        <f t="shared" ca="1" si="203"/>
        <v>15251.11640469671</v>
      </c>
      <c r="N1510" s="19">
        <f t="shared" si="204"/>
        <v>269.84293292593628</v>
      </c>
      <c r="O1510" s="17">
        <f t="shared" si="202"/>
        <v>377.25</v>
      </c>
      <c r="P1510" s="19">
        <f ca="1">IF(ISERROR(IF(O1510&lt;fi_h/20,0,(OFFSET('Base de dados'!$A$5,IF(O1510&lt;20,1,IF(O1510&gt;1000,10,MATCH(O1510,Cargas,1))),Coluna_fih,1,1))*(1+0.13*0.25)*(PI()*(fi_h/1000)^2/4)*SQRT(2*9.81*(O1510/100-fi_h/2/1000))*1000)),"",IF(O1510&lt;fi_h/20,0,(OFFSET('Base de dados'!$A$5,IF(O1510&lt;20,1,IF(O1510&gt;1000,10,MATCH(O1510,Cargas,1))),Coluna_fih,1,1))*(PI()*(fi_h/1000)^2/4)*SQRT(2*9.81*(O1510/100-fi_h/2/1000))*1000))</f>
        <v>51.880584177419514</v>
      </c>
      <c r="Q1510" s="19">
        <f ca="1">IF(O1510="","",IF(Tipo_Vertedor="Retangular",IF(O1510&lt;=cota_s*100,0,IF(Tipo_Vertedor="Retangular",Cd_sr*Lef_sr*((O1510/100-cota_s)^(3/2))*1000)),IF(O1510&lt;=cota_s*100+fi_s/20,0,(OFFSET('Base de dados'!$A$4,IF(O1510&lt;20,1,IF(O1510&gt;1000,10,MATCH(O1510,Cargas,1))),Coluna_fis,1,1))*(PI()*(fi_s/1000)^2/4)*(2*9.81*(O1510/100-cota_s-fi_s/2/1000))^0.5*1000)))</f>
        <v>6204.4713896547464</v>
      </c>
      <c r="R1510" s="19">
        <f t="shared" ca="1" si="205"/>
        <v>6256.3519738321656</v>
      </c>
      <c r="S1510" s="19">
        <f t="shared" ca="1" si="206"/>
        <v>8994.7644308645431</v>
      </c>
    </row>
    <row r="1511" spans="13:19">
      <c r="M1511" s="81">
        <f t="shared" ca="1" si="203"/>
        <v>15265.17276645025</v>
      </c>
      <c r="N1511" s="19">
        <f t="shared" si="204"/>
        <v>270.04404027317349</v>
      </c>
      <c r="O1511" s="17">
        <f t="shared" si="202"/>
        <v>377.5</v>
      </c>
      <c r="P1511" s="19">
        <f ca="1">IF(ISERROR(IF(O1511&lt;fi_h/20,0,(OFFSET('Base de dados'!$A$5,IF(O1511&lt;20,1,IF(O1511&gt;1000,10,MATCH(O1511,Cargas,1))),Coluna_fih,1,1))*(1+0.13*0.25)*(PI()*(fi_h/1000)^2/4)*SQRT(2*9.81*(O1511/100-fi_h/2/1000))*1000)),"",IF(O1511&lt;fi_h/20,0,(OFFSET('Base de dados'!$A$5,IF(O1511&lt;20,1,IF(O1511&gt;1000,10,MATCH(O1511,Cargas,1))),Coluna_fih,1,1))*(PI()*(fi_h/1000)^2/4)*SQRT(2*9.81*(O1511/100-fi_h/2/1000))*1000))</f>
        <v>51.898032531025265</v>
      </c>
      <c r="Q1511" s="19">
        <f ca="1">IF(O1511="","",IF(Tipo_Vertedor="Retangular",IF(O1511&lt;=cota_s*100,0,IF(Tipo_Vertedor="Retangular",Cd_sr*Lef_sr*((O1511/100-cota_s)^(3/2))*1000)),IF(O1511&lt;=cota_s*100+fi_s/20,0,(OFFSET('Base de dados'!$A$4,IF(O1511&lt;20,1,IF(O1511&gt;1000,10,MATCH(O1511,Cargas,1))),Coluna_fis,1,1))*(PI()*(fi_s/1000)^2/4)*(2*9.81*(O1511/100-cota_s-fi_s/2/1000))^0.5*1000)))</f>
        <v>6211.8067248134412</v>
      </c>
      <c r="R1511" s="19">
        <f t="shared" ca="1" si="205"/>
        <v>6263.7047573444661</v>
      </c>
      <c r="S1511" s="19">
        <f t="shared" ca="1" si="206"/>
        <v>9001.4680091057835</v>
      </c>
    </row>
    <row r="1512" spans="13:19">
      <c r="M1512" s="81">
        <f t="shared" ca="1" si="203"/>
        <v>15279.232563901105</v>
      </c>
      <c r="N1512" s="19">
        <f t="shared" si="204"/>
        <v>270.24516421237701</v>
      </c>
      <c r="O1512" s="17">
        <f t="shared" si="202"/>
        <v>377.75</v>
      </c>
      <c r="P1512" s="19">
        <f ca="1">IF(ISERROR(IF(O1512&lt;fi_h/20,0,(OFFSET('Base de dados'!$A$5,IF(O1512&lt;20,1,IF(O1512&gt;1000,10,MATCH(O1512,Cargas,1))),Coluna_fih,1,1))*(1+0.13*0.25)*(PI()*(fi_h/1000)^2/4)*SQRT(2*9.81*(O1512/100-fi_h/2/1000))*1000)),"",IF(O1512&lt;fi_h/20,0,(OFFSET('Base de dados'!$A$5,IF(O1512&lt;20,1,IF(O1512&gt;1000,10,MATCH(O1512,Cargas,1))),Coluna_fih,1,1))*(PI()*(fi_h/1000)^2/4)*SQRT(2*9.81*(O1512/100-fi_h/2/1000))*1000))</f>
        <v>51.915475020386737</v>
      </c>
      <c r="Q1512" s="19">
        <f ca="1">IF(O1512="","",IF(Tipo_Vertedor="Retangular",IF(O1512&lt;=cota_s*100,0,IF(Tipo_Vertedor="Retangular",Cd_sr*Lef_sr*((O1512/100-cota_s)^(3/2))*1000)),IF(O1512&lt;=cota_s*100+fi_s/20,0,(OFFSET('Base de dados'!$A$4,IF(O1512&lt;20,1,IF(O1512&gt;1000,10,MATCH(O1512,Cargas,1))),Coluna_fis,1,1))*(PI()*(fi_s/1000)^2/4)*(2*9.81*(O1512/100-cota_s-fi_s/2/1000))^0.5*1000)))</f>
        <v>6219.1449484681525</v>
      </c>
      <c r="R1512" s="19">
        <f t="shared" ca="1" si="205"/>
        <v>6271.0604234885395</v>
      </c>
      <c r="S1512" s="19">
        <f t="shared" ca="1" si="206"/>
        <v>9008.1721404125656</v>
      </c>
    </row>
    <row r="1513" spans="13:19">
      <c r="M1513" s="81">
        <f t="shared" ca="1" si="203"/>
        <v>15293.295795598209</v>
      </c>
      <c r="N1513" s="19">
        <f t="shared" si="204"/>
        <v>270.44630473393346</v>
      </c>
      <c r="O1513" s="17">
        <f t="shared" si="202"/>
        <v>378</v>
      </c>
      <c r="P1513" s="19">
        <f ca="1">IF(ISERROR(IF(O1513&lt;fi_h/20,0,(OFFSET('Base de dados'!$A$5,IF(O1513&lt;20,1,IF(O1513&gt;1000,10,MATCH(O1513,Cargas,1))),Coluna_fih,1,1))*(1+0.13*0.25)*(PI()*(fi_h/1000)^2/4)*SQRT(2*9.81*(O1513/100-fi_h/2/1000))*1000)),"",IF(O1513&lt;fi_h/20,0,(OFFSET('Base de dados'!$A$5,IF(O1513&lt;20,1,IF(O1513&gt;1000,10,MATCH(O1513,Cargas,1))),Coluna_fih,1,1))*(PI()*(fi_h/1000)^2/4)*SQRT(2*9.81*(O1513/100-fi_h/2/1000))*1000))</f>
        <v>51.932911651412745</v>
      </c>
      <c r="Q1513" s="19">
        <f ca="1">IF(O1513="","",IF(Tipo_Vertedor="Retangular",IF(O1513&lt;=cota_s*100,0,IF(Tipo_Vertedor="Retangular",Cd_sr*Lef_sr*((O1513/100-cota_s)^(3/2))*1000)),IF(O1513&lt;=cota_s*100+fi_s/20,0,(OFFSET('Base de dados'!$A$4,IF(O1513&lt;20,1,IF(O1513&gt;1000,10,MATCH(O1513,Cargas,1))),Coluna_fis,1,1))*(PI()*(fi_s/1000)^2/4)*(2*9.81*(O1513/100-cota_s-fi_s/2/1000))^0.5*1000)))</f>
        <v>6226.4860594823467</v>
      </c>
      <c r="R1513" s="19">
        <f t="shared" ca="1" si="205"/>
        <v>6278.4189711337594</v>
      </c>
      <c r="S1513" s="19">
        <f t="shared" ca="1" si="206"/>
        <v>9014.8768244644489</v>
      </c>
    </row>
    <row r="1514" spans="13:19">
      <c r="M1514" s="81">
        <f t="shared" ca="1" si="203"/>
        <v>15307.362460092223</v>
      </c>
      <c r="N1514" s="19">
        <f t="shared" si="204"/>
        <v>270.64746182824166</v>
      </c>
      <c r="O1514" s="17">
        <f t="shared" si="202"/>
        <v>378.25</v>
      </c>
      <c r="P1514" s="19">
        <f ca="1">IF(ISERROR(IF(O1514&lt;fi_h/20,0,(OFFSET('Base de dados'!$A$5,IF(O1514&lt;20,1,IF(O1514&gt;1000,10,MATCH(O1514,Cargas,1))),Coluna_fih,1,1))*(1+0.13*0.25)*(PI()*(fi_h/1000)^2/4)*SQRT(2*9.81*(O1514/100-fi_h/2/1000))*1000)),"",IF(O1514&lt;fi_h/20,0,(OFFSET('Base de dados'!$A$5,IF(O1514&lt;20,1,IF(O1514&gt;1000,10,MATCH(O1514,Cargas,1))),Coluna_fih,1,1))*(PI()*(fi_h/1000)^2/4)*SQRT(2*9.81*(O1514/100-fi_h/2/1000))*1000))</f>
        <v>51.950342430002173</v>
      </c>
      <c r="Q1514" s="19">
        <f ca="1">IF(O1514="","",IF(Tipo_Vertedor="Retangular",IF(O1514&lt;=cota_s*100,0,IF(Tipo_Vertedor="Retangular",Cd_sr*Lef_sr*((O1514/100-cota_s)^(3/2))*1000)),IF(O1514&lt;=cota_s*100+fi_s/20,0,(OFFSET('Base de dados'!$A$4,IF(O1514&lt;20,1,IF(O1514&gt;1000,10,MATCH(O1514,Cargas,1))),Coluna_fis,1,1))*(PI()*(fi_s/1000)^2/4)*(2*9.81*(O1514/100-cota_s-fi_s/2/1000))^0.5*1000)))</f>
        <v>6233.8300567208335</v>
      </c>
      <c r="R1514" s="19">
        <f t="shared" ca="1" si="205"/>
        <v>6285.7803991508354</v>
      </c>
      <c r="S1514" s="19">
        <f t="shared" ca="1" si="206"/>
        <v>9021.5820609413877</v>
      </c>
    </row>
    <row r="1515" spans="13:19">
      <c r="M1515" s="81">
        <f t="shared" ca="1" si="203"/>
        <v>15321.432555935542</v>
      </c>
      <c r="N1515" s="19">
        <f t="shared" si="204"/>
        <v>270.84863548571218</v>
      </c>
      <c r="O1515" s="17">
        <f t="shared" si="202"/>
        <v>378.5</v>
      </c>
      <c r="P1515" s="19">
        <f ca="1">IF(ISERROR(IF(O1515&lt;fi_h/20,0,(OFFSET('Base de dados'!$A$5,IF(O1515&lt;20,1,IF(O1515&gt;1000,10,MATCH(O1515,Cargas,1))),Coluna_fih,1,1))*(1+0.13*0.25)*(PI()*(fi_h/1000)^2/4)*SQRT(2*9.81*(O1515/100-fi_h/2/1000))*1000)),"",IF(O1515&lt;fi_h/20,0,(OFFSET('Base de dados'!$A$5,IF(O1515&lt;20,1,IF(O1515&gt;1000,10,MATCH(O1515,Cargas,1))),Coluna_fih,1,1))*(PI()*(fi_h/1000)^2/4)*SQRT(2*9.81*(O1515/100-fi_h/2/1000))*1000))</f>
        <v>51.967767362044022</v>
      </c>
      <c r="Q1515" s="19">
        <f ca="1">IF(O1515="","",IF(Tipo_Vertedor="Retangular",IF(O1515&lt;=cota_s*100,0,IF(Tipo_Vertedor="Retangular",Cd_sr*Lef_sr*((O1515/100-cota_s)^(3/2))*1000)),IF(O1515&lt;=cota_s*100+fi_s/20,0,(OFFSET('Base de dados'!$A$4,IF(O1515&lt;20,1,IF(O1515&gt;1000,10,MATCH(O1515,Cargas,1))),Coluna_fis,1,1))*(PI()*(fi_s/1000)^2/4)*(2*9.81*(O1515/100-cota_s-fi_s/2/1000))^0.5*1000)))</f>
        <v>6241.1769390497575</v>
      </c>
      <c r="R1515" s="19">
        <f t="shared" ca="1" si="205"/>
        <v>6293.144706411802</v>
      </c>
      <c r="S1515" s="19">
        <f t="shared" ca="1" si="206"/>
        <v>9028.2878495237401</v>
      </c>
    </row>
    <row r="1516" spans="13:19">
      <c r="M1516" s="81">
        <f t="shared" ca="1" si="203"/>
        <v>15335.506081682266</v>
      </c>
      <c r="N1516" s="19">
        <f t="shared" si="204"/>
        <v>271.04982569676736</v>
      </c>
      <c r="O1516" s="17">
        <f t="shared" si="202"/>
        <v>378.75</v>
      </c>
      <c r="P1516" s="19">
        <f ca="1">IF(ISERROR(IF(O1516&lt;fi_h/20,0,(OFFSET('Base de dados'!$A$5,IF(O1516&lt;20,1,IF(O1516&gt;1000,10,MATCH(O1516,Cargas,1))),Coluna_fih,1,1))*(1+0.13*0.25)*(PI()*(fi_h/1000)^2/4)*SQRT(2*9.81*(O1516/100-fi_h/2/1000))*1000)),"",IF(O1516&lt;fi_h/20,0,(OFFSET('Base de dados'!$A$5,IF(O1516&lt;20,1,IF(O1516&gt;1000,10,MATCH(O1516,Cargas,1))),Coluna_fih,1,1))*(PI()*(fi_h/1000)^2/4)*SQRT(2*9.81*(O1516/100-fi_h/2/1000))*1000))</f>
        <v>51.985186453417391</v>
      </c>
      <c r="Q1516" s="19">
        <f ca="1">IF(O1516="","",IF(Tipo_Vertedor="Retangular",IF(O1516&lt;=cota_s*100,0,IF(Tipo_Vertedor="Retangular",Cd_sr*Lef_sr*((O1516/100-cota_s)^(3/2))*1000)),IF(O1516&lt;=cota_s*100+fi_s/20,0,(OFFSET('Base de dados'!$A$4,IF(O1516&lt;20,1,IF(O1516&gt;1000,10,MATCH(O1516,Cargas,1))),Coluna_fis,1,1))*(PI()*(fi_s/1000)^2/4)*(2*9.81*(O1516/100-cota_s-fi_s/2/1000))^0.5*1000)))</f>
        <v>6248.5267053366024</v>
      </c>
      <c r="R1516" s="19">
        <f t="shared" ca="1" si="205"/>
        <v>6300.5118917900199</v>
      </c>
      <c r="S1516" s="19">
        <f t="shared" ca="1" si="206"/>
        <v>9034.9941898922461</v>
      </c>
    </row>
    <row r="1517" spans="13:19">
      <c r="M1517" s="81">
        <f t="shared" ca="1" si="203"/>
        <v>15349.583035888219</v>
      </c>
      <c r="N1517" s="19">
        <f t="shared" si="204"/>
        <v>271.25103245184147</v>
      </c>
      <c r="O1517" s="17">
        <f t="shared" si="202"/>
        <v>379</v>
      </c>
      <c r="P1517" s="19">
        <f ca="1">IF(ISERROR(IF(O1517&lt;fi_h/20,0,(OFFSET('Base de dados'!$A$5,IF(O1517&lt;20,1,IF(O1517&gt;1000,10,MATCH(O1517,Cargas,1))),Coluna_fih,1,1))*(1+0.13*0.25)*(PI()*(fi_h/1000)^2/4)*SQRT(2*9.81*(O1517/100-fi_h/2/1000))*1000)),"",IF(O1517&lt;fi_h/20,0,(OFFSET('Base de dados'!$A$5,IF(O1517&lt;20,1,IF(O1517&gt;1000,10,MATCH(O1517,Cargas,1))),Coluna_fih,1,1))*(PI()*(fi_h/1000)^2/4)*SQRT(2*9.81*(O1517/100-fi_h/2/1000))*1000))</f>
        <v>52.002599709991557</v>
      </c>
      <c r="Q1517" s="19">
        <f ca="1">IF(O1517="","",IF(Tipo_Vertedor="Retangular",IF(O1517&lt;=cota_s*100,0,IF(Tipo_Vertedor="Retangular",Cd_sr*Lef_sr*((O1517/100-cota_s)^(3/2))*1000)),IF(O1517&lt;=cota_s*100+fi_s/20,0,(OFFSET('Base de dados'!$A$4,IF(O1517&lt;20,1,IF(O1517&gt;1000,10,MATCH(O1517,Cargas,1))),Coluna_fis,1,1))*(PI()*(fi_s/1000)^2/4)*(2*9.81*(O1517/100-cota_s-fi_s/2/1000))^0.5*1000)))</f>
        <v>6255.8793544501796</v>
      </c>
      <c r="R1517" s="19">
        <f t="shared" ca="1" si="205"/>
        <v>6307.8819541601715</v>
      </c>
      <c r="S1517" s="19">
        <f t="shared" ca="1" si="206"/>
        <v>9041.7010817280479</v>
      </c>
    </row>
    <row r="1518" spans="13:19">
      <c r="M1518" s="81">
        <f t="shared" ca="1" si="203"/>
        <v>15363.663417110958</v>
      </c>
      <c r="N1518" s="19">
        <f t="shared" si="204"/>
        <v>271.45225574138084</v>
      </c>
      <c r="O1518" s="17">
        <f t="shared" si="202"/>
        <v>379.25</v>
      </c>
      <c r="P1518" s="19">
        <f ca="1">IF(ISERROR(IF(O1518&lt;fi_h/20,0,(OFFSET('Base de dados'!$A$5,IF(O1518&lt;20,1,IF(O1518&gt;1000,10,MATCH(O1518,Cargas,1))),Coluna_fih,1,1))*(1+0.13*0.25)*(PI()*(fi_h/1000)^2/4)*SQRT(2*9.81*(O1518/100-fi_h/2/1000))*1000)),"",IF(O1518&lt;fi_h/20,0,(OFFSET('Base de dados'!$A$5,IF(O1518&lt;20,1,IF(O1518&gt;1000,10,MATCH(O1518,Cargas,1))),Coluna_fih,1,1))*(PI()*(fi_h/1000)^2/4)*SQRT(2*9.81*(O1518/100-fi_h/2/1000))*1000))</f>
        <v>52.020007137625967</v>
      </c>
      <c r="Q1518" s="19">
        <f ca="1">IF(O1518="","",IF(Tipo_Vertedor="Retangular",IF(O1518&lt;=cota_s*100,0,IF(Tipo_Vertedor="Retangular",Cd_sr*Lef_sr*((O1518/100-cota_s)^(3/2))*1000)),IF(O1518&lt;=cota_s*100+fi_s/20,0,(OFFSET('Base de dados'!$A$4,IF(O1518&lt;20,1,IF(O1518&gt;1000,10,MATCH(O1518,Cargas,1))),Coluna_fis,1,1))*(PI()*(fi_s/1000)^2/4)*(2*9.81*(O1518/100-cota_s-fi_s/2/1000))^0.5*1000)))</f>
        <v>6263.2348852606365</v>
      </c>
      <c r="R1518" s="19">
        <f t="shared" ca="1" si="205"/>
        <v>6315.2548923982622</v>
      </c>
      <c r="S1518" s="19">
        <f t="shared" ca="1" si="206"/>
        <v>9048.408524712695</v>
      </c>
    </row>
    <row r="1519" spans="13:19">
      <c r="M1519" s="81">
        <f t="shared" ca="1" si="203"/>
        <v>15377.747223909715</v>
      </c>
      <c r="N1519" s="19">
        <f t="shared" si="204"/>
        <v>271.65349555584311</v>
      </c>
      <c r="O1519" s="17">
        <f t="shared" si="202"/>
        <v>379.5</v>
      </c>
      <c r="P1519" s="19">
        <f ca="1">IF(ISERROR(IF(O1519&lt;fi_h/20,0,(OFFSET('Base de dados'!$A$5,IF(O1519&lt;20,1,IF(O1519&gt;1000,10,MATCH(O1519,Cargas,1))),Coluna_fih,1,1))*(1+0.13*0.25)*(PI()*(fi_h/1000)^2/4)*SQRT(2*9.81*(O1519/100-fi_h/2/1000))*1000)),"",IF(O1519&lt;fi_h/20,0,(OFFSET('Base de dados'!$A$5,IF(O1519&lt;20,1,IF(O1519&gt;1000,10,MATCH(O1519,Cargas,1))),Coluna_fih,1,1))*(PI()*(fi_h/1000)^2/4)*SQRT(2*9.81*(O1519/100-fi_h/2/1000))*1000))</f>
        <v>52.037408742170285</v>
      </c>
      <c r="Q1519" s="19">
        <f ca="1">IF(O1519="","",IF(Tipo_Vertedor="Retangular",IF(O1519&lt;=cota_s*100,0,IF(Tipo_Vertedor="Retangular",Cd_sr*Lef_sr*((O1519/100-cota_s)^(3/2))*1000)),IF(O1519&lt;=cota_s*100+fi_s/20,0,(OFFSET('Base de dados'!$A$4,IF(O1519&lt;20,1,IF(O1519&gt;1000,10,MATCH(O1519,Cargas,1))),Coluna_fis,1,1))*(PI()*(fi_s/1000)^2/4)*(2*9.81*(O1519/100-cota_s-fi_s/2/1000))^0.5*1000)))</f>
        <v>6270.5932966394403</v>
      </c>
      <c r="R1519" s="19">
        <f t="shared" ca="1" si="205"/>
        <v>6322.6307053816108</v>
      </c>
      <c r="S1519" s="19">
        <f t="shared" ca="1" si="206"/>
        <v>9055.1165185281043</v>
      </c>
    </row>
    <row r="1520" spans="13:19">
      <c r="M1520" s="81">
        <f t="shared" ca="1" si="203"/>
        <v>15391.834454845468</v>
      </c>
      <c r="N1520" s="19">
        <f t="shared" si="204"/>
        <v>271.85475188569836</v>
      </c>
      <c r="O1520" s="17">
        <f t="shared" si="202"/>
        <v>379.75</v>
      </c>
      <c r="P1520" s="19">
        <f ca="1">IF(ISERROR(IF(O1520&lt;fi_h/20,0,(OFFSET('Base de dados'!$A$5,IF(O1520&lt;20,1,IF(O1520&gt;1000,10,MATCH(O1520,Cargas,1))),Coluna_fih,1,1))*(1+0.13*0.25)*(PI()*(fi_h/1000)^2/4)*SQRT(2*9.81*(O1520/100-fi_h/2/1000))*1000)),"",IF(O1520&lt;fi_h/20,0,(OFFSET('Base de dados'!$A$5,IF(O1520&lt;20,1,IF(O1520&gt;1000,10,MATCH(O1520,Cargas,1))),Coluna_fih,1,1))*(PI()*(fi_h/1000)^2/4)*SQRT(2*9.81*(O1520/100-fi_h/2/1000))*1000))</f>
        <v>52.054804529464356</v>
      </c>
      <c r="Q1520" s="19">
        <f ca="1">IF(O1520="","",IF(Tipo_Vertedor="Retangular",IF(O1520&lt;=cota_s*100,0,IF(Tipo_Vertedor="Retangular",Cd_sr*Lef_sr*((O1520/100-cota_s)^(3/2))*1000)),IF(O1520&lt;=cota_s*100+fi_s/20,0,(OFFSET('Base de dados'!$A$4,IF(O1520&lt;20,1,IF(O1520&gt;1000,10,MATCH(O1520,Cargas,1))),Coluna_fis,1,1))*(PI()*(fi_s/1000)^2/4)*(2*9.81*(O1520/100-cota_s-fi_s/2/1000))^0.5*1000)))</f>
        <v>6277.9545874593923</v>
      </c>
      <c r="R1520" s="19">
        <f t="shared" ca="1" si="205"/>
        <v>6330.0093919888568</v>
      </c>
      <c r="S1520" s="19">
        <f t="shared" ca="1" si="206"/>
        <v>9061.8250628566111</v>
      </c>
    </row>
    <row r="1521" spans="13:19">
      <c r="M1521" s="81">
        <f t="shared" ca="1" si="203"/>
        <v>15405.925108480878</v>
      </c>
      <c r="N1521" s="19">
        <f t="shared" si="204"/>
        <v>272.056024721428</v>
      </c>
      <c r="O1521" s="17">
        <f t="shared" si="202"/>
        <v>380</v>
      </c>
      <c r="P1521" s="19">
        <f ca="1">IF(ISERROR(IF(O1521&lt;fi_h/20,0,(OFFSET('Base de dados'!$A$5,IF(O1521&lt;20,1,IF(O1521&gt;1000,10,MATCH(O1521,Cargas,1))),Coluna_fih,1,1))*(1+0.13*0.25)*(PI()*(fi_h/1000)^2/4)*SQRT(2*9.81*(O1521/100-fi_h/2/1000))*1000)),"",IF(O1521&lt;fi_h/20,0,(OFFSET('Base de dados'!$A$5,IF(O1521&lt;20,1,IF(O1521&gt;1000,10,MATCH(O1521,Cargas,1))),Coluna_fih,1,1))*(PI()*(fi_h/1000)^2/4)*SQRT(2*9.81*(O1521/100-fi_h/2/1000))*1000))</f>
        <v>52.072194505338317</v>
      </c>
      <c r="Q1521" s="19">
        <f ca="1">IF(O1521="","",IF(Tipo_Vertedor="Retangular",IF(O1521&lt;=cota_s*100,0,IF(Tipo_Vertedor="Retangular",Cd_sr*Lef_sr*((O1521/100-cota_s)^(3/2))*1000)),IF(O1521&lt;=cota_s*100+fi_s/20,0,(OFFSET('Base de dados'!$A$4,IF(O1521&lt;20,1,IF(O1521&gt;1000,10,MATCH(O1521,Cargas,1))),Coluna_fis,1,1))*(PI()*(fi_s/1000)^2/4)*(2*9.81*(O1521/100-cota_s-fi_s/2/1000))^0.5*1000)))</f>
        <v>6285.3187565946082</v>
      </c>
      <c r="R1521" s="19">
        <f t="shared" ca="1" si="205"/>
        <v>6337.3909510999465</v>
      </c>
      <c r="S1521" s="19">
        <f t="shared" ca="1" si="206"/>
        <v>9068.5341573809328</v>
      </c>
    </row>
    <row r="1522" spans="13:19">
      <c r="M1522" s="81">
        <f t="shared" ca="1" si="203"/>
        <v>15420.019183380315</v>
      </c>
      <c r="N1522" s="19">
        <f t="shared" si="204"/>
        <v>272.25731405352519</v>
      </c>
      <c r="O1522" s="17">
        <f t="shared" si="202"/>
        <v>380.25</v>
      </c>
      <c r="P1522" s="19">
        <f ca="1">IF(ISERROR(IF(O1522&lt;fi_h/20,0,(OFFSET('Base de dados'!$A$5,IF(O1522&lt;20,1,IF(O1522&gt;1000,10,MATCH(O1522,Cargas,1))),Coluna_fih,1,1))*(1+0.13*0.25)*(PI()*(fi_h/1000)^2/4)*SQRT(2*9.81*(O1522/100-fi_h/2/1000))*1000)),"",IF(O1522&lt;fi_h/20,0,(OFFSET('Base de dados'!$A$5,IF(O1522&lt;20,1,IF(O1522&gt;1000,10,MATCH(O1522,Cargas,1))),Coluna_fih,1,1))*(PI()*(fi_h/1000)^2/4)*SQRT(2*9.81*(O1522/100-fi_h/2/1000))*1000))</f>
        <v>52.089578675612543</v>
      </c>
      <c r="Q1522" s="19">
        <f ca="1">IF(O1522="","",IF(Tipo_Vertedor="Retangular",IF(O1522&lt;=cota_s*100,0,IF(Tipo_Vertedor="Retangular",Cd_sr*Lef_sr*((O1522/100-cota_s)^(3/2))*1000)),IF(O1522&lt;=cota_s*100+fi_s/20,0,(OFFSET('Base de dados'!$A$4,IF(O1522&lt;20,1,IF(O1522&gt;1000,10,MATCH(O1522,Cargas,1))),Coluna_fis,1,1))*(PI()*(fi_s/1000)^2/4)*(2*9.81*(O1522/100-cota_s-fi_s/2/1000))^0.5*1000)))</f>
        <v>6292.6858029205268</v>
      </c>
      <c r="R1522" s="19">
        <f t="shared" ca="1" si="205"/>
        <v>6344.7753815961396</v>
      </c>
      <c r="S1522" s="19">
        <f t="shared" ca="1" si="206"/>
        <v>9075.2438017841741</v>
      </c>
    </row>
    <row r="1523" spans="13:19">
      <c r="M1523" s="81">
        <f t="shared" ca="1" si="203"/>
        <v>15434.116678109831</v>
      </c>
      <c r="N1523" s="19">
        <f t="shared" si="204"/>
        <v>272.45861987249498</v>
      </c>
      <c r="O1523" s="17">
        <f t="shared" si="202"/>
        <v>380.5</v>
      </c>
      <c r="P1523" s="19">
        <f ca="1">IF(ISERROR(IF(O1523&lt;fi_h/20,0,(OFFSET('Base de dados'!$A$5,IF(O1523&lt;20,1,IF(O1523&gt;1000,10,MATCH(O1523,Cargas,1))),Coluna_fih,1,1))*(1+0.13*0.25)*(PI()*(fi_h/1000)^2/4)*SQRT(2*9.81*(O1523/100-fi_h/2/1000))*1000)),"",IF(O1523&lt;fi_h/20,0,(OFFSET('Base de dados'!$A$5,IF(O1523&lt;20,1,IF(O1523&gt;1000,10,MATCH(O1523,Cargas,1))),Coluna_fih,1,1))*(PI()*(fi_h/1000)^2/4)*SQRT(2*9.81*(O1523/100-fi_h/2/1000))*1000))</f>
        <v>52.106957046097705</v>
      </c>
      <c r="Q1523" s="19">
        <f ca="1">IF(O1523="","",IF(Tipo_Vertedor="Retangular",IF(O1523&lt;=cota_s*100,0,IF(Tipo_Vertedor="Retangular",Cd_sr*Lef_sr*((O1523/100-cota_s)^(3/2))*1000)),IF(O1523&lt;=cota_s*100+fi_s/20,0,(OFFSET('Base de dados'!$A$4,IF(O1523&lt;20,1,IF(O1523&gt;1000,10,MATCH(O1523,Cargas,1))),Coluna_fis,1,1))*(PI()*(fi_s/1000)^2/4)*(2*9.81*(O1523/100-cota_s-fi_s/2/1000))^0.5*1000)))</f>
        <v>6300.0557253139023</v>
      </c>
      <c r="R1523" s="19">
        <f t="shared" ca="1" si="205"/>
        <v>6352.16268236</v>
      </c>
      <c r="S1523" s="19">
        <f t="shared" ca="1" si="206"/>
        <v>9081.9539957498309</v>
      </c>
    </row>
    <row r="1524" spans="13:19">
      <c r="M1524" s="81">
        <f t="shared" ca="1" si="203"/>
        <v>15448.2175912372</v>
      </c>
      <c r="N1524" s="19">
        <f t="shared" si="204"/>
        <v>272.65994216885389</v>
      </c>
      <c r="O1524" s="17">
        <f t="shared" si="202"/>
        <v>380.75</v>
      </c>
      <c r="P1524" s="19">
        <f ca="1">IF(ISERROR(IF(O1524&lt;fi_h/20,0,(OFFSET('Base de dados'!$A$5,IF(O1524&lt;20,1,IF(O1524&gt;1000,10,MATCH(O1524,Cargas,1))),Coluna_fih,1,1))*(1+0.13*0.25)*(PI()*(fi_h/1000)^2/4)*SQRT(2*9.81*(O1524/100-fi_h/2/1000))*1000)),"",IF(O1524&lt;fi_h/20,0,(OFFSET('Base de dados'!$A$5,IF(O1524&lt;20,1,IF(O1524&gt;1000,10,MATCH(O1524,Cargas,1))),Coluna_fih,1,1))*(PI()*(fi_h/1000)^2/4)*SQRT(2*9.81*(O1524/100-fi_h/2/1000))*1000))</f>
        <v>52.124329622594807</v>
      </c>
      <c r="Q1524" s="19">
        <f ca="1">IF(O1524="","",IF(Tipo_Vertedor="Retangular",IF(O1524&lt;=cota_s*100,0,IF(Tipo_Vertedor="Retangular",Cd_sr*Lef_sr*((O1524/100-cota_s)^(3/2))*1000)),IF(O1524&lt;=cota_s*100+fi_s/20,0,(OFFSET('Base de dados'!$A$4,IF(O1524&lt;20,1,IF(O1524&gt;1000,10,MATCH(O1524,Cargas,1))),Coluna_fis,1,1))*(PI()*(fi_s/1000)^2/4)*(2*9.81*(O1524/100-cota_s-fi_s/2/1000))^0.5*1000)))</f>
        <v>6307.4285226528091</v>
      </c>
      <c r="R1524" s="19">
        <f t="shared" ca="1" si="205"/>
        <v>6359.5528522754039</v>
      </c>
      <c r="S1524" s="19">
        <f t="shared" ca="1" si="206"/>
        <v>9088.6647389617956</v>
      </c>
    </row>
    <row r="1525" spans="13:19">
      <c r="M1525" s="81">
        <f t="shared" ca="1" si="203"/>
        <v>15462.321921331864</v>
      </c>
      <c r="N1525" s="19">
        <f t="shared" si="204"/>
        <v>272.86128093313044</v>
      </c>
      <c r="O1525" s="17">
        <f t="shared" si="202"/>
        <v>381</v>
      </c>
      <c r="P1525" s="19">
        <f ca="1">IF(ISERROR(IF(O1525&lt;fi_h/20,0,(OFFSET('Base de dados'!$A$5,IF(O1525&lt;20,1,IF(O1525&gt;1000,10,MATCH(O1525,Cargas,1))),Coluna_fih,1,1))*(1+0.13*0.25)*(PI()*(fi_h/1000)^2/4)*SQRT(2*9.81*(O1525/100-fi_h/2/1000))*1000)),"",IF(O1525&lt;fi_h/20,0,(OFFSET('Base de dados'!$A$5,IF(O1525&lt;20,1,IF(O1525&gt;1000,10,MATCH(O1525,Cargas,1))),Coluna_fih,1,1))*(PI()*(fi_h/1000)^2/4)*SQRT(2*9.81*(O1525/100-fi_h/2/1000))*1000))</f>
        <v>52.141696410895165</v>
      </c>
      <c r="Q1525" s="19">
        <f ca="1">IF(O1525="","",IF(Tipo_Vertedor="Retangular",IF(O1525&lt;=cota_s*100,0,IF(Tipo_Vertedor="Retangular",Cd_sr*Lef_sr*((O1525/100-cota_s)^(3/2))*1000)),IF(O1525&lt;=cota_s*100+fi_s/20,0,(OFFSET('Base de dados'!$A$4,IF(O1525&lt;20,1,IF(O1525&gt;1000,10,MATCH(O1525,Cargas,1))),Coluna_fis,1,1))*(PI()*(fi_s/1000)^2/4)*(2*9.81*(O1525/100-cota_s-fi_s/2/1000))^0.5*1000)))</f>
        <v>6314.8041938166216</v>
      </c>
      <c r="R1525" s="19">
        <f t="shared" ca="1" si="205"/>
        <v>6366.9458902275164</v>
      </c>
      <c r="S1525" s="19">
        <f t="shared" ca="1" si="206"/>
        <v>9095.3760311043479</v>
      </c>
    </row>
    <row r="1526" spans="13:19">
      <c r="M1526" s="81">
        <f t="shared" ca="1" si="203"/>
        <v>15476.42966696497</v>
      </c>
      <c r="N1526" s="19">
        <f t="shared" si="204"/>
        <v>273.0626361558646</v>
      </c>
      <c r="O1526" s="17">
        <f t="shared" si="202"/>
        <v>381.25</v>
      </c>
      <c r="P1526" s="19">
        <f ca="1">IF(ISERROR(IF(O1526&lt;fi_h/20,0,(OFFSET('Base de dados'!$A$5,IF(O1526&lt;20,1,IF(O1526&gt;1000,10,MATCH(O1526,Cargas,1))),Coluna_fih,1,1))*(1+0.13*0.25)*(PI()*(fi_h/1000)^2/4)*SQRT(2*9.81*(O1526/100-fi_h/2/1000))*1000)),"",IF(O1526&lt;fi_h/20,0,(OFFSET('Base de dados'!$A$5,IF(O1526&lt;20,1,IF(O1526&gt;1000,10,MATCH(O1526,Cargas,1))),Coluna_fih,1,1))*(PI()*(fi_h/1000)^2/4)*SQRT(2*9.81*(O1526/100-fi_h/2/1000))*1000))</f>
        <v>52.159057416780456</v>
      </c>
      <c r="Q1526" s="19">
        <f ca="1">IF(O1526="","",IF(Tipo_Vertedor="Retangular",IF(O1526&lt;=cota_s*100,0,IF(Tipo_Vertedor="Retangular",Cd_sr*Lef_sr*((O1526/100-cota_s)^(3/2))*1000)),IF(O1526&lt;=cota_s*100+fi_s/20,0,(OFFSET('Base de dados'!$A$4,IF(O1526&lt;20,1,IF(O1526&gt;1000,10,MATCH(O1526,Cargas,1))),Coluna_fis,1,1))*(PI()*(fi_s/1000)^2/4)*(2*9.81*(O1526/100-cota_s-fi_s/2/1000))^0.5*1000)))</f>
        <v>6322.1827376860383</v>
      </c>
      <c r="R1526" s="19">
        <f t="shared" ca="1" si="205"/>
        <v>6374.3417951028187</v>
      </c>
      <c r="S1526" s="19">
        <f t="shared" ca="1" si="206"/>
        <v>9102.0878718621516</v>
      </c>
    </row>
    <row r="1527" spans="13:19">
      <c r="M1527" s="81">
        <f t="shared" ca="1" si="203"/>
        <v>15490.540826709341</v>
      </c>
      <c r="N1527" s="19">
        <f t="shared" si="204"/>
        <v>273.26400782760805</v>
      </c>
      <c r="O1527" s="17">
        <f t="shared" si="202"/>
        <v>381.5</v>
      </c>
      <c r="P1527" s="19">
        <f ca="1">IF(ISERROR(IF(O1527&lt;fi_h/20,0,(OFFSET('Base de dados'!$A$5,IF(O1527&lt;20,1,IF(O1527&gt;1000,10,MATCH(O1527,Cargas,1))),Coluna_fih,1,1))*(1+0.13*0.25)*(PI()*(fi_h/1000)^2/4)*SQRT(2*9.81*(O1527/100-fi_h/2/1000))*1000)),"",IF(O1527&lt;fi_h/20,0,(OFFSET('Base de dados'!$A$5,IF(O1527&lt;20,1,IF(O1527&gt;1000,10,MATCH(O1527,Cargas,1))),Coluna_fih,1,1))*(PI()*(fi_h/1000)^2/4)*SQRT(2*9.81*(O1527/100-fi_h/2/1000))*1000))</f>
        <v>52.176412646022754</v>
      </c>
      <c r="Q1527" s="19">
        <f ca="1">IF(O1527="","",IF(Tipo_Vertedor="Retangular",IF(O1527&lt;=cota_s*100,0,IF(Tipo_Vertedor="Retangular",Cd_sr*Lef_sr*((O1527/100-cota_s)^(3/2))*1000)),IF(O1527&lt;=cota_s*100+fi_s/20,0,(OFFSET('Base de dados'!$A$4,IF(O1527&lt;20,1,IF(O1527&gt;1000,10,MATCH(O1527,Cargas,1))),Coluna_fis,1,1))*(PI()*(fi_s/1000)^2/4)*(2*9.81*(O1527/100-cota_s-fi_s/2/1000))^0.5*1000)))</f>
        <v>6329.5641531430492</v>
      </c>
      <c r="R1527" s="19">
        <f t="shared" ca="1" si="205"/>
        <v>6381.7405657890722</v>
      </c>
      <c r="S1527" s="19">
        <f t="shared" ca="1" si="206"/>
        <v>9108.8002609202686</v>
      </c>
    </row>
    <row r="1528" spans="13:19">
      <c r="M1528" s="81">
        <f t="shared" ca="1" si="203"/>
        <v>15504.655399139483</v>
      </c>
      <c r="N1528" s="19">
        <f t="shared" si="204"/>
        <v>273.4653959389239</v>
      </c>
      <c r="O1528" s="17">
        <f t="shared" si="202"/>
        <v>381.75</v>
      </c>
      <c r="P1528" s="19">
        <f ca="1">IF(ISERROR(IF(O1528&lt;fi_h/20,0,(OFFSET('Base de dados'!$A$5,IF(O1528&lt;20,1,IF(O1528&gt;1000,10,MATCH(O1528,Cargas,1))),Coluna_fih,1,1))*(1+0.13*0.25)*(PI()*(fi_h/1000)^2/4)*SQRT(2*9.81*(O1528/100-fi_h/2/1000))*1000)),"",IF(O1528&lt;fi_h/20,0,(OFFSET('Base de dados'!$A$5,IF(O1528&lt;20,1,IF(O1528&gt;1000,10,MATCH(O1528,Cargas,1))),Coluna_fih,1,1))*(PI()*(fi_h/1000)^2/4)*SQRT(2*9.81*(O1528/100-fi_h/2/1000))*1000))</f>
        <v>52.193762104384525</v>
      </c>
      <c r="Q1528" s="19">
        <f ca="1">IF(O1528="","",IF(Tipo_Vertedor="Retangular",IF(O1528&lt;=cota_s*100,0,IF(Tipo_Vertedor="Retangular",Cd_sr*Lef_sr*((O1528/100-cota_s)^(3/2))*1000)),IF(O1528&lt;=cota_s*100+fi_s/20,0,(OFFSET('Base de dados'!$A$4,IF(O1528&lt;20,1,IF(O1528&gt;1000,10,MATCH(O1528,Cargas,1))),Coluna_fis,1,1))*(PI()*(fi_s/1000)^2/4)*(2*9.81*(O1528/100-cota_s-fi_s/2/1000))^0.5*1000)))</f>
        <v>6336.9484390709658</v>
      </c>
      <c r="R1528" s="19">
        <f t="shared" ca="1" si="205"/>
        <v>6389.1422011753502</v>
      </c>
      <c r="S1528" s="19">
        <f t="shared" ca="1" si="206"/>
        <v>9115.5131979641319</v>
      </c>
    </row>
    <row r="1529" spans="13:19">
      <c r="M1529" s="81">
        <f t="shared" ca="1" si="203"/>
        <v>15518.773382831576</v>
      </c>
      <c r="N1529" s="19">
        <f t="shared" si="204"/>
        <v>273.66680048038711</v>
      </c>
      <c r="O1529" s="17">
        <f t="shared" si="202"/>
        <v>382</v>
      </c>
      <c r="P1529" s="19">
        <f ca="1">IF(ISERROR(IF(O1529&lt;fi_h/20,0,(OFFSET('Base de dados'!$A$5,IF(O1529&lt;20,1,IF(O1529&gt;1000,10,MATCH(O1529,Cargas,1))),Coluna_fih,1,1))*(1+0.13*0.25)*(PI()*(fi_h/1000)^2/4)*SQRT(2*9.81*(O1529/100-fi_h/2/1000))*1000)),"",IF(O1529&lt;fi_h/20,0,(OFFSET('Base de dados'!$A$5,IF(O1529&lt;20,1,IF(O1529&gt;1000,10,MATCH(O1529,Cargas,1))),Coluna_fih,1,1))*(PI()*(fi_h/1000)^2/4)*SQRT(2*9.81*(O1529/100-fi_h/2/1000))*1000))</f>
        <v>52.211105797618664</v>
      </c>
      <c r="Q1529" s="19">
        <f ca="1">IF(O1529="","",IF(Tipo_Vertedor="Retangular",IF(O1529&lt;=cota_s*100,0,IF(Tipo_Vertedor="Retangular",Cd_sr*Lef_sr*((O1529/100-cota_s)^(3/2))*1000)),IF(O1529&lt;=cota_s*100+fi_s/20,0,(OFFSET('Base de dados'!$A$4,IF(O1529&lt;20,1,IF(O1529&gt;1000,10,MATCH(O1529,Cargas,1))),Coluna_fis,1,1))*(PI()*(fi_s/1000)^2/4)*(2*9.81*(O1529/100-cota_s-fi_s/2/1000))^0.5*1000)))</f>
        <v>6344.3355943543856</v>
      </c>
      <c r="R1529" s="19">
        <f t="shared" ca="1" si="205"/>
        <v>6396.5467001520046</v>
      </c>
      <c r="S1529" s="19">
        <f t="shared" ca="1" si="206"/>
        <v>9122.2266826795712</v>
      </c>
    </row>
    <row r="1530" spans="13:19">
      <c r="M1530" s="81">
        <f t="shared" ca="1" si="203"/>
        <v>15532.894776363486</v>
      </c>
      <c r="N1530" s="19">
        <f t="shared" si="204"/>
        <v>273.86822144258417</v>
      </c>
      <c r="O1530" s="17">
        <f t="shared" si="202"/>
        <v>382.25</v>
      </c>
      <c r="P1530" s="19">
        <f ca="1">IF(ISERROR(IF(O1530&lt;fi_h/20,0,(OFFSET('Base de dados'!$A$5,IF(O1530&lt;20,1,IF(O1530&gt;1000,10,MATCH(O1530,Cargas,1))),Coluna_fih,1,1))*(1+0.13*0.25)*(PI()*(fi_h/1000)^2/4)*SQRT(2*9.81*(O1530/100-fi_h/2/1000))*1000)),"",IF(O1530&lt;fi_h/20,0,(OFFSET('Base de dados'!$A$5,IF(O1530&lt;20,1,IF(O1530&gt;1000,10,MATCH(O1530,Cargas,1))),Coluna_fih,1,1))*(PI()*(fi_h/1000)^2/4)*SQRT(2*9.81*(O1530/100-fi_h/2/1000))*1000))</f>
        <v>52.228443731468509</v>
      </c>
      <c r="Q1530" s="19">
        <f ca="1">IF(O1530="","",IF(Tipo_Vertedor="Retangular",IF(O1530&lt;=cota_s*100,0,IF(Tipo_Vertedor="Retangular",Cd_sr*Lef_sr*((O1530/100-cota_s)^(3/2))*1000)),IF(O1530&lt;=cota_s*100+fi_s/20,0,(OFFSET('Base de dados'!$A$4,IF(O1530&lt;20,1,IF(O1530&gt;1000,10,MATCH(O1530,Cargas,1))),Coluna_fis,1,1))*(PI()*(fi_s/1000)^2/4)*(2*9.81*(O1530/100-cota_s-fi_s/2/1000))^0.5*1000)))</f>
        <v>6351.7256178792122</v>
      </c>
      <c r="R1530" s="19">
        <f t="shared" ca="1" si="205"/>
        <v>6403.9540616106806</v>
      </c>
      <c r="S1530" s="19">
        <f t="shared" ca="1" si="206"/>
        <v>9128.9407147528054</v>
      </c>
    </row>
    <row r="1531" spans="13:19">
      <c r="M1531" s="81">
        <f t="shared" ca="1" si="203"/>
        <v>15547.019578314746</v>
      </c>
      <c r="N1531" s="19">
        <f t="shared" si="204"/>
        <v>274.06965881611291</v>
      </c>
      <c r="O1531" s="17">
        <f t="shared" si="202"/>
        <v>382.5</v>
      </c>
      <c r="P1531" s="19">
        <f ca="1">IF(ISERROR(IF(O1531&lt;fi_h/20,0,(OFFSET('Base de dados'!$A$5,IF(O1531&lt;20,1,IF(O1531&gt;1000,10,MATCH(O1531,Cargas,1))),Coluna_fih,1,1))*(1+0.13*0.25)*(PI()*(fi_h/1000)^2/4)*SQRT(2*9.81*(O1531/100-fi_h/2/1000))*1000)),"",IF(O1531&lt;fi_h/20,0,(OFFSET('Base de dados'!$A$5,IF(O1531&lt;20,1,IF(O1531&gt;1000,10,MATCH(O1531,Cargas,1))),Coluna_fih,1,1))*(PI()*(fi_h/1000)^2/4)*SQRT(2*9.81*(O1531/100-fi_h/2/1000))*1000))</f>
        <v>52.245775911667884</v>
      </c>
      <c r="Q1531" s="19">
        <f ca="1">IF(O1531="","",IF(Tipo_Vertedor="Retangular",IF(O1531&lt;=cota_s*100,0,IF(Tipo_Vertedor="Retangular",Cd_sr*Lef_sr*((O1531/100-cota_s)^(3/2))*1000)),IF(O1531&lt;=cota_s*100+fi_s/20,0,(OFFSET('Base de dados'!$A$4,IF(O1531&lt;20,1,IF(O1531&gt;1000,10,MATCH(O1531,Cargas,1))),Coluna_fis,1,1))*(PI()*(fi_s/1000)^2/4)*(2*9.81*(O1531/100-cota_s-fi_s/2/1000))^0.5*1000)))</f>
        <v>6359.1185085326497</v>
      </c>
      <c r="R1531" s="19">
        <f t="shared" ca="1" si="205"/>
        <v>6411.3642844443175</v>
      </c>
      <c r="S1531" s="19">
        <f t="shared" ca="1" si="206"/>
        <v>9135.6552938704299</v>
      </c>
    </row>
    <row r="1532" spans="13:19">
      <c r="M1532" s="81">
        <f t="shared" ca="1" si="203"/>
        <v>15561.14778726656</v>
      </c>
      <c r="N1532" s="19">
        <f t="shared" si="204"/>
        <v>274.27111259158289</v>
      </c>
      <c r="O1532" s="17">
        <f t="shared" si="202"/>
        <v>382.75</v>
      </c>
      <c r="P1532" s="19">
        <f ca="1">IF(ISERROR(IF(O1532&lt;fi_h/20,0,(OFFSET('Base de dados'!$A$5,IF(O1532&lt;20,1,IF(O1532&gt;1000,10,MATCH(O1532,Cargas,1))),Coluna_fih,1,1))*(1+0.13*0.25)*(PI()*(fi_h/1000)^2/4)*SQRT(2*9.81*(O1532/100-fi_h/2/1000))*1000)),"",IF(O1532&lt;fi_h/20,0,(OFFSET('Base de dados'!$A$5,IF(O1532&lt;20,1,IF(O1532&gt;1000,10,MATCH(O1532,Cargas,1))),Coluna_fih,1,1))*(PI()*(fi_h/1000)^2/4)*SQRT(2*9.81*(O1532/100-fi_h/2/1000))*1000))</f>
        <v>52.263102343941071</v>
      </c>
      <c r="Q1532" s="19">
        <f ca="1">IF(O1532="","",IF(Tipo_Vertedor="Retangular",IF(O1532&lt;=cota_s*100,0,IF(Tipo_Vertedor="Retangular",Cd_sr*Lef_sr*((O1532/100-cota_s)^(3/2))*1000)),IF(O1532&lt;=cota_s*100+fi_s/20,0,(OFFSET('Base de dados'!$A$4,IF(O1532&lt;20,1,IF(O1532&gt;1000,10,MATCH(O1532,Cargas,1))),Coluna_fis,1,1))*(PI()*(fi_s/1000)^2/4)*(2*9.81*(O1532/100-cota_s-fi_s/2/1000))^0.5*1000)))</f>
        <v>6366.5142652031891</v>
      </c>
      <c r="R1532" s="19">
        <f t="shared" ca="1" si="205"/>
        <v>6418.7773675471299</v>
      </c>
      <c r="S1532" s="19">
        <f t="shared" ca="1" si="206"/>
        <v>9142.3704197194293</v>
      </c>
    </row>
    <row r="1533" spans="13:19">
      <c r="M1533" s="81">
        <f t="shared" ca="1" si="203"/>
        <v>15575.279401801785</v>
      </c>
      <c r="N1533" s="19">
        <f t="shared" si="204"/>
        <v>274.47258275961497</v>
      </c>
      <c r="O1533" s="17">
        <f t="shared" si="202"/>
        <v>383</v>
      </c>
      <c r="P1533" s="19">
        <f ca="1">IF(ISERROR(IF(O1533&lt;fi_h/20,0,(OFFSET('Base de dados'!$A$5,IF(O1533&lt;20,1,IF(O1533&gt;1000,10,MATCH(O1533,Cargas,1))),Coluna_fih,1,1))*(1+0.13*0.25)*(PI()*(fi_h/1000)^2/4)*SQRT(2*9.81*(O1533/100-fi_h/2/1000))*1000)),"",IF(O1533&lt;fi_h/20,0,(OFFSET('Base de dados'!$A$5,IF(O1533&lt;20,1,IF(O1533&gt;1000,10,MATCH(O1533,Cargas,1))),Coluna_fih,1,1))*(PI()*(fi_h/1000)^2/4)*SQRT(2*9.81*(O1533/100-fi_h/2/1000))*1000))</f>
        <v>52.280423034002901</v>
      </c>
      <c r="Q1533" s="19">
        <f ca="1">IF(O1533="","",IF(Tipo_Vertedor="Retangular",IF(O1533&lt;=cota_s*100,0,IF(Tipo_Vertedor="Retangular",Cd_sr*Lef_sr*((O1533/100-cota_s)^(3/2))*1000)),IF(O1533&lt;=cota_s*100+fi_s/20,0,(OFFSET('Base de dados'!$A$4,IF(O1533&lt;20,1,IF(O1533&gt;1000,10,MATCH(O1533,Cargas,1))),Coluna_fis,1,1))*(PI()*(fi_s/1000)^2/4)*(2*9.81*(O1533/100-cota_s-fi_s/2/1000))^0.5*1000)))</f>
        <v>6373.9128867806157</v>
      </c>
      <c r="R1533" s="19">
        <f t="shared" ca="1" si="205"/>
        <v>6426.1933098146183</v>
      </c>
      <c r="S1533" s="19">
        <f t="shared" ca="1" si="206"/>
        <v>9149.0860919871666</v>
      </c>
    </row>
    <row r="1534" spans="13:19">
      <c r="M1534" s="81">
        <f t="shared" ca="1" si="203"/>
        <v>15589.414420504954</v>
      </c>
      <c r="N1534" s="19">
        <f t="shared" si="204"/>
        <v>274.67406931084167</v>
      </c>
      <c r="O1534" s="17">
        <f t="shared" si="202"/>
        <v>383.25</v>
      </c>
      <c r="P1534" s="19">
        <f ca="1">IF(ISERROR(IF(O1534&lt;fi_h/20,0,(OFFSET('Base de dados'!$A$5,IF(O1534&lt;20,1,IF(O1534&gt;1000,10,MATCH(O1534,Cargas,1))),Coluna_fih,1,1))*(1+0.13*0.25)*(PI()*(fi_h/1000)^2/4)*SQRT(2*9.81*(O1534/100-fi_h/2/1000))*1000)),"",IF(O1534&lt;fi_h/20,0,(OFFSET('Base de dados'!$A$5,IF(O1534&lt;20,1,IF(O1534&gt;1000,10,MATCH(O1534,Cargas,1))),Coluna_fih,1,1))*(PI()*(fi_h/1000)^2/4)*SQRT(2*9.81*(O1534/100-fi_h/2/1000))*1000))</f>
        <v>52.29773798755874</v>
      </c>
      <c r="Q1534" s="19">
        <f ca="1">IF(O1534="","",IF(Tipo_Vertedor="Retangular",IF(O1534&lt;=cota_s*100,0,IF(Tipo_Vertedor="Retangular",Cd_sr*Lef_sr*((O1534/100-cota_s)^(3/2))*1000)),IF(O1534&lt;=cota_s*100+fi_s/20,0,(OFFSET('Base de dados'!$A$4,IF(O1534&lt;20,1,IF(O1534&gt;1000,10,MATCH(O1534,Cargas,1))),Coluna_fis,1,1))*(PI()*(fi_s/1000)^2/4)*(2*9.81*(O1534/100-cota_s-fi_s/2/1000))^0.5*1000)))</f>
        <v>6381.3143721560073</v>
      </c>
      <c r="R1534" s="19">
        <f t="shared" ca="1" si="205"/>
        <v>6433.6121101435656</v>
      </c>
      <c r="S1534" s="19">
        <f t="shared" ca="1" si="206"/>
        <v>9155.8023103613887</v>
      </c>
    </row>
    <row r="1535" spans="13:19">
      <c r="M1535" s="81">
        <f t="shared" ca="1" si="203"/>
        <v>15603.552841962264</v>
      </c>
      <c r="N1535" s="19">
        <f t="shared" si="204"/>
        <v>274.8755722359071</v>
      </c>
      <c r="O1535" s="17">
        <f t="shared" si="202"/>
        <v>383.5</v>
      </c>
      <c r="P1535" s="19">
        <f ca="1">IF(ISERROR(IF(O1535&lt;fi_h/20,0,(OFFSET('Base de dados'!$A$5,IF(O1535&lt;20,1,IF(O1535&gt;1000,10,MATCH(O1535,Cargas,1))),Coluna_fih,1,1))*(1+0.13*0.25)*(PI()*(fi_h/1000)^2/4)*SQRT(2*9.81*(O1535/100-fi_h/2/1000))*1000)),"",IF(O1535&lt;fi_h/20,0,(OFFSET('Base de dados'!$A$5,IF(O1535&lt;20,1,IF(O1535&gt;1000,10,MATCH(O1535,Cargas,1))),Coluna_fih,1,1))*(PI()*(fi_h/1000)^2/4)*SQRT(2*9.81*(O1535/100-fi_h/2/1000))*1000))</f>
        <v>52.315047210304485</v>
      </c>
      <c r="Q1535" s="19">
        <f ca="1">IF(O1535="","",IF(Tipo_Vertedor="Retangular",IF(O1535&lt;=cota_s*100,0,IF(Tipo_Vertedor="Retangular",Cd_sr*Lef_sr*((O1535/100-cota_s)^(3/2))*1000)),IF(O1535&lt;=cota_s*100+fi_s/20,0,(OFFSET('Base de dados'!$A$4,IF(O1535&lt;20,1,IF(O1535&gt;1000,10,MATCH(O1535,Cargas,1))),Coluna_fis,1,1))*(PI()*(fi_s/1000)^2/4)*(2*9.81*(O1535/100-cota_s-fi_s/2/1000))^0.5*1000)))</f>
        <v>6388.7187202217256</v>
      </c>
      <c r="R1535" s="19">
        <f t="shared" ca="1" si="205"/>
        <v>6441.0337674320299</v>
      </c>
      <c r="S1535" s="19">
        <f t="shared" ca="1" si="206"/>
        <v>9162.5190745302352</v>
      </c>
    </row>
    <row r="1536" spans="13:19">
      <c r="M1536" s="81">
        <f t="shared" ca="1" si="203"/>
        <v>15617.694664761551</v>
      </c>
      <c r="N1536" s="19">
        <f t="shared" si="204"/>
        <v>275.07709152546636</v>
      </c>
      <c r="O1536" s="17">
        <f t="shared" si="202"/>
        <v>383.75</v>
      </c>
      <c r="P1536" s="19">
        <f ca="1">IF(ISERROR(IF(O1536&lt;fi_h/20,0,(OFFSET('Base de dados'!$A$5,IF(O1536&lt;20,1,IF(O1536&gt;1000,10,MATCH(O1536,Cargas,1))),Coluna_fih,1,1))*(1+0.13*0.25)*(PI()*(fi_h/1000)^2/4)*SQRT(2*9.81*(O1536/100-fi_h/2/1000))*1000)),"",IF(O1536&lt;fi_h/20,0,(OFFSET('Base de dados'!$A$5,IF(O1536&lt;20,1,IF(O1536&gt;1000,10,MATCH(O1536,Cargas,1))),Coluna_fih,1,1))*(PI()*(fi_h/1000)^2/4)*SQRT(2*9.81*(O1536/100-fi_h/2/1000))*1000))</f>
        <v>52.332350707926643</v>
      </c>
      <c r="Q1536" s="19">
        <f ca="1">IF(O1536="","",IF(Tipo_Vertedor="Retangular",IF(O1536&lt;=cota_s*100,0,IF(Tipo_Vertedor="Retangular",Cd_sr*Lef_sr*((O1536/100-cota_s)^(3/2))*1000)),IF(O1536&lt;=cota_s*100+fi_s/20,0,(OFFSET('Base de dados'!$A$4,IF(O1536&lt;20,1,IF(O1536&gt;1000,10,MATCH(O1536,Cargas,1))),Coluna_fis,1,1))*(PI()*(fi_s/1000)^2/4)*(2*9.81*(O1536/100-cota_s-fi_s/2/1000))^0.5*1000)))</f>
        <v>6396.1259298714131</v>
      </c>
      <c r="R1536" s="19">
        <f t="shared" ca="1" si="205"/>
        <v>6448.4582805793398</v>
      </c>
      <c r="S1536" s="19">
        <f t="shared" ca="1" si="206"/>
        <v>9169.2363841822116</v>
      </c>
    </row>
    <row r="1537" spans="13:19">
      <c r="M1537" s="81">
        <f t="shared" ca="1" si="203"/>
        <v>15631.839887492319</v>
      </c>
      <c r="N1537" s="19">
        <f t="shared" si="204"/>
        <v>275.27862717018655</v>
      </c>
      <c r="O1537" s="17">
        <f t="shared" si="202"/>
        <v>384</v>
      </c>
      <c r="P1537" s="19">
        <f ca="1">IF(ISERROR(IF(O1537&lt;fi_h/20,0,(OFFSET('Base de dados'!$A$5,IF(O1537&lt;20,1,IF(O1537&gt;1000,10,MATCH(O1537,Cargas,1))),Coluna_fih,1,1))*(1+0.13*0.25)*(PI()*(fi_h/1000)^2/4)*SQRT(2*9.81*(O1537/100-fi_h/2/1000))*1000)),"",IF(O1537&lt;fi_h/20,0,(OFFSET('Base de dados'!$A$5,IF(O1537&lt;20,1,IF(O1537&gt;1000,10,MATCH(O1537,Cargas,1))),Coluna_fih,1,1))*(PI()*(fi_h/1000)^2/4)*SQRT(2*9.81*(O1537/100-fi_h/2/1000))*1000))</f>
        <v>52.349648486102303</v>
      </c>
      <c r="Q1537" s="19">
        <f ca="1">IF(O1537="","",IF(Tipo_Vertedor="Retangular",IF(O1537&lt;=cota_s*100,0,IF(Tipo_Vertedor="Retangular",Cd_sr*Lef_sr*((O1537/100-cota_s)^(3/2))*1000)),IF(O1537&lt;=cota_s*100+fi_s/20,0,(OFFSET('Base de dados'!$A$4,IF(O1537&lt;20,1,IF(O1537&gt;1000,10,MATCH(O1537,Cargas,1))),Coluna_fis,1,1))*(PI()*(fi_s/1000)^2/4)*(2*9.81*(O1537/100-cota_s-fi_s/2/1000))^0.5*1000)))</f>
        <v>6403.5359999999982</v>
      </c>
      <c r="R1537" s="19">
        <f t="shared" ca="1" si="205"/>
        <v>6455.8856484861008</v>
      </c>
      <c r="S1537" s="19">
        <f t="shared" ca="1" si="206"/>
        <v>9175.9542390062179</v>
      </c>
    </row>
    <row r="1538" spans="13:19">
      <c r="M1538" s="81">
        <f t="shared" ca="1" si="203"/>
        <v>15645.988508745711</v>
      </c>
      <c r="N1538" s="19">
        <f t="shared" si="204"/>
        <v>275.48017916074554</v>
      </c>
      <c r="O1538" s="17">
        <f t="shared" si="202"/>
        <v>384.25</v>
      </c>
      <c r="P1538" s="19">
        <f ca="1">IF(ISERROR(IF(O1538&lt;fi_h/20,0,(OFFSET('Base de dados'!$A$5,IF(O1538&lt;20,1,IF(O1538&gt;1000,10,MATCH(O1538,Cargas,1))),Coluna_fih,1,1))*(1+0.13*0.25)*(PI()*(fi_h/1000)^2/4)*SQRT(2*9.81*(O1538/100-fi_h/2/1000))*1000)),"",IF(O1538&lt;fi_h/20,0,(OFFSET('Base de dados'!$A$5,IF(O1538&lt;20,1,IF(O1538&gt;1000,10,MATCH(O1538,Cargas,1))),Coluna_fih,1,1))*(PI()*(fi_h/1000)^2/4)*SQRT(2*9.81*(O1538/100-fi_h/2/1000))*1000))</f>
        <v>52.36694055049918</v>
      </c>
      <c r="Q1538" s="19">
        <f ca="1">IF(O1538="","",IF(Tipo_Vertedor="Retangular",IF(O1538&lt;=cota_s*100,0,IF(Tipo_Vertedor="Retangular",Cd_sr*Lef_sr*((O1538/100-cota_s)^(3/2))*1000)),IF(O1538&lt;=cota_s*100+fi_s/20,0,(OFFSET('Base de dados'!$A$4,IF(O1538&lt;20,1,IF(O1538&gt;1000,10,MATCH(O1538,Cargas,1))),Coluna_fis,1,1))*(PI()*(fi_s/1000)^2/4)*(2*9.81*(O1538/100-cota_s-fi_s/2/1000))^0.5*1000)))</f>
        <v>6410.9489295036947</v>
      </c>
      <c r="R1538" s="19">
        <f t="shared" ca="1" si="205"/>
        <v>6463.3158700541935</v>
      </c>
      <c r="S1538" s="19">
        <f t="shared" ca="1" si="206"/>
        <v>9182.6726386915179</v>
      </c>
    </row>
    <row r="1539" spans="13:19">
      <c r="M1539" s="81">
        <f t="shared" ca="1" si="203"/>
        <v>15660.140527114527</v>
      </c>
      <c r="N1539" s="19">
        <f t="shared" si="204"/>
        <v>275.68174748783309</v>
      </c>
      <c r="O1539" s="17">
        <f t="shared" si="202"/>
        <v>384.5</v>
      </c>
      <c r="P1539" s="19">
        <f ca="1">IF(ISERROR(IF(O1539&lt;fi_h/20,0,(OFFSET('Base de dados'!$A$5,IF(O1539&lt;20,1,IF(O1539&gt;1000,10,MATCH(O1539,Cargas,1))),Coluna_fih,1,1))*(1+0.13*0.25)*(PI()*(fi_h/1000)^2/4)*SQRT(2*9.81*(O1539/100-fi_h/2/1000))*1000)),"",IF(O1539&lt;fi_h/20,0,(OFFSET('Base de dados'!$A$5,IF(O1539&lt;20,1,IF(O1539&gt;1000,10,MATCH(O1539,Cargas,1))),Coluna_fih,1,1))*(PI()*(fi_h/1000)^2/4)*SQRT(2*9.81*(O1539/100-fi_h/2/1000))*1000))</f>
        <v>52.384226906775666</v>
      </c>
      <c r="Q1539" s="19">
        <f ca="1">IF(O1539="","",IF(Tipo_Vertedor="Retangular",IF(O1539&lt;=cota_s*100,0,IF(Tipo_Vertedor="Retangular",Cd_sr*Lef_sr*((O1539/100-cota_s)^(3/2))*1000)),IF(O1539&lt;=cota_s*100+fi_s/20,0,(OFFSET('Base de dados'!$A$4,IF(O1539&lt;20,1,IF(O1539&gt;1000,10,MATCH(O1539,Cargas,1))),Coluna_fis,1,1))*(PI()*(fi_s/1000)^2/4)*(2*9.81*(O1539/100-cota_s-fi_s/2/1000))^0.5*1000)))</f>
        <v>6418.3647172799811</v>
      </c>
      <c r="R1539" s="19">
        <f t="shared" ca="1" si="205"/>
        <v>6470.7489441867565</v>
      </c>
      <c r="S1539" s="19">
        <f t="shared" ca="1" si="206"/>
        <v>9189.3915829277703</v>
      </c>
    </row>
    <row r="1540" spans="13:19">
      <c r="M1540" s="81">
        <f t="shared" ca="1" si="203"/>
        <v>15674.295941193195</v>
      </c>
      <c r="N1540" s="19">
        <f t="shared" si="204"/>
        <v>275.8833321421501</v>
      </c>
      <c r="O1540" s="17">
        <f t="shared" si="202"/>
        <v>384.75</v>
      </c>
      <c r="P1540" s="19">
        <f ca="1">IF(ISERROR(IF(O1540&lt;fi_h/20,0,(OFFSET('Base de dados'!$A$5,IF(O1540&lt;20,1,IF(O1540&gt;1000,10,MATCH(O1540,Cargas,1))),Coluna_fih,1,1))*(1+0.13*0.25)*(PI()*(fi_h/1000)^2/4)*SQRT(2*9.81*(O1540/100-fi_h/2/1000))*1000)),"",IF(O1540&lt;fi_h/20,0,(OFFSET('Base de dados'!$A$5,IF(O1540&lt;20,1,IF(O1540&gt;1000,10,MATCH(O1540,Cargas,1))),Coluna_fih,1,1))*(PI()*(fi_h/1000)^2/4)*SQRT(2*9.81*(O1540/100-fi_h/2/1000))*1000))</f>
        <v>52.401507560580747</v>
      </c>
      <c r="Q1540" s="19">
        <f ca="1">IF(O1540="","",IF(Tipo_Vertedor="Retangular",IF(O1540&lt;=cota_s*100,0,IF(Tipo_Vertedor="Retangular",Cd_sr*Lef_sr*((O1540/100-cota_s)^(3/2))*1000)),IF(O1540&lt;=cota_s*100+fi_s/20,0,(OFFSET('Base de dados'!$A$4,IF(O1540&lt;20,1,IF(O1540&gt;1000,10,MATCH(O1540,Cargas,1))),Coluna_fis,1,1))*(PI()*(fi_s/1000)^2/4)*(2*9.81*(O1540/100-cota_s-fi_s/2/1000))^0.5*1000)))</f>
        <v>6425.7833622276112</v>
      </c>
      <c r="R1540" s="19">
        <f t="shared" ca="1" si="205"/>
        <v>6478.1848697881924</v>
      </c>
      <c r="S1540" s="19">
        <f t="shared" ca="1" si="206"/>
        <v>9196.1110714050028</v>
      </c>
    </row>
    <row r="1541" spans="13:19">
      <c r="M1541" s="81">
        <f t="shared" ca="1" si="203"/>
        <v>15688.454749577799</v>
      </c>
      <c r="N1541" s="19">
        <f t="shared" si="204"/>
        <v>276.08493311440867</v>
      </c>
      <c r="O1541" s="17">
        <f t="shared" si="202"/>
        <v>385</v>
      </c>
      <c r="P1541" s="19">
        <f ca="1">IF(ISERROR(IF(O1541&lt;fi_h/20,0,(OFFSET('Base de dados'!$A$5,IF(O1541&lt;20,1,IF(O1541&gt;1000,10,MATCH(O1541,Cargas,1))),Coluna_fih,1,1))*(1+0.13*0.25)*(PI()*(fi_h/1000)^2/4)*SQRT(2*9.81*(O1541/100-fi_h/2/1000))*1000)),"",IF(O1541&lt;fi_h/20,0,(OFFSET('Base de dados'!$A$5,IF(O1541&lt;20,1,IF(O1541&gt;1000,10,MATCH(O1541,Cargas,1))),Coluna_fih,1,1))*(PI()*(fi_h/1000)^2/4)*SQRT(2*9.81*(O1541/100-fi_h/2/1000))*1000))</f>
        <v>52.418782517554199</v>
      </c>
      <c r="Q1541" s="19">
        <f ca="1">IF(O1541="","",IF(Tipo_Vertedor="Retangular",IF(O1541&lt;=cota_s*100,0,IF(Tipo_Vertedor="Retangular",Cd_sr*Lef_sr*((O1541/100-cota_s)^(3/2))*1000)),IF(O1541&lt;=cota_s*100+fi_s/20,0,(OFFSET('Base de dados'!$A$4,IF(O1541&lt;20,1,IF(O1541&gt;1000,10,MATCH(O1541,Cargas,1))),Coluna_fis,1,1))*(PI()*(fi_s/1000)^2/4)*(2*9.81*(O1541/100-cota_s-fi_s/2/1000))^0.5*1000)))</f>
        <v>6433.2048632466222</v>
      </c>
      <c r="R1541" s="19">
        <f t="shared" ca="1" si="205"/>
        <v>6485.6236457641762</v>
      </c>
      <c r="S1541" s="19">
        <f t="shared" ca="1" si="206"/>
        <v>9202.8311038136235</v>
      </c>
    </row>
    <row r="1542" spans="13:19">
      <c r="M1542" s="81">
        <f t="shared" ca="1" si="203"/>
        <v>15702.616950866055</v>
      </c>
      <c r="N1542" s="19">
        <f t="shared" si="204"/>
        <v>276.28655039533248</v>
      </c>
      <c r="O1542" s="17">
        <f t="shared" si="202"/>
        <v>385.25</v>
      </c>
      <c r="P1542" s="19">
        <f ca="1">IF(ISERROR(IF(O1542&lt;fi_h/20,0,(OFFSET('Base de dados'!$A$5,IF(O1542&lt;20,1,IF(O1542&gt;1000,10,MATCH(O1542,Cargas,1))),Coluna_fih,1,1))*(1+0.13*0.25)*(PI()*(fi_h/1000)^2/4)*SQRT(2*9.81*(O1542/100-fi_h/2/1000))*1000)),"",IF(O1542&lt;fi_h/20,0,(OFFSET('Base de dados'!$A$5,IF(O1542&lt;20,1,IF(O1542&gt;1000,10,MATCH(O1542,Cargas,1))),Coluna_fih,1,1))*(PI()*(fi_h/1000)^2/4)*SQRT(2*9.81*(O1542/100-fi_h/2/1000))*1000))</f>
        <v>52.436051783326398</v>
      </c>
      <c r="Q1542" s="19">
        <f ca="1">IF(O1542="","",IF(Tipo_Vertedor="Retangular",IF(O1542&lt;=cota_s*100,0,IF(Tipo_Vertedor="Retangular",Cd_sr*Lef_sr*((O1542/100-cota_s)^(3/2))*1000)),IF(O1542&lt;=cota_s*100+fi_s/20,0,(OFFSET('Base de dados'!$A$4,IF(O1542&lt;20,1,IF(O1542&gt;1000,10,MATCH(O1542,Cargas,1))),Coluna_fis,1,1))*(PI()*(fi_s/1000)^2/4)*(2*9.81*(O1542/100-cota_s-fi_s/2/1000))^0.5*1000)))</f>
        <v>6440.6292192383116</v>
      </c>
      <c r="R1542" s="19">
        <f t="shared" ca="1" si="205"/>
        <v>6493.0652710216382</v>
      </c>
      <c r="S1542" s="19">
        <f t="shared" ca="1" si="206"/>
        <v>9209.5516798444169</v>
      </c>
    </row>
    <row r="1543" spans="13:19">
      <c r="M1543" s="81">
        <f t="shared" ca="1" si="203"/>
        <v>15716.782543657315</v>
      </c>
      <c r="N1543" s="19">
        <f t="shared" si="204"/>
        <v>276.48818397565645</v>
      </c>
      <c r="O1543" s="17">
        <f t="shared" si="202"/>
        <v>385.5</v>
      </c>
      <c r="P1543" s="19">
        <f ca="1">IF(ISERROR(IF(O1543&lt;fi_h/20,0,(OFFSET('Base de dados'!$A$5,IF(O1543&lt;20,1,IF(O1543&gt;1000,10,MATCH(O1543,Cargas,1))),Coluna_fih,1,1))*(1+0.13*0.25)*(PI()*(fi_h/1000)^2/4)*SQRT(2*9.81*(O1543/100-fi_h/2/1000))*1000)),"",IF(O1543&lt;fi_h/20,0,(OFFSET('Base de dados'!$A$5,IF(O1543&lt;20,1,IF(O1543&gt;1000,10,MATCH(O1543,Cargas,1))),Coluna_fih,1,1))*(PI()*(fi_h/1000)^2/4)*SQRT(2*9.81*(O1543/100-fi_h/2/1000))*1000))</f>
        <v>52.453315363518549</v>
      </c>
      <c r="Q1543" s="19">
        <f ca="1">IF(O1543="","",IF(Tipo_Vertedor="Retangular",IF(O1543&lt;=cota_s*100,0,IF(Tipo_Vertedor="Retangular",Cd_sr*Lef_sr*((O1543/100-cota_s)^(3/2))*1000)),IF(O1543&lt;=cota_s*100+fi_s/20,0,(OFFSET('Base de dados'!$A$4,IF(O1543&lt;20,1,IF(O1543&gt;1000,10,MATCH(O1543,Cargas,1))),Coluna_fis,1,1))*(PI()*(fi_s/1000)^2/4)*(2*9.81*(O1543/100-cota_s-fi_s/2/1000))^0.5*1000)))</f>
        <v>6448.056429105246</v>
      </c>
      <c r="R1543" s="19">
        <f t="shared" ca="1" si="205"/>
        <v>6500.5097444687644</v>
      </c>
      <c r="S1543" s="19">
        <f t="shared" ca="1" si="206"/>
        <v>9216.2727991885495</v>
      </c>
    </row>
    <row r="1544" spans="13:19">
      <c r="M1544" s="81">
        <f t="shared" ca="1" si="203"/>
        <v>15730.951526552541</v>
      </c>
      <c r="N1544" s="19">
        <f t="shared" si="204"/>
        <v>276.68983384612636</v>
      </c>
      <c r="O1544" s="17">
        <f t="shared" si="202"/>
        <v>385.75</v>
      </c>
      <c r="P1544" s="19">
        <f ca="1">IF(ISERROR(IF(O1544&lt;fi_h/20,0,(OFFSET('Base de dados'!$A$5,IF(O1544&lt;20,1,IF(O1544&gt;1000,10,MATCH(O1544,Cargas,1))),Coluna_fih,1,1))*(1+0.13*0.25)*(PI()*(fi_h/1000)^2/4)*SQRT(2*9.81*(O1544/100-fi_h/2/1000))*1000)),"",IF(O1544&lt;fi_h/20,0,(OFFSET('Base de dados'!$A$5,IF(O1544&lt;20,1,IF(O1544&gt;1000,10,MATCH(O1544,Cargas,1))),Coluna_fih,1,1))*(PI()*(fi_h/1000)^2/4)*SQRT(2*9.81*(O1544/100-fi_h/2/1000))*1000))</f>
        <v>52.470573263742551</v>
      </c>
      <c r="Q1544" s="19">
        <f ca="1">IF(O1544="","",IF(Tipo_Vertedor="Retangular",IF(O1544&lt;=cota_s*100,0,IF(Tipo_Vertedor="Retangular",Cd_sr*Lef_sr*((O1544/100-cota_s)^(3/2))*1000)),IF(O1544&lt;=cota_s*100+fi_s/20,0,(OFFSET('Base de dados'!$A$4,IF(O1544&lt;20,1,IF(O1544&gt;1000,10,MATCH(O1544,Cargas,1))),Coluna_fis,1,1))*(PI()*(fi_s/1000)^2/4)*(2*9.81*(O1544/100-cota_s-fi_s/2/1000))^0.5*1000)))</f>
        <v>6455.486491751255</v>
      </c>
      <c r="R1544" s="19">
        <f t="shared" ca="1" si="205"/>
        <v>6507.9570650149972</v>
      </c>
      <c r="S1544" s="19">
        <f t="shared" ca="1" si="206"/>
        <v>9222.9944615375443</v>
      </c>
    </row>
    <row r="1545" spans="13:19">
      <c r="M1545" s="81">
        <f t="shared" ca="1" si="203"/>
        <v>15745.123898154368</v>
      </c>
      <c r="N1545" s="19">
        <f t="shared" si="204"/>
        <v>276.89149999750003</v>
      </c>
      <c r="O1545" s="17">
        <f t="shared" si="202"/>
        <v>386</v>
      </c>
      <c r="P1545" s="19">
        <f ca="1">IF(ISERROR(IF(O1545&lt;fi_h/20,0,(OFFSET('Base de dados'!$A$5,IF(O1545&lt;20,1,IF(O1545&gt;1000,10,MATCH(O1545,Cargas,1))),Coluna_fih,1,1))*(1+0.13*0.25)*(PI()*(fi_h/1000)^2/4)*SQRT(2*9.81*(O1545/100-fi_h/2/1000))*1000)),"",IF(O1545&lt;fi_h/20,0,(OFFSET('Base de dados'!$A$5,IF(O1545&lt;20,1,IF(O1545&gt;1000,10,MATCH(O1545,Cargas,1))),Coluna_fih,1,1))*(PI()*(fi_h/1000)^2/4)*SQRT(2*9.81*(O1545/100-fi_h/2/1000))*1000))</f>
        <v>52.487825489601079</v>
      </c>
      <c r="Q1545" s="19">
        <f ca="1">IF(O1545="","",IF(Tipo_Vertedor="Retangular",IF(O1545&lt;=cota_s*100,0,IF(Tipo_Vertedor="Retangular",Cd_sr*Lef_sr*((O1545/100-cota_s)^(3/2))*1000)),IF(O1545&lt;=cota_s*100+fi_s/20,0,(OFFSET('Base de dados'!$A$4,IF(O1545&lt;20,1,IF(O1545&gt;1000,10,MATCH(O1545,Cargas,1))),Coluna_fis,1,1))*(PI()*(fi_s/1000)^2/4)*(2*9.81*(O1545/100-cota_s-fi_s/2/1000))^0.5*1000)))</f>
        <v>6462.9194060814343</v>
      </c>
      <c r="R1545" s="19">
        <f t="shared" ca="1" si="205"/>
        <v>6515.4072315710355</v>
      </c>
      <c r="S1545" s="19">
        <f t="shared" ca="1" si="206"/>
        <v>9229.7166665833338</v>
      </c>
    </row>
    <row r="1546" spans="13:19">
      <c r="M1546" s="81">
        <f t="shared" ca="1" si="203"/>
        <v>15759.299657067013</v>
      </c>
      <c r="N1546" s="19">
        <f t="shared" si="204"/>
        <v>277.09318242054576</v>
      </c>
      <c r="O1546" s="17">
        <f t="shared" si="202"/>
        <v>386.25</v>
      </c>
      <c r="P1546" s="19">
        <f ca="1">IF(ISERROR(IF(O1546&lt;fi_h/20,0,(OFFSET('Base de dados'!$A$5,IF(O1546&lt;20,1,IF(O1546&gt;1000,10,MATCH(O1546,Cargas,1))),Coluna_fih,1,1))*(1+0.13*0.25)*(PI()*(fi_h/1000)^2/4)*SQRT(2*9.81*(O1546/100-fi_h/2/1000))*1000)),"",IF(O1546&lt;fi_h/20,0,(OFFSET('Base de dados'!$A$5,IF(O1546&lt;20,1,IF(O1546&gt;1000,10,MATCH(O1546,Cargas,1))),Coluna_fih,1,1))*(PI()*(fi_h/1000)^2/4)*SQRT(2*9.81*(O1546/100-fi_h/2/1000))*1000))</f>
        <v>52.505072046687637</v>
      </c>
      <c r="Q1546" s="19">
        <f ca="1">IF(O1546="","",IF(Tipo_Vertedor="Retangular",IF(O1546&lt;=cota_s*100,0,IF(Tipo_Vertedor="Retangular",Cd_sr*Lef_sr*((O1546/100-cota_s)^(3/2))*1000)),IF(O1546&lt;=cota_s*100+fi_s/20,0,(OFFSET('Base de dados'!$A$4,IF(O1546&lt;20,1,IF(O1546&gt;1000,10,MATCH(O1546,Cargas,1))),Coluna_fis,1,1))*(PI()*(fi_s/1000)^2/4)*(2*9.81*(O1546/100-cota_s-fi_s/2/1000))^0.5*1000)))</f>
        <v>6470.3551710021329</v>
      </c>
      <c r="R1546" s="19">
        <f t="shared" ca="1" si="205"/>
        <v>6522.8602430488208</v>
      </c>
      <c r="S1546" s="19">
        <f t="shared" ca="1" si="206"/>
        <v>9236.4394140181921</v>
      </c>
    </row>
    <row r="1547" spans="13:19">
      <c r="M1547" s="81">
        <f t="shared" ca="1" si="203"/>
        <v>15773.478801896337</v>
      </c>
      <c r="N1547" s="19">
        <f t="shared" si="204"/>
        <v>277.29488110604342</v>
      </c>
      <c r="O1547" s="17">
        <f t="shared" si="202"/>
        <v>386.5</v>
      </c>
      <c r="P1547" s="19">
        <f ca="1">IF(ISERROR(IF(O1547&lt;fi_h/20,0,(OFFSET('Base de dados'!$A$5,IF(O1547&lt;20,1,IF(O1547&gt;1000,10,MATCH(O1547,Cargas,1))),Coluna_fih,1,1))*(1+0.13*0.25)*(PI()*(fi_h/1000)^2/4)*SQRT(2*9.81*(O1547/100-fi_h/2/1000))*1000)),"",IF(O1547&lt;fi_h/20,0,(OFFSET('Base de dados'!$A$5,IF(O1547&lt;20,1,IF(O1547&gt;1000,10,MATCH(O1547,Cargas,1))),Coluna_fih,1,1))*(PI()*(fi_h/1000)^2/4)*SQRT(2*9.81*(O1547/100-fi_h/2/1000))*1000))</f>
        <v>52.522312940586524</v>
      </c>
      <c r="Q1547" s="19">
        <f ca="1">IF(O1547="","",IF(Tipo_Vertedor="Retangular",IF(O1547&lt;=cota_s*100,0,IF(Tipo_Vertedor="Retangular",Cd_sr*Lef_sr*((O1547/100-cota_s)^(3/2))*1000)),IF(O1547&lt;=cota_s*100+fi_s/20,0,(OFFSET('Base de dados'!$A$4,IF(O1547&lt;20,1,IF(O1547&gt;1000,10,MATCH(O1547,Cargas,1))),Coluna_fis,1,1))*(PI()*(fi_s/1000)^2/4)*(2*9.81*(O1547/100-cota_s-fi_s/2/1000))^0.5*1000)))</f>
        <v>6477.7937854209686</v>
      </c>
      <c r="R1547" s="19">
        <f t="shared" ca="1" si="205"/>
        <v>6530.3160983615553</v>
      </c>
      <c r="S1547" s="19">
        <f t="shared" ca="1" si="206"/>
        <v>9243.162703534781</v>
      </c>
    </row>
    <row r="1548" spans="13:19">
      <c r="M1548" s="81">
        <f t="shared" ca="1" si="203"/>
        <v>15787.661331249805</v>
      </c>
      <c r="N1548" s="19">
        <f t="shared" si="204"/>
        <v>277.49659604478398</v>
      </c>
      <c r="O1548" s="17">
        <f t="shared" si="202"/>
        <v>386.75</v>
      </c>
      <c r="P1548" s="19">
        <f ca="1">IF(ISERROR(IF(O1548&lt;fi_h/20,0,(OFFSET('Base de dados'!$A$5,IF(O1548&lt;20,1,IF(O1548&gt;1000,10,MATCH(O1548,Cargas,1))),Coluna_fih,1,1))*(1+0.13*0.25)*(PI()*(fi_h/1000)^2/4)*SQRT(2*9.81*(O1548/100-fi_h/2/1000))*1000)),"",IF(O1548&lt;fi_h/20,0,(OFFSET('Base de dados'!$A$5,IF(O1548&lt;20,1,IF(O1548&gt;1000,10,MATCH(O1548,Cargas,1))),Coluna_fih,1,1))*(PI()*(fi_h/1000)^2/4)*SQRT(2*9.81*(O1548/100-fi_h/2/1000))*1000))</f>
        <v>52.539548176872877</v>
      </c>
      <c r="Q1548" s="19">
        <f ca="1">IF(O1548="","",IF(Tipo_Vertedor="Retangular",IF(O1548&lt;=cota_s*100,0,IF(Tipo_Vertedor="Retangular",Cd_sr*Lef_sr*((O1548/100-cota_s)^(3/2))*1000)),IF(O1548&lt;=cota_s*100+fi_s/20,0,(OFFSET('Base de dados'!$A$4,IF(O1548&lt;20,1,IF(O1548&gt;1000,10,MATCH(O1548,Cargas,1))),Coluna_fis,1,1))*(PI()*(fi_s/1000)^2/4)*(2*9.81*(O1548/100-cota_s-fi_s/2/1000))^0.5*1000)))</f>
        <v>6485.2352482467977</v>
      </c>
      <c r="R1548" s="19">
        <f t="shared" ca="1" si="205"/>
        <v>6537.7747964236705</v>
      </c>
      <c r="S1548" s="19">
        <f t="shared" ca="1" si="206"/>
        <v>9249.8865348261334</v>
      </c>
    </row>
    <row r="1549" spans="13:19">
      <c r="M1549" s="81">
        <f t="shared" ca="1" si="203"/>
        <v>15801.847243736505</v>
      </c>
      <c r="N1549" s="19">
        <f t="shared" si="204"/>
        <v>277.69832722756962</v>
      </c>
      <c r="O1549" s="17">
        <f t="shared" si="202"/>
        <v>387</v>
      </c>
      <c r="P1549" s="19">
        <f ca="1">IF(ISERROR(IF(O1549&lt;fi_h/20,0,(OFFSET('Base de dados'!$A$5,IF(O1549&lt;20,1,IF(O1549&gt;1000,10,MATCH(O1549,Cargas,1))),Coluna_fih,1,1))*(1+0.13*0.25)*(PI()*(fi_h/1000)^2/4)*SQRT(2*9.81*(O1549/100-fi_h/2/1000))*1000)),"",IF(O1549&lt;fi_h/20,0,(OFFSET('Base de dados'!$A$5,IF(O1549&lt;20,1,IF(O1549&gt;1000,10,MATCH(O1549,Cargas,1))),Coluna_fih,1,1))*(PI()*(fi_h/1000)^2/4)*SQRT(2*9.81*(O1549/100-fi_h/2/1000))*1000))</f>
        <v>52.556777761112684</v>
      </c>
      <c r="Q1549" s="19">
        <f ca="1">IF(O1549="","",IF(Tipo_Vertedor="Retangular",IF(O1549&lt;=cota_s*100,0,IF(Tipo_Vertedor="Retangular",Cd_sr*Lef_sr*((O1549/100-cota_s)^(3/2))*1000)),IF(O1549&lt;=cota_s*100+fi_s/20,0,(OFFSET('Base de dados'!$A$4,IF(O1549&lt;20,1,IF(O1549&gt;1000,10,MATCH(O1549,Cargas,1))),Coluna_fis,1,1))*(PI()*(fi_s/1000)^2/4)*(2*9.81*(O1549/100-cota_s-fi_s/2/1000))^0.5*1000)))</f>
        <v>6492.679558389741</v>
      </c>
      <c r="R1549" s="19">
        <f t="shared" ca="1" si="205"/>
        <v>6545.2363361508533</v>
      </c>
      <c r="S1549" s="19">
        <f t="shared" ca="1" si="206"/>
        <v>9256.610907585653</v>
      </c>
    </row>
    <row r="1550" spans="13:19">
      <c r="M1550" s="81">
        <f t="shared" ca="1" si="203"/>
        <v>15816.036537967149</v>
      </c>
      <c r="N1550" s="19">
        <f t="shared" si="204"/>
        <v>277.90007464521352</v>
      </c>
      <c r="O1550" s="17">
        <f t="shared" si="202"/>
        <v>387.25</v>
      </c>
      <c r="P1550" s="19">
        <f ca="1">IF(ISERROR(IF(O1550&lt;fi_h/20,0,(OFFSET('Base de dados'!$A$5,IF(O1550&lt;20,1,IF(O1550&gt;1000,10,MATCH(O1550,Cargas,1))),Coluna_fih,1,1))*(1+0.13*0.25)*(PI()*(fi_h/1000)^2/4)*SQRT(2*9.81*(O1550/100-fi_h/2/1000))*1000)),"",IF(O1550&lt;fi_h/20,0,(OFFSET('Base de dados'!$A$5,IF(O1550&lt;20,1,IF(O1550&gt;1000,10,MATCH(O1550,Cargas,1))),Coluna_fih,1,1))*(PI()*(fi_h/1000)^2/4)*SQRT(2*9.81*(O1550/100-fi_h/2/1000))*1000))</f>
        <v>52.57400169886283</v>
      </c>
      <c r="Q1550" s="19">
        <f ca="1">IF(O1550="","",IF(Tipo_Vertedor="Retangular",IF(O1550&lt;=cota_s*100,0,IF(Tipo_Vertedor="Retangular",Cd_sr*Lef_sr*((O1550/100-cota_s)^(3/2))*1000)),IF(O1550&lt;=cota_s*100+fi_s/20,0,(OFFSET('Base de dados'!$A$4,IF(O1550&lt;20,1,IF(O1550&gt;1000,10,MATCH(O1550,Cargas,1))),Coluna_fis,1,1))*(PI()*(fi_s/1000)^2/4)*(2*9.81*(O1550/100-cota_s-fi_s/2/1000))^0.5*1000)))</f>
        <v>6500.1267147611679</v>
      </c>
      <c r="R1550" s="19">
        <f t="shared" ca="1" si="205"/>
        <v>6552.7007164600309</v>
      </c>
      <c r="S1550" s="19">
        <f t="shared" ca="1" si="206"/>
        <v>9263.3358215071185</v>
      </c>
    </row>
    <row r="1551" spans="13:19">
      <c r="M1551" s="81">
        <f t="shared" ca="1" si="203"/>
        <v>15830.229212554041</v>
      </c>
      <c r="N1551" s="19">
        <f t="shared" si="204"/>
        <v>278.10183828854031</v>
      </c>
      <c r="O1551" s="17">
        <f t="shared" si="202"/>
        <v>387.5</v>
      </c>
      <c r="P1551" s="19">
        <f ca="1">IF(ISERROR(IF(O1551&lt;fi_h/20,0,(OFFSET('Base de dados'!$A$5,IF(O1551&lt;20,1,IF(O1551&gt;1000,10,MATCH(O1551,Cargas,1))),Coluna_fih,1,1))*(1+0.13*0.25)*(PI()*(fi_h/1000)^2/4)*SQRT(2*9.81*(O1551/100-fi_h/2/1000))*1000)),"",IF(O1551&lt;fi_h/20,0,(OFFSET('Base de dados'!$A$5,IF(O1551&lt;20,1,IF(O1551&gt;1000,10,MATCH(O1551,Cargas,1))),Coluna_fih,1,1))*(PI()*(fi_h/1000)^2/4)*SQRT(2*9.81*(O1551/100-fi_h/2/1000))*1000))</f>
        <v>52.591219995671096</v>
      </c>
      <c r="Q1551" s="19">
        <f ca="1">IF(O1551="","",IF(Tipo_Vertedor="Retangular",IF(O1551&lt;=cota_s*100,0,IF(Tipo_Vertedor="Retangular",Cd_sr*Lef_sr*((O1551/100-cota_s)^(3/2))*1000)),IF(O1551&lt;=cota_s*100+fi_s/20,0,(OFFSET('Base de dados'!$A$4,IF(O1551&lt;20,1,IF(O1551&gt;1000,10,MATCH(O1551,Cargas,1))),Coluna_fis,1,1))*(PI()*(fi_s/1000)^2/4)*(2*9.81*(O1551/100-cota_s-fi_s/2/1000))^0.5*1000)))</f>
        <v>6507.576716273692</v>
      </c>
      <c r="R1551" s="19">
        <f t="shared" ca="1" si="205"/>
        <v>6560.1679362693631</v>
      </c>
      <c r="S1551" s="19">
        <f t="shared" ca="1" si="206"/>
        <v>9270.0612762846777</v>
      </c>
    </row>
    <row r="1552" spans="13:19">
      <c r="M1552" s="81">
        <f t="shared" ca="1" si="203"/>
        <v>15844.425266111095</v>
      </c>
      <c r="N1552" s="19">
        <f t="shared" si="204"/>
        <v>278.30361814838523</v>
      </c>
      <c r="O1552" s="17">
        <f t="shared" si="202"/>
        <v>387.75</v>
      </c>
      <c r="P1552" s="19">
        <f ca="1">IF(ISERROR(IF(O1552&lt;fi_h/20,0,(OFFSET('Base de dados'!$A$5,IF(O1552&lt;20,1,IF(O1552&gt;1000,10,MATCH(O1552,Cargas,1))),Coluna_fih,1,1))*(1+0.13*0.25)*(PI()*(fi_h/1000)^2/4)*SQRT(2*9.81*(O1552/100-fi_h/2/1000))*1000)),"",IF(O1552&lt;fi_h/20,0,(OFFSET('Base de dados'!$A$5,IF(O1552&lt;20,1,IF(O1552&gt;1000,10,MATCH(O1552,Cargas,1))),Coluna_fih,1,1))*(PI()*(fi_h/1000)^2/4)*SQRT(2*9.81*(O1552/100-fi_h/2/1000))*1000))</f>
        <v>52.608432657076158</v>
      </c>
      <c r="Q1552" s="19">
        <f ca="1">IF(O1552="","",IF(Tipo_Vertedor="Retangular",IF(O1552&lt;=cota_s*100,0,IF(Tipo_Vertedor="Retangular",Cd_sr*Lef_sr*((O1552/100-cota_s)^(3/2))*1000)),IF(O1552&lt;=cota_s*100+fi_s/20,0,(OFFSET('Base de dados'!$A$4,IF(O1552&lt;20,1,IF(O1552&gt;1000,10,MATCH(O1552,Cargas,1))),Coluna_fis,1,1))*(PI()*(fi_s/1000)^2/4)*(2*9.81*(O1552/100-cota_s-fi_s/2/1000))^0.5*1000)))</f>
        <v>6515.0295618411774</v>
      </c>
      <c r="R1552" s="19">
        <f t="shared" ca="1" si="205"/>
        <v>6567.6379944982536</v>
      </c>
      <c r="S1552" s="19">
        <f t="shared" ca="1" si="206"/>
        <v>9276.7872716128404</v>
      </c>
    </row>
    <row r="1553" spans="13:19">
      <c r="M1553" s="81">
        <f t="shared" ca="1" si="203"/>
        <v>15858.624697253836</v>
      </c>
      <c r="N1553" s="19">
        <f t="shared" si="204"/>
        <v>278.50541421559518</v>
      </c>
      <c r="O1553" s="17">
        <f t="shared" si="202"/>
        <v>388</v>
      </c>
      <c r="P1553" s="19">
        <f ca="1">IF(ISERROR(IF(O1553&lt;fi_h/20,0,(OFFSET('Base de dados'!$A$5,IF(O1553&lt;20,1,IF(O1553&gt;1000,10,MATCH(O1553,Cargas,1))),Coluna_fih,1,1))*(1+0.13*0.25)*(PI()*(fi_h/1000)^2/4)*SQRT(2*9.81*(O1553/100-fi_h/2/1000))*1000)),"",IF(O1553&lt;fi_h/20,0,(OFFSET('Base de dados'!$A$5,IF(O1553&lt;20,1,IF(O1553&gt;1000,10,MATCH(O1553,Cargas,1))),Coluna_fih,1,1))*(PI()*(fi_h/1000)^2/4)*SQRT(2*9.81*(O1553/100-fi_h/2/1000))*1000))</f>
        <v>52.625639688607684</v>
      </c>
      <c r="Q1553" s="19">
        <f ca="1">IF(O1553="","",IF(Tipo_Vertedor="Retangular",IF(O1553&lt;=cota_s*100,0,IF(Tipo_Vertedor="Retangular",Cd_sr*Lef_sr*((O1553/100-cota_s)^(3/2))*1000)),IF(O1553&lt;=cota_s*100+fi_s/20,0,(OFFSET('Base de dados'!$A$4,IF(O1553&lt;20,1,IF(O1553&gt;1000,10,MATCH(O1553,Cargas,1))),Coluna_fis,1,1))*(PI()*(fi_s/1000)^2/4)*(2*9.81*(O1553/100-cota_s-fi_s/2/1000))^0.5*1000)))</f>
        <v>6522.4852503787233</v>
      </c>
      <c r="R1553" s="19">
        <f t="shared" ca="1" si="205"/>
        <v>6575.1108900673307</v>
      </c>
      <c r="S1553" s="19">
        <f t="shared" ca="1" si="206"/>
        <v>9283.5138071865058</v>
      </c>
    </row>
    <row r="1554" spans="13:19">
      <c r="M1554" s="81">
        <f t="shared" ca="1" si="203"/>
        <v>15872.827504599381</v>
      </c>
      <c r="N1554" s="19">
        <f t="shared" si="204"/>
        <v>278.70722648102759</v>
      </c>
      <c r="O1554" s="17">
        <f t="shared" si="202"/>
        <v>388.25</v>
      </c>
      <c r="P1554" s="19">
        <f ca="1">IF(ISERROR(IF(O1554&lt;fi_h/20,0,(OFFSET('Base de dados'!$A$5,IF(O1554&lt;20,1,IF(O1554&gt;1000,10,MATCH(O1554,Cargas,1))),Coluna_fih,1,1))*(1+0.13*0.25)*(PI()*(fi_h/1000)^2/4)*SQRT(2*9.81*(O1554/100-fi_h/2/1000))*1000)),"",IF(O1554&lt;fi_h/20,0,(OFFSET('Base de dados'!$A$5,IF(O1554&lt;20,1,IF(O1554&gt;1000,10,MATCH(O1554,Cargas,1))),Coluna_fih,1,1))*(PI()*(fi_h/1000)^2/4)*SQRT(2*9.81*(O1554/100-fi_h/2/1000))*1000))</f>
        <v>52.642841095786274</v>
      </c>
      <c r="Q1554" s="19">
        <f ca="1">IF(O1554="","",IF(Tipo_Vertedor="Retangular",IF(O1554&lt;=cota_s*100,0,IF(Tipo_Vertedor="Retangular",Cd_sr*Lef_sr*((O1554/100-cota_s)^(3/2))*1000)),IF(O1554&lt;=cota_s*100+fi_s/20,0,(OFFSET('Base de dados'!$A$4,IF(O1554&lt;20,1,IF(O1554&gt;1000,10,MATCH(O1554,Cargas,1))),Coluna_fis,1,1))*(PI()*(fi_s/1000)^2/4)*(2*9.81*(O1554/100-cota_s-fi_s/2/1000))^0.5*1000)))</f>
        <v>6529.9437808026751</v>
      </c>
      <c r="R1554" s="19">
        <f t="shared" ca="1" si="205"/>
        <v>6582.5866218984611</v>
      </c>
      <c r="S1554" s="19">
        <f t="shared" ca="1" si="206"/>
        <v>9290.2408827009203</v>
      </c>
    </row>
    <row r="1555" spans="13:19">
      <c r="M1555" s="81">
        <f t="shared" ca="1" si="203"/>
        <v>15887.033686766452</v>
      </c>
      <c r="N1555" s="19">
        <f t="shared" si="204"/>
        <v>278.90905493555118</v>
      </c>
      <c r="O1555" s="17">
        <f t="shared" ref="O1555:O1618" si="207">IF(ISERROR(IF(O1554+passo_altura&gt;h_max_puls*100,"",O1554+passo_altura)),"",IF(O1554+passo_altura&gt;h_max_puls*100,"",O1554+passo_altura))</f>
        <v>388.5</v>
      </c>
      <c r="P1555" s="19">
        <f ca="1">IF(ISERROR(IF(O1555&lt;fi_h/20,0,(OFFSET('Base de dados'!$A$5,IF(O1555&lt;20,1,IF(O1555&gt;1000,10,MATCH(O1555,Cargas,1))),Coluna_fih,1,1))*(1+0.13*0.25)*(PI()*(fi_h/1000)^2/4)*SQRT(2*9.81*(O1555/100-fi_h/2/1000))*1000)),"",IF(O1555&lt;fi_h/20,0,(OFFSET('Base de dados'!$A$5,IF(O1555&lt;20,1,IF(O1555&gt;1000,10,MATCH(O1555,Cargas,1))),Coluna_fih,1,1))*(PI()*(fi_h/1000)^2/4)*SQRT(2*9.81*(O1555/100-fi_h/2/1000))*1000))</f>
        <v>52.6600368841235</v>
      </c>
      <c r="Q1555" s="19">
        <f ca="1">IF(O1555="","",IF(Tipo_Vertedor="Retangular",IF(O1555&lt;=cota_s*100,0,IF(Tipo_Vertedor="Retangular",Cd_sr*Lef_sr*((O1555/100-cota_s)^(3/2))*1000)),IF(O1555&lt;=cota_s*100+fi_s/20,0,(OFFSET('Base de dados'!$A$4,IF(O1555&lt;20,1,IF(O1555&gt;1000,10,MATCH(O1555,Cargas,1))),Coluna_fis,1,1))*(PI()*(fi_s/1000)^2/4)*(2*9.81*(O1555/100-cota_s-fi_s/2/1000))^0.5*1000)))</f>
        <v>6537.4051520306202</v>
      </c>
      <c r="R1555" s="19">
        <f t="shared" ca="1" si="205"/>
        <v>6590.0651889147439</v>
      </c>
      <c r="S1555" s="19">
        <f t="shared" ca="1" si="206"/>
        <v>9296.9684978517071</v>
      </c>
    </row>
    <row r="1556" spans="13:19">
      <c r="M1556" s="81">
        <f t="shared" ca="1" si="203"/>
        <v>15901.243242375353</v>
      </c>
      <c r="N1556" s="19">
        <f t="shared" si="204"/>
        <v>279.11089957004577</v>
      </c>
      <c r="O1556" s="17">
        <f t="shared" si="207"/>
        <v>388.75</v>
      </c>
      <c r="P1556" s="19">
        <f ca="1">IF(ISERROR(IF(O1556&lt;fi_h/20,0,(OFFSET('Base de dados'!$A$5,IF(O1556&lt;20,1,IF(O1556&gt;1000,10,MATCH(O1556,Cargas,1))),Coluna_fih,1,1))*(1+0.13*0.25)*(PI()*(fi_h/1000)^2/4)*SQRT(2*9.81*(O1556/100-fi_h/2/1000))*1000)),"",IF(O1556&lt;fi_h/20,0,(OFFSET('Base de dados'!$A$5,IF(O1556&lt;20,1,IF(O1556&gt;1000,10,MATCH(O1556,Cargas,1))),Coluna_fih,1,1))*(PI()*(fi_h/1000)^2/4)*SQRT(2*9.81*(O1556/100-fi_h/2/1000))*1000))</f>
        <v>52.677227059121954</v>
      </c>
      <c r="Q1556" s="19">
        <f ca="1">IF(O1556="","",IF(Tipo_Vertedor="Retangular",IF(O1556&lt;=cota_s*100,0,IF(Tipo_Vertedor="Retangular",Cd_sr*Lef_sr*((O1556/100-cota_s)^(3/2))*1000)),IF(O1556&lt;=cota_s*100+fi_s/20,0,(OFFSET('Base de dados'!$A$4,IF(O1556&lt;20,1,IF(O1556&gt;1000,10,MATCH(O1556,Cargas,1))),Coluna_fis,1,1))*(PI()*(fi_s/1000)^2/4)*(2*9.81*(O1556/100-cota_s-fi_s/2/1000))^0.5*1000)))</f>
        <v>6544.8693629813724</v>
      </c>
      <c r="R1556" s="19">
        <f t="shared" ca="1" si="205"/>
        <v>6597.5465900404943</v>
      </c>
      <c r="S1556" s="19">
        <f t="shared" ca="1" si="206"/>
        <v>9303.6966523348583</v>
      </c>
    </row>
    <row r="1557" spans="13:19">
      <c r="M1557" s="81">
        <f t="shared" ca="1" si="203"/>
        <v>15915.456170047995</v>
      </c>
      <c r="N1557" s="19">
        <f t="shared" si="204"/>
        <v>279.31276037540209</v>
      </c>
      <c r="O1557" s="17">
        <f t="shared" si="207"/>
        <v>389</v>
      </c>
      <c r="P1557" s="19">
        <f ca="1">IF(ISERROR(IF(O1557&lt;fi_h/20,0,(OFFSET('Base de dados'!$A$5,IF(O1557&lt;20,1,IF(O1557&gt;1000,10,MATCH(O1557,Cargas,1))),Coluna_fih,1,1))*(1+0.13*0.25)*(PI()*(fi_h/1000)^2/4)*SQRT(2*9.81*(O1557/100-fi_h/2/1000))*1000)),"",IF(O1557&lt;fi_h/20,0,(OFFSET('Base de dados'!$A$5,IF(O1557&lt;20,1,IF(O1557&gt;1000,10,MATCH(O1557,Cargas,1))),Coluna_fih,1,1))*(PI()*(fi_h/1000)^2/4)*SQRT(2*9.81*(O1557/100-fi_h/2/1000))*1000))</f>
        <v>52.694411626275254</v>
      </c>
      <c r="Q1557" s="19">
        <f ca="1">IF(O1557="","",IF(Tipo_Vertedor="Retangular",IF(O1557&lt;=cota_s*100,0,IF(Tipo_Vertedor="Retangular",Cd_sr*Lef_sr*((O1557/100-cota_s)^(3/2))*1000)),IF(O1557&lt;=cota_s*100+fi_s/20,0,(OFFSET('Base de dados'!$A$4,IF(O1557&lt;20,1,IF(O1557&gt;1000,10,MATCH(O1557,Cargas,1))),Coluna_fis,1,1))*(PI()*(fi_s/1000)^2/4)*(2*9.81*(O1557/100-cota_s-fi_s/2/1000))^0.5*1000)))</f>
        <v>6552.3364125749831</v>
      </c>
      <c r="R1557" s="19">
        <f t="shared" ca="1" si="205"/>
        <v>6605.0308242012579</v>
      </c>
      <c r="S1557" s="19">
        <f t="shared" ca="1" si="206"/>
        <v>9310.4253458467374</v>
      </c>
    </row>
    <row r="1558" spans="13:19">
      <c r="M1558" s="81">
        <f t="shared" ca="1" si="203"/>
        <v>15929.672468407865</v>
      </c>
      <c r="N1558" s="19">
        <f t="shared" si="204"/>
        <v>279.51463734252167</v>
      </c>
      <c r="O1558" s="17">
        <f t="shared" si="207"/>
        <v>389.25</v>
      </c>
      <c r="P1558" s="19">
        <f ca="1">IF(ISERROR(IF(O1558&lt;fi_h/20,0,(OFFSET('Base de dados'!$A$5,IF(O1558&lt;20,1,IF(O1558&gt;1000,10,MATCH(O1558,Cargas,1))),Coluna_fih,1,1))*(1+0.13*0.25)*(PI()*(fi_h/1000)^2/4)*SQRT(2*9.81*(O1558/100-fi_h/2/1000))*1000)),"",IF(O1558&lt;fi_h/20,0,(OFFSET('Base de dados'!$A$5,IF(O1558&lt;20,1,IF(O1558&gt;1000,10,MATCH(O1558,Cargas,1))),Coluna_fih,1,1))*(PI()*(fi_h/1000)^2/4)*SQRT(2*9.81*(O1558/100-fi_h/2/1000))*1000))</f>
        <v>52.711590591068067</v>
      </c>
      <c r="Q1558" s="19">
        <f ca="1">IF(O1558="","",IF(Tipo_Vertedor="Retangular",IF(O1558&lt;=cota_s*100,0,IF(Tipo_Vertedor="Retangular",Cd_sr*Lef_sr*((O1558/100-cota_s)^(3/2))*1000)),IF(O1558&lt;=cota_s*100+fi_s/20,0,(OFFSET('Base de dados'!$A$4,IF(O1558&lt;20,1,IF(O1558&gt;1000,10,MATCH(O1558,Cargas,1))),Coluna_fis,1,1))*(PI()*(fi_s/1000)^2/4)*(2*9.81*(O1558/100-cota_s-fi_s/2/1000))^0.5*1000)))</f>
        <v>6559.8062997327397</v>
      </c>
      <c r="R1558" s="19">
        <f t="shared" ca="1" si="205"/>
        <v>6612.5178903238075</v>
      </c>
      <c r="S1558" s="19">
        <f t="shared" ca="1" si="206"/>
        <v>9317.154578084057</v>
      </c>
    </row>
    <row r="1559" spans="13:19">
      <c r="M1559" s="81">
        <f t="shared" ref="M1559:M1622" ca="1" si="208">IF(O1559="","",2*N1559*1000/(Passo*60)+R1559)</f>
        <v>15943.892136080038</v>
      </c>
      <c r="N1559" s="19">
        <f t="shared" ref="N1559:N1622" si="209">IF(O1559="","",b_0*(O1559/100)^c_0)</f>
        <v>279.71653046231739</v>
      </c>
      <c r="O1559" s="17">
        <f t="shared" si="207"/>
        <v>389.5</v>
      </c>
      <c r="P1559" s="19">
        <f ca="1">IF(ISERROR(IF(O1559&lt;fi_h/20,0,(OFFSET('Base de dados'!$A$5,IF(O1559&lt;20,1,IF(O1559&gt;1000,10,MATCH(O1559,Cargas,1))),Coluna_fih,1,1))*(1+0.13*0.25)*(PI()*(fi_h/1000)^2/4)*SQRT(2*9.81*(O1559/100-fi_h/2/1000))*1000)),"",IF(O1559&lt;fi_h/20,0,(OFFSET('Base de dados'!$A$5,IF(O1559&lt;20,1,IF(O1559&gt;1000,10,MATCH(O1559,Cargas,1))),Coluna_fih,1,1))*(PI()*(fi_h/1000)^2/4)*SQRT(2*9.81*(O1559/100-fi_h/2/1000))*1000))</f>
        <v>52.728763958976117</v>
      </c>
      <c r="Q1559" s="19">
        <f ca="1">IF(O1559="","",IF(Tipo_Vertedor="Retangular",IF(O1559&lt;=cota_s*100,0,IF(Tipo_Vertedor="Retangular",Cd_sr*Lef_sr*((O1559/100-cota_s)^(3/2))*1000)),IF(O1559&lt;=cota_s*100+fi_s/20,0,(OFFSET('Base de dados'!$A$4,IF(O1559&lt;20,1,IF(O1559&gt;1000,10,MATCH(O1559,Cargas,1))),Coluna_fis,1,1))*(PI()*(fi_s/1000)^2/4)*(2*9.81*(O1559/100-cota_s-fi_s/2/1000))^0.5*1000)))</f>
        <v>6567.2790233771484</v>
      </c>
      <c r="R1559" s="19">
        <f t="shared" ref="R1559:R1622" ca="1" si="210">IF(O1559="","",Q1559+P1559)</f>
        <v>6620.0077873361242</v>
      </c>
      <c r="S1559" s="19">
        <f t="shared" ref="S1559:S1622" ca="1" si="211">IF(M1559="","",2*N1559*1000/(Passo*60))</f>
        <v>9323.8843487439135</v>
      </c>
    </row>
    <row r="1560" spans="13:19">
      <c r="M1560" s="81">
        <f t="shared" ca="1" si="208"/>
        <v>15958.115171691174</v>
      </c>
      <c r="N1560" s="19">
        <f t="shared" si="209"/>
        <v>279.91843972571269</v>
      </c>
      <c r="O1560" s="17">
        <f t="shared" si="207"/>
        <v>389.75</v>
      </c>
      <c r="P1560" s="19">
        <f ca="1">IF(ISERROR(IF(O1560&lt;fi_h/20,0,(OFFSET('Base de dados'!$A$5,IF(O1560&lt;20,1,IF(O1560&gt;1000,10,MATCH(O1560,Cargas,1))),Coluna_fih,1,1))*(1+0.13*0.25)*(PI()*(fi_h/1000)^2/4)*SQRT(2*9.81*(O1560/100-fi_h/2/1000))*1000)),"",IF(O1560&lt;fi_h/20,0,(OFFSET('Base de dados'!$A$5,IF(O1560&lt;20,1,IF(O1560&gt;1000,10,MATCH(O1560,Cargas,1))),Coluna_fih,1,1))*(PI()*(fi_h/1000)^2/4)*SQRT(2*9.81*(O1560/100-fi_h/2/1000))*1000))</f>
        <v>52.745931735466208</v>
      </c>
      <c r="Q1560" s="19">
        <f ca="1">IF(O1560="","",IF(Tipo_Vertedor="Retangular",IF(O1560&lt;=cota_s*100,0,IF(Tipo_Vertedor="Retangular",Cd_sr*Lef_sr*((O1560/100-cota_s)^(3/2))*1000)),IF(O1560&lt;=cota_s*100+fi_s/20,0,(OFFSET('Base de dados'!$A$4,IF(O1560&lt;20,1,IF(O1560&gt;1000,10,MATCH(O1560,Cargas,1))),Coluna_fis,1,1))*(PI()*(fi_s/1000)^2/4)*(2*9.81*(O1560/100-cota_s-fi_s/2/1000))^0.5*1000)))</f>
        <v>6574.7545824319504</v>
      </c>
      <c r="R1560" s="19">
        <f t="shared" ca="1" si="210"/>
        <v>6627.5005141674164</v>
      </c>
      <c r="S1560" s="19">
        <f t="shared" ca="1" si="211"/>
        <v>9330.6146575237563</v>
      </c>
    </row>
    <row r="1561" spans="13:19">
      <c r="M1561" s="81">
        <f t="shared" ca="1" si="208"/>
        <v>15972.341573869508</v>
      </c>
      <c r="N1561" s="19">
        <f t="shared" si="209"/>
        <v>280.12036512364205</v>
      </c>
      <c r="O1561" s="17">
        <f t="shared" si="207"/>
        <v>390</v>
      </c>
      <c r="P1561" s="19">
        <f ca="1">IF(ISERROR(IF(O1561&lt;fi_h/20,0,(OFFSET('Base de dados'!$A$5,IF(O1561&lt;20,1,IF(O1561&gt;1000,10,MATCH(O1561,Cargas,1))),Coluna_fih,1,1))*(1+0.13*0.25)*(PI()*(fi_h/1000)^2/4)*SQRT(2*9.81*(O1561/100-fi_h/2/1000))*1000)),"",IF(O1561&lt;fi_h/20,0,(OFFSET('Base de dados'!$A$5,IF(O1561&lt;20,1,IF(O1561&gt;1000,10,MATCH(O1561,Cargas,1))),Coluna_fih,1,1))*(PI()*(fi_h/1000)^2/4)*SQRT(2*9.81*(O1561/100-fi_h/2/1000))*1000))</f>
        <v>52.76309392599628</v>
      </c>
      <c r="Q1561" s="19">
        <f ca="1">IF(O1561="","",IF(Tipo_Vertedor="Retangular",IF(O1561&lt;=cota_s*100,0,IF(Tipo_Vertedor="Retangular",Cd_sr*Lef_sr*((O1561/100-cota_s)^(3/2))*1000)),IF(O1561&lt;=cota_s*100+fi_s/20,0,(OFFSET('Base de dados'!$A$4,IF(O1561&lt;20,1,IF(O1561&gt;1000,10,MATCH(O1561,Cargas,1))),Coluna_fis,1,1))*(PI()*(fi_s/1000)^2/4)*(2*9.81*(O1561/100-cota_s-fi_s/2/1000))^0.5*1000)))</f>
        <v>6582.2329758221103</v>
      </c>
      <c r="R1561" s="19">
        <f t="shared" ca="1" si="210"/>
        <v>6634.9960697481065</v>
      </c>
      <c r="S1561" s="19">
        <f t="shared" ca="1" si="211"/>
        <v>9337.3455041214002</v>
      </c>
    </row>
    <row r="1562" spans="13:19">
      <c r="M1562" s="81">
        <f t="shared" ca="1" si="208"/>
        <v>15986.571341244866</v>
      </c>
      <c r="N1562" s="19">
        <f t="shared" si="209"/>
        <v>280.32230664705116</v>
      </c>
      <c r="O1562" s="17">
        <f t="shared" si="207"/>
        <v>390.25</v>
      </c>
      <c r="P1562" s="19">
        <f ca="1">IF(ISERROR(IF(O1562&lt;fi_h/20,0,(OFFSET('Base de dados'!$A$5,IF(O1562&lt;20,1,IF(O1562&gt;1000,10,MATCH(O1562,Cargas,1))),Coluna_fih,1,1))*(1+0.13*0.25)*(PI()*(fi_h/1000)^2/4)*SQRT(2*9.81*(O1562/100-fi_h/2/1000))*1000)),"",IF(O1562&lt;fi_h/20,0,(OFFSET('Base de dados'!$A$5,IF(O1562&lt;20,1,IF(O1562&gt;1000,10,MATCH(O1562,Cargas,1))),Coluna_fih,1,1))*(PI()*(fi_h/1000)^2/4)*SQRT(2*9.81*(O1562/100-fi_h/2/1000))*1000))</f>
        <v>52.780250536015338</v>
      </c>
      <c r="Q1562" s="19">
        <f ca="1">IF(O1562="","",IF(Tipo_Vertedor="Retangular",IF(O1562&lt;=cota_s*100,0,IF(Tipo_Vertedor="Retangular",Cd_sr*Lef_sr*((O1562/100-cota_s)^(3/2))*1000)),IF(O1562&lt;=cota_s*100+fi_s/20,0,(OFFSET('Base de dados'!$A$4,IF(O1562&lt;20,1,IF(O1562&gt;1000,10,MATCH(O1562,Cargas,1))),Coluna_fis,1,1))*(PI()*(fi_s/1000)^2/4)*(2*9.81*(O1562/100-cota_s-fi_s/2/1000))^0.5*1000)))</f>
        <v>6589.7142024738105</v>
      </c>
      <c r="R1562" s="19">
        <f t="shared" ca="1" si="210"/>
        <v>6642.4944530098255</v>
      </c>
      <c r="S1562" s="19">
        <f t="shared" ca="1" si="211"/>
        <v>9344.0768882350403</v>
      </c>
    </row>
    <row r="1563" spans="13:19">
      <c r="M1563" s="81">
        <f t="shared" ca="1" si="208"/>
        <v>16000.804472448619</v>
      </c>
      <c r="N1563" s="19">
        <f t="shared" si="209"/>
        <v>280.52426428689597</v>
      </c>
      <c r="O1563" s="17">
        <f t="shared" si="207"/>
        <v>390.5</v>
      </c>
      <c r="P1563" s="19">
        <f ca="1">IF(ISERROR(IF(O1563&lt;fi_h/20,0,(OFFSET('Base de dados'!$A$5,IF(O1563&lt;20,1,IF(O1563&gt;1000,10,MATCH(O1563,Cargas,1))),Coluna_fih,1,1))*(1+0.13*0.25)*(PI()*(fi_h/1000)^2/4)*SQRT(2*9.81*(O1563/100-fi_h/2/1000))*1000)),"",IF(O1563&lt;fi_h/20,0,(OFFSET('Base de dados'!$A$5,IF(O1563&lt;20,1,IF(O1563&gt;1000,10,MATCH(O1563,Cargas,1))),Coluna_fih,1,1))*(PI()*(fi_h/1000)^2/4)*SQRT(2*9.81*(O1563/100-fi_h/2/1000))*1000))</f>
        <v>52.797401570963608</v>
      </c>
      <c r="Q1563" s="19">
        <f ca="1">IF(O1563="","",IF(Tipo_Vertedor="Retangular",IF(O1563&lt;=cota_s*100,0,IF(Tipo_Vertedor="Retangular",Cd_sr*Lef_sr*((O1563/100-cota_s)^(3/2))*1000)),IF(O1563&lt;=cota_s*100+fi_s/20,0,(OFFSET('Base de dados'!$A$4,IF(O1563&lt;20,1,IF(O1563&gt;1000,10,MATCH(O1563,Cargas,1))),Coluna_fis,1,1))*(PI()*(fi_s/1000)^2/4)*(2*9.81*(O1563/100-cota_s-fi_s/2/1000))^0.5*1000)))</f>
        <v>6597.1982613144564</v>
      </c>
      <c r="R1563" s="19">
        <f t="shared" ca="1" si="210"/>
        <v>6649.9956628854197</v>
      </c>
      <c r="S1563" s="19">
        <f t="shared" ca="1" si="211"/>
        <v>9350.8088095631992</v>
      </c>
    </row>
    <row r="1564" spans="13:19">
      <c r="M1564" s="81">
        <f t="shared" ca="1" si="208"/>
        <v>16015.040966113742</v>
      </c>
      <c r="N1564" s="19">
        <f t="shared" si="209"/>
        <v>280.72623803414399</v>
      </c>
      <c r="O1564" s="17">
        <f t="shared" si="207"/>
        <v>390.75</v>
      </c>
      <c r="P1564" s="19">
        <f ca="1">IF(ISERROR(IF(O1564&lt;fi_h/20,0,(OFFSET('Base de dados'!$A$5,IF(O1564&lt;20,1,IF(O1564&gt;1000,10,MATCH(O1564,Cargas,1))),Coluna_fih,1,1))*(1+0.13*0.25)*(PI()*(fi_h/1000)^2/4)*SQRT(2*9.81*(O1564/100-fi_h/2/1000))*1000)),"",IF(O1564&lt;fi_h/20,0,(OFFSET('Base de dados'!$A$5,IF(O1564&lt;20,1,IF(O1564&gt;1000,10,MATCH(O1564,Cargas,1))),Coluna_fih,1,1))*(PI()*(fi_h/1000)^2/4)*SQRT(2*9.81*(O1564/100-fi_h/2/1000))*1000))</f>
        <v>52.814547036272437</v>
      </c>
      <c r="Q1564" s="19">
        <f ca="1">IF(O1564="","",IF(Tipo_Vertedor="Retangular",IF(O1564&lt;=cota_s*100,0,IF(Tipo_Vertedor="Retangular",Cd_sr*Lef_sr*((O1564/100-cota_s)^(3/2))*1000)),IF(O1564&lt;=cota_s*100+fi_s/20,0,(OFFSET('Base de dados'!$A$4,IF(O1564&lt;20,1,IF(O1564&gt;1000,10,MATCH(O1564,Cargas,1))),Coluna_fis,1,1))*(PI()*(fi_s/1000)^2/4)*(2*9.81*(O1564/100-cota_s-fi_s/2/1000))^0.5*1000)))</f>
        <v>6604.6851512726707</v>
      </c>
      <c r="R1564" s="19">
        <f t="shared" ca="1" si="210"/>
        <v>6657.4996983089432</v>
      </c>
      <c r="S1564" s="19">
        <f t="shared" ca="1" si="211"/>
        <v>9357.5412678047996</v>
      </c>
    </row>
    <row r="1565" spans="13:19">
      <c r="M1565" s="81">
        <f t="shared" ca="1" si="208"/>
        <v>16029.280820874745</v>
      </c>
      <c r="N1565" s="19">
        <f t="shared" si="209"/>
        <v>280.92822787977281</v>
      </c>
      <c r="O1565" s="17">
        <f t="shared" si="207"/>
        <v>391</v>
      </c>
      <c r="P1565" s="19">
        <f ca="1">IF(ISERROR(IF(O1565&lt;fi_h/20,0,(OFFSET('Base de dados'!$A$5,IF(O1565&lt;20,1,IF(O1565&gt;1000,10,MATCH(O1565,Cargas,1))),Coluna_fih,1,1))*(1+0.13*0.25)*(PI()*(fi_h/1000)^2/4)*SQRT(2*9.81*(O1565/100-fi_h/2/1000))*1000)),"",IF(O1565&lt;fi_h/20,0,(OFFSET('Base de dados'!$A$5,IF(O1565&lt;20,1,IF(O1565&gt;1000,10,MATCH(O1565,Cargas,1))),Coluna_fih,1,1))*(PI()*(fi_h/1000)^2/4)*SQRT(2*9.81*(O1565/100-fi_h/2/1000))*1000))</f>
        <v>52.831686937364367</v>
      </c>
      <c r="Q1565" s="19">
        <f ca="1">IF(O1565="","",IF(Tipo_Vertedor="Retangular",IF(O1565&lt;=cota_s*100,0,IF(Tipo_Vertedor="Retangular",Cd_sr*Lef_sr*((O1565/100-cota_s)^(3/2))*1000)),IF(O1565&lt;=cota_s*100+fi_s/20,0,(OFFSET('Base de dados'!$A$4,IF(O1565&lt;20,1,IF(O1565&gt;1000,10,MATCH(O1565,Cargas,1))),Coluna_fis,1,1))*(PI()*(fi_s/1000)^2/4)*(2*9.81*(O1565/100-cota_s-fi_s/2/1000))^0.5*1000)))</f>
        <v>6612.1748712782855</v>
      </c>
      <c r="R1565" s="19">
        <f t="shared" ca="1" si="210"/>
        <v>6665.0065582156503</v>
      </c>
      <c r="S1565" s="19">
        <f t="shared" ca="1" si="211"/>
        <v>9364.2742626590934</v>
      </c>
    </row>
    <row r="1566" spans="13:19">
      <c r="M1566" s="81">
        <f t="shared" ca="1" si="208"/>
        <v>16043.524035367722</v>
      </c>
      <c r="N1566" s="19">
        <f t="shared" si="209"/>
        <v>281.13023381477154</v>
      </c>
      <c r="O1566" s="17">
        <f t="shared" si="207"/>
        <v>391.25</v>
      </c>
      <c r="P1566" s="19">
        <f ca="1">IF(ISERROR(IF(O1566&lt;fi_h/20,0,(OFFSET('Base de dados'!$A$5,IF(O1566&lt;20,1,IF(O1566&gt;1000,10,MATCH(O1566,Cargas,1))),Coluna_fih,1,1))*(1+0.13*0.25)*(PI()*(fi_h/1000)^2/4)*SQRT(2*9.81*(O1566/100-fi_h/2/1000))*1000)),"",IF(O1566&lt;fi_h/20,0,(OFFSET('Base de dados'!$A$5,IF(O1566&lt;20,1,IF(O1566&gt;1000,10,MATCH(O1566,Cargas,1))),Coluna_fih,1,1))*(PI()*(fi_h/1000)^2/4)*SQRT(2*9.81*(O1566/100-fi_h/2/1000))*1000))</f>
        <v>52.848821279653144</v>
      </c>
      <c r="Q1566" s="19">
        <f ca="1">IF(O1566="","",IF(Tipo_Vertedor="Retangular",IF(O1566&lt;=cota_s*100,0,IF(Tipo_Vertedor="Retangular",Cd_sr*Lef_sr*((O1566/100-cota_s)^(3/2))*1000)),IF(O1566&lt;=cota_s*100+fi_s/20,0,(OFFSET('Base de dados'!$A$4,IF(O1566&lt;20,1,IF(O1566&gt;1000,10,MATCH(O1566,Cargas,1))),Coluna_fis,1,1))*(PI()*(fi_s/1000)^2/4)*(2*9.81*(O1566/100-cota_s-fi_s/2/1000))^0.5*1000)))</f>
        <v>6619.6674202623508</v>
      </c>
      <c r="R1566" s="19">
        <f t="shared" ca="1" si="210"/>
        <v>6672.5162415420036</v>
      </c>
      <c r="S1566" s="19">
        <f t="shared" ca="1" si="211"/>
        <v>9371.0077938257182</v>
      </c>
    </row>
    <row r="1567" spans="13:19">
      <c r="M1567" s="81">
        <f t="shared" ca="1" si="208"/>
        <v>16057.770608230328</v>
      </c>
      <c r="N1567" s="19">
        <f t="shared" si="209"/>
        <v>281.33225583013973</v>
      </c>
      <c r="O1567" s="17">
        <f t="shared" si="207"/>
        <v>391.5</v>
      </c>
      <c r="P1567" s="19">
        <f ca="1">IF(ISERROR(IF(O1567&lt;fi_h/20,0,(OFFSET('Base de dados'!$A$5,IF(O1567&lt;20,1,IF(O1567&gt;1000,10,MATCH(O1567,Cargas,1))),Coluna_fih,1,1))*(1+0.13*0.25)*(PI()*(fi_h/1000)^2/4)*SQRT(2*9.81*(O1567/100-fi_h/2/1000))*1000)),"",IF(O1567&lt;fi_h/20,0,(OFFSET('Base de dados'!$A$5,IF(O1567&lt;20,1,IF(O1567&gt;1000,10,MATCH(O1567,Cargas,1))),Coluna_fih,1,1))*(PI()*(fi_h/1000)^2/4)*SQRT(2*9.81*(O1567/100-fi_h/2/1000))*1000))</f>
        <v>52.865950068543768</v>
      </c>
      <c r="Q1567" s="19">
        <f ca="1">IF(O1567="","",IF(Tipo_Vertedor="Retangular",IF(O1567&lt;=cota_s*100,0,IF(Tipo_Vertedor="Retangular",Cd_sr*Lef_sr*((O1567/100-cota_s)^(3/2))*1000)),IF(O1567&lt;=cota_s*100+fi_s/20,0,(OFFSET('Base de dados'!$A$4,IF(O1567&lt;20,1,IF(O1567&gt;1000,10,MATCH(O1567,Cargas,1))),Coluna_fis,1,1))*(PI()*(fi_s/1000)^2/4)*(2*9.81*(O1567/100-cota_s-fi_s/2/1000))^0.5*1000)))</f>
        <v>6627.1627971571279</v>
      </c>
      <c r="R1567" s="19">
        <f t="shared" ca="1" si="210"/>
        <v>6680.0287472256714</v>
      </c>
      <c r="S1567" s="19">
        <f t="shared" ca="1" si="211"/>
        <v>9377.741861004657</v>
      </c>
    </row>
    <row r="1568" spans="13:19">
      <c r="M1568" s="81">
        <f t="shared" ca="1" si="208"/>
        <v>16072.020538101777</v>
      </c>
      <c r="N1568" s="19">
        <f t="shared" si="209"/>
        <v>281.5342939168878</v>
      </c>
      <c r="O1568" s="17">
        <f t="shared" si="207"/>
        <v>391.75</v>
      </c>
      <c r="P1568" s="19">
        <f ca="1">IF(ISERROR(IF(O1568&lt;fi_h/20,0,(OFFSET('Base de dados'!$A$5,IF(O1568&lt;20,1,IF(O1568&gt;1000,10,MATCH(O1568,Cargas,1))),Coluna_fih,1,1))*(1+0.13*0.25)*(PI()*(fi_h/1000)^2/4)*SQRT(2*9.81*(O1568/100-fi_h/2/1000))*1000)),"",IF(O1568&lt;fi_h/20,0,(OFFSET('Base de dados'!$A$5,IF(O1568&lt;20,1,IF(O1568&gt;1000,10,MATCH(O1568,Cargas,1))),Coluna_fih,1,1))*(PI()*(fi_h/1000)^2/4)*SQRT(2*9.81*(O1568/100-fi_h/2/1000))*1000))</f>
        <v>52.88307330943244</v>
      </c>
      <c r="Q1568" s="19">
        <f ca="1">IF(O1568="","",IF(Tipo_Vertedor="Retangular",IF(O1568&lt;=cota_s*100,0,IF(Tipo_Vertedor="Retangular",Cd_sr*Lef_sr*((O1568/100-cota_s)^(3/2))*1000)),IF(O1568&lt;=cota_s*100+fi_s/20,0,(OFFSET('Base de dados'!$A$4,IF(O1568&lt;20,1,IF(O1568&gt;1000,10,MATCH(O1568,Cargas,1))),Coluna_fis,1,1))*(PI()*(fi_s/1000)^2/4)*(2*9.81*(O1568/100-cota_s-fi_s/2/1000))^0.5*1000)))</f>
        <v>6634.6610008960843</v>
      </c>
      <c r="R1568" s="19">
        <f t="shared" ca="1" si="210"/>
        <v>6687.5440742055171</v>
      </c>
      <c r="S1568" s="19">
        <f t="shared" ca="1" si="211"/>
        <v>9384.4764638962588</v>
      </c>
    </row>
    <row r="1569" spans="13:19">
      <c r="M1569" s="81">
        <f t="shared" ca="1" si="208"/>
        <v>16086.273823622818</v>
      </c>
      <c r="N1569" s="19">
        <f t="shared" si="209"/>
        <v>281.73634806603667</v>
      </c>
      <c r="O1569" s="17">
        <f t="shared" si="207"/>
        <v>392</v>
      </c>
      <c r="P1569" s="19">
        <f ca="1">IF(ISERROR(IF(O1569&lt;fi_h/20,0,(OFFSET('Base de dados'!$A$5,IF(O1569&lt;20,1,IF(O1569&gt;1000,10,MATCH(O1569,Cargas,1))),Coluna_fih,1,1))*(1+0.13*0.25)*(PI()*(fi_h/1000)^2/4)*SQRT(2*9.81*(O1569/100-fi_h/2/1000))*1000)),"",IF(O1569&lt;fi_h/20,0,(OFFSET('Base de dados'!$A$5,IF(O1569&lt;20,1,IF(O1569&gt;1000,10,MATCH(O1569,Cargas,1))),Coluna_fih,1,1))*(PI()*(fi_h/1000)^2/4)*SQRT(2*9.81*(O1569/100-fi_h/2/1000))*1000))</f>
        <v>52.900191007706653</v>
      </c>
      <c r="Q1569" s="19">
        <f ca="1">IF(O1569="","",IF(Tipo_Vertedor="Retangular",IF(O1569&lt;=cota_s*100,0,IF(Tipo_Vertedor="Retangular",Cd_sr*Lef_sr*((O1569/100-cota_s)^(3/2))*1000)),IF(O1569&lt;=cota_s*100+fi_s/20,0,(OFFSET('Base de dados'!$A$4,IF(O1569&lt;20,1,IF(O1569&gt;1000,10,MATCH(O1569,Cargas,1))),Coluna_fis,1,1))*(PI()*(fi_s/1000)^2/4)*(2*9.81*(O1569/100-cota_s-fi_s/2/1000))^0.5*1000)))</f>
        <v>6642.1620304138896</v>
      </c>
      <c r="R1569" s="19">
        <f t="shared" ca="1" si="210"/>
        <v>6695.0622214215964</v>
      </c>
      <c r="S1569" s="19">
        <f t="shared" ca="1" si="211"/>
        <v>9391.2116022012215</v>
      </c>
    </row>
    <row r="1570" spans="13:19">
      <c r="M1570" s="81">
        <f t="shared" ca="1" si="208"/>
        <v>16100.530463435793</v>
      </c>
      <c r="N1570" s="19">
        <f t="shared" si="209"/>
        <v>281.93841826861853</v>
      </c>
      <c r="O1570" s="17">
        <f t="shared" si="207"/>
        <v>392.25</v>
      </c>
      <c r="P1570" s="19">
        <f ca="1">IF(ISERROR(IF(O1570&lt;fi_h/20,0,(OFFSET('Base de dados'!$A$5,IF(O1570&lt;20,1,IF(O1570&gt;1000,10,MATCH(O1570,Cargas,1))),Coluna_fih,1,1))*(1+0.13*0.25)*(PI()*(fi_h/1000)^2/4)*SQRT(2*9.81*(O1570/100-fi_h/2/1000))*1000)),"",IF(O1570&lt;fi_h/20,0,(OFFSET('Base de dados'!$A$5,IF(O1570&lt;20,1,IF(O1570&gt;1000,10,MATCH(O1570,Cargas,1))),Coluna_fih,1,1))*(PI()*(fi_h/1000)^2/4)*SQRT(2*9.81*(O1570/100-fi_h/2/1000))*1000))</f>
        <v>52.917303168745207</v>
      </c>
      <c r="Q1570" s="19">
        <f ca="1">IF(O1570="","",IF(Tipo_Vertedor="Retangular",IF(O1570&lt;=cota_s*100,0,IF(Tipo_Vertedor="Retangular",Cd_sr*Lef_sr*((O1570/100-cota_s)^(3/2))*1000)),IF(O1570&lt;=cota_s*100+fi_s/20,0,(OFFSET('Base de dados'!$A$4,IF(O1570&lt;20,1,IF(O1570&gt;1000,10,MATCH(O1570,Cargas,1))),Coluna_fis,1,1))*(PI()*(fi_s/1000)^2/4)*(2*9.81*(O1570/100-cota_s-fi_s/2/1000))^0.5*1000)))</f>
        <v>6649.6658846464288</v>
      </c>
      <c r="R1570" s="19">
        <f t="shared" ca="1" si="210"/>
        <v>6702.5831878151739</v>
      </c>
      <c r="S1570" s="19">
        <f t="shared" ca="1" si="211"/>
        <v>9397.9472756206178</v>
      </c>
    </row>
    <row r="1571" spans="13:19">
      <c r="M1571" s="81">
        <f t="shared" ca="1" si="208"/>
        <v>16114.790456184548</v>
      </c>
      <c r="N1571" s="19">
        <f t="shared" si="209"/>
        <v>282.14050451567579</v>
      </c>
      <c r="O1571" s="17">
        <f t="shared" si="207"/>
        <v>392.5</v>
      </c>
      <c r="P1571" s="19">
        <f ca="1">IF(ISERROR(IF(O1571&lt;fi_h/20,0,(OFFSET('Base de dados'!$A$5,IF(O1571&lt;20,1,IF(O1571&gt;1000,10,MATCH(O1571,Cargas,1))),Coluna_fih,1,1))*(1+0.13*0.25)*(PI()*(fi_h/1000)^2/4)*SQRT(2*9.81*(O1571/100-fi_h/2/1000))*1000)),"",IF(O1571&lt;fi_h/20,0,(OFFSET('Base de dados'!$A$5,IF(O1571&lt;20,1,IF(O1571&gt;1000,10,MATCH(O1571,Cargas,1))),Coluna_fih,1,1))*(PI()*(fi_h/1000)^2/4)*SQRT(2*9.81*(O1571/100-fi_h/2/1000))*1000))</f>
        <v>52.934409797918164</v>
      </c>
      <c r="Q1571" s="19">
        <f ca="1">IF(O1571="","",IF(Tipo_Vertedor="Retangular",IF(O1571&lt;=cota_s*100,0,IF(Tipo_Vertedor="Retangular",Cd_sr*Lef_sr*((O1571/100-cota_s)^(3/2))*1000)),IF(O1571&lt;=cota_s*100+fi_s/20,0,(OFFSET('Base de dados'!$A$4,IF(O1571&lt;20,1,IF(O1571&gt;1000,10,MATCH(O1571,Cargas,1))),Coluna_fis,1,1))*(PI()*(fi_s/1000)^2/4)*(2*9.81*(O1571/100-cota_s-fi_s/2/1000))^0.5*1000)))</f>
        <v>6657.1725625307708</v>
      </c>
      <c r="R1571" s="19">
        <f t="shared" ca="1" si="210"/>
        <v>6710.1069723286892</v>
      </c>
      <c r="S1571" s="19">
        <f t="shared" ca="1" si="211"/>
        <v>9404.6834838558589</v>
      </c>
    </row>
    <row r="1572" spans="13:19">
      <c r="M1572" s="81">
        <f t="shared" ca="1" si="208"/>
        <v>16129.053800514514</v>
      </c>
      <c r="N1572" s="19">
        <f t="shared" si="209"/>
        <v>282.34260679826195</v>
      </c>
      <c r="O1572" s="17">
        <f t="shared" si="207"/>
        <v>392.75</v>
      </c>
      <c r="P1572" s="19">
        <f ca="1">IF(ISERROR(IF(O1572&lt;fi_h/20,0,(OFFSET('Base de dados'!$A$5,IF(O1572&lt;20,1,IF(O1572&gt;1000,10,MATCH(O1572,Cargas,1))),Coluna_fih,1,1))*(1+0.13*0.25)*(PI()*(fi_h/1000)^2/4)*SQRT(2*9.81*(O1572/100-fi_h/2/1000))*1000)),"",IF(O1572&lt;fi_h/20,0,(OFFSET('Base de dados'!$A$5,IF(O1572&lt;20,1,IF(O1572&gt;1000,10,MATCH(O1572,Cargas,1))),Coluna_fih,1,1))*(PI()*(fi_h/1000)^2/4)*SQRT(2*9.81*(O1572/100-fi_h/2/1000))*1000))</f>
        <v>52.951510900586939</v>
      </c>
      <c r="Q1572" s="19">
        <f ca="1">IF(O1572="","",IF(Tipo_Vertedor="Retangular",IF(O1572&lt;=cota_s*100,0,IF(Tipo_Vertedor="Retangular",Cd_sr*Lef_sr*((O1572/100-cota_s)^(3/2))*1000)),IF(O1572&lt;=cota_s*100+fi_s/20,0,(OFFSET('Base de dados'!$A$4,IF(O1572&lt;20,1,IF(O1572&gt;1000,10,MATCH(O1572,Cargas,1))),Coluna_fis,1,1))*(PI()*(fi_s/1000)^2/4)*(2*9.81*(O1572/100-cota_s-fi_s/2/1000))^0.5*1000)))</f>
        <v>6664.6820630051961</v>
      </c>
      <c r="R1572" s="19">
        <f t="shared" ca="1" si="210"/>
        <v>6717.6335739057831</v>
      </c>
      <c r="S1572" s="19">
        <f t="shared" ca="1" si="211"/>
        <v>9411.4202266087304</v>
      </c>
    </row>
    <row r="1573" spans="13:19">
      <c r="M1573" s="81">
        <f t="shared" ca="1" si="208"/>
        <v>16143.320495072639</v>
      </c>
      <c r="N1573" s="19">
        <f t="shared" si="209"/>
        <v>282.54472510744074</v>
      </c>
      <c r="O1573" s="17">
        <f t="shared" si="207"/>
        <v>393</v>
      </c>
      <c r="P1573" s="19">
        <f ca="1">IF(ISERROR(IF(O1573&lt;fi_h/20,0,(OFFSET('Base de dados'!$A$5,IF(O1573&lt;20,1,IF(O1573&gt;1000,10,MATCH(O1573,Cargas,1))),Coluna_fih,1,1))*(1+0.13*0.25)*(PI()*(fi_h/1000)^2/4)*SQRT(2*9.81*(O1573/100-fi_h/2/1000))*1000)),"",IF(O1573&lt;fi_h/20,0,(OFFSET('Base de dados'!$A$5,IF(O1573&lt;20,1,IF(O1573&gt;1000,10,MATCH(O1573,Cargas,1))),Coluna_fih,1,1))*(PI()*(fi_h/1000)^2/4)*SQRT(2*9.81*(O1573/100-fi_h/2/1000))*1000))</f>
        <v>52.968606482104285</v>
      </c>
      <c r="Q1573" s="19">
        <f ca="1">IF(O1573="","",IF(Tipo_Vertedor="Retangular",IF(O1573&lt;=cota_s*100,0,IF(Tipo_Vertedor="Retangular",Cd_sr*Lef_sr*((O1573/100-cota_s)^(3/2))*1000)),IF(O1573&lt;=cota_s*100+fi_s/20,0,(OFFSET('Base de dados'!$A$4,IF(O1573&lt;20,1,IF(O1573&gt;1000,10,MATCH(O1573,Cargas,1))),Coluna_fis,1,1))*(PI()*(fi_s/1000)^2/4)*(2*9.81*(O1573/100-cota_s-fi_s/2/1000))^0.5*1000)))</f>
        <v>6672.1943850091793</v>
      </c>
      <c r="R1573" s="19">
        <f t="shared" ca="1" si="210"/>
        <v>6725.1629914912837</v>
      </c>
      <c r="S1573" s="19">
        <f t="shared" ca="1" si="211"/>
        <v>9418.1575035813567</v>
      </c>
    </row>
    <row r="1574" spans="13:19">
      <c r="M1574" s="81">
        <f t="shared" ca="1" si="208"/>
        <v>16157.59053850744</v>
      </c>
      <c r="N1574" s="19">
        <f t="shared" si="209"/>
        <v>282.74685943428716</v>
      </c>
      <c r="O1574" s="17">
        <f t="shared" si="207"/>
        <v>393.25</v>
      </c>
      <c r="P1574" s="19">
        <f ca="1">IF(ISERROR(IF(O1574&lt;fi_h/20,0,(OFFSET('Base de dados'!$A$5,IF(O1574&lt;20,1,IF(O1574&gt;1000,10,MATCH(O1574,Cargas,1))),Coluna_fih,1,1))*(1+0.13*0.25)*(PI()*(fi_h/1000)^2/4)*SQRT(2*9.81*(O1574/100-fi_h/2/1000))*1000)),"",IF(O1574&lt;fi_h/20,0,(OFFSET('Base de dados'!$A$5,IF(O1574&lt;20,1,IF(O1574&gt;1000,10,MATCH(O1574,Cargas,1))),Coluna_fih,1,1))*(PI()*(fi_h/1000)^2/4)*SQRT(2*9.81*(O1574/100-fi_h/2/1000))*1000))</f>
        <v>52.985696547814328</v>
      </c>
      <c r="Q1574" s="19">
        <f ca="1">IF(O1574="","",IF(Tipo_Vertedor="Retangular",IF(O1574&lt;=cota_s*100,0,IF(Tipo_Vertedor="Retangular",Cd_sr*Lef_sr*((O1574/100-cota_s)^(3/2))*1000)),IF(O1574&lt;=cota_s*100+fi_s/20,0,(OFFSET('Base de dados'!$A$4,IF(O1574&lt;20,1,IF(O1574&gt;1000,10,MATCH(O1574,Cargas,1))),Coluna_fis,1,1))*(PI()*(fi_s/1000)^2/4)*(2*9.81*(O1574/100-cota_s-fi_s/2/1000))^0.5*1000)))</f>
        <v>6679.7095274833864</v>
      </c>
      <c r="R1574" s="19">
        <f t="shared" ca="1" si="210"/>
        <v>6732.6952240312012</v>
      </c>
      <c r="S1574" s="19">
        <f t="shared" ca="1" si="211"/>
        <v>9424.8953144762399</v>
      </c>
    </row>
    <row r="1575" spans="13:19">
      <c r="M1575" s="81">
        <f t="shared" ca="1" si="208"/>
        <v>16171.863929468935</v>
      </c>
      <c r="N1575" s="19">
        <f t="shared" si="209"/>
        <v>282.94900976988612</v>
      </c>
      <c r="O1575" s="17">
        <f t="shared" si="207"/>
        <v>393.5</v>
      </c>
      <c r="P1575" s="19">
        <f ca="1">IF(ISERROR(IF(O1575&lt;fi_h/20,0,(OFFSET('Base de dados'!$A$5,IF(O1575&lt;20,1,IF(O1575&gt;1000,10,MATCH(O1575,Cargas,1))),Coluna_fih,1,1))*(1+0.13*0.25)*(PI()*(fi_h/1000)^2/4)*SQRT(2*9.81*(O1575/100-fi_h/2/1000))*1000)),"",IF(O1575&lt;fi_h/20,0,(OFFSET('Base de dados'!$A$5,IF(O1575&lt;20,1,IF(O1575&gt;1000,10,MATCH(O1575,Cargas,1))),Coluna_fih,1,1))*(PI()*(fi_h/1000)^2/4)*SQRT(2*9.81*(O1575/100-fi_h/2/1000))*1000))</f>
        <v>53.002781103052556</v>
      </c>
      <c r="Q1575" s="19">
        <f ca="1">IF(O1575="","",IF(Tipo_Vertedor="Retangular",IF(O1575&lt;=cota_s*100,0,IF(Tipo_Vertedor="Retangular",Cd_sr*Lef_sr*((O1575/100-cota_s)^(3/2))*1000)),IF(O1575&lt;=cota_s*100+fi_s/20,0,(OFFSET('Base de dados'!$A$4,IF(O1575&lt;20,1,IF(O1575&gt;1000,10,MATCH(O1575,Cargas,1))),Coluna_fis,1,1))*(PI()*(fi_s/1000)^2/4)*(2*9.81*(O1575/100-cota_s-fi_s/2/1000))^0.5*1000)))</f>
        <v>6687.2274893696804</v>
      </c>
      <c r="R1575" s="19">
        <f t="shared" ca="1" si="210"/>
        <v>6740.2302704727326</v>
      </c>
      <c r="S1575" s="19">
        <f t="shared" ca="1" si="211"/>
        <v>9431.6336589962029</v>
      </c>
    </row>
    <row r="1576" spans="13:19">
      <c r="M1576" s="81">
        <f t="shared" ca="1" si="208"/>
        <v>16186.140666608715</v>
      </c>
      <c r="N1576" s="19">
        <f t="shared" si="209"/>
        <v>283.15117610533378</v>
      </c>
      <c r="O1576" s="17">
        <f t="shared" si="207"/>
        <v>393.75</v>
      </c>
      <c r="P1576" s="19">
        <f ca="1">IF(ISERROR(IF(O1576&lt;fi_h/20,0,(OFFSET('Base de dados'!$A$5,IF(O1576&lt;20,1,IF(O1576&gt;1000,10,MATCH(O1576,Cargas,1))),Coluna_fih,1,1))*(1+0.13*0.25)*(PI()*(fi_h/1000)^2/4)*SQRT(2*9.81*(O1576/100-fi_h/2/1000))*1000)),"",IF(O1576&lt;fi_h/20,0,(OFFSET('Base de dados'!$A$5,IF(O1576&lt;20,1,IF(O1576&gt;1000,10,MATCH(O1576,Cargas,1))),Coluna_fih,1,1))*(PI()*(fi_h/1000)^2/4)*SQRT(2*9.81*(O1576/100-fi_h/2/1000))*1000))</f>
        <v>53.019860153145906</v>
      </c>
      <c r="Q1576" s="19">
        <f ca="1">IF(O1576="","",IF(Tipo_Vertedor="Retangular",IF(O1576&lt;=cota_s*100,0,IF(Tipo_Vertedor="Retangular",Cd_sr*Lef_sr*((O1576/100-cota_s)^(3/2))*1000)),IF(O1576&lt;=cota_s*100+fi_s/20,0,(OFFSET('Base de dados'!$A$4,IF(O1576&lt;20,1,IF(O1576&gt;1000,10,MATCH(O1576,Cargas,1))),Coluna_fis,1,1))*(PI()*(fi_s/1000)^2/4)*(2*9.81*(O1576/100-cota_s-fi_s/2/1000))^0.5*1000)))</f>
        <v>6694.7482696111101</v>
      </c>
      <c r="R1576" s="19">
        <f t="shared" ca="1" si="210"/>
        <v>6747.7681297642557</v>
      </c>
      <c r="S1576" s="19">
        <f t="shared" ca="1" si="211"/>
        <v>9438.3725368444593</v>
      </c>
    </row>
    <row r="1577" spans="13:19">
      <c r="M1577" s="81">
        <f t="shared" ca="1" si="208"/>
        <v>16200.42074857988</v>
      </c>
      <c r="N1577" s="19">
        <f t="shared" si="209"/>
        <v>283.35335843173658</v>
      </c>
      <c r="O1577" s="17">
        <f t="shared" si="207"/>
        <v>394</v>
      </c>
      <c r="P1577" s="19">
        <f ca="1">IF(ISERROR(IF(O1577&lt;fi_h/20,0,(OFFSET('Base de dados'!$A$5,IF(O1577&lt;20,1,IF(O1577&gt;1000,10,MATCH(O1577,Cargas,1))),Coluna_fih,1,1))*(1+0.13*0.25)*(PI()*(fi_h/1000)^2/4)*SQRT(2*9.81*(O1577/100-fi_h/2/1000))*1000)),"",IF(O1577&lt;fi_h/20,0,(OFFSET('Base de dados'!$A$5,IF(O1577&lt;20,1,IF(O1577&gt;1000,10,MATCH(O1577,Cargas,1))),Coluna_fih,1,1))*(PI()*(fi_h/1000)^2/4)*SQRT(2*9.81*(O1577/100-fi_h/2/1000))*1000))</f>
        <v>53.036933703412686</v>
      </c>
      <c r="Q1577" s="19">
        <f ca="1">IF(O1577="","",IF(Tipo_Vertedor="Retangular",IF(O1577&lt;=cota_s*100,0,IF(Tipo_Vertedor="Retangular",Cd_sr*Lef_sr*((O1577/100-cota_s)^(3/2))*1000)),IF(O1577&lt;=cota_s*100+fi_s/20,0,(OFFSET('Base de dados'!$A$4,IF(O1577&lt;20,1,IF(O1577&gt;1000,10,MATCH(O1577,Cargas,1))),Coluna_fis,1,1))*(PI()*(fi_s/1000)^2/4)*(2*9.81*(O1577/100-cota_s-fi_s/2/1000))^0.5*1000)))</f>
        <v>6702.2718671519133</v>
      </c>
      <c r="R1577" s="19">
        <f t="shared" ca="1" si="210"/>
        <v>6755.3088008553259</v>
      </c>
      <c r="S1577" s="19">
        <f t="shared" ca="1" si="211"/>
        <v>9445.1119477245538</v>
      </c>
    </row>
    <row r="1578" spans="13:19">
      <c r="M1578" s="81">
        <f t="shared" ca="1" si="208"/>
        <v>16214.704174037066</v>
      </c>
      <c r="N1578" s="19">
        <f t="shared" si="209"/>
        <v>283.55555674021156</v>
      </c>
      <c r="O1578" s="17">
        <f t="shared" si="207"/>
        <v>394.25</v>
      </c>
      <c r="P1578" s="19">
        <f ca="1">IF(ISERROR(IF(O1578&lt;fi_h/20,0,(OFFSET('Base de dados'!$A$5,IF(O1578&lt;20,1,IF(O1578&gt;1000,10,MATCH(O1578,Cargas,1))),Coluna_fih,1,1))*(1+0.13*0.25)*(PI()*(fi_h/1000)^2/4)*SQRT(2*9.81*(O1578/100-fi_h/2/1000))*1000)),"",IF(O1578&lt;fi_h/20,0,(OFFSET('Base de dados'!$A$5,IF(O1578&lt;20,1,IF(O1578&gt;1000,10,MATCH(O1578,Cargas,1))),Coluna_fih,1,1))*(PI()*(fi_h/1000)^2/4)*SQRT(2*9.81*(O1578/100-fi_h/2/1000))*1000))</f>
        <v>53.054001759162659</v>
      </c>
      <c r="Q1578" s="19">
        <f ca="1">IF(O1578="","",IF(Tipo_Vertedor="Retangular",IF(O1578&lt;=cota_s*100,0,IF(Tipo_Vertedor="Retangular",Cd_sr*Lef_sr*((O1578/100-cota_s)^(3/2))*1000)),IF(O1578&lt;=cota_s*100+fi_s/20,0,(OFFSET('Base de dados'!$A$4,IF(O1578&lt;20,1,IF(O1578&gt;1000,10,MATCH(O1578,Cargas,1))),Coluna_fis,1,1))*(PI()*(fi_s/1000)^2/4)*(2*9.81*(O1578/100-cota_s-fi_s/2/1000))^0.5*1000)))</f>
        <v>6709.798280937518</v>
      </c>
      <c r="R1578" s="19">
        <f t="shared" ca="1" si="210"/>
        <v>6762.852282696681</v>
      </c>
      <c r="S1578" s="19">
        <f t="shared" ca="1" si="211"/>
        <v>9451.8518913403859</v>
      </c>
    </row>
    <row r="1579" spans="13:19">
      <c r="M1579" s="81">
        <f t="shared" ca="1" si="208"/>
        <v>16228.990941636444</v>
      </c>
      <c r="N1579" s="19">
        <f t="shared" si="209"/>
        <v>283.75777102188664</v>
      </c>
      <c r="O1579" s="17">
        <f t="shared" si="207"/>
        <v>394.5</v>
      </c>
      <c r="P1579" s="19">
        <f ca="1">IF(ISERROR(IF(O1579&lt;fi_h/20,0,(OFFSET('Base de dados'!$A$5,IF(O1579&lt;20,1,IF(O1579&gt;1000,10,MATCH(O1579,Cargas,1))),Coluna_fih,1,1))*(1+0.13*0.25)*(PI()*(fi_h/1000)^2/4)*SQRT(2*9.81*(O1579/100-fi_h/2/1000))*1000)),"",IF(O1579&lt;fi_h/20,0,(OFFSET('Base de dados'!$A$5,IF(O1579&lt;20,1,IF(O1579&gt;1000,10,MATCH(O1579,Cargas,1))),Coluna_fih,1,1))*(PI()*(fi_h/1000)^2/4)*SQRT(2*9.81*(O1579/100-fi_h/2/1000))*1000))</f>
        <v>53.07106432569708</v>
      </c>
      <c r="Q1579" s="19">
        <f ca="1">IF(O1579="","",IF(Tipo_Vertedor="Retangular",IF(O1579&lt;=cota_s*100,0,IF(Tipo_Vertedor="Retangular",Cd_sr*Lef_sr*((O1579/100-cota_s)^(3/2))*1000)),IF(O1579&lt;=cota_s*100+fi_s/20,0,(OFFSET('Base de dados'!$A$4,IF(O1579&lt;20,1,IF(O1579&gt;1000,10,MATCH(O1579,Cargas,1))),Coluna_fis,1,1))*(PI()*(fi_s/1000)^2/4)*(2*9.81*(O1579/100-cota_s-fi_s/2/1000))^0.5*1000)))</f>
        <v>6717.3275099145267</v>
      </c>
      <c r="R1579" s="19">
        <f t="shared" ca="1" si="210"/>
        <v>6770.3985742402238</v>
      </c>
      <c r="S1579" s="19">
        <f t="shared" ca="1" si="211"/>
        <v>9458.5923673962207</v>
      </c>
    </row>
    <row r="1580" spans="13:19">
      <c r="M1580" s="81">
        <f t="shared" ca="1" si="208"/>
        <v>16243.281050035697</v>
      </c>
      <c r="N1580" s="19">
        <f t="shared" si="209"/>
        <v>283.96000126789971</v>
      </c>
      <c r="O1580" s="17">
        <f t="shared" si="207"/>
        <v>394.75</v>
      </c>
      <c r="P1580" s="19">
        <f ca="1">IF(ISERROR(IF(O1580&lt;fi_h/20,0,(OFFSET('Base de dados'!$A$5,IF(O1580&lt;20,1,IF(O1580&gt;1000,10,MATCH(O1580,Cargas,1))),Coluna_fih,1,1))*(1+0.13*0.25)*(PI()*(fi_h/1000)^2/4)*SQRT(2*9.81*(O1580/100-fi_h/2/1000))*1000)),"",IF(O1580&lt;fi_h/20,0,(OFFSET('Base de dados'!$A$5,IF(O1580&lt;20,1,IF(O1580&gt;1000,10,MATCH(O1580,Cargas,1))),Coluna_fih,1,1))*(PI()*(fi_h/1000)^2/4)*SQRT(2*9.81*(O1580/100-fi_h/2/1000))*1000))</f>
        <v>53.088121408308666</v>
      </c>
      <c r="Q1580" s="19">
        <f ca="1">IF(O1580="","",IF(Tipo_Vertedor="Retangular",IF(O1580&lt;=cota_s*100,0,IF(Tipo_Vertedor="Retangular",Cd_sr*Lef_sr*((O1580/100-cota_s)^(3/2))*1000)),IF(O1580&lt;=cota_s*100+fi_s/20,0,(OFFSET('Base de dados'!$A$4,IF(O1580&lt;20,1,IF(O1580&gt;1000,10,MATCH(O1580,Cargas,1))),Coluna_fis,1,1))*(PI()*(fi_s/1000)^2/4)*(2*9.81*(O1580/100-cota_s-fi_s/2/1000))^0.5*1000)))</f>
        <v>6724.8595530307321</v>
      </c>
      <c r="R1580" s="19">
        <f t="shared" ca="1" si="210"/>
        <v>6777.9476744390404</v>
      </c>
      <c r="S1580" s="19">
        <f t="shared" ca="1" si="211"/>
        <v>9465.333375596656</v>
      </c>
    </row>
    <row r="1581" spans="13:19">
      <c r="M1581" s="81">
        <f t="shared" ca="1" si="208"/>
        <v>16257.574497894038</v>
      </c>
      <c r="N1581" s="19">
        <f t="shared" si="209"/>
        <v>284.16224746939974</v>
      </c>
      <c r="O1581" s="17">
        <f t="shared" si="207"/>
        <v>395</v>
      </c>
      <c r="P1581" s="19">
        <f ca="1">IF(ISERROR(IF(O1581&lt;fi_h/20,0,(OFFSET('Base de dados'!$A$5,IF(O1581&lt;20,1,IF(O1581&gt;1000,10,MATCH(O1581,Cargas,1))),Coluna_fih,1,1))*(1+0.13*0.25)*(PI()*(fi_h/1000)^2/4)*SQRT(2*9.81*(O1581/100-fi_h/2/1000))*1000)),"",IF(O1581&lt;fi_h/20,0,(OFFSET('Base de dados'!$A$5,IF(O1581&lt;20,1,IF(O1581&gt;1000,10,MATCH(O1581,Cargas,1))),Coluna_fih,1,1))*(PI()*(fi_h/1000)^2/4)*SQRT(2*9.81*(O1581/100-fi_h/2/1000))*1000))</f>
        <v>53.105173012281618</v>
      </c>
      <c r="Q1581" s="19">
        <f ca="1">IF(O1581="","",IF(Tipo_Vertedor="Retangular",IF(O1581&lt;=cota_s*100,0,IF(Tipo_Vertedor="Retangular",Cd_sr*Lef_sr*((O1581/100-cota_s)^(3/2))*1000)),IF(O1581&lt;=cota_s*100+fi_s/20,0,(OFFSET('Base de dados'!$A$4,IF(O1581&lt;20,1,IF(O1581&gt;1000,10,MATCH(O1581,Cargas,1))),Coluna_fis,1,1))*(PI()*(fi_s/1000)^2/4)*(2*9.81*(O1581/100-cota_s-fi_s/2/1000))^0.5*1000)))</f>
        <v>6732.3944092350976</v>
      </c>
      <c r="R1581" s="19">
        <f t="shared" ca="1" si="210"/>
        <v>6785.4995822473793</v>
      </c>
      <c r="S1581" s="19">
        <f t="shared" ca="1" si="211"/>
        <v>9472.0749156466591</v>
      </c>
    </row>
    <row r="1582" spans="13:19">
      <c r="M1582" s="81">
        <f t="shared" ca="1" si="208"/>
        <v>16271.871283872193</v>
      </c>
      <c r="N1582" s="19">
        <f t="shared" si="209"/>
        <v>284.36450961754588</v>
      </c>
      <c r="O1582" s="17">
        <f t="shared" si="207"/>
        <v>395.25</v>
      </c>
      <c r="P1582" s="19">
        <f ca="1">IF(ISERROR(IF(O1582&lt;fi_h/20,0,(OFFSET('Base de dados'!$A$5,IF(O1582&lt;20,1,IF(O1582&gt;1000,10,MATCH(O1582,Cargas,1))),Coluna_fih,1,1))*(1+0.13*0.25)*(PI()*(fi_h/1000)^2/4)*SQRT(2*9.81*(O1582/100-fi_h/2/1000))*1000)),"",IF(O1582&lt;fi_h/20,0,(OFFSET('Base de dados'!$A$5,IF(O1582&lt;20,1,IF(O1582&gt;1000,10,MATCH(O1582,Cargas,1))),Coluna_fih,1,1))*(PI()*(fi_h/1000)^2/4)*SQRT(2*9.81*(O1582/100-fi_h/2/1000))*1000))</f>
        <v>53.122219142891673</v>
      </c>
      <c r="Q1582" s="19">
        <f ca="1">IF(O1582="","",IF(Tipo_Vertedor="Retangular",IF(O1582&lt;=cota_s*100,0,IF(Tipo_Vertedor="Retangular",Cd_sr*Lef_sr*((O1582/100-cota_s)^(3/2))*1000)),IF(O1582&lt;=cota_s*100+fi_s/20,0,(OFFSET('Base de dados'!$A$4,IF(O1582&lt;20,1,IF(O1582&gt;1000,10,MATCH(O1582,Cargas,1))),Coluna_fis,1,1))*(PI()*(fi_s/1000)^2/4)*(2*9.81*(O1582/100-cota_s-fi_s/2/1000))^0.5*1000)))</f>
        <v>6739.9320774777716</v>
      </c>
      <c r="R1582" s="19">
        <f t="shared" ca="1" si="210"/>
        <v>6793.0542966206631</v>
      </c>
      <c r="S1582" s="19">
        <f t="shared" ca="1" si="211"/>
        <v>9478.81698725153</v>
      </c>
    </row>
    <row r="1583" spans="13:19">
      <c r="M1583" s="81">
        <f t="shared" ca="1" si="208"/>
        <v>16286.171406632404</v>
      </c>
      <c r="N1583" s="19">
        <f t="shared" si="209"/>
        <v>284.56678770350788</v>
      </c>
      <c r="O1583" s="17">
        <f t="shared" si="207"/>
        <v>395.5</v>
      </c>
      <c r="P1583" s="19">
        <f ca="1">IF(ISERROR(IF(O1583&lt;fi_h/20,0,(OFFSET('Base de dados'!$A$5,IF(O1583&lt;20,1,IF(O1583&gt;1000,10,MATCH(O1583,Cargas,1))),Coluna_fih,1,1))*(1+0.13*0.25)*(PI()*(fi_h/1000)^2/4)*SQRT(2*9.81*(O1583/100-fi_h/2/1000))*1000)),"",IF(O1583&lt;fi_h/20,0,(OFFSET('Base de dados'!$A$5,IF(O1583&lt;20,1,IF(O1583&gt;1000,10,MATCH(O1583,Cargas,1))),Coluna_fih,1,1))*(PI()*(fi_h/1000)^2/4)*SQRT(2*9.81*(O1583/100-fi_h/2/1000))*1000))</f>
        <v>53.13925980540612</v>
      </c>
      <c r="Q1583" s="19">
        <f ca="1">IF(O1583="","",IF(Tipo_Vertedor="Retangular",IF(O1583&lt;=cota_s*100,0,IF(Tipo_Vertedor="Retangular",Cd_sr*Lef_sr*((O1583/100-cota_s)^(3/2))*1000)),IF(O1583&lt;=cota_s*100+fi_s/20,0,(OFFSET('Base de dados'!$A$4,IF(O1583&lt;20,1,IF(O1583&gt;1000,10,MATCH(O1583,Cargas,1))),Coluna_fis,1,1))*(PI()*(fi_s/1000)^2/4)*(2*9.81*(O1583/100-cota_s-fi_s/2/1000))^0.5*1000)))</f>
        <v>6747.4725567100686</v>
      </c>
      <c r="R1583" s="19">
        <f t="shared" ca="1" si="210"/>
        <v>6800.6118165154749</v>
      </c>
      <c r="S1583" s="19">
        <f t="shared" ca="1" si="211"/>
        <v>9485.559590116929</v>
      </c>
    </row>
    <row r="1584" spans="13:19">
      <c r="M1584" s="81">
        <f t="shared" ca="1" si="208"/>
        <v>16300.474864838428</v>
      </c>
      <c r="N1584" s="19">
        <f t="shared" si="209"/>
        <v>284.76908171846588</v>
      </c>
      <c r="O1584" s="17">
        <f t="shared" si="207"/>
        <v>395.75</v>
      </c>
      <c r="P1584" s="19">
        <f ca="1">IF(ISERROR(IF(O1584&lt;fi_h/20,0,(OFFSET('Base de dados'!$A$5,IF(O1584&lt;20,1,IF(O1584&gt;1000,10,MATCH(O1584,Cargas,1))),Coluna_fih,1,1))*(1+0.13*0.25)*(PI()*(fi_h/1000)^2/4)*SQRT(2*9.81*(O1584/100-fi_h/2/1000))*1000)),"",IF(O1584&lt;fi_h/20,0,(OFFSET('Base de dados'!$A$5,IF(O1584&lt;20,1,IF(O1584&gt;1000,10,MATCH(O1584,Cargas,1))),Coluna_fih,1,1))*(PI()*(fi_h/1000)^2/4)*SQRT(2*9.81*(O1584/100-fi_h/2/1000))*1000))</f>
        <v>53.156295005083763</v>
      </c>
      <c r="Q1584" s="19">
        <f ca="1">IF(O1584="","",IF(Tipo_Vertedor="Retangular",IF(O1584&lt;=cota_s*100,0,IF(Tipo_Vertedor="Retangular",Cd_sr*Lef_sr*((O1584/100-cota_s)^(3/2))*1000)),IF(O1584&lt;=cota_s*100+fi_s/20,0,(OFFSET('Base de dados'!$A$4,IF(O1584&lt;20,1,IF(O1584&gt;1000,10,MATCH(O1584,Cargas,1))),Coluna_fis,1,1))*(PI()*(fi_s/1000)^2/4)*(2*9.81*(O1584/100-cota_s-fi_s/2/1000))^0.5*1000)))</f>
        <v>6755.0158458844808</v>
      </c>
      <c r="R1584" s="19">
        <f t="shared" ca="1" si="210"/>
        <v>6808.1721408895646</v>
      </c>
      <c r="S1584" s="19">
        <f t="shared" ca="1" si="211"/>
        <v>9492.3027239488638</v>
      </c>
    </row>
    <row r="1585" spans="13:19">
      <c r="M1585" s="81">
        <f t="shared" ca="1" si="208"/>
        <v>16314.781657155534</v>
      </c>
      <c r="N1585" s="19">
        <f t="shared" si="209"/>
        <v>284.97139165361062</v>
      </c>
      <c r="O1585" s="17">
        <f t="shared" si="207"/>
        <v>396</v>
      </c>
      <c r="P1585" s="19">
        <f ca="1">IF(ISERROR(IF(O1585&lt;fi_h/20,0,(OFFSET('Base de dados'!$A$5,IF(O1585&lt;20,1,IF(O1585&gt;1000,10,MATCH(O1585,Cargas,1))),Coluna_fih,1,1))*(1+0.13*0.25)*(PI()*(fi_h/1000)^2/4)*SQRT(2*9.81*(O1585/100-fi_h/2/1000))*1000)),"",IF(O1585&lt;fi_h/20,0,(OFFSET('Base de dados'!$A$5,IF(O1585&lt;20,1,IF(O1585&gt;1000,10,MATCH(O1585,Cargas,1))),Coluna_fih,1,1))*(PI()*(fi_h/1000)^2/4)*SQRT(2*9.81*(O1585/100-fi_h/2/1000))*1000))</f>
        <v>53.173324747175023</v>
      </c>
      <c r="Q1585" s="19">
        <f ca="1">IF(O1585="","",IF(Tipo_Vertedor="Retangular",IF(O1585&lt;=cota_s*100,0,IF(Tipo_Vertedor="Retangular",Cd_sr*Lef_sr*((O1585/100-cota_s)^(3/2))*1000)),IF(O1585&lt;=cota_s*100+fi_s/20,0,(OFFSET('Base de dados'!$A$4,IF(O1585&lt;20,1,IF(O1585&gt;1000,10,MATCH(O1585,Cargas,1))),Coluna_fis,1,1))*(PI()*(fi_s/1000)^2/4)*(2*9.81*(O1585/100-cota_s-fi_s/2/1000))^0.5*1000)))</f>
        <v>6762.5619439546726</v>
      </c>
      <c r="R1585" s="19">
        <f t="shared" ca="1" si="210"/>
        <v>6815.7352687018474</v>
      </c>
      <c r="S1585" s="19">
        <f t="shared" ca="1" si="211"/>
        <v>9499.0463884536875</v>
      </c>
    </row>
    <row r="1586" spans="13:19">
      <c r="M1586" s="81">
        <f t="shared" ca="1" si="208"/>
        <v>16329.091782250496</v>
      </c>
      <c r="N1586" s="19">
        <f t="shared" si="209"/>
        <v>285.17371750014314</v>
      </c>
      <c r="O1586" s="17">
        <f t="shared" si="207"/>
        <v>396.25</v>
      </c>
      <c r="P1586" s="19">
        <f ca="1">IF(ISERROR(IF(O1586&lt;fi_h/20,0,(OFFSET('Base de dados'!$A$5,IF(O1586&lt;20,1,IF(O1586&gt;1000,10,MATCH(O1586,Cargas,1))),Coluna_fih,1,1))*(1+0.13*0.25)*(PI()*(fi_h/1000)^2/4)*SQRT(2*9.81*(O1586/100-fi_h/2/1000))*1000)),"",IF(O1586&lt;fi_h/20,0,(OFFSET('Base de dados'!$A$5,IF(O1586&lt;20,1,IF(O1586&gt;1000,10,MATCH(O1586,Cargas,1))),Coluna_fih,1,1))*(PI()*(fi_h/1000)^2/4)*SQRT(2*9.81*(O1586/100-fi_h/2/1000))*1000))</f>
        <v>53.190349036921909</v>
      </c>
      <c r="Q1586" s="19">
        <f ca="1">IF(O1586="","",IF(Tipo_Vertedor="Retangular",IF(O1586&lt;=cota_s*100,0,IF(Tipo_Vertedor="Retangular",Cd_sr*Lef_sr*((O1586/100-cota_s)^(3/2))*1000)),IF(O1586&lt;=cota_s*100+fi_s/20,0,(OFFSET('Base de dados'!$A$4,IF(O1586&lt;20,1,IF(O1586&gt;1000,10,MATCH(O1586,Cargas,1))),Coluna_fis,1,1))*(PI()*(fi_s/1000)^2/4)*(2*9.81*(O1586/100-cota_s-fi_s/2/1000))^0.5*1000)))</f>
        <v>6770.1108498754702</v>
      </c>
      <c r="R1586" s="19">
        <f t="shared" ca="1" si="210"/>
        <v>6823.3011989123925</v>
      </c>
      <c r="S1586" s="19">
        <f t="shared" ca="1" si="211"/>
        <v>9505.7905833381046</v>
      </c>
    </row>
    <row r="1587" spans="13:19">
      <c r="M1587" s="81">
        <f t="shared" ca="1" si="208"/>
        <v>16343.405238791594</v>
      </c>
      <c r="N1587" s="19">
        <f t="shared" si="209"/>
        <v>285.37605924927499</v>
      </c>
      <c r="O1587" s="17">
        <f t="shared" si="207"/>
        <v>396.5</v>
      </c>
      <c r="P1587" s="19">
        <f ca="1">IF(ISERROR(IF(O1587&lt;fi_h/20,0,(OFFSET('Base de dados'!$A$5,IF(O1587&lt;20,1,IF(O1587&gt;1000,10,MATCH(O1587,Cargas,1))),Coluna_fih,1,1))*(1+0.13*0.25)*(PI()*(fi_h/1000)^2/4)*SQRT(2*9.81*(O1587/100-fi_h/2/1000))*1000)),"",IF(O1587&lt;fi_h/20,0,(OFFSET('Base de dados'!$A$5,IF(O1587&lt;20,1,IF(O1587&gt;1000,10,MATCH(O1587,Cargas,1))),Coluna_fih,1,1))*(PI()*(fi_h/1000)^2/4)*SQRT(2*9.81*(O1587/100-fi_h/2/1000))*1000))</f>
        <v>53.207367879558014</v>
      </c>
      <c r="Q1587" s="19">
        <f ca="1">IF(O1587="","",IF(Tipo_Vertedor="Retangular",IF(O1587&lt;=cota_s*100,0,IF(Tipo_Vertedor="Retangular",Cd_sr*Lef_sr*((O1587/100-cota_s)^(3/2))*1000)),IF(O1587&lt;=cota_s*100+fi_s/20,0,(OFFSET('Base de dados'!$A$4,IF(O1587&lt;20,1,IF(O1587&gt;1000,10,MATCH(O1587,Cargas,1))),Coluna_fis,1,1))*(PI()*(fi_s/1000)^2/4)*(2*9.81*(O1587/100-cota_s-fi_s/2/1000))^0.5*1000)))</f>
        <v>6777.6625626028699</v>
      </c>
      <c r="R1587" s="19">
        <f t="shared" ca="1" si="210"/>
        <v>6830.8699304824277</v>
      </c>
      <c r="S1587" s="19">
        <f t="shared" ca="1" si="211"/>
        <v>9512.5353083091668</v>
      </c>
    </row>
    <row r="1588" spans="13:19">
      <c r="M1588" s="81">
        <f t="shared" ca="1" si="208"/>
        <v>16357.722025448604</v>
      </c>
      <c r="N1588" s="19">
        <f t="shared" si="209"/>
        <v>285.57841689222795</v>
      </c>
      <c r="O1588" s="17">
        <f t="shared" si="207"/>
        <v>396.75</v>
      </c>
      <c r="P1588" s="19">
        <f ca="1">IF(ISERROR(IF(O1588&lt;fi_h/20,0,(OFFSET('Base de dados'!$A$5,IF(O1588&lt;20,1,IF(O1588&gt;1000,10,MATCH(O1588,Cargas,1))),Coluna_fih,1,1))*(1+0.13*0.25)*(PI()*(fi_h/1000)^2/4)*SQRT(2*9.81*(O1588/100-fi_h/2/1000))*1000)),"",IF(O1588&lt;fi_h/20,0,(OFFSET('Base de dados'!$A$5,IF(O1588&lt;20,1,IF(O1588&gt;1000,10,MATCH(O1588,Cargas,1))),Coluna_fih,1,1))*(PI()*(fi_h/1000)^2/4)*SQRT(2*9.81*(O1588/100-fi_h/2/1000))*1000))</f>
        <v>53.224381280308599</v>
      </c>
      <c r="Q1588" s="19">
        <f ca="1">IF(O1588="","",IF(Tipo_Vertedor="Retangular",IF(O1588&lt;=cota_s*100,0,IF(Tipo_Vertedor="Retangular",Cd_sr*Lef_sr*((O1588/100-cota_s)^(3/2))*1000)),IF(O1588&lt;=cota_s*100+fi_s/20,0,(OFFSET('Base de dados'!$A$4,IF(O1588&lt;20,1,IF(O1588&gt;1000,10,MATCH(O1588,Cargas,1))),Coluna_fis,1,1))*(PI()*(fi_s/1000)^2/4)*(2*9.81*(O1588/100-cota_s-fi_s/2/1000))^0.5*1000)))</f>
        <v>6785.2170810940306</v>
      </c>
      <c r="R1588" s="19">
        <f t="shared" ca="1" si="210"/>
        <v>6838.4414623743396</v>
      </c>
      <c r="S1588" s="19">
        <f t="shared" ca="1" si="211"/>
        <v>9519.2805630742641</v>
      </c>
    </row>
    <row r="1589" spans="13:19">
      <c r="M1589" s="81">
        <f t="shared" ca="1" si="208"/>
        <v>16372.042140892807</v>
      </c>
      <c r="N1589" s="19">
        <f t="shared" si="209"/>
        <v>285.78079042023438</v>
      </c>
      <c r="O1589" s="17">
        <f t="shared" si="207"/>
        <v>397</v>
      </c>
      <c r="P1589" s="19">
        <f ca="1">IF(ISERROR(IF(O1589&lt;fi_h/20,0,(OFFSET('Base de dados'!$A$5,IF(O1589&lt;20,1,IF(O1589&gt;1000,10,MATCH(O1589,Cargas,1))),Coluna_fih,1,1))*(1+0.13*0.25)*(PI()*(fi_h/1000)^2/4)*SQRT(2*9.81*(O1589/100-fi_h/2/1000))*1000)),"",IF(O1589&lt;fi_h/20,0,(OFFSET('Base de dados'!$A$5,IF(O1589&lt;20,1,IF(O1589&gt;1000,10,MATCH(O1589,Cargas,1))),Coluna_fih,1,1))*(PI()*(fi_h/1000)^2/4)*SQRT(2*9.81*(O1589/100-fi_h/2/1000))*1000))</f>
        <v>53.241389244390575</v>
      </c>
      <c r="Q1589" s="19">
        <f ca="1">IF(O1589="","",IF(Tipo_Vertedor="Retangular",IF(O1589&lt;=cota_s*100,0,IF(Tipo_Vertedor="Retangular",Cd_sr*Lef_sr*((O1589/100-cota_s)^(3/2))*1000)),IF(O1589&lt;=cota_s*100+fi_s/20,0,(OFFSET('Base de dados'!$A$4,IF(O1589&lt;20,1,IF(O1589&gt;1000,10,MATCH(O1589,Cargas,1))),Coluna_fis,1,1))*(PI()*(fi_s/1000)^2/4)*(2*9.81*(O1589/100-cota_s-fi_s/2/1000))^0.5*1000)))</f>
        <v>6792.7744043072717</v>
      </c>
      <c r="R1589" s="19">
        <f t="shared" ca="1" si="210"/>
        <v>6846.0157935516618</v>
      </c>
      <c r="S1589" s="19">
        <f t="shared" ca="1" si="211"/>
        <v>9526.0263473411451</v>
      </c>
    </row>
    <row r="1590" spans="13:19">
      <c r="M1590" s="81">
        <f t="shared" ca="1" si="208"/>
        <v>16386.365583796978</v>
      </c>
      <c r="N1590" s="19">
        <f t="shared" si="209"/>
        <v>285.98317982453676</v>
      </c>
      <c r="O1590" s="17">
        <f t="shared" si="207"/>
        <v>397.25</v>
      </c>
      <c r="P1590" s="19">
        <f ca="1">IF(ISERROR(IF(O1590&lt;fi_h/20,0,(OFFSET('Base de dados'!$A$5,IF(O1590&lt;20,1,IF(O1590&gt;1000,10,MATCH(O1590,Cargas,1))),Coluna_fih,1,1))*(1+0.13*0.25)*(PI()*(fi_h/1000)^2/4)*SQRT(2*9.81*(O1590/100-fi_h/2/1000))*1000)),"",IF(O1590&lt;fi_h/20,0,(OFFSET('Base de dados'!$A$5,IF(O1590&lt;20,1,IF(O1590&gt;1000,10,MATCH(O1590,Cargas,1))),Coluna_fih,1,1))*(PI()*(fi_h/1000)^2/4)*SQRT(2*9.81*(O1590/100-fi_h/2/1000))*1000))</f>
        <v>53.258391777012477</v>
      </c>
      <c r="Q1590" s="19">
        <f ca="1">IF(O1590="","",IF(Tipo_Vertedor="Retangular",IF(O1590&lt;=cota_s*100,0,IF(Tipo_Vertedor="Retangular",Cd_sr*Lef_sr*((O1590/100-cota_s)^(3/2))*1000)),IF(O1590&lt;=cota_s*100+fi_s/20,0,(OFFSET('Base de dados'!$A$4,IF(O1590&lt;20,1,IF(O1590&gt;1000,10,MATCH(O1590,Cargas,1))),Coluna_fis,1,1))*(PI()*(fi_s/1000)^2/4)*(2*9.81*(O1590/100-cota_s-fi_s/2/1000))^0.5*1000)))</f>
        <v>6800.3345312020738</v>
      </c>
      <c r="R1590" s="19">
        <f t="shared" ca="1" si="210"/>
        <v>6853.5929229790863</v>
      </c>
      <c r="S1590" s="19">
        <f t="shared" ca="1" si="211"/>
        <v>9532.7726608178928</v>
      </c>
    </row>
    <row r="1591" spans="13:19">
      <c r="M1591" s="81">
        <f t="shared" ca="1" si="208"/>
        <v>16400.692352835387</v>
      </c>
      <c r="N1591" s="19">
        <f t="shared" si="209"/>
        <v>286.18558509638814</v>
      </c>
      <c r="O1591" s="17">
        <f t="shared" si="207"/>
        <v>397.5</v>
      </c>
      <c r="P1591" s="19">
        <f ca="1">IF(ISERROR(IF(O1591&lt;fi_h/20,0,(OFFSET('Base de dados'!$A$5,IF(O1591&lt;20,1,IF(O1591&gt;1000,10,MATCH(O1591,Cargas,1))),Coluna_fih,1,1))*(1+0.13*0.25)*(PI()*(fi_h/1000)^2/4)*SQRT(2*9.81*(O1591/100-fi_h/2/1000))*1000)),"",IF(O1591&lt;fi_h/20,0,(OFFSET('Base de dados'!$A$5,IF(O1591&lt;20,1,IF(O1591&gt;1000,10,MATCH(O1591,Cargas,1))),Coluna_fih,1,1))*(PI()*(fi_h/1000)^2/4)*SQRT(2*9.81*(O1591/100-fi_h/2/1000))*1000))</f>
        <v>53.275388883374596</v>
      </c>
      <c r="Q1591" s="19">
        <f ca="1">IF(O1591="","",IF(Tipo_Vertedor="Retangular",IF(O1591&lt;=cota_s*100,0,IF(Tipo_Vertedor="Retangular",Cd_sr*Lef_sr*((O1591/100-cota_s)^(3/2))*1000)),IF(O1591&lt;=cota_s*100+fi_s/20,0,(OFFSET('Base de dados'!$A$4,IF(O1591&lt;20,1,IF(O1591&gt;1000,10,MATCH(O1591,Cargas,1))),Coluna_fis,1,1))*(PI()*(fi_s/1000)^2/4)*(2*9.81*(O1591/100-cota_s-fi_s/2/1000))^0.5*1000)))</f>
        <v>6807.8974607390728</v>
      </c>
      <c r="R1591" s="19">
        <f t="shared" ca="1" si="210"/>
        <v>6861.1728496224478</v>
      </c>
      <c r="S1591" s="19">
        <f t="shared" ca="1" si="211"/>
        <v>9539.5195032129377</v>
      </c>
    </row>
    <row r="1592" spans="13:19">
      <c r="M1592" s="81">
        <f t="shared" ca="1" si="208"/>
        <v>16415.02244668379</v>
      </c>
      <c r="N1592" s="19">
        <f t="shared" si="209"/>
        <v>286.38800622705179</v>
      </c>
      <c r="O1592" s="17">
        <f t="shared" si="207"/>
        <v>397.75</v>
      </c>
      <c r="P1592" s="19">
        <f ca="1">IF(ISERROR(IF(O1592&lt;fi_h/20,0,(OFFSET('Base de dados'!$A$5,IF(O1592&lt;20,1,IF(O1592&gt;1000,10,MATCH(O1592,Cargas,1))),Coluna_fih,1,1))*(1+0.13*0.25)*(PI()*(fi_h/1000)^2/4)*SQRT(2*9.81*(O1592/100-fi_h/2/1000))*1000)),"",IF(O1592&lt;fi_h/20,0,(OFFSET('Base de dados'!$A$5,IF(O1592&lt;20,1,IF(O1592&gt;1000,10,MATCH(O1592,Cargas,1))),Coluna_fih,1,1))*(PI()*(fi_h/1000)^2/4)*SQRT(2*9.81*(O1592/100-fi_h/2/1000))*1000))</f>
        <v>53.292380568668875</v>
      </c>
      <c r="Q1592" s="19">
        <f ca="1">IF(O1592="","",IF(Tipo_Vertedor="Retangular",IF(O1592&lt;=cota_s*100,0,IF(Tipo_Vertedor="Retangular",Cd_sr*Lef_sr*((O1592/100-cota_s)^(3/2))*1000)),IF(O1592&lt;=cota_s*100+fi_s/20,0,(OFFSET('Base de dados'!$A$4,IF(O1592&lt;20,1,IF(O1592&gt;1000,10,MATCH(O1592,Cargas,1))),Coluna_fis,1,1))*(PI()*(fi_s/1000)^2/4)*(2*9.81*(O1592/100-cota_s-fi_s/2/1000))^0.5*1000)))</f>
        <v>6815.4631918800615</v>
      </c>
      <c r="R1592" s="19">
        <f t="shared" ca="1" si="210"/>
        <v>6868.7555724487302</v>
      </c>
      <c r="S1592" s="19">
        <f t="shared" ca="1" si="211"/>
        <v>9546.2668742350597</v>
      </c>
    </row>
    <row r="1593" spans="13:19">
      <c r="M1593" s="81">
        <f t="shared" ca="1" si="208"/>
        <v>16429.355864019435</v>
      </c>
      <c r="N1593" s="19">
        <f t="shared" si="209"/>
        <v>286.59044320780117</v>
      </c>
      <c r="O1593" s="17">
        <f t="shared" si="207"/>
        <v>398</v>
      </c>
      <c r="P1593" s="19">
        <f ca="1">IF(ISERROR(IF(O1593&lt;fi_h/20,0,(OFFSET('Base de dados'!$A$5,IF(O1593&lt;20,1,IF(O1593&gt;1000,10,MATCH(O1593,Cargas,1))),Coluna_fih,1,1))*(1+0.13*0.25)*(PI()*(fi_h/1000)^2/4)*SQRT(2*9.81*(O1593/100-fi_h/2/1000))*1000)),"",IF(O1593&lt;fi_h/20,0,(OFFSET('Base de dados'!$A$5,IF(O1593&lt;20,1,IF(O1593&gt;1000,10,MATCH(O1593,Cargas,1))),Coluna_fih,1,1))*(PI()*(fi_h/1000)^2/4)*SQRT(2*9.81*(O1593/100-fi_h/2/1000))*1000))</f>
        <v>53.309366838079022</v>
      </c>
      <c r="Q1593" s="19">
        <f ca="1">IF(O1593="","",IF(Tipo_Vertedor="Retangular",IF(O1593&lt;=cota_s*100,0,IF(Tipo_Vertedor="Retangular",Cd_sr*Lef_sr*((O1593/100-cota_s)^(3/2))*1000)),IF(O1593&lt;=cota_s*100+fi_s/20,0,(OFFSET('Base de dados'!$A$4,IF(O1593&lt;20,1,IF(O1593&gt;1000,10,MATCH(O1593,Cargas,1))),Coluna_fis,1,1))*(PI()*(fi_s/1000)^2/4)*(2*9.81*(O1593/100-cota_s-fi_s/2/1000))^0.5*1000)))</f>
        <v>6823.0317235879838</v>
      </c>
      <c r="R1593" s="19">
        <f t="shared" ca="1" si="210"/>
        <v>6876.3410904260627</v>
      </c>
      <c r="S1593" s="19">
        <f t="shared" ca="1" si="211"/>
        <v>9553.0147735933715</v>
      </c>
    </row>
    <row r="1594" spans="13:19">
      <c r="M1594" s="81">
        <f t="shared" ca="1" si="208"/>
        <v>16443.692603521064</v>
      </c>
      <c r="N1594" s="19">
        <f t="shared" si="209"/>
        <v>286.79289602992037</v>
      </c>
      <c r="O1594" s="17">
        <f t="shared" si="207"/>
        <v>398.25</v>
      </c>
      <c r="P1594" s="19">
        <f ca="1">IF(ISERROR(IF(O1594&lt;fi_h/20,0,(OFFSET('Base de dados'!$A$5,IF(O1594&lt;20,1,IF(O1594&gt;1000,10,MATCH(O1594,Cargas,1))),Coluna_fih,1,1))*(1+0.13*0.25)*(PI()*(fi_h/1000)^2/4)*SQRT(2*9.81*(O1594/100-fi_h/2/1000))*1000)),"",IF(O1594&lt;fi_h/20,0,(OFFSET('Base de dados'!$A$5,IF(O1594&lt;20,1,IF(O1594&gt;1000,10,MATCH(O1594,Cargas,1))),Coluna_fih,1,1))*(PI()*(fi_h/1000)^2/4)*SQRT(2*9.81*(O1594/100-fi_h/2/1000))*1000))</f>
        <v>53.326347696780459</v>
      </c>
      <c r="Q1594" s="19">
        <f ca="1">IF(O1594="","",IF(Tipo_Vertedor="Retangular",IF(O1594&lt;=cota_s*100,0,IF(Tipo_Vertedor="Retangular",Cd_sr*Lef_sr*((O1594/100-cota_s)^(3/2))*1000)),IF(O1594&lt;=cota_s*100+fi_s/20,0,(OFFSET('Base de dados'!$A$4,IF(O1594&lt;20,1,IF(O1594&gt;1000,10,MATCH(O1594,Cargas,1))),Coluna_fis,1,1))*(PI()*(fi_s/1000)^2/4)*(2*9.81*(O1594/100-cota_s-fi_s/2/1000))^0.5*1000)))</f>
        <v>6830.6030548269355</v>
      </c>
      <c r="R1594" s="19">
        <f t="shared" ca="1" si="210"/>
        <v>6883.9294025237159</v>
      </c>
      <c r="S1594" s="19">
        <f t="shared" ca="1" si="211"/>
        <v>9559.7632009973458</v>
      </c>
    </row>
    <row r="1595" spans="13:19">
      <c r="M1595" s="81">
        <f t="shared" ca="1" si="208"/>
        <v>16458.032663868878</v>
      </c>
      <c r="N1595" s="19">
        <f t="shared" si="209"/>
        <v>286.9953646847033</v>
      </c>
      <c r="O1595" s="17">
        <f t="shared" si="207"/>
        <v>398.5</v>
      </c>
      <c r="P1595" s="19">
        <f ca="1">IF(ISERROR(IF(O1595&lt;fi_h/20,0,(OFFSET('Base de dados'!$A$5,IF(O1595&lt;20,1,IF(O1595&gt;1000,10,MATCH(O1595,Cargas,1))),Coluna_fih,1,1))*(1+0.13*0.25)*(PI()*(fi_h/1000)^2/4)*SQRT(2*9.81*(O1595/100-fi_h/2/1000))*1000)),"",IF(O1595&lt;fi_h/20,0,(OFFSET('Base de dados'!$A$5,IF(O1595&lt;20,1,IF(O1595&gt;1000,10,MATCH(O1595,Cargas,1))),Coluna_fih,1,1))*(PI()*(fi_h/1000)^2/4)*SQRT(2*9.81*(O1595/100-fi_h/2/1000))*1000))</f>
        <v>53.343323149940375</v>
      </c>
      <c r="Q1595" s="19">
        <f ca="1">IF(O1595="","",IF(Tipo_Vertedor="Retangular",IF(O1595&lt;=cota_s*100,0,IF(Tipo_Vertedor="Retangular",Cd_sr*Lef_sr*((O1595/100-cota_s)^(3/2))*1000)),IF(O1595&lt;=cota_s*100+fi_s/20,0,(OFFSET('Base de dados'!$A$4,IF(O1595&lt;20,1,IF(O1595&gt;1000,10,MATCH(O1595,Cargas,1))),Coluna_fis,1,1))*(PI()*(fi_s/1000)^2/4)*(2*9.81*(O1595/100-cota_s-fi_s/2/1000))^0.5*1000)))</f>
        <v>6838.1771845621615</v>
      </c>
      <c r="R1595" s="19">
        <f t="shared" ca="1" si="210"/>
        <v>6891.5205077121018</v>
      </c>
      <c r="S1595" s="19">
        <f t="shared" ca="1" si="211"/>
        <v>9566.5121561567757</v>
      </c>
    </row>
    <row r="1596" spans="13:19">
      <c r="M1596" s="81">
        <f t="shared" ca="1" si="208"/>
        <v>16472.376043744582</v>
      </c>
      <c r="N1596" s="19">
        <f t="shared" si="209"/>
        <v>287.19784916345429</v>
      </c>
      <c r="O1596" s="17">
        <f t="shared" si="207"/>
        <v>398.75</v>
      </c>
      <c r="P1596" s="19">
        <f ca="1">IF(ISERROR(IF(O1596&lt;fi_h/20,0,(OFFSET('Base de dados'!$A$5,IF(O1596&lt;20,1,IF(O1596&gt;1000,10,MATCH(O1596,Cargas,1))),Coluna_fih,1,1))*(1+0.13*0.25)*(PI()*(fi_h/1000)^2/4)*SQRT(2*9.81*(O1596/100-fi_h/2/1000))*1000)),"",IF(O1596&lt;fi_h/20,0,(OFFSET('Base de dados'!$A$5,IF(O1596&lt;20,1,IF(O1596&gt;1000,10,MATCH(O1596,Cargas,1))),Coluna_fih,1,1))*(PI()*(fi_h/1000)^2/4)*SQRT(2*9.81*(O1596/100-fi_h/2/1000))*1000))</f>
        <v>53.36029320271777</v>
      </c>
      <c r="Q1596" s="19">
        <f ca="1">IF(O1596="","",IF(Tipo_Vertedor="Retangular",IF(O1596&lt;=cota_s*100,0,IF(Tipo_Vertedor="Retangular",Cd_sr*Lef_sr*((O1596/100-cota_s)^(3/2))*1000)),IF(O1596&lt;=cota_s*100+fi_s/20,0,(OFFSET('Base de dados'!$A$4,IF(O1596&lt;20,1,IF(O1596&gt;1000,10,MATCH(O1596,Cargas,1))),Coluna_fis,1,1))*(PI()*(fi_s/1000)^2/4)*(2*9.81*(O1596/100-cota_s-fi_s/2/1000))^0.5*1000)))</f>
        <v>6845.754111760054</v>
      </c>
      <c r="R1596" s="19">
        <f t="shared" ca="1" si="210"/>
        <v>6899.1144049627719</v>
      </c>
      <c r="S1596" s="19">
        <f t="shared" ca="1" si="211"/>
        <v>9573.2616387818107</v>
      </c>
    </row>
    <row r="1597" spans="13:19">
      <c r="M1597" s="81">
        <f t="shared" ca="1" si="208"/>
        <v>16486.722741831349</v>
      </c>
      <c r="N1597" s="19">
        <f t="shared" si="209"/>
        <v>287.40034945748812</v>
      </c>
      <c r="O1597" s="17">
        <f t="shared" si="207"/>
        <v>399</v>
      </c>
      <c r="P1597" s="19">
        <f ca="1">IF(ISERROR(IF(O1597&lt;fi_h/20,0,(OFFSET('Base de dados'!$A$5,IF(O1597&lt;20,1,IF(O1597&gt;1000,10,MATCH(O1597,Cargas,1))),Coluna_fih,1,1))*(1+0.13*0.25)*(PI()*(fi_h/1000)^2/4)*SQRT(2*9.81*(O1597/100-fi_h/2/1000))*1000)),"",IF(O1597&lt;fi_h/20,0,(OFFSET('Base de dados'!$A$5,IF(O1597&lt;20,1,IF(O1597&gt;1000,10,MATCH(O1597,Cargas,1))),Coluna_fih,1,1))*(PI()*(fi_h/1000)^2/4)*SQRT(2*9.81*(O1597/100-fi_h/2/1000))*1000))</f>
        <v>53.377257860263406</v>
      </c>
      <c r="Q1597" s="19">
        <f ca="1">IF(O1597="","",IF(Tipo_Vertedor="Retangular",IF(O1597&lt;=cota_s*100,0,IF(Tipo_Vertedor="Retangular",Cd_sr*Lef_sr*((O1597/100-cota_s)^(3/2))*1000)),IF(O1597&lt;=cota_s*100+fi_s/20,0,(OFFSET('Base de dados'!$A$4,IF(O1597&lt;20,1,IF(O1597&gt;1000,10,MATCH(O1597,Cargas,1))),Coluna_fis,1,1))*(PI()*(fi_s/1000)^2/4)*(2*9.81*(O1597/100-cota_s-fi_s/2/1000))^0.5*1000)))</f>
        <v>6853.3338353881481</v>
      </c>
      <c r="R1597" s="19">
        <f t="shared" ca="1" si="210"/>
        <v>6906.711093248412</v>
      </c>
      <c r="S1597" s="19">
        <f t="shared" ca="1" si="211"/>
        <v>9580.0116485829367</v>
      </c>
    </row>
    <row r="1598" spans="13:19">
      <c r="M1598" s="81">
        <f t="shared" ca="1" si="208"/>
        <v>16501.072756813814</v>
      </c>
      <c r="N1598" s="19">
        <f t="shared" si="209"/>
        <v>287.60286555812934</v>
      </c>
      <c r="O1598" s="17">
        <f t="shared" si="207"/>
        <v>399.25</v>
      </c>
      <c r="P1598" s="19">
        <f ca="1">IF(ISERROR(IF(O1598&lt;fi_h/20,0,(OFFSET('Base de dados'!$A$5,IF(O1598&lt;20,1,IF(O1598&gt;1000,10,MATCH(O1598,Cargas,1))),Coluna_fih,1,1))*(1+0.13*0.25)*(PI()*(fi_h/1000)^2/4)*SQRT(2*9.81*(O1598/100-fi_h/2/1000))*1000)),"",IF(O1598&lt;fi_h/20,0,(OFFSET('Base de dados'!$A$5,IF(O1598&lt;20,1,IF(O1598&gt;1000,10,MATCH(O1598,Cargas,1))),Coluna_fih,1,1))*(PI()*(fi_h/1000)^2/4)*SQRT(2*9.81*(O1598/100-fi_h/2/1000))*1000))</f>
        <v>53.394217127719877</v>
      </c>
      <c r="Q1598" s="19">
        <f ca="1">IF(O1598="","",IF(Tipo_Vertedor="Retangular",IF(O1598&lt;=cota_s*100,0,IF(Tipo_Vertedor="Retangular",Cd_sr*Lef_sr*((O1598/100-cota_s)^(3/2))*1000)),IF(O1598&lt;=cota_s*100+fi_s/20,0,(OFFSET('Base de dados'!$A$4,IF(O1598&lt;20,1,IF(O1598&gt;1000,10,MATCH(O1598,Cargas,1))),Coluna_fis,1,1))*(PI()*(fi_s/1000)^2/4)*(2*9.81*(O1598/100-cota_s-fi_s/2/1000))^0.5*1000)))</f>
        <v>6860.916354415117</v>
      </c>
      <c r="R1598" s="19">
        <f t="shared" ca="1" si="210"/>
        <v>6914.3105715428364</v>
      </c>
      <c r="S1598" s="19">
        <f t="shared" ca="1" si="211"/>
        <v>9586.7621852709781</v>
      </c>
    </row>
    <row r="1599" spans="13:19">
      <c r="M1599" s="81">
        <f t="shared" ca="1" si="208"/>
        <v>16515.426087378106</v>
      </c>
      <c r="N1599" s="19">
        <f t="shared" si="209"/>
        <v>287.80539745671302</v>
      </c>
      <c r="O1599" s="17">
        <f t="shared" si="207"/>
        <v>399.5</v>
      </c>
      <c r="P1599" s="19">
        <f ca="1">IF(ISERROR(IF(O1599&lt;fi_h/20,0,(OFFSET('Base de dados'!$A$5,IF(O1599&lt;20,1,IF(O1599&gt;1000,10,MATCH(O1599,Cargas,1))),Coluna_fih,1,1))*(1+0.13*0.25)*(PI()*(fi_h/1000)^2/4)*SQRT(2*9.81*(O1599/100-fi_h/2/1000))*1000)),"",IF(O1599&lt;fi_h/20,0,(OFFSET('Base de dados'!$A$5,IF(O1599&lt;20,1,IF(O1599&gt;1000,10,MATCH(O1599,Cargas,1))),Coluna_fih,1,1))*(PI()*(fi_h/1000)^2/4)*SQRT(2*9.81*(O1599/100-fi_h/2/1000))*1000))</f>
        <v>53.411171010221608</v>
      </c>
      <c r="Q1599" s="19">
        <f ca="1">IF(O1599="","",IF(Tipo_Vertedor="Retangular",IF(O1599&lt;=cota_s*100,0,IF(Tipo_Vertedor="Retangular",Cd_sr*Lef_sr*((O1599/100-cota_s)^(3/2))*1000)),IF(O1599&lt;=cota_s*100+fi_s/20,0,(OFFSET('Base de dados'!$A$4,IF(O1599&lt;20,1,IF(O1599&gt;1000,10,MATCH(O1599,Cargas,1))),Coluna_fis,1,1))*(PI()*(fi_s/1000)^2/4)*(2*9.81*(O1599/100-cota_s-fi_s/2/1000))^0.5*1000)))</f>
        <v>6868.5016678107841</v>
      </c>
      <c r="R1599" s="19">
        <f t="shared" ca="1" si="210"/>
        <v>6921.9128388210056</v>
      </c>
      <c r="S1599" s="19">
        <f t="shared" ca="1" si="211"/>
        <v>9593.5132485571012</v>
      </c>
    </row>
    <row r="1600" spans="13:19">
      <c r="M1600" s="81">
        <f t="shared" ca="1" si="208"/>
        <v>16529.782732211803</v>
      </c>
      <c r="N1600" s="19">
        <f t="shared" si="209"/>
        <v>288.00794514458431</v>
      </c>
      <c r="O1600" s="17">
        <f t="shared" si="207"/>
        <v>399.75</v>
      </c>
      <c r="P1600" s="19">
        <f ca="1">IF(ISERROR(IF(O1600&lt;fi_h/20,0,(OFFSET('Base de dados'!$A$5,IF(O1600&lt;20,1,IF(O1600&gt;1000,10,MATCH(O1600,Cargas,1))),Coluna_fih,1,1))*(1+0.13*0.25)*(PI()*(fi_h/1000)^2/4)*SQRT(2*9.81*(O1600/100-fi_h/2/1000))*1000)),"",IF(O1600&lt;fi_h/20,0,(OFFSET('Base de dados'!$A$5,IF(O1600&lt;20,1,IF(O1600&gt;1000,10,MATCH(O1600,Cargas,1))),Coluna_fih,1,1))*(PI()*(fi_h/1000)^2/4)*SQRT(2*9.81*(O1600/100-fi_h/2/1000))*1000))</f>
        <v>53.428119512894895</v>
      </c>
      <c r="Q1600" s="19">
        <f ca="1">IF(O1600="","",IF(Tipo_Vertedor="Retangular",IF(O1600&lt;=cota_s*100,0,IF(Tipo_Vertedor="Retangular",Cd_sr*Lef_sr*((O1600/100-cota_s)^(3/2))*1000)),IF(O1600&lt;=cota_s*100+fi_s/20,0,(OFFSET('Base de dados'!$A$4,IF(O1600&lt;20,1,IF(O1600&gt;1000,10,MATCH(O1600,Cargas,1))),Coluna_fis,1,1))*(PI()*(fi_s/1000)^2/4)*(2*9.81*(O1600/100-cota_s-fi_s/2/1000))^0.5*1000)))</f>
        <v>6876.0897745461007</v>
      </c>
      <c r="R1600" s="19">
        <f t="shared" ca="1" si="210"/>
        <v>6929.5178940589958</v>
      </c>
      <c r="S1600" s="19">
        <f t="shared" ca="1" si="211"/>
        <v>9600.2648381528088</v>
      </c>
    </row>
    <row r="1601" spans="13:19">
      <c r="M1601" s="81">
        <f t="shared" ca="1" si="208"/>
        <v>16544.142690003966</v>
      </c>
      <c r="N1601" s="19">
        <f t="shared" si="209"/>
        <v>288.21050861309845</v>
      </c>
      <c r="O1601" s="17">
        <f t="shared" si="207"/>
        <v>400</v>
      </c>
      <c r="P1601" s="19">
        <f ca="1">IF(ISERROR(IF(O1601&lt;fi_h/20,0,(OFFSET('Base de dados'!$A$5,IF(O1601&lt;20,1,IF(O1601&gt;1000,10,MATCH(O1601,Cargas,1))),Coluna_fih,1,1))*(1+0.13*0.25)*(PI()*(fi_h/1000)^2/4)*SQRT(2*9.81*(O1601/100-fi_h/2/1000))*1000)),"",IF(O1601&lt;fi_h/20,0,(OFFSET('Base de dados'!$A$5,IF(O1601&lt;20,1,IF(O1601&gt;1000,10,MATCH(O1601,Cargas,1))),Coluna_fih,1,1))*(PI()*(fi_h/1000)^2/4)*SQRT(2*9.81*(O1601/100-fi_h/2/1000))*1000))</f>
        <v>53.445062640857884</v>
      </c>
      <c r="Q1601" s="19">
        <f ca="1">IF(O1601="","",IF(Tipo_Vertedor="Retangular",IF(O1601&lt;=cota_s*100,0,IF(Tipo_Vertedor="Retangular",Cd_sr*Lef_sr*((O1601/100-cota_s)^(3/2))*1000)),IF(O1601&lt;=cota_s*100+fi_s/20,0,(OFFSET('Base de dados'!$A$4,IF(O1601&lt;20,1,IF(O1601&gt;1000,10,MATCH(O1601,Cargas,1))),Coluna_fis,1,1))*(PI()*(fi_s/1000)^2/4)*(2*9.81*(O1601/100-cota_s-fi_s/2/1000))^0.5*1000)))</f>
        <v>6883.6806735931605</v>
      </c>
      <c r="R1601" s="19">
        <f t="shared" ca="1" si="210"/>
        <v>6937.1257362340184</v>
      </c>
      <c r="S1601" s="19">
        <f t="shared" ca="1" si="211"/>
        <v>9607.0169537699494</v>
      </c>
    </row>
    <row r="1602" spans="13:19">
      <c r="M1602" s="81">
        <f t="shared" ca="1" si="208"/>
        <v>16558.505959445116</v>
      </c>
      <c r="N1602" s="19">
        <f t="shared" si="209"/>
        <v>288.41308785362105</v>
      </c>
      <c r="O1602" s="17">
        <f t="shared" si="207"/>
        <v>400.25</v>
      </c>
      <c r="P1602" s="19">
        <f ca="1">IF(ISERROR(IF(O1602&lt;fi_h/20,0,(OFFSET('Base de dados'!$A$5,IF(O1602&lt;20,1,IF(O1602&gt;1000,10,MATCH(O1602,Cargas,1))),Coluna_fih,1,1))*(1+0.13*0.25)*(PI()*(fi_h/1000)^2/4)*SQRT(2*9.81*(O1602/100-fi_h/2/1000))*1000)),"",IF(O1602&lt;fi_h/20,0,(OFFSET('Base de dados'!$A$5,IF(O1602&lt;20,1,IF(O1602&gt;1000,10,MATCH(O1602,Cargas,1))),Coluna_fih,1,1))*(PI()*(fi_h/1000)^2/4)*SQRT(2*9.81*(O1602/100-fi_h/2/1000))*1000))</f>
        <v>53.462000399220628</v>
      </c>
      <c r="Q1602" s="19">
        <f ca="1">IF(O1602="","",IF(Tipo_Vertedor="Retangular",IF(O1602&lt;=cota_s*100,0,IF(Tipo_Vertedor="Retangular",Cd_sr*Lef_sr*((O1602/100-cota_s)^(3/2))*1000)),IF(O1602&lt;=cota_s*100+fi_s/20,0,(OFFSET('Base de dados'!$A$4,IF(O1602&lt;20,1,IF(O1602&gt;1000,10,MATCH(O1602,Cargas,1))),Coluna_fis,1,1))*(PI()*(fi_s/1000)^2/4)*(2*9.81*(O1602/100-cota_s-fi_s/2/1000))^0.5*1000)))</f>
        <v>6891.2743639251939</v>
      </c>
      <c r="R1602" s="19">
        <f t="shared" ca="1" si="210"/>
        <v>6944.7363643244144</v>
      </c>
      <c r="S1602" s="19">
        <f t="shared" ca="1" si="211"/>
        <v>9613.7695951207024</v>
      </c>
    </row>
    <row r="1603" spans="13:19">
      <c r="M1603" s="81">
        <f t="shared" ca="1" si="208"/>
        <v>16572.872539227214</v>
      </c>
      <c r="N1603" s="19">
        <f t="shared" si="209"/>
        <v>288.61568285752736</v>
      </c>
      <c r="O1603" s="17">
        <f t="shared" si="207"/>
        <v>400.5</v>
      </c>
      <c r="P1603" s="19">
        <f ca="1">IF(ISERROR(IF(O1603&lt;fi_h/20,0,(OFFSET('Base de dados'!$A$5,IF(O1603&lt;20,1,IF(O1603&gt;1000,10,MATCH(O1603,Cargas,1))),Coluna_fih,1,1))*(1+0.13*0.25)*(PI()*(fi_h/1000)^2/4)*SQRT(2*9.81*(O1603/100-fi_h/2/1000))*1000)),"",IF(O1603&lt;fi_h/20,0,(OFFSET('Base de dados'!$A$5,IF(O1603&lt;20,1,IF(O1603&gt;1000,10,MATCH(O1603,Cargas,1))),Coluna_fih,1,1))*(PI()*(fi_h/1000)^2/4)*SQRT(2*9.81*(O1603/100-fi_h/2/1000))*1000))</f>
        <v>53.478932793085072</v>
      </c>
      <c r="Q1603" s="19">
        <f ca="1">IF(O1603="","",IF(Tipo_Vertedor="Retangular",IF(O1603&lt;=cota_s*100,0,IF(Tipo_Vertedor="Retangular",Cd_sr*Lef_sr*((O1603/100-cota_s)^(3/2))*1000)),IF(O1603&lt;=cota_s*100+fi_s/20,0,(OFFSET('Base de dados'!$A$4,IF(O1603&lt;20,1,IF(O1603&gt;1000,10,MATCH(O1603,Cargas,1))),Coluna_fis,1,1))*(PI()*(fi_s/1000)^2/4)*(2*9.81*(O1603/100-cota_s-fi_s/2/1000))^0.5*1000)))</f>
        <v>6898.8708445165512</v>
      </c>
      <c r="R1603" s="19">
        <f t="shared" ca="1" si="210"/>
        <v>6952.349777309636</v>
      </c>
      <c r="S1603" s="19">
        <f t="shared" ca="1" si="211"/>
        <v>9620.5227619175785</v>
      </c>
    </row>
    <row r="1604" spans="13:19">
      <c r="M1604" s="81">
        <f t="shared" ca="1" si="208"/>
        <v>16587.242428043712</v>
      </c>
      <c r="N1604" s="19">
        <f t="shared" si="209"/>
        <v>288.81829361620328</v>
      </c>
      <c r="O1604" s="17">
        <f t="shared" si="207"/>
        <v>400.75</v>
      </c>
      <c r="P1604" s="19">
        <f ca="1">IF(ISERROR(IF(O1604&lt;fi_h/20,0,(OFFSET('Base de dados'!$A$5,IF(O1604&lt;20,1,IF(O1604&gt;1000,10,MATCH(O1604,Cargas,1))),Coluna_fih,1,1))*(1+0.13*0.25)*(PI()*(fi_h/1000)^2/4)*SQRT(2*9.81*(O1604/100-fi_h/2/1000))*1000)),"",IF(O1604&lt;fi_h/20,0,(OFFSET('Base de dados'!$A$5,IF(O1604&lt;20,1,IF(O1604&gt;1000,10,MATCH(O1604,Cargas,1))),Coluna_fih,1,1))*(PI()*(fi_h/1000)^2/4)*SQRT(2*9.81*(O1604/100-fi_h/2/1000))*1000))</f>
        <v>53.49585982754509</v>
      </c>
      <c r="Q1604" s="19">
        <f ca="1">IF(O1604="","",IF(Tipo_Vertedor="Retangular",IF(O1604&lt;=cota_s*100,0,IF(Tipo_Vertedor="Retangular",Cd_sr*Lef_sr*((O1604/100-cota_s)^(3/2))*1000)),IF(O1604&lt;=cota_s*100+fi_s/20,0,(OFFSET('Base de dados'!$A$4,IF(O1604&lt;20,1,IF(O1604&gt;1000,10,MATCH(O1604,Cargas,1))),Coluna_fis,1,1))*(PI()*(fi_s/1000)^2/4)*(2*9.81*(O1604/100-cota_s-fi_s/2/1000))^0.5*1000)))</f>
        <v>6906.4701143427246</v>
      </c>
      <c r="R1604" s="19">
        <f t="shared" ca="1" si="210"/>
        <v>6959.9659741702699</v>
      </c>
      <c r="S1604" s="19">
        <f t="shared" ca="1" si="211"/>
        <v>9627.2764538734427</v>
      </c>
    </row>
    <row r="1605" spans="13:19">
      <c r="M1605" s="81">
        <f t="shared" ca="1" si="208"/>
        <v>16601.615624589489</v>
      </c>
      <c r="N1605" s="19">
        <f t="shared" si="209"/>
        <v>289.02092012104436</v>
      </c>
      <c r="O1605" s="17">
        <f t="shared" si="207"/>
        <v>401</v>
      </c>
      <c r="P1605" s="19">
        <f ca="1">IF(ISERROR(IF(O1605&lt;fi_h/20,0,(OFFSET('Base de dados'!$A$5,IF(O1605&lt;20,1,IF(O1605&gt;1000,10,MATCH(O1605,Cargas,1))),Coluna_fih,1,1))*(1+0.13*0.25)*(PI()*(fi_h/1000)^2/4)*SQRT(2*9.81*(O1605/100-fi_h/2/1000))*1000)),"",IF(O1605&lt;fi_h/20,0,(OFFSET('Base de dados'!$A$5,IF(O1605&lt;20,1,IF(O1605&gt;1000,10,MATCH(O1605,Cargas,1))),Coluna_fih,1,1))*(PI()*(fi_h/1000)^2/4)*SQRT(2*9.81*(O1605/100-fi_h/2/1000))*1000))</f>
        <v>53.512781507686505</v>
      </c>
      <c r="Q1605" s="19">
        <f ca="1">IF(O1605="","",IF(Tipo_Vertedor="Retangular",IF(O1605&lt;=cota_s*100,0,IF(Tipo_Vertedor="Retangular",Cd_sr*Lef_sr*((O1605/100-cota_s)^(3/2))*1000)),IF(O1605&lt;=cota_s*100+fi_s/20,0,(OFFSET('Base de dados'!$A$4,IF(O1605&lt;20,1,IF(O1605&gt;1000,10,MATCH(O1605,Cargas,1))),Coluna_fis,1,1))*(PI()*(fi_s/1000)^2/4)*(2*9.81*(O1605/100-cota_s-fi_s/2/1000))^0.5*1000)))</f>
        <v>6914.0721723803272</v>
      </c>
      <c r="R1605" s="19">
        <f t="shared" ca="1" si="210"/>
        <v>6967.5849538880138</v>
      </c>
      <c r="S1605" s="19">
        <f t="shared" ca="1" si="211"/>
        <v>9634.030670701477</v>
      </c>
    </row>
    <row r="1606" spans="13:19">
      <c r="M1606" s="81">
        <f t="shared" ca="1" si="208"/>
        <v>16615.992127560901</v>
      </c>
      <c r="N1606" s="19">
        <f t="shared" si="209"/>
        <v>289.22356236345649</v>
      </c>
      <c r="O1606" s="17">
        <f t="shared" si="207"/>
        <v>401.25</v>
      </c>
      <c r="P1606" s="19">
        <f ca="1">IF(ISERROR(IF(O1606&lt;fi_h/20,0,(OFFSET('Base de dados'!$A$5,IF(O1606&lt;20,1,IF(O1606&gt;1000,10,MATCH(O1606,Cargas,1))),Coluna_fih,1,1))*(1+0.13*0.25)*(PI()*(fi_h/1000)^2/4)*SQRT(2*9.81*(O1606/100-fi_h/2/1000))*1000)),"",IF(O1606&lt;fi_h/20,0,(OFFSET('Base de dados'!$A$5,IF(O1606&lt;20,1,IF(O1606&gt;1000,10,MATCH(O1606,Cargas,1))),Coluna_fih,1,1))*(PI()*(fi_h/1000)^2/4)*SQRT(2*9.81*(O1606/100-fi_h/2/1000))*1000))</f>
        <v>53.529697838587118</v>
      </c>
      <c r="Q1606" s="19">
        <f ca="1">IF(O1606="","",IF(Tipo_Vertedor="Retangular",IF(O1606&lt;=cota_s*100,0,IF(Tipo_Vertedor="Retangular",Cd_sr*Lef_sr*((O1606/100-cota_s)^(3/2))*1000)),IF(O1606&lt;=cota_s*100+fi_s/20,0,(OFFSET('Base de dados'!$A$4,IF(O1606&lt;20,1,IF(O1606&gt;1000,10,MATCH(O1606,Cargas,1))),Coluna_fis,1,1))*(PI()*(fi_s/1000)^2/4)*(2*9.81*(O1606/100-cota_s-fi_s/2/1000))^0.5*1000)))</f>
        <v>6921.6770176070995</v>
      </c>
      <c r="R1606" s="19">
        <f t="shared" ca="1" si="210"/>
        <v>6975.2067154456863</v>
      </c>
      <c r="S1606" s="19">
        <f t="shared" ca="1" si="211"/>
        <v>9640.7854121152159</v>
      </c>
    </row>
    <row r="1607" spans="13:19">
      <c r="M1607" s="81">
        <f t="shared" ca="1" si="208"/>
        <v>16630.371935655738</v>
      </c>
      <c r="N1607" s="19">
        <f t="shared" si="209"/>
        <v>289.42622033485532</v>
      </c>
      <c r="O1607" s="17">
        <f t="shared" si="207"/>
        <v>401.5</v>
      </c>
      <c r="P1607" s="19">
        <f ca="1">IF(ISERROR(IF(O1607&lt;fi_h/20,0,(OFFSET('Base de dados'!$A$5,IF(O1607&lt;20,1,IF(O1607&gt;1000,10,MATCH(O1607,Cargas,1))),Coluna_fih,1,1))*(1+0.13*0.25)*(PI()*(fi_h/1000)^2/4)*SQRT(2*9.81*(O1607/100-fi_h/2/1000))*1000)),"",IF(O1607&lt;fi_h/20,0,(OFFSET('Base de dados'!$A$5,IF(O1607&lt;20,1,IF(O1607&gt;1000,10,MATCH(O1607,Cargas,1))),Coluna_fih,1,1))*(PI()*(fi_h/1000)^2/4)*SQRT(2*9.81*(O1607/100-fi_h/2/1000))*1000))</f>
        <v>53.546608825316675</v>
      </c>
      <c r="Q1607" s="19">
        <f ca="1">IF(O1607="","",IF(Tipo_Vertedor="Retangular",IF(O1607&lt;=cota_s*100,0,IF(Tipo_Vertedor="Retangular",Cd_sr*Lef_sr*((O1607/100-cota_s)^(3/2))*1000)),IF(O1607&lt;=cota_s*100+fi_s/20,0,(OFFSET('Base de dados'!$A$4,IF(O1607&lt;20,1,IF(O1607&gt;1000,10,MATCH(O1607,Cargas,1))),Coluna_fis,1,1))*(PI()*(fi_s/1000)^2/4)*(2*9.81*(O1607/100-cota_s-fi_s/2/1000))^0.5*1000)))</f>
        <v>6929.2846490019092</v>
      </c>
      <c r="R1607" s="19">
        <f t="shared" ca="1" si="210"/>
        <v>6982.8312578272262</v>
      </c>
      <c r="S1607" s="19">
        <f t="shared" ca="1" si="211"/>
        <v>9647.5406778285105</v>
      </c>
    </row>
    <row r="1608" spans="13:19">
      <c r="M1608" s="81">
        <f t="shared" ca="1" si="208"/>
        <v>16644.755047573239</v>
      </c>
      <c r="N1608" s="19">
        <f t="shared" si="209"/>
        <v>289.62889402666696</v>
      </c>
      <c r="O1608" s="17">
        <f t="shared" si="207"/>
        <v>401.75</v>
      </c>
      <c r="P1608" s="19">
        <f ca="1">IF(ISERROR(IF(O1608&lt;fi_h/20,0,(OFFSET('Base de dados'!$A$5,IF(O1608&lt;20,1,IF(O1608&gt;1000,10,MATCH(O1608,Cargas,1))),Coluna_fih,1,1))*(1+0.13*0.25)*(PI()*(fi_h/1000)^2/4)*SQRT(2*9.81*(O1608/100-fi_h/2/1000))*1000)),"",IF(O1608&lt;fi_h/20,0,(OFFSET('Base de dados'!$A$5,IF(O1608&lt;20,1,IF(O1608&gt;1000,10,MATCH(O1608,Cargas,1))),Coluna_fih,1,1))*(PI()*(fi_h/1000)^2/4)*SQRT(2*9.81*(O1608/100-fi_h/2/1000))*1000))</f>
        <v>53.56351447293693</v>
      </c>
      <c r="Q1608" s="19">
        <f ca="1">IF(O1608="","",IF(Tipo_Vertedor="Retangular",IF(O1608&lt;=cota_s*100,0,IF(Tipo_Vertedor="Retangular",Cd_sr*Lef_sr*((O1608/100-cota_s)^(3/2))*1000)),IF(O1608&lt;=cota_s*100+fi_s/20,0,(OFFSET('Base de dados'!$A$4,IF(O1608&lt;20,1,IF(O1608&gt;1000,10,MATCH(O1608,Cargas,1))),Coluna_fis,1,1))*(PI()*(fi_s/1000)^2/4)*(2*9.81*(O1608/100-cota_s-fi_s/2/1000))^0.5*1000)))</f>
        <v>6936.895065544737</v>
      </c>
      <c r="R1608" s="19">
        <f t="shared" ca="1" si="210"/>
        <v>6990.4585800176737</v>
      </c>
      <c r="S1608" s="19">
        <f t="shared" ca="1" si="211"/>
        <v>9654.296467555565</v>
      </c>
    </row>
    <row r="1609" spans="13:19">
      <c r="M1609" s="81">
        <f t="shared" ca="1" si="208"/>
        <v>16659.141462014093</v>
      </c>
      <c r="N1609" s="19">
        <f t="shared" si="209"/>
        <v>289.83158343032699</v>
      </c>
      <c r="O1609" s="17">
        <f t="shared" si="207"/>
        <v>402</v>
      </c>
      <c r="P1609" s="19">
        <f ca="1">IF(ISERROR(IF(O1609&lt;fi_h/20,0,(OFFSET('Base de dados'!$A$5,IF(O1609&lt;20,1,IF(O1609&gt;1000,10,MATCH(O1609,Cargas,1))),Coluna_fih,1,1))*(1+0.13*0.25)*(PI()*(fi_h/1000)^2/4)*SQRT(2*9.81*(O1609/100-fi_h/2/1000))*1000)),"",IF(O1609&lt;fi_h/20,0,(OFFSET('Base de dados'!$A$5,IF(O1609&lt;20,1,IF(O1609&gt;1000,10,MATCH(O1609,Cargas,1))),Coluna_fih,1,1))*(PI()*(fi_h/1000)^2/4)*SQRT(2*9.81*(O1609/100-fi_h/2/1000))*1000))</f>
        <v>53.58041478650167</v>
      </c>
      <c r="Q1609" s="19">
        <f ca="1">IF(O1609="","",IF(Tipo_Vertedor="Retangular",IF(O1609&lt;=cota_s*100,0,IF(Tipo_Vertedor="Retangular",Cd_sr*Lef_sr*((O1609/100-cota_s)^(3/2))*1000)),IF(O1609&lt;=cota_s*100+fi_s/20,0,(OFFSET('Base de dados'!$A$4,IF(O1609&lt;20,1,IF(O1609&gt;1000,10,MATCH(O1609,Cargas,1))),Coluna_fis,1,1))*(PI()*(fi_s/1000)^2/4)*(2*9.81*(O1609/100-cota_s-fi_s/2/1000))^0.5*1000)))</f>
        <v>6944.5082662166933</v>
      </c>
      <c r="R1609" s="19">
        <f t="shared" ca="1" si="210"/>
        <v>6998.0886810031952</v>
      </c>
      <c r="S1609" s="19">
        <f t="shared" ca="1" si="211"/>
        <v>9661.0527810108997</v>
      </c>
    </row>
    <row r="1610" spans="13:19">
      <c r="M1610" s="81">
        <f t="shared" ca="1" si="208"/>
        <v>16673.531177680437</v>
      </c>
      <c r="N1610" s="19">
        <f t="shared" si="209"/>
        <v>290.03428853728144</v>
      </c>
      <c r="O1610" s="17">
        <f t="shared" si="207"/>
        <v>402.25</v>
      </c>
      <c r="P1610" s="19">
        <f ca="1">IF(ISERROR(IF(O1610&lt;fi_h/20,0,(OFFSET('Base de dados'!$A$5,IF(O1610&lt;20,1,IF(O1610&gt;1000,10,MATCH(O1610,Cargas,1))),Coluna_fih,1,1))*(1+0.13*0.25)*(PI()*(fi_h/1000)^2/4)*SQRT(2*9.81*(O1610/100-fi_h/2/1000))*1000)),"",IF(O1610&lt;fi_h/20,0,(OFFSET('Base de dados'!$A$5,IF(O1610&lt;20,1,IF(O1610&gt;1000,10,MATCH(O1610,Cargas,1))),Coluna_fih,1,1))*(PI()*(fi_h/1000)^2/4)*SQRT(2*9.81*(O1610/100-fi_h/2/1000))*1000))</f>
        <v>53.5973097710567</v>
      </c>
      <c r="Q1610" s="19">
        <f ca="1">IF(O1610="","",IF(Tipo_Vertedor="Retangular",IF(O1610&lt;=cota_s*100,0,IF(Tipo_Vertedor="Retangular",Cd_sr*Lef_sr*((O1610/100-cota_s)^(3/2))*1000)),IF(O1610&lt;=cota_s*100+fi_s/20,0,(OFFSET('Base de dados'!$A$4,IF(O1610&lt;20,1,IF(O1610&gt;1000,10,MATCH(O1610,Cargas,1))),Coluna_fis,1,1))*(PI()*(fi_s/1000)^2/4)*(2*9.81*(O1610/100-cota_s-fi_s/2/1000))^0.5*1000)))</f>
        <v>6952.124249999998</v>
      </c>
      <c r="R1610" s="19">
        <f t="shared" ca="1" si="210"/>
        <v>7005.7215597710547</v>
      </c>
      <c r="S1610" s="19">
        <f t="shared" ca="1" si="211"/>
        <v>9667.8096179093809</v>
      </c>
    </row>
    <row r="1611" spans="13:19">
      <c r="M1611" s="81">
        <f t="shared" ca="1" si="208"/>
        <v>16687.924193275834</v>
      </c>
      <c r="N1611" s="19">
        <f t="shared" si="209"/>
        <v>290.23700933898607</v>
      </c>
      <c r="O1611" s="17">
        <f t="shared" si="207"/>
        <v>402.5</v>
      </c>
      <c r="P1611" s="19">
        <f ca="1">IF(ISERROR(IF(O1611&lt;fi_h/20,0,(OFFSET('Base de dados'!$A$5,IF(O1611&lt;20,1,IF(O1611&gt;1000,10,MATCH(O1611,Cargas,1))),Coluna_fih,1,1))*(1+0.13*0.25)*(PI()*(fi_h/1000)^2/4)*SQRT(2*9.81*(O1611/100-fi_h/2/1000))*1000)),"",IF(O1611&lt;fi_h/20,0,(OFFSET('Base de dados'!$A$5,IF(O1611&lt;20,1,IF(O1611&gt;1000,10,MATCH(O1611,Cargas,1))),Coluna_fih,1,1))*(PI()*(fi_h/1000)^2/4)*SQRT(2*9.81*(O1611/100-fi_h/2/1000))*1000))</f>
        <v>53.614199431639868</v>
      </c>
      <c r="Q1611" s="19">
        <f ca="1">IF(O1611="","",IF(Tipo_Vertedor="Retangular",IF(O1611&lt;=cota_s*100,0,IF(Tipo_Vertedor="Retangular",Cd_sr*Lef_sr*((O1611/100-cota_s)^(3/2))*1000)),IF(O1611&lt;=cota_s*100+fi_s/20,0,(OFFSET('Base de dados'!$A$4,IF(O1611&lt;20,1,IF(O1611&gt;1000,10,MATCH(O1611,Cargas,1))),Coluna_fis,1,1))*(PI()*(fi_s/1000)^2/4)*(2*9.81*(O1611/100-cota_s-fi_s/2/1000))^0.5*1000)))</f>
        <v>6959.7430158779935</v>
      </c>
      <c r="R1611" s="19">
        <f t="shared" ca="1" si="210"/>
        <v>7013.3572153096329</v>
      </c>
      <c r="S1611" s="19">
        <f t="shared" ca="1" si="211"/>
        <v>9674.5669779662021</v>
      </c>
    </row>
    <row r="1612" spans="13:19">
      <c r="M1612" s="81">
        <f t="shared" ca="1" si="208"/>
        <v>16702.32050750529</v>
      </c>
      <c r="N1612" s="19">
        <f t="shared" si="209"/>
        <v>290.43974582690663</v>
      </c>
      <c r="O1612" s="17">
        <f t="shared" si="207"/>
        <v>402.75</v>
      </c>
      <c r="P1612" s="19">
        <f ca="1">IF(ISERROR(IF(O1612&lt;fi_h/20,0,(OFFSET('Base de dados'!$A$5,IF(O1612&lt;20,1,IF(O1612&gt;1000,10,MATCH(O1612,Cargas,1))),Coluna_fih,1,1))*(1+0.13*0.25)*(PI()*(fi_h/1000)^2/4)*SQRT(2*9.81*(O1612/100-fi_h/2/1000))*1000)),"",IF(O1612&lt;fi_h/20,0,(OFFSET('Base de dados'!$A$5,IF(O1612&lt;20,1,IF(O1612&gt;1000,10,MATCH(O1612,Cargas,1))),Coluna_fih,1,1))*(PI()*(fi_h/1000)^2/4)*SQRT(2*9.81*(O1612/100-fi_h/2/1000))*1000))</f>
        <v>53.631083773281105</v>
      </c>
      <c r="Q1612" s="19">
        <f ca="1">IF(O1612="","",IF(Tipo_Vertedor="Retangular",IF(O1612&lt;=cota_s*100,0,IF(Tipo_Vertedor="Retangular",Cd_sr*Lef_sr*((O1612/100-cota_s)^(3/2))*1000)),IF(O1612&lt;=cota_s*100+fi_s/20,0,(OFFSET('Base de dados'!$A$4,IF(O1612&lt;20,1,IF(O1612&gt;1000,10,MATCH(O1612,Cargas,1))),Coluna_fis,1,1))*(PI()*(fi_s/1000)^2/4)*(2*9.81*(O1612/100-cota_s-fi_s/2/1000))^0.5*1000)))</f>
        <v>6967.3645628351233</v>
      </c>
      <c r="R1612" s="19">
        <f t="shared" ca="1" si="210"/>
        <v>7020.9956466084041</v>
      </c>
      <c r="S1612" s="19">
        <f t="shared" ca="1" si="211"/>
        <v>9681.3248608968879</v>
      </c>
    </row>
    <row r="1613" spans="13:19">
      <c r="M1613" s="81">
        <f t="shared" ca="1" si="208"/>
        <v>16716.720119075253</v>
      </c>
      <c r="N1613" s="19">
        <f t="shared" si="209"/>
        <v>290.64249799251877</v>
      </c>
      <c r="O1613" s="17">
        <f t="shared" si="207"/>
        <v>403</v>
      </c>
      <c r="P1613" s="19">
        <f ca="1">IF(ISERROR(IF(O1613&lt;fi_h/20,0,(OFFSET('Base de dados'!$A$5,IF(O1613&lt;20,1,IF(O1613&gt;1000,10,MATCH(O1613,Cargas,1))),Coluna_fih,1,1))*(1+0.13*0.25)*(PI()*(fi_h/1000)^2/4)*SQRT(2*9.81*(O1613/100-fi_h/2/1000))*1000)),"",IF(O1613&lt;fi_h/20,0,(OFFSET('Base de dados'!$A$5,IF(O1613&lt;20,1,IF(O1613&gt;1000,10,MATCH(O1613,Cargas,1))),Coluna_fih,1,1))*(PI()*(fi_h/1000)^2/4)*SQRT(2*9.81*(O1613/100-fi_h/2/1000))*1000))</f>
        <v>53.647962801002421</v>
      </c>
      <c r="Q1613" s="19">
        <f ca="1">IF(O1613="","",IF(Tipo_Vertedor="Retangular",IF(O1613&lt;=cota_s*100,0,IF(Tipo_Vertedor="Retangular",Cd_sr*Lef_sr*((O1613/100-cota_s)^(3/2))*1000)),IF(O1613&lt;=cota_s*100+fi_s/20,0,(OFFSET('Base de dados'!$A$4,IF(O1613&lt;20,1,IF(O1613&gt;1000,10,MATCH(O1613,Cargas,1))),Coluna_fis,1,1))*(PI()*(fi_s/1000)^2/4)*(2*9.81*(O1613/100-cota_s-fi_s/2/1000))^0.5*1000)))</f>
        <v>6974.9888898569588</v>
      </c>
      <c r="R1613" s="19">
        <f t="shared" ca="1" si="210"/>
        <v>7028.6368526579608</v>
      </c>
      <c r="S1613" s="19">
        <f t="shared" ca="1" si="211"/>
        <v>9688.0832664172922</v>
      </c>
    </row>
    <row r="1614" spans="13:19">
      <c r="M1614" s="81">
        <f t="shared" ca="1" si="208"/>
        <v>16731.123026693585</v>
      </c>
      <c r="N1614" s="19">
        <f t="shared" si="209"/>
        <v>290.84526582730814</v>
      </c>
      <c r="O1614" s="17">
        <f t="shared" si="207"/>
        <v>403.25</v>
      </c>
      <c r="P1614" s="19">
        <f ca="1">IF(ISERROR(IF(O1614&lt;fi_h/20,0,(OFFSET('Base de dados'!$A$5,IF(O1614&lt;20,1,IF(O1614&gt;1000,10,MATCH(O1614,Cargas,1))),Coluna_fih,1,1))*(1+0.13*0.25)*(PI()*(fi_h/1000)^2/4)*SQRT(2*9.81*(O1614/100-fi_h/2/1000))*1000)),"",IF(O1614&lt;fi_h/20,0,(OFFSET('Base de dados'!$A$5,IF(O1614&lt;20,1,IF(O1614&gt;1000,10,MATCH(O1614,Cargas,1))),Coluna_fih,1,1))*(PI()*(fi_h/1000)^2/4)*SQRT(2*9.81*(O1614/100-fi_h/2/1000))*1000))</f>
        <v>53.664836519817904</v>
      </c>
      <c r="Q1614" s="19">
        <f ca="1">IF(O1614="","",IF(Tipo_Vertedor="Retangular",IF(O1614&lt;=cota_s*100,0,IF(Tipo_Vertedor="Retangular",Cd_sr*Lef_sr*((O1614/100-cota_s)^(3/2))*1000)),IF(O1614&lt;=cota_s*100+fi_s/20,0,(OFFSET('Base de dados'!$A$4,IF(O1614&lt;20,1,IF(O1614&gt;1000,10,MATCH(O1614,Cargas,1))),Coluna_fis,1,1))*(PI()*(fi_s/1000)^2/4)*(2*9.81*(O1614/100-cota_s-fi_s/2/1000))^0.5*1000)))</f>
        <v>6982.615995930164</v>
      </c>
      <c r="R1614" s="19">
        <f t="shared" ca="1" si="210"/>
        <v>7036.280832449982</v>
      </c>
      <c r="S1614" s="19">
        <f t="shared" ca="1" si="211"/>
        <v>9694.8421942436034</v>
      </c>
    </row>
    <row r="1615" spans="13:19">
      <c r="M1615" s="81">
        <f t="shared" ca="1" si="208"/>
        <v>16745.529229069605</v>
      </c>
      <c r="N1615" s="19">
        <f t="shared" si="209"/>
        <v>291.04804932277034</v>
      </c>
      <c r="O1615" s="17">
        <f t="shared" si="207"/>
        <v>403.5</v>
      </c>
      <c r="P1615" s="19">
        <f ca="1">IF(ISERROR(IF(O1615&lt;fi_h/20,0,(OFFSET('Base de dados'!$A$5,IF(O1615&lt;20,1,IF(O1615&gt;1000,10,MATCH(O1615,Cargas,1))),Coluna_fih,1,1))*(1+0.13*0.25)*(PI()*(fi_h/1000)^2/4)*SQRT(2*9.81*(O1615/100-fi_h/2/1000))*1000)),"",IF(O1615&lt;fi_h/20,0,(OFFSET('Base de dados'!$A$5,IF(O1615&lt;20,1,IF(O1615&gt;1000,10,MATCH(O1615,Cargas,1))),Coluna_fih,1,1))*(PI()*(fi_h/1000)^2/4)*SQRT(2*9.81*(O1615/100-fi_h/2/1000))*1000))</f>
        <v>53.681704934733823</v>
      </c>
      <c r="Q1615" s="19">
        <f ca="1">IF(O1615="","",IF(Tipo_Vertedor="Retangular",IF(O1615&lt;=cota_s*100,0,IF(Tipo_Vertedor="Retangular",Cd_sr*Lef_sr*((O1615/100-cota_s)^(3/2))*1000)),IF(O1615&lt;=cota_s*100+fi_s/20,0,(OFFSET('Base de dados'!$A$4,IF(O1615&lt;20,1,IF(O1615&gt;1000,10,MATCH(O1615,Cargas,1))),Coluna_fis,1,1))*(PI()*(fi_s/1000)^2/4)*(2*9.81*(O1615/100-cota_s-fi_s/2/1000))^0.5*1000)))</f>
        <v>6990.2458800425266</v>
      </c>
      <c r="R1615" s="19">
        <f t="shared" ca="1" si="210"/>
        <v>7043.9275849772603</v>
      </c>
      <c r="S1615" s="19">
        <f t="shared" ca="1" si="211"/>
        <v>9701.6016440923449</v>
      </c>
    </row>
    <row r="1616" spans="13:19">
      <c r="M1616" s="81">
        <f t="shared" ca="1" si="208"/>
        <v>16759.938724914027</v>
      </c>
      <c r="N1616" s="19">
        <f t="shared" si="209"/>
        <v>291.25084847041063</v>
      </c>
      <c r="O1616" s="17">
        <f t="shared" si="207"/>
        <v>403.75</v>
      </c>
      <c r="P1616" s="19">
        <f ca="1">IF(ISERROR(IF(O1616&lt;fi_h/20,0,(OFFSET('Base de dados'!$A$5,IF(O1616&lt;20,1,IF(O1616&gt;1000,10,MATCH(O1616,Cargas,1))),Coluna_fih,1,1))*(1+0.13*0.25)*(PI()*(fi_h/1000)^2/4)*SQRT(2*9.81*(O1616/100-fi_h/2/1000))*1000)),"",IF(O1616&lt;fi_h/20,0,(OFFSET('Base de dados'!$A$5,IF(O1616&lt;20,1,IF(O1616&gt;1000,10,MATCH(O1616,Cargas,1))),Coluna_fih,1,1))*(PI()*(fi_h/1000)^2/4)*SQRT(2*9.81*(O1616/100-fi_h/2/1000))*1000))</f>
        <v>53.698568050748491</v>
      </c>
      <c r="Q1616" s="19">
        <f ca="1">IF(O1616="","",IF(Tipo_Vertedor="Retangular",IF(O1616&lt;=cota_s*100,0,IF(Tipo_Vertedor="Retangular",Cd_sr*Lef_sr*((O1616/100-cota_s)^(3/2))*1000)),IF(O1616&lt;=cota_s*100+fi_s/20,0,(OFFSET('Base de dados'!$A$4,IF(O1616&lt;20,1,IF(O1616&gt;1000,10,MATCH(O1616,Cargas,1))),Coluna_fis,1,1))*(PI()*(fi_s/1000)^2/4)*(2*9.81*(O1616/100-cota_s-fi_s/2/1000))^0.5*1000)))</f>
        <v>6997.8785411829231</v>
      </c>
      <c r="R1616" s="19">
        <f t="shared" ca="1" si="210"/>
        <v>7051.5771092336718</v>
      </c>
      <c r="S1616" s="19">
        <f t="shared" ca="1" si="211"/>
        <v>9708.3616156803546</v>
      </c>
    </row>
    <row r="1617" spans="13:19">
      <c r="M1617" s="81">
        <f t="shared" ca="1" si="208"/>
        <v>16774.351512939014</v>
      </c>
      <c r="N1617" s="19">
        <f t="shared" si="209"/>
        <v>291.45366326174445</v>
      </c>
      <c r="O1617" s="17">
        <f t="shared" si="207"/>
        <v>404</v>
      </c>
      <c r="P1617" s="19">
        <f ca="1">IF(ISERROR(IF(O1617&lt;fi_h/20,0,(OFFSET('Base de dados'!$A$5,IF(O1617&lt;20,1,IF(O1617&gt;1000,10,MATCH(O1617,Cargas,1))),Coluna_fih,1,1))*(1+0.13*0.25)*(PI()*(fi_h/1000)^2/4)*SQRT(2*9.81*(O1617/100-fi_h/2/1000))*1000)),"",IF(O1617&lt;fi_h/20,0,(OFFSET('Base de dados'!$A$5,IF(O1617&lt;20,1,IF(O1617&gt;1000,10,MATCH(O1617,Cargas,1))),Coluna_fih,1,1))*(PI()*(fi_h/1000)^2/4)*SQRT(2*9.81*(O1617/100-fi_h/2/1000))*1000))</f>
        <v>53.715425872852492</v>
      </c>
      <c r="Q1617" s="19">
        <f ca="1">IF(O1617="","",IF(Tipo_Vertedor="Retangular",IF(O1617&lt;=cota_s*100,0,IF(Tipo_Vertedor="Retangular",Cd_sr*Lef_sr*((O1617/100-cota_s)^(3/2))*1000)),IF(O1617&lt;=cota_s*100+fi_s/20,0,(OFFSET('Base de dados'!$A$4,IF(O1617&lt;20,1,IF(O1617&gt;1000,10,MATCH(O1617,Cargas,1))),Coluna_fis,1,1))*(PI()*(fi_s/1000)^2/4)*(2*9.81*(O1617/100-cota_s-fi_s/2/1000))^0.5*1000)))</f>
        <v>7005.513978341346</v>
      </c>
      <c r="R1617" s="19">
        <f t="shared" ca="1" si="210"/>
        <v>7059.2294042141984</v>
      </c>
      <c r="S1617" s="19">
        <f t="shared" ca="1" si="211"/>
        <v>9715.1221087248141</v>
      </c>
    </row>
    <row r="1618" spans="13:19">
      <c r="M1618" s="81">
        <f t="shared" ca="1" si="208"/>
        <v>16788.767591858144</v>
      </c>
      <c r="N1618" s="19">
        <f t="shared" si="209"/>
        <v>291.65649368829685</v>
      </c>
      <c r="O1618" s="17">
        <f t="shared" si="207"/>
        <v>404.25</v>
      </c>
      <c r="P1618" s="19">
        <f ca="1">IF(ISERROR(IF(O1618&lt;fi_h/20,0,(OFFSET('Base de dados'!$A$5,IF(O1618&lt;20,1,IF(O1618&gt;1000,10,MATCH(O1618,Cargas,1))),Coluna_fih,1,1))*(1+0.13*0.25)*(PI()*(fi_h/1000)^2/4)*SQRT(2*9.81*(O1618/100-fi_h/2/1000))*1000)),"",IF(O1618&lt;fi_h/20,0,(OFFSET('Base de dados'!$A$5,IF(O1618&lt;20,1,IF(O1618&gt;1000,10,MATCH(O1618,Cargas,1))),Coluna_fih,1,1))*(PI()*(fi_h/1000)^2/4)*SQRT(2*9.81*(O1618/100-fi_h/2/1000))*1000))</f>
        <v>53.73227840602847</v>
      </c>
      <c r="Q1618" s="19">
        <f ca="1">IF(O1618="","",IF(Tipo_Vertedor="Retangular",IF(O1618&lt;=cota_s*100,0,IF(Tipo_Vertedor="Retangular",Cd_sr*Lef_sr*((O1618/100-cota_s)^(3/2))*1000)),IF(O1618&lt;=cota_s*100+fi_s/20,0,(OFFSET('Base de dados'!$A$4,IF(O1618&lt;20,1,IF(O1618&gt;1000,10,MATCH(O1618,Cargas,1))),Coluna_fis,1,1))*(PI()*(fi_s/1000)^2/4)*(2*9.81*(O1618/100-cota_s-fi_s/2/1000))^0.5*1000)))</f>
        <v>7013.1521905088866</v>
      </c>
      <c r="R1618" s="19">
        <f t="shared" ca="1" si="210"/>
        <v>7066.8844689149155</v>
      </c>
      <c r="S1618" s="19">
        <f t="shared" ca="1" si="211"/>
        <v>9721.883122943229</v>
      </c>
    </row>
    <row r="1619" spans="13:19">
      <c r="M1619" s="81">
        <f t="shared" ca="1" si="208"/>
        <v>16803.186960386396</v>
      </c>
      <c r="N1619" s="19">
        <f t="shared" si="209"/>
        <v>291.85933974160253</v>
      </c>
      <c r="O1619" s="17">
        <f t="shared" ref="O1619:O1682" si="212">IF(ISERROR(IF(O1618+passo_altura&gt;h_max_puls*100,"",O1618+passo_altura)),"",IF(O1618+passo_altura&gt;h_max_puls*100,"",O1618+passo_altura))</f>
        <v>404.5</v>
      </c>
      <c r="P1619" s="19">
        <f ca="1">IF(ISERROR(IF(O1619&lt;fi_h/20,0,(OFFSET('Base de dados'!$A$5,IF(O1619&lt;20,1,IF(O1619&gt;1000,10,MATCH(O1619,Cargas,1))),Coluna_fih,1,1))*(1+0.13*0.25)*(PI()*(fi_h/1000)^2/4)*SQRT(2*9.81*(O1619/100-fi_h/2/1000))*1000)),"",IF(O1619&lt;fi_h/20,0,(OFFSET('Base de dados'!$A$5,IF(O1619&lt;20,1,IF(O1619&gt;1000,10,MATCH(O1619,Cargas,1))),Coluna_fih,1,1))*(PI()*(fi_h/1000)^2/4)*SQRT(2*9.81*(O1619/100-fi_h/2/1000))*1000))</f>
        <v>53.749125655251333</v>
      </c>
      <c r="Q1619" s="19">
        <f ca="1">IF(O1619="","",IF(Tipo_Vertedor="Retangular",IF(O1619&lt;=cota_s*100,0,IF(Tipo_Vertedor="Retangular",Cd_sr*Lef_sr*((O1619/100-cota_s)^(3/2))*1000)),IF(O1619&lt;=cota_s*100+fi_s/20,0,(OFFSET('Base de dados'!$A$4,IF(O1619&lt;20,1,IF(O1619&gt;1000,10,MATCH(O1619,Cargas,1))),Coluna_fis,1,1))*(PI()*(fi_s/1000)^2/4)*(2*9.81*(O1619/100-cota_s-fi_s/2/1000))^0.5*1000)))</f>
        <v>7020.7931766777265</v>
      </c>
      <c r="R1619" s="19">
        <f t="shared" ca="1" si="210"/>
        <v>7074.5423023329777</v>
      </c>
      <c r="S1619" s="19">
        <f t="shared" ca="1" si="211"/>
        <v>9728.6446580534175</v>
      </c>
    </row>
    <row r="1620" spans="13:19">
      <c r="M1620" s="81">
        <f t="shared" ca="1" si="208"/>
        <v>16817.609617240196</v>
      </c>
      <c r="N1620" s="19">
        <f t="shared" si="209"/>
        <v>292.06220141320665</v>
      </c>
      <c r="O1620" s="17">
        <f t="shared" si="212"/>
        <v>404.75</v>
      </c>
      <c r="P1620" s="19">
        <f ca="1">IF(ISERROR(IF(O1620&lt;fi_h/20,0,(OFFSET('Base de dados'!$A$5,IF(O1620&lt;20,1,IF(O1620&gt;1000,10,MATCH(O1620,Cargas,1))),Coluna_fih,1,1))*(1+0.13*0.25)*(PI()*(fi_h/1000)^2/4)*SQRT(2*9.81*(O1620/100-fi_h/2/1000))*1000)),"",IF(O1620&lt;fi_h/20,0,(OFFSET('Base de dados'!$A$5,IF(O1620&lt;20,1,IF(O1620&gt;1000,10,MATCH(O1620,Cargas,1))),Coluna_fih,1,1))*(PI()*(fi_h/1000)^2/4)*SQRT(2*9.81*(O1620/100-fi_h/2/1000))*1000))</f>
        <v>53.765967625488159</v>
      </c>
      <c r="Q1620" s="19">
        <f ca="1">IF(O1620="","",IF(Tipo_Vertedor="Retangular",IF(O1620&lt;=cota_s*100,0,IF(Tipo_Vertedor="Retangular",Cd_sr*Lef_sr*((O1620/100-cota_s)^(3/2))*1000)),IF(O1620&lt;=cota_s*100+fi_s/20,0,(OFFSET('Base de dados'!$A$4,IF(O1620&lt;20,1,IF(O1620&gt;1000,10,MATCH(O1620,Cargas,1))),Coluna_fis,1,1))*(PI()*(fi_s/1000)^2/4)*(2*9.81*(O1620/100-cota_s-fi_s/2/1000))^0.5*1000)))</f>
        <v>7028.4369358411541</v>
      </c>
      <c r="R1620" s="19">
        <f t="shared" ca="1" si="210"/>
        <v>7082.2029034666421</v>
      </c>
      <c r="S1620" s="19">
        <f t="shared" ca="1" si="211"/>
        <v>9735.4067137735547</v>
      </c>
    </row>
    <row r="1621" spans="13:19">
      <c r="M1621" s="81">
        <f t="shared" ca="1" si="208"/>
        <v>16832.035561137367</v>
      </c>
      <c r="N1621" s="19">
        <f t="shared" si="209"/>
        <v>292.26507869466349</v>
      </c>
      <c r="O1621" s="17">
        <f t="shared" si="212"/>
        <v>405</v>
      </c>
      <c r="P1621" s="19">
        <f ca="1">IF(ISERROR(IF(O1621&lt;fi_h/20,0,(OFFSET('Base de dados'!$A$5,IF(O1621&lt;20,1,IF(O1621&gt;1000,10,MATCH(O1621,Cargas,1))),Coluna_fih,1,1))*(1+0.13*0.25)*(PI()*(fi_h/1000)^2/4)*SQRT(2*9.81*(O1621/100-fi_h/2/1000))*1000)),"",IF(O1621&lt;fi_h/20,0,(OFFSET('Base de dados'!$A$5,IF(O1621&lt;20,1,IF(O1621&gt;1000,10,MATCH(O1621,Cargas,1))),Coluna_fih,1,1))*(PI()*(fi_h/1000)^2/4)*SQRT(2*9.81*(O1621/100-fi_h/2/1000))*1000))</f>
        <v>53.782804321698244</v>
      </c>
      <c r="Q1621" s="19">
        <f ca="1">IF(O1621="","",IF(Tipo_Vertedor="Retangular",IF(O1621&lt;=cota_s*100,0,IF(Tipo_Vertedor="Retangular",Cd_sr*Lef_sr*((O1621/100-cota_s)^(3/2))*1000)),IF(O1621&lt;=cota_s*100+fi_s/20,0,(OFFSET('Base de dados'!$A$4,IF(O1621&lt;20,1,IF(O1621&gt;1000,10,MATCH(O1621,Cargas,1))),Coluna_fis,1,1))*(PI()*(fi_s/1000)^2/4)*(2*9.81*(O1621/100-cota_s-fi_s/2/1000))^0.5*1000)))</f>
        <v>7036.0834669935521</v>
      </c>
      <c r="R1621" s="19">
        <f t="shared" ca="1" si="210"/>
        <v>7089.8662713152507</v>
      </c>
      <c r="S1621" s="19">
        <f t="shared" ca="1" si="211"/>
        <v>9742.1692898221154</v>
      </c>
    </row>
    <row r="1622" spans="13:19">
      <c r="M1622" s="81">
        <f t="shared" ca="1" si="208"/>
        <v>16846.464790797138</v>
      </c>
      <c r="N1622" s="19">
        <f t="shared" si="209"/>
        <v>292.46797157753736</v>
      </c>
      <c r="O1622" s="17">
        <f t="shared" si="212"/>
        <v>405.25</v>
      </c>
      <c r="P1622" s="19">
        <f ca="1">IF(ISERROR(IF(O1622&lt;fi_h/20,0,(OFFSET('Base de dados'!$A$5,IF(O1622&lt;20,1,IF(O1622&gt;1000,10,MATCH(O1622,Cargas,1))),Coluna_fih,1,1))*(1+0.13*0.25)*(PI()*(fi_h/1000)^2/4)*SQRT(2*9.81*(O1622/100-fi_h/2/1000))*1000)),"",IF(O1622&lt;fi_h/20,0,(OFFSET('Base de dados'!$A$5,IF(O1622&lt;20,1,IF(O1622&gt;1000,10,MATCH(O1622,Cargas,1))),Coluna_fih,1,1))*(PI()*(fi_h/1000)^2/4)*SQRT(2*9.81*(O1622/100-fi_h/2/1000))*1000))</f>
        <v>53.799635748833154</v>
      </c>
      <c r="Q1622" s="19">
        <f ca="1">IF(O1622="","",IF(Tipo_Vertedor="Retangular",IF(O1622&lt;=cota_s*100,0,IF(Tipo_Vertedor="Retangular",Cd_sr*Lef_sr*((O1622/100-cota_s)^(3/2))*1000)),IF(O1622&lt;=cota_s*100+fi_s/20,0,(OFFSET('Base de dados'!$A$4,IF(O1622&lt;20,1,IF(O1622&gt;1000,10,MATCH(O1622,Cargas,1))),Coluna_fis,1,1))*(PI()*(fi_s/1000)^2/4)*(2*9.81*(O1622/100-cota_s-fi_s/2/1000))^0.5*1000)))</f>
        <v>7043.7327691303935</v>
      </c>
      <c r="R1622" s="19">
        <f t="shared" ca="1" si="210"/>
        <v>7097.5324048792263</v>
      </c>
      <c r="S1622" s="19">
        <f t="shared" ca="1" si="211"/>
        <v>9748.9323859179112</v>
      </c>
    </row>
    <row r="1623" spans="13:19">
      <c r="M1623" s="81">
        <f t="shared" ref="M1623:M1686" ca="1" si="213">IF(O1623="","",2*N1623*1000/(Passo*60)+R1623)</f>
        <v>16860.897304940157</v>
      </c>
      <c r="N1623" s="19">
        <f t="shared" ref="N1623:N1686" si="214">IF(O1623="","",b_0*(O1623/100)^c_0)</f>
        <v>292.67088005340247</v>
      </c>
      <c r="O1623" s="17">
        <f t="shared" si="212"/>
        <v>405.5</v>
      </c>
      <c r="P1623" s="19">
        <f ca="1">IF(ISERROR(IF(O1623&lt;fi_h/20,0,(OFFSET('Base de dados'!$A$5,IF(O1623&lt;20,1,IF(O1623&gt;1000,10,MATCH(O1623,Cargas,1))),Coluna_fih,1,1))*(1+0.13*0.25)*(PI()*(fi_h/1000)^2/4)*SQRT(2*9.81*(O1623/100-fi_h/2/1000))*1000)),"",IF(O1623&lt;fi_h/20,0,(OFFSET('Base de dados'!$A$5,IF(O1623&lt;20,1,IF(O1623&gt;1000,10,MATCH(O1623,Cargas,1))),Coluna_fih,1,1))*(PI()*(fi_h/1000)^2/4)*SQRT(2*9.81*(O1623/100-fi_h/2/1000))*1000))</f>
        <v>53.816461911836676</v>
      </c>
      <c r="Q1623" s="19">
        <f ca="1">IF(O1623="","",IF(Tipo_Vertedor="Retangular",IF(O1623&lt;=cota_s*100,0,IF(Tipo_Vertedor="Retangular",Cd_sr*Lef_sr*((O1623/100-cota_s)^(3/2))*1000)),IF(O1623&lt;=cota_s*100+fi_s/20,0,(OFFSET('Base de dados'!$A$4,IF(O1623&lt;20,1,IF(O1623&gt;1000,10,MATCH(O1623,Cargas,1))),Coluna_fis,1,1))*(PI()*(fi_s/1000)^2/4)*(2*9.81*(O1623/100-cota_s-fi_s/2/1000))^0.5*1000)))</f>
        <v>7051.3848412482403</v>
      </c>
      <c r="R1623" s="19">
        <f t="shared" ref="R1623:R1686" ca="1" si="215">IF(O1623="","",Q1623+P1623)</f>
        <v>7105.2013031600773</v>
      </c>
      <c r="S1623" s="19">
        <f t="shared" ref="S1623:S1686" ca="1" si="216">IF(M1623="","",2*N1623*1000/(Passo*60))</f>
        <v>9755.6960017800811</v>
      </c>
    </row>
    <row r="1624" spans="13:19">
      <c r="M1624" s="81">
        <f t="shared" ca="1" si="213"/>
        <v>16875.333102288492</v>
      </c>
      <c r="N1624" s="19">
        <f t="shared" si="214"/>
        <v>292.87380411384265</v>
      </c>
      <c r="O1624" s="17">
        <f t="shared" si="212"/>
        <v>405.75</v>
      </c>
      <c r="P1624" s="19">
        <f ca="1">IF(ISERROR(IF(O1624&lt;fi_h/20,0,(OFFSET('Base de dados'!$A$5,IF(O1624&lt;20,1,IF(O1624&gt;1000,10,MATCH(O1624,Cargas,1))),Coluna_fih,1,1))*(1+0.13*0.25)*(PI()*(fi_h/1000)^2/4)*SQRT(2*9.81*(O1624/100-fi_h/2/1000))*1000)),"",IF(O1624&lt;fi_h/20,0,(OFFSET('Base de dados'!$A$5,IF(O1624&lt;20,1,IF(O1624&gt;1000,10,MATCH(O1624,Cargas,1))),Coluna_fih,1,1))*(PI()*(fi_h/1000)^2/4)*SQRT(2*9.81*(O1624/100-fi_h/2/1000))*1000))</f>
        <v>53.833282815644928</v>
      </c>
      <c r="Q1624" s="19">
        <f ca="1">IF(O1624="","",IF(Tipo_Vertedor="Retangular",IF(O1624&lt;=cota_s*100,0,IF(Tipo_Vertedor="Retangular",Cd_sr*Lef_sr*((O1624/100-cota_s)^(3/2))*1000)),IF(O1624&lt;=cota_s*100+fi_s/20,0,(OFFSET('Base de dados'!$A$4,IF(O1624&lt;20,1,IF(O1624&gt;1000,10,MATCH(O1624,Cargas,1))),Coluna_fis,1,1))*(PI()*(fi_s/1000)^2/4)*(2*9.81*(O1624/100-cota_s-fi_s/2/1000))^0.5*1000)))</f>
        <v>7059.0396823447563</v>
      </c>
      <c r="R1624" s="19">
        <f t="shared" ca="1" si="215"/>
        <v>7112.8729651604017</v>
      </c>
      <c r="S1624" s="19">
        <f t="shared" ca="1" si="216"/>
        <v>9762.4601371280896</v>
      </c>
    </row>
    <row r="1625" spans="13:19">
      <c r="M1625" s="81">
        <f t="shared" ca="1" si="213"/>
        <v>16889.772181565568</v>
      </c>
      <c r="N1625" s="19">
        <f t="shared" si="214"/>
        <v>293.07674375045144</v>
      </c>
      <c r="O1625" s="17">
        <f t="shared" si="212"/>
        <v>406</v>
      </c>
      <c r="P1625" s="19">
        <f ca="1">IF(ISERROR(IF(O1625&lt;fi_h/20,0,(OFFSET('Base de dados'!$A$5,IF(O1625&lt;20,1,IF(O1625&gt;1000,10,MATCH(O1625,Cargas,1))),Coluna_fih,1,1))*(1+0.13*0.25)*(PI()*(fi_h/1000)^2/4)*SQRT(2*9.81*(O1625/100-fi_h/2/1000))*1000)),"",IF(O1625&lt;fi_h/20,0,(OFFSET('Base de dados'!$A$5,IF(O1625&lt;20,1,IF(O1625&gt;1000,10,MATCH(O1625,Cargas,1))),Coluna_fih,1,1))*(PI()*(fi_h/1000)^2/4)*SQRT(2*9.81*(O1625/100-fi_h/2/1000))*1000))</f>
        <v>53.850098465186242</v>
      </c>
      <c r="Q1625" s="19">
        <f ca="1">IF(O1625="","",IF(Tipo_Vertedor="Retangular",IF(O1625&lt;=cota_s*100,0,IF(Tipo_Vertedor="Retangular",Cd_sr*Lef_sr*((O1625/100-cota_s)^(3/2))*1000)),IF(O1625&lt;=cota_s*100+fi_s/20,0,(OFFSET('Base de dados'!$A$4,IF(O1625&lt;20,1,IF(O1625&gt;1000,10,MATCH(O1625,Cargas,1))),Coluna_fis,1,1))*(PI()*(fi_s/1000)^2/4)*(2*9.81*(O1625/100-cota_s-fi_s/2/1000))^0.5*1000)))</f>
        <v>7066.697291418669</v>
      </c>
      <c r="R1625" s="19">
        <f t="shared" ca="1" si="215"/>
        <v>7120.5473898838554</v>
      </c>
      <c r="S1625" s="19">
        <f t="shared" ca="1" si="216"/>
        <v>9769.2247916817141</v>
      </c>
    </row>
    <row r="1626" spans="13:19">
      <c r="M1626" s="81">
        <f t="shared" ca="1" si="213"/>
        <v>16904.214541496272</v>
      </c>
      <c r="N1626" s="19">
        <f t="shared" si="214"/>
        <v>293.27969895483199</v>
      </c>
      <c r="O1626" s="17">
        <f t="shared" si="212"/>
        <v>406.25</v>
      </c>
      <c r="P1626" s="19">
        <f ca="1">IF(ISERROR(IF(O1626&lt;fi_h/20,0,(OFFSET('Base de dados'!$A$5,IF(O1626&lt;20,1,IF(O1626&gt;1000,10,MATCH(O1626,Cargas,1))),Coluna_fih,1,1))*(1+0.13*0.25)*(PI()*(fi_h/1000)^2/4)*SQRT(2*9.81*(O1626/100-fi_h/2/1000))*1000)),"",IF(O1626&lt;fi_h/20,0,(OFFSET('Base de dados'!$A$5,IF(O1626&lt;20,1,IF(O1626&gt;1000,10,MATCH(O1626,Cargas,1))),Coluna_fih,1,1))*(PI()*(fi_h/1000)^2/4)*SQRT(2*9.81*(O1626/100-fi_h/2/1000))*1000))</f>
        <v>53.866908865381326</v>
      </c>
      <c r="Q1626" s="19">
        <f ca="1">IF(O1626="","",IF(Tipo_Vertedor="Retangular",IF(O1626&lt;=cota_s*100,0,IF(Tipo_Vertedor="Retangular",Cd_sr*Lef_sr*((O1626/100-cota_s)^(3/2))*1000)),IF(O1626&lt;=cota_s*100+fi_s/20,0,(OFFSET('Base de dados'!$A$4,IF(O1626&lt;20,1,IF(O1626&gt;1000,10,MATCH(O1626,Cargas,1))),Coluna_fis,1,1))*(PI()*(fi_s/1000)^2/4)*(2*9.81*(O1626/100-cota_s-fi_s/2/1000))^0.5*1000)))</f>
        <v>7074.3576674698224</v>
      </c>
      <c r="R1626" s="19">
        <f t="shared" ca="1" si="215"/>
        <v>7128.2245763352039</v>
      </c>
      <c r="S1626" s="19">
        <f t="shared" ca="1" si="216"/>
        <v>9775.9899651610667</v>
      </c>
    </row>
    <row r="1627" spans="13:19">
      <c r="M1627" s="81">
        <f t="shared" ca="1" si="213"/>
        <v>16918.660180806841</v>
      </c>
      <c r="N1627" s="19">
        <f t="shared" si="214"/>
        <v>293.48266971859744</v>
      </c>
      <c r="O1627" s="17">
        <f t="shared" si="212"/>
        <v>406.5</v>
      </c>
      <c r="P1627" s="19">
        <f ca="1">IF(ISERROR(IF(O1627&lt;fi_h/20,0,(OFFSET('Base de dados'!$A$5,IF(O1627&lt;20,1,IF(O1627&gt;1000,10,MATCH(O1627,Cargas,1))),Coluna_fih,1,1))*(1+0.13*0.25)*(PI()*(fi_h/1000)^2/4)*SQRT(2*9.81*(O1627/100-fi_h/2/1000))*1000)),"",IF(O1627&lt;fi_h/20,0,(OFFSET('Base de dados'!$A$5,IF(O1627&lt;20,1,IF(O1627&gt;1000,10,MATCH(O1627,Cargas,1))),Coluna_fih,1,1))*(PI()*(fi_h/1000)^2/4)*SQRT(2*9.81*(O1627/100-fi_h/2/1000))*1000))</f>
        <v>53.88371402114317</v>
      </c>
      <c r="Q1627" s="19">
        <f ca="1">IF(O1627="","",IF(Tipo_Vertedor="Retangular",IF(O1627&lt;=cota_s*100,0,IF(Tipo_Vertedor="Retangular",Cd_sr*Lef_sr*((O1627/100-cota_s)^(3/2))*1000)),IF(O1627&lt;=cota_s*100+fi_s/20,0,(OFFSET('Base de dados'!$A$4,IF(O1627&lt;20,1,IF(O1627&gt;1000,10,MATCH(O1627,Cargas,1))),Coluna_fis,1,1))*(PI()*(fi_s/1000)^2/4)*(2*9.81*(O1627/100-cota_s-fi_s/2/1000))^0.5*1000)))</f>
        <v>7082.0208094991167</v>
      </c>
      <c r="R1627" s="19">
        <f t="shared" ca="1" si="215"/>
        <v>7135.9045235202602</v>
      </c>
      <c r="S1627" s="19">
        <f t="shared" ca="1" si="216"/>
        <v>9782.7556572865815</v>
      </c>
    </row>
    <row r="1628" spans="13:19">
      <c r="M1628" s="81">
        <f t="shared" ca="1" si="213"/>
        <v>16933.109098224926</v>
      </c>
      <c r="N1628" s="19">
        <f t="shared" si="214"/>
        <v>293.68565603337021</v>
      </c>
      <c r="O1628" s="17">
        <f t="shared" si="212"/>
        <v>406.75</v>
      </c>
      <c r="P1628" s="19">
        <f ca="1">IF(ISERROR(IF(O1628&lt;fi_h/20,0,(OFFSET('Base de dados'!$A$5,IF(O1628&lt;20,1,IF(O1628&gt;1000,10,MATCH(O1628,Cargas,1))),Coluna_fih,1,1))*(1+0.13*0.25)*(PI()*(fi_h/1000)^2/4)*SQRT(2*9.81*(O1628/100-fi_h/2/1000))*1000)),"",IF(O1628&lt;fi_h/20,0,(OFFSET('Base de dados'!$A$5,IF(O1628&lt;20,1,IF(O1628&gt;1000,10,MATCH(O1628,Cargas,1))),Coluna_fih,1,1))*(PI()*(fi_h/1000)^2/4)*SQRT(2*9.81*(O1628/100-fi_h/2/1000))*1000))</f>
        <v>53.900513937377106</v>
      </c>
      <c r="Q1628" s="19">
        <f ca="1">IF(O1628="","",IF(Tipo_Vertedor="Retangular",IF(O1628&lt;=cota_s*100,0,IF(Tipo_Vertedor="Retangular",Cd_sr*Lef_sr*((O1628/100-cota_s)^(3/2))*1000)),IF(O1628&lt;=cota_s*100+fi_s/20,0,(OFFSET('Base de dados'!$A$4,IF(O1628&lt;20,1,IF(O1628&gt;1000,10,MATCH(O1628,Cargas,1))),Coluna_fis,1,1))*(PI()*(fi_s/1000)^2/4)*(2*9.81*(O1628/100-cota_s-fi_s/2/1000))^0.5*1000)))</f>
        <v>7089.6867165085423</v>
      </c>
      <c r="R1628" s="19">
        <f t="shared" ca="1" si="215"/>
        <v>7143.587230445919</v>
      </c>
      <c r="S1628" s="19">
        <f t="shared" ca="1" si="216"/>
        <v>9789.5218677790072</v>
      </c>
    </row>
    <row r="1629" spans="13:19">
      <c r="M1629" s="81">
        <f t="shared" ca="1" si="213"/>
        <v>16947.56129247959</v>
      </c>
      <c r="N1629" s="19">
        <f t="shared" si="214"/>
        <v>293.88865789078278</v>
      </c>
      <c r="O1629" s="17">
        <f t="shared" si="212"/>
        <v>407</v>
      </c>
      <c r="P1629" s="19">
        <f ca="1">IF(ISERROR(IF(O1629&lt;fi_h/20,0,(OFFSET('Base de dados'!$A$5,IF(O1629&lt;20,1,IF(O1629&gt;1000,10,MATCH(O1629,Cargas,1))),Coluna_fih,1,1))*(1+0.13*0.25)*(PI()*(fi_h/1000)^2/4)*SQRT(2*9.81*(O1629/100-fi_h/2/1000))*1000)),"",IF(O1629&lt;fi_h/20,0,(OFFSET('Base de dados'!$A$5,IF(O1629&lt;20,1,IF(O1629&gt;1000,10,MATCH(O1629,Cargas,1))),Coluna_fih,1,1))*(PI()*(fi_h/1000)^2/4)*SQRT(2*9.81*(O1629/100-fi_h/2/1000))*1000))</f>
        <v>53.917308618980847</v>
      </c>
      <c r="Q1629" s="19">
        <f ca="1">IF(O1629="","",IF(Tipo_Vertedor="Retangular",IF(O1629&lt;=cota_s*100,0,IF(Tipo_Vertedor="Retangular",Cd_sr*Lef_sr*((O1629/100-cota_s)^(3/2))*1000)),IF(O1629&lt;=cota_s*100+fi_s/20,0,(OFFSET('Base de dados'!$A$4,IF(O1629&lt;20,1,IF(O1629&gt;1000,10,MATCH(O1629,Cargas,1))),Coluna_fis,1,1))*(PI()*(fi_s/1000)^2/4)*(2*9.81*(O1629/100-cota_s-fi_s/2/1000))^0.5*1000)))</f>
        <v>7097.3553875011803</v>
      </c>
      <c r="R1629" s="19">
        <f t="shared" ca="1" si="215"/>
        <v>7151.2726961201615</v>
      </c>
      <c r="S1629" s="19">
        <f t="shared" ca="1" si="216"/>
        <v>9796.2885963594272</v>
      </c>
    </row>
    <row r="1630" spans="13:19">
      <c r="M1630" s="81">
        <f t="shared" ca="1" si="213"/>
        <v>16962.016762301246</v>
      </c>
      <c r="N1630" s="19">
        <f t="shared" si="214"/>
        <v>294.09167528247696</v>
      </c>
      <c r="O1630" s="17">
        <f t="shared" si="212"/>
        <v>407.25</v>
      </c>
      <c r="P1630" s="19">
        <f ca="1">IF(ISERROR(IF(O1630&lt;fi_h/20,0,(OFFSET('Base de dados'!$A$5,IF(O1630&lt;20,1,IF(O1630&gt;1000,10,MATCH(O1630,Cargas,1))),Coluna_fih,1,1))*(1+0.13*0.25)*(PI()*(fi_h/1000)^2/4)*SQRT(2*9.81*(O1630/100-fi_h/2/1000))*1000)),"",IF(O1630&lt;fi_h/20,0,(OFFSET('Base de dados'!$A$5,IF(O1630&lt;20,1,IF(O1630&gt;1000,10,MATCH(O1630,Cargas,1))),Coluna_fih,1,1))*(PI()*(fi_h/1000)^2/4)*SQRT(2*9.81*(O1630/100-fi_h/2/1000))*1000))</f>
        <v>53.934098070844477</v>
      </c>
      <c r="Q1630" s="19">
        <f ca="1">IF(O1630="","",IF(Tipo_Vertedor="Retangular",IF(O1630&lt;=cota_s*100,0,IF(Tipo_Vertedor="Retangular",Cd_sr*Lef_sr*((O1630/100-cota_s)^(3/2))*1000)),IF(O1630&lt;=cota_s*100+fi_s/20,0,(OFFSET('Base de dados'!$A$4,IF(O1630&lt;20,1,IF(O1630&gt;1000,10,MATCH(O1630,Cargas,1))),Coluna_fis,1,1))*(PI()*(fi_s/1000)^2/4)*(2*9.81*(O1630/100-cota_s-fi_s/2/1000))^0.5*1000)))</f>
        <v>7105.0268214811695</v>
      </c>
      <c r="R1630" s="19">
        <f t="shared" ca="1" si="215"/>
        <v>7158.9609195520143</v>
      </c>
      <c r="S1630" s="19">
        <f t="shared" ca="1" si="216"/>
        <v>9803.0558427492306</v>
      </c>
    </row>
    <row r="1631" spans="13:19">
      <c r="M1631" s="81">
        <f t="shared" ca="1" si="213"/>
        <v>16976.475506421739</v>
      </c>
      <c r="N1631" s="19">
        <f t="shared" si="214"/>
        <v>294.29470820010437</v>
      </c>
      <c r="O1631" s="17">
        <f t="shared" si="212"/>
        <v>407.5</v>
      </c>
      <c r="P1631" s="19">
        <f ca="1">IF(ISERROR(IF(O1631&lt;fi_h/20,0,(OFFSET('Base de dados'!$A$5,IF(O1631&lt;20,1,IF(O1631&gt;1000,10,MATCH(O1631,Cargas,1))),Coluna_fih,1,1))*(1+0.13*0.25)*(PI()*(fi_h/1000)^2/4)*SQRT(2*9.81*(O1631/100-fi_h/2/1000))*1000)),"",IF(O1631&lt;fi_h/20,0,(OFFSET('Base de dados'!$A$5,IF(O1631&lt;20,1,IF(O1631&gt;1000,10,MATCH(O1631,Cargas,1))),Coluna_fih,1,1))*(PI()*(fi_h/1000)^2/4)*SQRT(2*9.81*(O1631/100-fi_h/2/1000))*1000))</f>
        <v>53.950882297850441</v>
      </c>
      <c r="Q1631" s="19">
        <f ca="1">IF(O1631="","",IF(Tipo_Vertedor="Retangular",IF(O1631&lt;=cota_s*100,0,IF(Tipo_Vertedor="Retangular",Cd_sr*Lef_sr*((O1631/100-cota_s)^(3/2))*1000)),IF(O1631&lt;=cota_s*100+fi_s/20,0,(OFFSET('Base de dados'!$A$4,IF(O1631&lt;20,1,IF(O1631&gt;1000,10,MATCH(O1631,Cargas,1))),Coluna_fis,1,1))*(PI()*(fi_s/1000)^2/4)*(2*9.81*(O1631/100-cota_s-fi_s/2/1000))^0.5*1000)))</f>
        <v>7112.7010174537418</v>
      </c>
      <c r="R1631" s="19">
        <f t="shared" ca="1" si="215"/>
        <v>7166.6518997515923</v>
      </c>
      <c r="S1631" s="19">
        <f t="shared" ca="1" si="216"/>
        <v>9809.8236066701447</v>
      </c>
    </row>
    <row r="1632" spans="13:19">
      <c r="M1632" s="81">
        <f t="shared" ca="1" si="213"/>
        <v>16990.93752357427</v>
      </c>
      <c r="N1632" s="19">
        <f t="shared" si="214"/>
        <v>294.49775663532603</v>
      </c>
      <c r="O1632" s="17">
        <f t="shared" si="212"/>
        <v>407.75</v>
      </c>
      <c r="P1632" s="19">
        <f ca="1">IF(ISERROR(IF(O1632&lt;fi_h/20,0,(OFFSET('Base de dados'!$A$5,IF(O1632&lt;20,1,IF(O1632&gt;1000,10,MATCH(O1632,Cargas,1))),Coluna_fih,1,1))*(1+0.13*0.25)*(PI()*(fi_h/1000)^2/4)*SQRT(2*9.81*(O1632/100-fi_h/2/1000))*1000)),"",IF(O1632&lt;fi_h/20,0,(OFFSET('Base de dados'!$A$5,IF(O1632&lt;20,1,IF(O1632&gt;1000,10,MATCH(O1632,Cargas,1))),Coluna_fih,1,1))*(PI()*(fi_h/1000)^2/4)*SQRT(2*9.81*(O1632/100-fi_h/2/1000))*1000))</f>
        <v>53.96766130487363</v>
      </c>
      <c r="Q1632" s="19">
        <f ca="1">IF(O1632="","",IF(Tipo_Vertedor="Retangular",IF(O1632&lt;=cota_s*100,0,IF(Tipo_Vertedor="Retangular",Cd_sr*Lef_sr*((O1632/100-cota_s)^(3/2))*1000)),IF(O1632&lt;=cota_s*100+fi_s/20,0,(OFFSET('Base de dados'!$A$4,IF(O1632&lt;20,1,IF(O1632&gt;1000,10,MATCH(O1632,Cargas,1))),Coluna_fis,1,1))*(PI()*(fi_s/1000)^2/4)*(2*9.81*(O1632/100-cota_s-fi_s/2/1000))^0.5*1000)))</f>
        <v>7120.3779744251942</v>
      </c>
      <c r="R1632" s="19">
        <f t="shared" ca="1" si="215"/>
        <v>7174.3456357300674</v>
      </c>
      <c r="S1632" s="19">
        <f t="shared" ca="1" si="216"/>
        <v>9816.5918878442008</v>
      </c>
    </row>
    <row r="1633" spans="13:19">
      <c r="M1633" s="81">
        <f t="shared" ca="1" si="213"/>
        <v>17005.402812493441</v>
      </c>
      <c r="N1633" s="19">
        <f t="shared" si="214"/>
        <v>294.70082057981278</v>
      </c>
      <c r="O1633" s="17">
        <f t="shared" si="212"/>
        <v>408</v>
      </c>
      <c r="P1633" s="19">
        <f ca="1">IF(ISERROR(IF(O1633&lt;fi_h/20,0,(OFFSET('Base de dados'!$A$5,IF(O1633&lt;20,1,IF(O1633&gt;1000,10,MATCH(O1633,Cargas,1))),Coluna_fih,1,1))*(1+0.13*0.25)*(PI()*(fi_h/1000)^2/4)*SQRT(2*9.81*(O1633/100-fi_h/2/1000))*1000)),"",IF(O1633&lt;fi_h/20,0,(OFFSET('Base de dados'!$A$5,IF(O1633&lt;20,1,IF(O1633&gt;1000,10,MATCH(O1633,Cargas,1))),Coluna_fih,1,1))*(PI()*(fi_h/1000)^2/4)*SQRT(2*9.81*(O1633/100-fi_h/2/1000))*1000))</f>
        <v>53.984435096781361</v>
      </c>
      <c r="Q1633" s="19">
        <f ca="1">IF(O1633="","",IF(Tipo_Vertedor="Retangular",IF(O1633&lt;=cota_s*100,0,IF(Tipo_Vertedor="Retangular",Cd_sr*Lef_sr*((O1633/100-cota_s)^(3/2))*1000)),IF(O1633&lt;=cota_s*100+fi_s/20,0,(OFFSET('Base de dados'!$A$4,IF(O1633&lt;20,1,IF(O1633&gt;1000,10,MATCH(O1633,Cargas,1))),Coluna_fis,1,1))*(PI()*(fi_s/1000)^2/4)*(2*9.81*(O1633/100-cota_s-fi_s/2/1000))^0.5*1000)))</f>
        <v>7128.0576914028989</v>
      </c>
      <c r="R1633" s="19">
        <f t="shared" ca="1" si="215"/>
        <v>7182.0421264996803</v>
      </c>
      <c r="S1633" s="19">
        <f t="shared" ca="1" si="216"/>
        <v>9823.3606859937609</v>
      </c>
    </row>
    <row r="1634" spans="13:19">
      <c r="M1634" s="81">
        <f t="shared" ca="1" si="213"/>
        <v>17019.871371915226</v>
      </c>
      <c r="N1634" s="19">
        <f t="shared" si="214"/>
        <v>294.90390002524504</v>
      </c>
      <c r="O1634" s="17">
        <f t="shared" si="212"/>
        <v>408.25</v>
      </c>
      <c r="P1634" s="19">
        <f ca="1">IF(ISERROR(IF(O1634&lt;fi_h/20,0,(OFFSET('Base de dados'!$A$5,IF(O1634&lt;20,1,IF(O1634&gt;1000,10,MATCH(O1634,Cargas,1))),Coluna_fih,1,1))*(1+0.13*0.25)*(PI()*(fi_h/1000)^2/4)*SQRT(2*9.81*(O1634/100-fi_h/2/1000))*1000)),"",IF(O1634&lt;fi_h/20,0,(OFFSET('Base de dados'!$A$5,IF(O1634&lt;20,1,IF(O1634&gt;1000,10,MATCH(O1634,Cargas,1))),Coluna_fih,1,1))*(PI()*(fi_h/1000)^2/4)*SQRT(2*9.81*(O1634/100-fi_h/2/1000))*1000))</f>
        <v>54.001203678433335</v>
      </c>
      <c r="Q1634" s="19">
        <f ca="1">IF(O1634="","",IF(Tipo_Vertedor="Retangular",IF(O1634&lt;=cota_s*100,0,IF(Tipo_Vertedor="Retangular",Cd_sr*Lef_sr*((O1634/100-cota_s)^(3/2))*1000)),IF(O1634&lt;=cota_s*100+fi_s/20,0,(OFFSET('Base de dados'!$A$4,IF(O1634&lt;20,1,IF(O1634&gt;1000,10,MATCH(O1634,Cargas,1))),Coluna_fis,1,1))*(PI()*(fi_s/1000)^2/4)*(2*9.81*(O1634/100-cota_s-fi_s/2/1000))^0.5*1000)))</f>
        <v>7135.7401673952891</v>
      </c>
      <c r="R1634" s="19">
        <f t="shared" ca="1" si="215"/>
        <v>7189.7413710737228</v>
      </c>
      <c r="S1634" s="19">
        <f t="shared" ca="1" si="216"/>
        <v>9830.1300008415019</v>
      </c>
    </row>
    <row r="1635" spans="13:19">
      <c r="M1635" s="81">
        <f t="shared" ca="1" si="213"/>
        <v>17034.343200576979</v>
      </c>
      <c r="N1635" s="19">
        <f t="shared" si="214"/>
        <v>295.10699496331245</v>
      </c>
      <c r="O1635" s="17">
        <f t="shared" si="212"/>
        <v>408.5</v>
      </c>
      <c r="P1635" s="19">
        <f ca="1">IF(ISERROR(IF(O1635&lt;fi_h/20,0,(OFFSET('Base de dados'!$A$5,IF(O1635&lt;20,1,IF(O1635&gt;1000,10,MATCH(O1635,Cargas,1))),Coluna_fih,1,1))*(1+0.13*0.25)*(PI()*(fi_h/1000)^2/4)*SQRT(2*9.81*(O1635/100-fi_h/2/1000))*1000)),"",IF(O1635&lt;fi_h/20,0,(OFFSET('Base de dados'!$A$5,IF(O1635&lt;20,1,IF(O1635&gt;1000,10,MATCH(O1635,Cargas,1))),Coluna_fih,1,1))*(PI()*(fi_h/1000)^2/4)*SQRT(2*9.81*(O1635/100-fi_h/2/1000))*1000))</f>
        <v>54.017967054681769</v>
      </c>
      <c r="Q1635" s="19">
        <f ca="1">IF(O1635="","",IF(Tipo_Vertedor="Retangular",IF(O1635&lt;=cota_s*100,0,IF(Tipo_Vertedor="Retangular",Cd_sr*Lef_sr*((O1635/100-cota_s)^(3/2))*1000)),IF(O1635&lt;=cota_s*100+fi_s/20,0,(OFFSET('Base de dados'!$A$4,IF(O1635&lt;20,1,IF(O1635&gt;1000,10,MATCH(O1635,Cargas,1))),Coluna_fis,1,1))*(PI()*(fi_s/1000)^2/4)*(2*9.81*(O1635/100-cota_s-fi_s/2/1000))^0.5*1000)))</f>
        <v>7143.4254014118824</v>
      </c>
      <c r="R1635" s="19">
        <f t="shared" ca="1" si="215"/>
        <v>7197.4433684665637</v>
      </c>
      <c r="S1635" s="19">
        <f t="shared" ca="1" si="216"/>
        <v>9836.8998321104154</v>
      </c>
    </row>
    <row r="1636" spans="13:19">
      <c r="M1636" s="81">
        <f t="shared" ca="1" si="213"/>
        <v>17048.81829721744</v>
      </c>
      <c r="N1636" s="19">
        <f t="shared" si="214"/>
        <v>295.31010538571462</v>
      </c>
      <c r="O1636" s="17">
        <f t="shared" si="212"/>
        <v>408.75</v>
      </c>
      <c r="P1636" s="19">
        <f ca="1">IF(ISERROR(IF(O1636&lt;fi_h/20,0,(OFFSET('Base de dados'!$A$5,IF(O1636&lt;20,1,IF(O1636&gt;1000,10,MATCH(O1636,Cargas,1))),Coluna_fih,1,1))*(1+0.13*0.25)*(PI()*(fi_h/1000)^2/4)*SQRT(2*9.81*(O1636/100-fi_h/2/1000))*1000)),"",IF(O1636&lt;fi_h/20,0,(OFFSET('Base de dados'!$A$5,IF(O1636&lt;20,1,IF(O1636&gt;1000,10,MATCH(O1636,Cargas,1))),Coluna_fih,1,1))*(PI()*(fi_h/1000)^2/4)*SQRT(2*9.81*(O1636/100-fi_h/2/1000))*1000))</f>
        <v>54.034725230371322</v>
      </c>
      <c r="Q1636" s="19">
        <f ca="1">IF(O1636="","",IF(Tipo_Vertedor="Retangular",IF(O1636&lt;=cota_s*100,0,IF(Tipo_Vertedor="Retangular",Cd_sr*Lef_sr*((O1636/100-cota_s)^(3/2))*1000)),IF(O1636&lt;=cota_s*100+fi_s/20,0,(OFFSET('Base de dados'!$A$4,IF(O1636&lt;20,1,IF(O1636&gt;1000,10,MATCH(O1636,Cargas,1))),Coluna_fis,1,1))*(PI()*(fi_s/1000)^2/4)*(2*9.81*(O1636/100-cota_s-fi_s/2/1000))^0.5*1000)))</f>
        <v>7151.1133924632486</v>
      </c>
      <c r="R1636" s="19">
        <f t="shared" ca="1" si="215"/>
        <v>7205.1481176936195</v>
      </c>
      <c r="S1636" s="19">
        <f t="shared" ca="1" si="216"/>
        <v>9843.6701795238205</v>
      </c>
    </row>
    <row r="1637" spans="13:19">
      <c r="M1637" s="81">
        <f t="shared" ca="1" si="213"/>
        <v>17063.296660576707</v>
      </c>
      <c r="N1637" s="19">
        <f t="shared" si="214"/>
        <v>295.51323128416038</v>
      </c>
      <c r="O1637" s="17">
        <f t="shared" si="212"/>
        <v>409</v>
      </c>
      <c r="P1637" s="19">
        <f ca="1">IF(ISERROR(IF(O1637&lt;fi_h/20,0,(OFFSET('Base de dados'!$A$5,IF(O1637&lt;20,1,IF(O1637&gt;1000,10,MATCH(O1637,Cargas,1))),Coluna_fih,1,1))*(1+0.13*0.25)*(PI()*(fi_h/1000)^2/4)*SQRT(2*9.81*(O1637/100-fi_h/2/1000))*1000)),"",IF(O1637&lt;fi_h/20,0,(OFFSET('Base de dados'!$A$5,IF(O1637&lt;20,1,IF(O1637&gt;1000,10,MATCH(O1637,Cargas,1))),Coluna_fih,1,1))*(PI()*(fi_h/1000)^2/4)*SQRT(2*9.81*(O1637/100-fi_h/2/1000))*1000))</f>
        <v>54.05147821033917</v>
      </c>
      <c r="Q1637" s="19">
        <f ca="1">IF(O1637="","",IF(Tipo_Vertedor="Retangular",IF(O1637&lt;=cota_s*100,0,IF(Tipo_Vertedor="Retangular",Cd_sr*Lef_sr*((O1637/100-cota_s)^(3/2))*1000)),IF(O1637&lt;=cota_s*100+fi_s/20,0,(OFFSET('Base de dados'!$A$4,IF(O1637&lt;20,1,IF(O1637&gt;1000,10,MATCH(O1637,Cargas,1))),Coluna_fis,1,1))*(PI()*(fi_s/1000)^2/4)*(2*9.81*(O1637/100-cota_s-fi_s/2/1000))^0.5*1000)))</f>
        <v>7158.8041395610189</v>
      </c>
      <c r="R1637" s="19">
        <f t="shared" ca="1" si="215"/>
        <v>7212.8556177713581</v>
      </c>
      <c r="S1637" s="19">
        <f t="shared" ca="1" si="216"/>
        <v>9850.441042805347</v>
      </c>
    </row>
    <row r="1638" spans="13:19">
      <c r="M1638" s="81">
        <f t="shared" ca="1" si="213"/>
        <v>17077.778289396261</v>
      </c>
      <c r="N1638" s="19">
        <f t="shared" si="214"/>
        <v>295.71637265036816</v>
      </c>
      <c r="O1638" s="17">
        <f t="shared" si="212"/>
        <v>409.25</v>
      </c>
      <c r="P1638" s="19">
        <f ca="1">IF(ISERROR(IF(O1638&lt;fi_h/20,0,(OFFSET('Base de dados'!$A$5,IF(O1638&lt;20,1,IF(O1638&gt;1000,10,MATCH(O1638,Cargas,1))),Coluna_fih,1,1))*(1+0.13*0.25)*(PI()*(fi_h/1000)^2/4)*SQRT(2*9.81*(O1638/100-fi_h/2/1000))*1000)),"",IF(O1638&lt;fi_h/20,0,(OFFSET('Base de dados'!$A$5,IF(O1638&lt;20,1,IF(O1638&gt;1000,10,MATCH(O1638,Cargas,1))),Coluna_fih,1,1))*(PI()*(fi_h/1000)^2/4)*SQRT(2*9.81*(O1638/100-fi_h/2/1000))*1000))</f>
        <v>54.06822599941497</v>
      </c>
      <c r="Q1638" s="19">
        <f ca="1">IF(O1638="","",IF(Tipo_Vertedor="Retangular",IF(O1638&lt;=cota_s*100,0,IF(Tipo_Vertedor="Retangular",Cd_sr*Lef_sr*((O1638/100-cota_s)^(3/2))*1000)),IF(O1638&lt;=cota_s*100+fi_s/20,0,(OFFSET('Base de dados'!$A$4,IF(O1638&lt;20,1,IF(O1638&gt;1000,10,MATCH(O1638,Cargas,1))),Coluna_fis,1,1))*(PI()*(fi_s/1000)^2/4)*(2*9.81*(O1638/100-cota_s-fi_s/2/1000))^0.5*1000)))</f>
        <v>7166.4976417179078</v>
      </c>
      <c r="R1638" s="19">
        <f t="shared" ca="1" si="215"/>
        <v>7220.5658677173224</v>
      </c>
      <c r="S1638" s="19">
        <f t="shared" ca="1" si="216"/>
        <v>9857.212421678938</v>
      </c>
    </row>
    <row r="1639" spans="13:19">
      <c r="M1639" s="81">
        <f t="shared" ca="1" si="213"/>
        <v>17092.263182418945</v>
      </c>
      <c r="N1639" s="19">
        <f t="shared" si="214"/>
        <v>295.9195294760658</v>
      </c>
      <c r="O1639" s="17">
        <f t="shared" si="212"/>
        <v>409.5</v>
      </c>
      <c r="P1639" s="19">
        <f ca="1">IF(ISERROR(IF(O1639&lt;fi_h/20,0,(OFFSET('Base de dados'!$A$5,IF(O1639&lt;20,1,IF(O1639&gt;1000,10,MATCH(O1639,Cargas,1))),Coluna_fih,1,1))*(1+0.13*0.25)*(PI()*(fi_h/1000)^2/4)*SQRT(2*9.81*(O1639/100-fi_h/2/1000))*1000)),"",IF(O1639&lt;fi_h/20,0,(OFFSET('Base de dados'!$A$5,IF(O1639&lt;20,1,IF(O1639&gt;1000,10,MATCH(O1639,Cargas,1))),Coluna_fih,1,1))*(PI()*(fi_h/1000)^2/4)*SQRT(2*9.81*(O1639/100-fi_h/2/1000))*1000))</f>
        <v>54.084968602420915</v>
      </c>
      <c r="Q1639" s="19">
        <f ca="1">IF(O1639="","",IF(Tipo_Vertedor="Retangular",IF(O1639&lt;=cota_s*100,0,IF(Tipo_Vertedor="Retangular",Cd_sr*Lef_sr*((O1639/100-cota_s)^(3/2))*1000)),IF(O1639&lt;=cota_s*100+fi_s/20,0,(OFFSET('Base de dados'!$A$4,IF(O1639&lt;20,1,IF(O1639&gt;1000,10,MATCH(O1639,Cargas,1))),Coluna_fis,1,1))*(PI()*(fi_s/1000)^2/4)*(2*9.81*(O1639/100-cota_s-fi_s/2/1000))^0.5*1000)))</f>
        <v>7174.1938979476627</v>
      </c>
      <c r="R1639" s="19">
        <f t="shared" ca="1" si="215"/>
        <v>7228.2788665500839</v>
      </c>
      <c r="S1639" s="19">
        <f t="shared" ca="1" si="216"/>
        <v>9863.9843158688618</v>
      </c>
    </row>
    <row r="1640" spans="13:19">
      <c r="M1640" s="81">
        <f t="shared" ca="1" si="213"/>
        <v>17106.751338388982</v>
      </c>
      <c r="N1640" s="19">
        <f t="shared" si="214"/>
        <v>296.12270175299091</v>
      </c>
      <c r="O1640" s="17">
        <f t="shared" si="212"/>
        <v>409.75</v>
      </c>
      <c r="P1640" s="19">
        <f ca="1">IF(ISERROR(IF(O1640&lt;fi_h/20,0,(OFFSET('Base de dados'!$A$5,IF(O1640&lt;20,1,IF(O1640&gt;1000,10,MATCH(O1640,Cargas,1))),Coluna_fih,1,1))*(1+0.13*0.25)*(PI()*(fi_h/1000)^2/4)*SQRT(2*9.81*(O1640/100-fi_h/2/1000))*1000)),"",IF(O1640&lt;fi_h/20,0,(OFFSET('Base de dados'!$A$5,IF(O1640&lt;20,1,IF(O1640&gt;1000,10,MATCH(O1640,Cargas,1))),Coluna_fih,1,1))*(PI()*(fi_h/1000)^2/4)*SQRT(2*9.81*(O1640/100-fi_h/2/1000))*1000))</f>
        <v>54.101706024171726</v>
      </c>
      <c r="Q1640" s="19">
        <f ca="1">IF(O1640="","",IF(Tipo_Vertedor="Retangular",IF(O1640&lt;=cota_s*100,0,IF(Tipo_Vertedor="Retangular",Cd_sr*Lef_sr*((O1640/100-cota_s)^(3/2))*1000)),IF(O1640&lt;=cota_s*100+fi_s/20,0,(OFFSET('Base de dados'!$A$4,IF(O1640&lt;20,1,IF(O1640&gt;1000,10,MATCH(O1640,Cargas,1))),Coluna_fis,1,1))*(PI()*(fi_s/1000)^2/4)*(2*9.81*(O1640/100-cota_s-fi_s/2/1000))^0.5*1000)))</f>
        <v>7181.8929072651154</v>
      </c>
      <c r="R1640" s="19">
        <f t="shared" ca="1" si="215"/>
        <v>7235.9946132892874</v>
      </c>
      <c r="S1640" s="19">
        <f t="shared" ca="1" si="216"/>
        <v>9870.7567250996963</v>
      </c>
    </row>
    <row r="1641" spans="13:19">
      <c r="M1641" s="81">
        <f t="shared" ca="1" si="213"/>
        <v>17121.242756051935</v>
      </c>
      <c r="N1641" s="19">
        <f t="shared" si="214"/>
        <v>296.32588947289014</v>
      </c>
      <c r="O1641" s="17">
        <f t="shared" si="212"/>
        <v>410</v>
      </c>
      <c r="P1641" s="19">
        <f ca="1">IF(ISERROR(IF(O1641&lt;fi_h/20,0,(OFFSET('Base de dados'!$A$5,IF(O1641&lt;20,1,IF(O1641&gt;1000,10,MATCH(O1641,Cargas,1))),Coluna_fih,1,1))*(1+0.13*0.25)*(PI()*(fi_h/1000)^2/4)*SQRT(2*9.81*(O1641/100-fi_h/2/1000))*1000)),"",IF(O1641&lt;fi_h/20,0,(OFFSET('Base de dados'!$A$5,IF(O1641&lt;20,1,IF(O1641&gt;1000,10,MATCH(O1641,Cargas,1))),Coluna_fih,1,1))*(PI()*(fi_h/1000)^2/4)*SQRT(2*9.81*(O1641/100-fi_h/2/1000))*1000))</f>
        <v>54.118438269474673</v>
      </c>
      <c r="Q1641" s="19">
        <f ca="1">IF(O1641="","",IF(Tipo_Vertedor="Retangular",IF(O1641&lt;=cota_s*100,0,IF(Tipo_Vertedor="Retangular",Cd_sr*Lef_sr*((O1641/100-cota_s)^(3/2))*1000)),IF(O1641&lt;=cota_s*100+fi_s/20,0,(OFFSET('Base de dados'!$A$4,IF(O1641&lt;20,1,IF(O1641&gt;1000,10,MATCH(O1641,Cargas,1))),Coluna_fis,1,1))*(PI()*(fi_s/1000)^2/4)*(2*9.81*(O1641/100-cota_s-fi_s/2/1000))^0.5*1000)))</f>
        <v>7189.5946686861253</v>
      </c>
      <c r="R1641" s="19">
        <f t="shared" ca="1" si="215"/>
        <v>7243.7131069555999</v>
      </c>
      <c r="S1641" s="19">
        <f t="shared" ca="1" si="216"/>
        <v>9877.5296490963374</v>
      </c>
    </row>
    <row r="1642" spans="13:19">
      <c r="M1642" s="81">
        <f t="shared" ca="1" si="213"/>
        <v>17135.737434154769</v>
      </c>
      <c r="N1642" s="19">
        <f t="shared" si="214"/>
        <v>296.52909262751996</v>
      </c>
      <c r="O1642" s="17">
        <f t="shared" si="212"/>
        <v>410.25</v>
      </c>
      <c r="P1642" s="19">
        <f ca="1">IF(ISERROR(IF(O1642&lt;fi_h/20,0,(OFFSET('Base de dados'!$A$5,IF(O1642&lt;20,1,IF(O1642&gt;1000,10,MATCH(O1642,Cargas,1))),Coluna_fih,1,1))*(1+0.13*0.25)*(PI()*(fi_h/1000)^2/4)*SQRT(2*9.81*(O1642/100-fi_h/2/1000))*1000)),"",IF(O1642&lt;fi_h/20,0,(OFFSET('Base de dados'!$A$5,IF(O1642&lt;20,1,IF(O1642&gt;1000,10,MATCH(O1642,Cargas,1))),Coluna_fih,1,1))*(PI()*(fi_h/1000)^2/4)*SQRT(2*9.81*(O1642/100-fi_h/2/1000))*1000))</f>
        <v>54.13516534312965</v>
      </c>
      <c r="Q1642" s="19">
        <f ca="1">IF(O1642="","",IF(Tipo_Vertedor="Retangular",IF(O1642&lt;=cota_s*100,0,IF(Tipo_Vertedor="Retangular",Cd_sr*Lef_sr*((O1642/100-cota_s)^(3/2))*1000)),IF(O1642&lt;=cota_s*100+fi_s/20,0,(OFFSET('Base de dados'!$A$4,IF(O1642&lt;20,1,IF(O1642&gt;1000,10,MATCH(O1642,Cargas,1))),Coluna_fis,1,1))*(PI()*(fi_s/1000)^2/4)*(2*9.81*(O1642/100-cota_s-fi_s/2/1000))^0.5*1000)))</f>
        <v>7197.2991812276396</v>
      </c>
      <c r="R1642" s="19">
        <f t="shared" ca="1" si="215"/>
        <v>7251.4343465707689</v>
      </c>
      <c r="S1642" s="19">
        <f t="shared" ca="1" si="216"/>
        <v>9884.3030875839995</v>
      </c>
    </row>
    <row r="1643" spans="13:19">
      <c r="M1643" s="81">
        <f t="shared" ca="1" si="213"/>
        <v>17150.23537144576</v>
      </c>
      <c r="N1643" s="19">
        <f t="shared" si="214"/>
        <v>296.73231120864597</v>
      </c>
      <c r="O1643" s="17">
        <f t="shared" si="212"/>
        <v>410.5</v>
      </c>
      <c r="P1643" s="19">
        <f ca="1">IF(ISERROR(IF(O1643&lt;fi_h/20,0,(OFFSET('Base de dados'!$A$5,IF(O1643&lt;20,1,IF(O1643&gt;1000,10,MATCH(O1643,Cargas,1))),Coluna_fih,1,1))*(1+0.13*0.25)*(PI()*(fi_h/1000)^2/4)*SQRT(2*9.81*(O1643/100-fi_h/2/1000))*1000)),"",IF(O1643&lt;fi_h/20,0,(OFFSET('Base de dados'!$A$5,IF(O1643&lt;20,1,IF(O1643&gt;1000,10,MATCH(O1643,Cargas,1))),Coluna_fih,1,1))*(PI()*(fi_h/1000)^2/4)*SQRT(2*9.81*(O1643/100-fi_h/2/1000))*1000))</f>
        <v>54.151887249929054</v>
      </c>
      <c r="Q1643" s="19">
        <f ca="1">IF(O1643="","",IF(Tipo_Vertedor="Retangular",IF(O1643&lt;=cota_s*100,0,IF(Tipo_Vertedor="Retangular",Cd_sr*Lef_sr*((O1643/100-cota_s)^(3/2))*1000)),IF(O1643&lt;=cota_s*100+fi_s/20,0,(OFFSET('Base de dados'!$A$4,IF(O1643&lt;20,1,IF(O1643&gt;1000,10,MATCH(O1643,Cargas,1))),Coluna_fis,1,1))*(PI()*(fi_s/1000)^2/4)*(2*9.81*(O1643/100-cota_s-fi_s/2/1000))^0.5*1000)))</f>
        <v>7205.0064439076332</v>
      </c>
      <c r="R1643" s="19">
        <f t="shared" ca="1" si="215"/>
        <v>7259.1583311575623</v>
      </c>
      <c r="S1643" s="19">
        <f t="shared" ca="1" si="216"/>
        <v>9891.077040288199</v>
      </c>
    </row>
    <row r="1644" spans="13:19">
      <c r="M1644" s="81">
        <f t="shared" ca="1" si="213"/>
        <v>17164.736566674568</v>
      </c>
      <c r="N1644" s="19">
        <f t="shared" si="214"/>
        <v>296.93554520804321</v>
      </c>
      <c r="O1644" s="17">
        <f t="shared" si="212"/>
        <v>410.75</v>
      </c>
      <c r="P1644" s="19">
        <f ca="1">IF(ISERROR(IF(O1644&lt;fi_h/20,0,(OFFSET('Base de dados'!$A$5,IF(O1644&lt;20,1,IF(O1644&gt;1000,10,MATCH(O1644,Cargas,1))),Coluna_fih,1,1))*(1+0.13*0.25)*(PI()*(fi_h/1000)^2/4)*SQRT(2*9.81*(O1644/100-fi_h/2/1000))*1000)),"",IF(O1644&lt;fi_h/20,0,(OFFSET('Base de dados'!$A$5,IF(O1644&lt;20,1,IF(O1644&gt;1000,10,MATCH(O1644,Cargas,1))),Coluna_fih,1,1))*(PI()*(fi_h/1000)^2/4)*SQRT(2*9.81*(O1644/100-fi_h/2/1000))*1000))</f>
        <v>54.168603994657929</v>
      </c>
      <c r="Q1644" s="19">
        <f ca="1">IF(O1644="","",IF(Tipo_Vertedor="Retangular",IF(O1644&lt;=cota_s*100,0,IF(Tipo_Vertedor="Retangular",Cd_sr*Lef_sr*((O1644/100-cota_s)^(3/2))*1000)),IF(O1644&lt;=cota_s*100+fi_s/20,0,(OFFSET('Base de dados'!$A$4,IF(O1644&lt;20,1,IF(O1644&gt;1000,10,MATCH(O1644,Cargas,1))),Coluna_fis,1,1))*(PI()*(fi_s/1000)^2/4)*(2*9.81*(O1644/100-cota_s-fi_s/2/1000))^0.5*1000)))</f>
        <v>7212.716455745136</v>
      </c>
      <c r="R1644" s="19">
        <f t="shared" ca="1" si="215"/>
        <v>7266.8850597397941</v>
      </c>
      <c r="S1644" s="19">
        <f t="shared" ca="1" si="216"/>
        <v>9897.8515069347723</v>
      </c>
    </row>
    <row r="1645" spans="13:19">
      <c r="M1645" s="81">
        <f t="shared" ca="1" si="213"/>
        <v>17179.241018592209</v>
      </c>
      <c r="N1645" s="19">
        <f t="shared" si="214"/>
        <v>297.13879461749627</v>
      </c>
      <c r="O1645" s="17">
        <f t="shared" si="212"/>
        <v>411</v>
      </c>
      <c r="P1645" s="19">
        <f ca="1">IF(ISERROR(IF(O1645&lt;fi_h/20,0,(OFFSET('Base de dados'!$A$5,IF(O1645&lt;20,1,IF(O1645&gt;1000,10,MATCH(O1645,Cargas,1))),Coluna_fih,1,1))*(1+0.13*0.25)*(PI()*(fi_h/1000)^2/4)*SQRT(2*9.81*(O1645/100-fi_h/2/1000))*1000)),"",IF(O1645&lt;fi_h/20,0,(OFFSET('Base de dados'!$A$5,IF(O1645&lt;20,1,IF(O1645&gt;1000,10,MATCH(O1645,Cargas,1))),Coluna_fih,1,1))*(PI()*(fi_h/1000)^2/4)*SQRT(2*9.81*(O1645/100-fi_h/2/1000))*1000))</f>
        <v>54.185315582093956</v>
      </c>
      <c r="Q1645" s="19">
        <f ca="1">IF(O1645="","",IF(Tipo_Vertedor="Retangular",IF(O1645&lt;=cota_s*100,0,IF(Tipo_Vertedor="Retangular",Cd_sr*Lef_sr*((O1645/100-cota_s)^(3/2))*1000)),IF(O1645&lt;=cota_s*100+fi_s/20,0,(OFFSET('Base de dados'!$A$4,IF(O1645&lt;20,1,IF(O1645&gt;1000,10,MATCH(O1645,Cargas,1))),Coluna_fis,1,1))*(PI()*(fi_s/1000)^2/4)*(2*9.81*(O1645/100-cota_s-fi_s/2/1000))^0.5*1000)))</f>
        <v>7220.4292157602385</v>
      </c>
      <c r="R1645" s="19">
        <f t="shared" ca="1" si="215"/>
        <v>7274.6145313423322</v>
      </c>
      <c r="S1645" s="19">
        <f t="shared" ca="1" si="216"/>
        <v>9904.6264872498759</v>
      </c>
    </row>
    <row r="1646" spans="13:19">
      <c r="M1646" s="81">
        <f t="shared" ca="1" si="213"/>
        <v>17193.748725951038</v>
      </c>
      <c r="N1646" s="19">
        <f t="shared" si="214"/>
        <v>297.34205942879902</v>
      </c>
      <c r="O1646" s="17">
        <f t="shared" si="212"/>
        <v>411.25</v>
      </c>
      <c r="P1646" s="19">
        <f ca="1">IF(ISERROR(IF(O1646&lt;fi_h/20,0,(OFFSET('Base de dados'!$A$5,IF(O1646&lt;20,1,IF(O1646&gt;1000,10,MATCH(O1646,Cargas,1))),Coluna_fih,1,1))*(1+0.13*0.25)*(PI()*(fi_h/1000)^2/4)*SQRT(2*9.81*(O1646/100-fi_h/2/1000))*1000)),"",IF(O1646&lt;fi_h/20,0,(OFFSET('Base de dados'!$A$5,IF(O1646&lt;20,1,IF(O1646&gt;1000,10,MATCH(O1646,Cargas,1))),Coluna_fih,1,1))*(PI()*(fi_h/1000)^2/4)*SQRT(2*9.81*(O1646/100-fi_h/2/1000))*1000))</f>
        <v>54.202022017007415</v>
      </c>
      <c r="Q1646" s="19">
        <f ca="1">IF(O1646="","",IF(Tipo_Vertedor="Retangular",IF(O1646&lt;=cota_s*100,0,IF(Tipo_Vertedor="Retangular",Cd_sr*Lef_sr*((O1646/100-cota_s)^(3/2))*1000)),IF(O1646&lt;=cota_s*100+fi_s/20,0,(OFFSET('Base de dados'!$A$4,IF(O1646&lt;20,1,IF(O1646&gt;1000,10,MATCH(O1646,Cargas,1))),Coluna_fis,1,1))*(PI()*(fi_s/1000)^2/4)*(2*9.81*(O1646/100-cota_s-fi_s/2/1000))^0.5*1000)))</f>
        <v>7228.1447229740625</v>
      </c>
      <c r="R1646" s="19">
        <f t="shared" ca="1" si="215"/>
        <v>7282.3467449910695</v>
      </c>
      <c r="S1646" s="19">
        <f t="shared" ca="1" si="216"/>
        <v>9911.4019809599667</v>
      </c>
    </row>
    <row r="1647" spans="13:19">
      <c r="M1647" s="81">
        <f t="shared" ca="1" si="213"/>
        <v>17208.259687504782</v>
      </c>
      <c r="N1647" s="19">
        <f t="shared" si="214"/>
        <v>297.54533963375479</v>
      </c>
      <c r="O1647" s="17">
        <f t="shared" si="212"/>
        <v>411.5</v>
      </c>
      <c r="P1647" s="19">
        <f ca="1">IF(ISERROR(IF(O1647&lt;fi_h/20,0,(OFFSET('Base de dados'!$A$5,IF(O1647&lt;20,1,IF(O1647&gt;1000,10,MATCH(O1647,Cargas,1))),Coluna_fih,1,1))*(1+0.13*0.25)*(PI()*(fi_h/1000)^2/4)*SQRT(2*9.81*(O1647/100-fi_h/2/1000))*1000)),"",IF(O1647&lt;fi_h/20,0,(OFFSET('Base de dados'!$A$5,IF(O1647&lt;20,1,IF(O1647&gt;1000,10,MATCH(O1647,Cargas,1))),Coluna_fih,1,1))*(PI()*(fi_h/1000)^2/4)*SQRT(2*9.81*(O1647/100-fi_h/2/1000))*1000))</f>
        <v>54.218723304161266</v>
      </c>
      <c r="Q1647" s="19">
        <f ca="1">IF(O1647="","",IF(Tipo_Vertedor="Retangular",IF(O1647&lt;=cota_s*100,0,IF(Tipo_Vertedor="Retangular",Cd_sr*Lef_sr*((O1647/100-cota_s)^(3/2))*1000)),IF(O1647&lt;=cota_s*100+fi_s/20,0,(OFFSET('Base de dados'!$A$4,IF(O1647&lt;20,1,IF(O1647&gt;1000,10,MATCH(O1647,Cargas,1))),Coluna_fis,1,1))*(PI()*(fi_s/1000)^2/4)*(2*9.81*(O1647/100-cota_s-fi_s/2/1000))^0.5*1000)))</f>
        <v>7235.8629764087937</v>
      </c>
      <c r="R1647" s="19">
        <f t="shared" ca="1" si="215"/>
        <v>7290.081699712955</v>
      </c>
      <c r="S1647" s="19">
        <f t="shared" ca="1" si="216"/>
        <v>9918.177987791827</v>
      </c>
    </row>
    <row r="1648" spans="13:19">
      <c r="M1648" s="81">
        <f t="shared" ca="1" si="213"/>
        <v>17222.773902008481</v>
      </c>
      <c r="N1648" s="19">
        <f t="shared" si="214"/>
        <v>297.74863522417593</v>
      </c>
      <c r="O1648" s="17">
        <f t="shared" si="212"/>
        <v>411.75</v>
      </c>
      <c r="P1648" s="19">
        <f ca="1">IF(ISERROR(IF(O1648&lt;fi_h/20,0,(OFFSET('Base de dados'!$A$5,IF(O1648&lt;20,1,IF(O1648&gt;1000,10,MATCH(O1648,Cargas,1))),Coluna_fih,1,1))*(1+0.13*0.25)*(PI()*(fi_h/1000)^2/4)*SQRT(2*9.81*(O1648/100-fi_h/2/1000))*1000)),"",IF(O1648&lt;fi_h/20,0,(OFFSET('Base de dados'!$A$5,IF(O1648&lt;20,1,IF(O1648&gt;1000,10,MATCH(O1648,Cargas,1))),Coluna_fih,1,1))*(PI()*(fi_h/1000)^2/4)*SQRT(2*9.81*(O1648/100-fi_h/2/1000))*1000))</f>
        <v>54.235419448311113</v>
      </c>
      <c r="Q1648" s="19">
        <f ca="1">IF(O1648="","",IF(Tipo_Vertedor="Retangular",IF(O1648&lt;=cota_s*100,0,IF(Tipo_Vertedor="Retangular",Cd_sr*Lef_sr*((O1648/100-cota_s)^(3/2))*1000)),IF(O1648&lt;=cota_s*100+fi_s/20,0,(OFFSET('Base de dados'!$A$4,IF(O1648&lt;20,1,IF(O1648&gt;1000,10,MATCH(O1648,Cargas,1))),Coluna_fis,1,1))*(PI()*(fi_s/1000)^2/4)*(2*9.81*(O1648/100-cota_s-fi_s/2/1000))^0.5*1000)))</f>
        <v>7243.5839750876385</v>
      </c>
      <c r="R1648" s="19">
        <f t="shared" ca="1" si="215"/>
        <v>7297.8193945359499</v>
      </c>
      <c r="S1648" s="19">
        <f t="shared" ca="1" si="216"/>
        <v>9924.9545074725302</v>
      </c>
    </row>
    <row r="1649" spans="13:19">
      <c r="M1649" s="81">
        <f t="shared" ca="1" si="213"/>
        <v>17237.291368218554</v>
      </c>
      <c r="N1649" s="19">
        <f t="shared" si="214"/>
        <v>297.95194619188447</v>
      </c>
      <c r="O1649" s="17">
        <f t="shared" si="212"/>
        <v>412</v>
      </c>
      <c r="P1649" s="19">
        <f ca="1">IF(ISERROR(IF(O1649&lt;fi_h/20,0,(OFFSET('Base de dados'!$A$5,IF(O1649&lt;20,1,IF(O1649&gt;1000,10,MATCH(O1649,Cargas,1))),Coluna_fih,1,1))*(1+0.13*0.25)*(PI()*(fi_h/1000)^2/4)*SQRT(2*9.81*(O1649/100-fi_h/2/1000))*1000)),"",IF(O1649&lt;fi_h/20,0,(OFFSET('Base de dados'!$A$5,IF(O1649&lt;20,1,IF(O1649&gt;1000,10,MATCH(O1649,Cargas,1))),Coluna_fih,1,1))*(PI()*(fi_h/1000)^2/4)*SQRT(2*9.81*(O1649/100-fi_h/2/1000))*1000))</f>
        <v>54.252110454205244</v>
      </c>
      <c r="Q1649" s="19">
        <f ca="1">IF(O1649="","",IF(Tipo_Vertedor="Retangular",IF(O1649&lt;=cota_s*100,0,IF(Tipo_Vertedor="Retangular",Cd_sr*Lef_sr*((O1649/100-cota_s)^(3/2))*1000)),IF(O1649&lt;=cota_s*100+fi_s/20,0,(OFFSET('Base de dados'!$A$4,IF(O1649&lt;20,1,IF(O1649&gt;1000,10,MATCH(O1649,Cargas,1))),Coluna_fis,1,1))*(PI()*(fi_s/1000)^2/4)*(2*9.81*(O1649/100-cota_s-fi_s/2/1000))^0.5*1000)))</f>
        <v>7251.3077180348646</v>
      </c>
      <c r="R1649" s="19">
        <f t="shared" ca="1" si="215"/>
        <v>7305.5598284890702</v>
      </c>
      <c r="S1649" s="19">
        <f t="shared" ca="1" si="216"/>
        <v>9931.7315397294824</v>
      </c>
    </row>
    <row r="1650" spans="13:19">
      <c r="M1650" s="81">
        <f t="shared" ca="1" si="213"/>
        <v>17251.812084892739</v>
      </c>
      <c r="N1650" s="19">
        <f t="shared" si="214"/>
        <v>298.15527252871158</v>
      </c>
      <c r="O1650" s="17">
        <f t="shared" si="212"/>
        <v>412.25</v>
      </c>
      <c r="P1650" s="19">
        <f ca="1">IF(ISERROR(IF(O1650&lt;fi_h/20,0,(OFFSET('Base de dados'!$A$5,IF(O1650&lt;20,1,IF(O1650&gt;1000,10,MATCH(O1650,Cargas,1))),Coluna_fih,1,1))*(1+0.13*0.25)*(PI()*(fi_h/1000)^2/4)*SQRT(2*9.81*(O1650/100-fi_h/2/1000))*1000)),"",IF(O1650&lt;fi_h/20,0,(OFFSET('Base de dados'!$A$5,IF(O1650&lt;20,1,IF(O1650&gt;1000,10,MATCH(O1650,Cargas,1))),Coluna_fih,1,1))*(PI()*(fi_h/1000)^2/4)*SQRT(2*9.81*(O1650/100-fi_h/2/1000))*1000))</f>
        <v>54.268796326584656</v>
      </c>
      <c r="Q1650" s="19">
        <f ca="1">IF(O1650="","",IF(Tipo_Vertedor="Retangular",IF(O1650&lt;=cota_s*100,0,IF(Tipo_Vertedor="Retangular",Cd_sr*Lef_sr*((O1650/100-cota_s)^(3/2))*1000)),IF(O1650&lt;=cota_s*100+fi_s/20,0,(OFFSET('Base de dados'!$A$4,IF(O1650&lt;20,1,IF(O1650&gt;1000,10,MATCH(O1650,Cargas,1))),Coluna_fis,1,1))*(PI()*(fi_s/1000)^2/4)*(2*9.81*(O1650/100-cota_s-fi_s/2/1000))^0.5*1000)))</f>
        <v>7259.0342042757693</v>
      </c>
      <c r="R1650" s="19">
        <f t="shared" ca="1" si="215"/>
        <v>7313.3030006023537</v>
      </c>
      <c r="S1650" s="19">
        <f t="shared" ca="1" si="216"/>
        <v>9938.5090842903865</v>
      </c>
    </row>
    <row r="1651" spans="13:19">
      <c r="M1651" s="81">
        <f t="shared" ca="1" si="213"/>
        <v>17266.336050790138</v>
      </c>
      <c r="N1651" s="19">
        <f t="shared" si="214"/>
        <v>298.35861422649782</v>
      </c>
      <c r="O1651" s="17">
        <f t="shared" si="212"/>
        <v>412.5</v>
      </c>
      <c r="P1651" s="19">
        <f ca="1">IF(ISERROR(IF(O1651&lt;fi_h/20,0,(OFFSET('Base de dados'!$A$5,IF(O1651&lt;20,1,IF(O1651&gt;1000,10,MATCH(O1651,Cargas,1))),Coluna_fih,1,1))*(1+0.13*0.25)*(PI()*(fi_h/1000)^2/4)*SQRT(2*9.81*(O1651/100-fi_h/2/1000))*1000)),"",IF(O1651&lt;fi_h/20,0,(OFFSET('Base de dados'!$A$5,IF(O1651&lt;20,1,IF(O1651&gt;1000,10,MATCH(O1651,Cargas,1))),Coluna_fih,1,1))*(PI()*(fi_h/1000)^2/4)*SQRT(2*9.81*(O1651/100-fi_h/2/1000))*1000))</f>
        <v>54.285477070183063</v>
      </c>
      <c r="Q1651" s="19">
        <f ca="1">IF(O1651="","",IF(Tipo_Vertedor="Retangular",IF(O1651&lt;=cota_s*100,0,IF(Tipo_Vertedor="Retangular",Cd_sr*Lef_sr*((O1651/100-cota_s)^(3/2))*1000)),IF(O1651&lt;=cota_s*100+fi_s/20,0,(OFFSET('Base de dados'!$A$4,IF(O1651&lt;20,1,IF(O1651&gt;1000,10,MATCH(O1651,Cargas,1))),Coluna_fis,1,1))*(PI()*(fi_s/1000)^2/4)*(2*9.81*(O1651/100-cota_s-fi_s/2/1000))^0.5*1000)))</f>
        <v>7266.763432836693</v>
      </c>
      <c r="R1651" s="19">
        <f t="shared" ca="1" si="215"/>
        <v>7321.0489099068764</v>
      </c>
      <c r="S1651" s="19">
        <f t="shared" ca="1" si="216"/>
        <v>9945.2871408832616</v>
      </c>
    </row>
    <row r="1652" spans="13:19">
      <c r="M1652" s="81">
        <f t="shared" ca="1" si="213"/>
        <v>17280.863264671163</v>
      </c>
      <c r="N1652" s="19">
        <f t="shared" si="214"/>
        <v>298.56197127709294</v>
      </c>
      <c r="O1652" s="17">
        <f t="shared" si="212"/>
        <v>412.75</v>
      </c>
      <c r="P1652" s="19">
        <f ca="1">IF(ISERROR(IF(O1652&lt;fi_h/20,0,(OFFSET('Base de dados'!$A$5,IF(O1652&lt;20,1,IF(O1652&gt;1000,10,MATCH(O1652,Cargas,1))),Coluna_fih,1,1))*(1+0.13*0.25)*(PI()*(fi_h/1000)^2/4)*SQRT(2*9.81*(O1652/100-fi_h/2/1000))*1000)),"",IF(O1652&lt;fi_h/20,0,(OFFSET('Base de dados'!$A$5,IF(O1652&lt;20,1,IF(O1652&gt;1000,10,MATCH(O1652,Cargas,1))),Coluna_fih,1,1))*(PI()*(fi_h/1000)^2/4)*SQRT(2*9.81*(O1652/100-fi_h/2/1000))*1000))</f>
        <v>54.302152689726917</v>
      </c>
      <c r="Q1652" s="19">
        <f ca="1">IF(O1652="","",IF(Tipo_Vertedor="Retangular",IF(O1652&lt;=cota_s*100,0,IF(Tipo_Vertedor="Retangular",Cd_sr*Lef_sr*((O1652/100-cota_s)^(3/2))*1000)),IF(O1652&lt;=cota_s*100+fi_s/20,0,(OFFSET('Base de dados'!$A$4,IF(O1652&lt;20,1,IF(O1652&gt;1000,10,MATCH(O1652,Cargas,1))),Coluna_fis,1,1))*(PI()*(fi_s/1000)^2/4)*(2*9.81*(O1652/100-cota_s-fi_s/2/1000))^0.5*1000)))</f>
        <v>7274.495402745004</v>
      </c>
      <c r="R1652" s="19">
        <f t="shared" ca="1" si="215"/>
        <v>7328.7975554347313</v>
      </c>
      <c r="S1652" s="19">
        <f t="shared" ca="1" si="216"/>
        <v>9952.0657092364308</v>
      </c>
    </row>
    <row r="1653" spans="13:19">
      <c r="M1653" s="81">
        <f t="shared" ca="1" si="213"/>
        <v>17295.393725297574</v>
      </c>
      <c r="N1653" s="19">
        <f t="shared" si="214"/>
        <v>298.76534367235581</v>
      </c>
      <c r="O1653" s="17">
        <f t="shared" si="212"/>
        <v>413</v>
      </c>
      <c r="P1653" s="19">
        <f ca="1">IF(ISERROR(IF(O1653&lt;fi_h/20,0,(OFFSET('Base de dados'!$A$5,IF(O1653&lt;20,1,IF(O1653&gt;1000,10,MATCH(O1653,Cargas,1))),Coluna_fih,1,1))*(1+0.13*0.25)*(PI()*(fi_h/1000)^2/4)*SQRT(2*9.81*(O1653/100-fi_h/2/1000))*1000)),"",IF(O1653&lt;fi_h/20,0,(OFFSET('Base de dados'!$A$5,IF(O1653&lt;20,1,IF(O1653&gt;1000,10,MATCH(O1653,Cargas,1))),Coluna_fih,1,1))*(PI()*(fi_h/1000)^2/4)*SQRT(2*9.81*(O1653/100-fi_h/2/1000))*1000))</f>
        <v>54.318823189935344</v>
      </c>
      <c r="Q1653" s="19">
        <f ca="1">IF(O1653="","",IF(Tipo_Vertedor="Retangular",IF(O1653&lt;=cota_s*100,0,IF(Tipo_Vertedor="Retangular",Cd_sr*Lef_sr*((O1653/100-cota_s)^(3/2))*1000)),IF(O1653&lt;=cota_s*100+fi_s/20,0,(OFFSET('Base de dados'!$A$4,IF(O1653&lt;20,1,IF(O1653&gt;1000,10,MATCH(O1653,Cargas,1))),Coluna_fis,1,1))*(PI()*(fi_s/1000)^2/4)*(2*9.81*(O1653/100-cota_s-fi_s/2/1000))^0.5*1000)))</f>
        <v>7282.2301130291125</v>
      </c>
      <c r="R1653" s="19">
        <f t="shared" ca="1" si="215"/>
        <v>7336.5489362190483</v>
      </c>
      <c r="S1653" s="19">
        <f t="shared" ca="1" si="216"/>
        <v>9958.8447890785264</v>
      </c>
    </row>
    <row r="1654" spans="13:19">
      <c r="M1654" s="81">
        <f t="shared" ca="1" si="213"/>
        <v>17309.927431432479</v>
      </c>
      <c r="N1654" s="19">
        <f t="shared" si="214"/>
        <v>298.96873140415494</v>
      </c>
      <c r="O1654" s="17">
        <f t="shared" si="212"/>
        <v>413.25</v>
      </c>
      <c r="P1654" s="19">
        <f ca="1">IF(ISERROR(IF(O1654&lt;fi_h/20,0,(OFFSET('Base de dados'!$A$5,IF(O1654&lt;20,1,IF(O1654&gt;1000,10,MATCH(O1654,Cargas,1))),Coluna_fih,1,1))*(1+0.13*0.25)*(PI()*(fi_h/1000)^2/4)*SQRT(2*9.81*(O1654/100-fi_h/2/1000))*1000)),"",IF(O1654&lt;fi_h/20,0,(OFFSET('Base de dados'!$A$5,IF(O1654&lt;20,1,IF(O1654&gt;1000,10,MATCH(O1654,Cargas,1))),Coluna_fih,1,1))*(PI()*(fi_h/1000)^2/4)*SQRT(2*9.81*(O1654/100-fi_h/2/1000))*1000))</f>
        <v>54.335488575520337</v>
      </c>
      <c r="Q1654" s="19">
        <f ca="1">IF(O1654="","",IF(Tipo_Vertedor="Retangular",IF(O1654&lt;=cota_s*100,0,IF(Tipo_Vertedor="Retangular",Cd_sr*Lef_sr*((O1654/100-cota_s)^(3/2))*1000)),IF(O1654&lt;=cota_s*100+fi_s/20,0,(OFFSET('Base de dados'!$A$4,IF(O1654&lt;20,1,IF(O1654&gt;1000,10,MATCH(O1654,Cargas,1))),Coluna_fis,1,1))*(PI()*(fi_s/1000)^2/4)*(2*9.81*(O1654/100-cota_s-fi_s/2/1000))^0.5*1000)))</f>
        <v>7289.9675627184606</v>
      </c>
      <c r="R1654" s="19">
        <f t="shared" ca="1" si="215"/>
        <v>7344.3030512939813</v>
      </c>
      <c r="S1654" s="19">
        <f t="shared" ca="1" si="216"/>
        <v>9965.6243801384971</v>
      </c>
    </row>
    <row r="1655" spans="13:19">
      <c r="M1655" s="81">
        <f t="shared" ca="1" si="213"/>
        <v>17324.464381840287</v>
      </c>
      <c r="N1655" s="19">
        <f t="shared" si="214"/>
        <v>299.17213446436762</v>
      </c>
      <c r="O1655" s="17">
        <f t="shared" si="212"/>
        <v>413.5</v>
      </c>
      <c r="P1655" s="19">
        <f ca="1">IF(ISERROR(IF(O1655&lt;fi_h/20,0,(OFFSET('Base de dados'!$A$5,IF(O1655&lt;20,1,IF(O1655&gt;1000,10,MATCH(O1655,Cargas,1))),Coluna_fih,1,1))*(1+0.13*0.25)*(PI()*(fi_h/1000)^2/4)*SQRT(2*9.81*(O1655/100-fi_h/2/1000))*1000)),"",IF(O1655&lt;fi_h/20,0,(OFFSET('Base de dados'!$A$5,IF(O1655&lt;20,1,IF(O1655&gt;1000,10,MATCH(O1655,Cargas,1))),Coluna_fih,1,1))*(PI()*(fi_h/1000)^2/4)*SQRT(2*9.81*(O1655/100-fi_h/2/1000))*1000))</f>
        <v>54.352148851186591</v>
      </c>
      <c r="Q1655" s="19">
        <f ca="1">IF(O1655="","",IF(Tipo_Vertedor="Retangular",IF(O1655&lt;=cota_s*100,0,IF(Tipo_Vertedor="Retangular",Cd_sr*Lef_sr*((O1655/100-cota_s)^(3/2))*1000)),IF(O1655&lt;=cota_s*100+fi_s/20,0,(OFFSET('Base de dados'!$A$4,IF(O1655&lt;20,1,IF(O1655&gt;1000,10,MATCH(O1655,Cargas,1))),Coluna_fis,1,1))*(PI()*(fi_s/1000)^2/4)*(2*9.81*(O1655/100-cota_s-fi_s/2/1000))^0.5*1000)))</f>
        <v>7297.7077508435123</v>
      </c>
      <c r="R1655" s="19">
        <f t="shared" ca="1" si="215"/>
        <v>7352.0598996946992</v>
      </c>
      <c r="S1655" s="19">
        <f t="shared" ca="1" si="216"/>
        <v>9972.4044821455882</v>
      </c>
    </row>
    <row r="1656" spans="13:19">
      <c r="M1656" s="81">
        <f t="shared" ca="1" si="213"/>
        <v>17339.004575286766</v>
      </c>
      <c r="N1656" s="19">
        <f t="shared" si="214"/>
        <v>299.37555284488064</v>
      </c>
      <c r="O1656" s="17">
        <f t="shared" si="212"/>
        <v>413.75</v>
      </c>
      <c r="P1656" s="19">
        <f ca="1">IF(ISERROR(IF(O1656&lt;fi_h/20,0,(OFFSET('Base de dados'!$A$5,IF(O1656&lt;20,1,IF(O1656&gt;1000,10,MATCH(O1656,Cargas,1))),Coluna_fih,1,1))*(1+0.13*0.25)*(PI()*(fi_h/1000)^2/4)*SQRT(2*9.81*(O1656/100-fi_h/2/1000))*1000)),"",IF(O1656&lt;fi_h/20,0,(OFFSET('Base de dados'!$A$5,IF(O1656&lt;20,1,IF(O1656&gt;1000,10,MATCH(O1656,Cargas,1))),Coluna_fih,1,1))*(PI()*(fi_h/1000)^2/4)*SQRT(2*9.81*(O1656/100-fi_h/2/1000))*1000))</f>
        <v>54.368804021631625</v>
      </c>
      <c r="Q1656" s="19">
        <f ca="1">IF(O1656="","",IF(Tipo_Vertedor="Retangular",IF(O1656&lt;=cota_s*100,0,IF(Tipo_Vertedor="Retangular",Cd_sr*Lef_sr*((O1656/100-cota_s)^(3/2))*1000)),IF(O1656&lt;=cota_s*100+fi_s/20,0,(OFFSET('Base de dados'!$A$4,IF(O1656&lt;20,1,IF(O1656&gt;1000,10,MATCH(O1656,Cargas,1))),Coluna_fis,1,1))*(PI()*(fi_s/1000)^2/4)*(2*9.81*(O1656/100-cota_s-fi_s/2/1000))^0.5*1000)))</f>
        <v>7305.4506764357775</v>
      </c>
      <c r="R1656" s="19">
        <f t="shared" ca="1" si="215"/>
        <v>7359.8194804574096</v>
      </c>
      <c r="S1656" s="19">
        <f t="shared" ca="1" si="216"/>
        <v>9979.1850948293559</v>
      </c>
    </row>
    <row r="1657" spans="13:19">
      <c r="M1657" s="81">
        <f t="shared" ca="1" si="213"/>
        <v>17353.548010538976</v>
      </c>
      <c r="N1657" s="19">
        <f t="shared" si="214"/>
        <v>299.57898653758986</v>
      </c>
      <c r="O1657" s="17">
        <f t="shared" si="212"/>
        <v>414</v>
      </c>
      <c r="P1657" s="19">
        <f ca="1">IF(ISERROR(IF(O1657&lt;fi_h/20,0,(OFFSET('Base de dados'!$A$5,IF(O1657&lt;20,1,IF(O1657&gt;1000,10,MATCH(O1657,Cargas,1))),Coluna_fih,1,1))*(1+0.13*0.25)*(PI()*(fi_h/1000)^2/4)*SQRT(2*9.81*(O1657/100-fi_h/2/1000))*1000)),"",IF(O1657&lt;fi_h/20,0,(OFFSET('Base de dados'!$A$5,IF(O1657&lt;20,1,IF(O1657&gt;1000,10,MATCH(O1657,Cargas,1))),Coluna_fih,1,1))*(PI()*(fi_h/1000)^2/4)*SQRT(2*9.81*(O1657/100-fi_h/2/1000))*1000))</f>
        <v>54.385454091545739</v>
      </c>
      <c r="Q1657" s="19">
        <f ca="1">IF(O1657="","",IF(Tipo_Vertedor="Retangular",IF(O1657&lt;=cota_s*100,0,IF(Tipo_Vertedor="Retangular",Cd_sr*Lef_sr*((O1657/100-cota_s)^(3/2))*1000)),IF(O1657&lt;=cota_s*100+fi_s/20,0,(OFFSET('Base de dados'!$A$4,IF(O1657&lt;20,1,IF(O1657&gt;1000,10,MATCH(O1657,Cargas,1))),Coluna_fis,1,1))*(PI()*(fi_s/1000)^2/4)*(2*9.81*(O1657/100-cota_s-fi_s/2/1000))^0.5*1000)))</f>
        <v>7313.1963385277686</v>
      </c>
      <c r="R1657" s="19">
        <f t="shared" ca="1" si="215"/>
        <v>7367.581792619314</v>
      </c>
      <c r="S1657" s="19">
        <f t="shared" ca="1" si="216"/>
        <v>9985.9662179196621</v>
      </c>
    </row>
    <row r="1658" spans="13:19">
      <c r="M1658" s="81">
        <f t="shared" ca="1" si="213"/>
        <v>17368.094686365344</v>
      </c>
      <c r="N1658" s="19">
        <f t="shared" si="214"/>
        <v>299.78243553440041</v>
      </c>
      <c r="O1658" s="17">
        <f t="shared" si="212"/>
        <v>414.25</v>
      </c>
      <c r="P1658" s="19">
        <f ca="1">IF(ISERROR(IF(O1658&lt;fi_h/20,0,(OFFSET('Base de dados'!$A$5,IF(O1658&lt;20,1,IF(O1658&gt;1000,10,MATCH(O1658,Cargas,1))),Coluna_fih,1,1))*(1+0.13*0.25)*(PI()*(fi_h/1000)^2/4)*SQRT(2*9.81*(O1658/100-fi_h/2/1000))*1000)),"",IF(O1658&lt;fi_h/20,0,(OFFSET('Base de dados'!$A$5,IF(O1658&lt;20,1,IF(O1658&gt;1000,10,MATCH(O1658,Cargas,1))),Coluna_fih,1,1))*(PI()*(fi_h/1000)^2/4)*SQRT(2*9.81*(O1658/100-fi_h/2/1000))*1000))</f>
        <v>54.402099065612099</v>
      </c>
      <c r="Q1658" s="19">
        <f ca="1">IF(O1658="","",IF(Tipo_Vertedor="Retangular",IF(O1658&lt;=cota_s*100,0,IF(Tipo_Vertedor="Retangular",Cd_sr*Lef_sr*((O1658/100-cota_s)^(3/2))*1000)),IF(O1658&lt;=cota_s*100+fi_s/20,0,(OFFSET('Base de dados'!$A$4,IF(O1658&lt;20,1,IF(O1658&gt;1000,10,MATCH(O1658,Cargas,1))),Coluna_fis,1,1))*(PI()*(fi_s/1000)^2/4)*(2*9.81*(O1658/100-cota_s-fi_s/2/1000))^0.5*1000)))</f>
        <v>7320.9447361530511</v>
      </c>
      <c r="R1658" s="19">
        <f t="shared" ca="1" si="215"/>
        <v>7375.3468352186628</v>
      </c>
      <c r="S1658" s="19">
        <f t="shared" ca="1" si="216"/>
        <v>9992.7478511466797</v>
      </c>
    </row>
    <row r="1659" spans="13:19">
      <c r="M1659" s="81">
        <f t="shared" ca="1" si="213"/>
        <v>17382.64460153558</v>
      </c>
      <c r="N1659" s="19">
        <f t="shared" si="214"/>
        <v>299.98589982722655</v>
      </c>
      <c r="O1659" s="17">
        <f t="shared" si="212"/>
        <v>414.5</v>
      </c>
      <c r="P1659" s="19">
        <f ca="1">IF(ISERROR(IF(O1659&lt;fi_h/20,0,(OFFSET('Base de dados'!$A$5,IF(O1659&lt;20,1,IF(O1659&gt;1000,10,MATCH(O1659,Cargas,1))),Coluna_fih,1,1))*(1+0.13*0.25)*(PI()*(fi_h/1000)^2/4)*SQRT(2*9.81*(O1659/100-fi_h/2/1000))*1000)),"",IF(O1659&lt;fi_h/20,0,(OFFSET('Base de dados'!$A$5,IF(O1659&lt;20,1,IF(O1659&gt;1000,10,MATCH(O1659,Cargas,1))),Coluna_fih,1,1))*(PI()*(fi_h/1000)^2/4)*SQRT(2*9.81*(O1659/100-fi_h/2/1000))*1000))</f>
        <v>54.418738948506657</v>
      </c>
      <c r="Q1659" s="19">
        <f ca="1">IF(O1659="","",IF(Tipo_Vertedor="Retangular",IF(O1659&lt;=cota_s*100,0,IF(Tipo_Vertedor="Retangular",Cd_sr*Lef_sr*((O1659/100-cota_s)^(3/2))*1000)),IF(O1659&lt;=cota_s*100+fi_s/20,0,(OFFSET('Base de dados'!$A$4,IF(O1659&lt;20,1,IF(O1659&gt;1000,10,MATCH(O1659,Cargas,1))),Coluna_fis,1,1))*(PI()*(fi_s/1000)^2/4)*(2*9.81*(O1659/100-cota_s-fi_s/2/1000))^0.5*1000)))</f>
        <v>7328.695868346188</v>
      </c>
      <c r="R1659" s="19">
        <f t="shared" ca="1" si="215"/>
        <v>7383.1146072946949</v>
      </c>
      <c r="S1659" s="19">
        <f t="shared" ca="1" si="216"/>
        <v>9999.5299942408838</v>
      </c>
    </row>
    <row r="1660" spans="13:19">
      <c r="M1660" s="81">
        <f t="shared" ca="1" si="213"/>
        <v>17397.197754820736</v>
      </c>
      <c r="N1660" s="19">
        <f t="shared" si="214"/>
        <v>300.18937940799168</v>
      </c>
      <c r="O1660" s="17">
        <f t="shared" si="212"/>
        <v>414.75</v>
      </c>
      <c r="P1660" s="19">
        <f ca="1">IF(ISERROR(IF(O1660&lt;fi_h/20,0,(OFFSET('Base de dados'!$A$5,IF(O1660&lt;20,1,IF(O1660&gt;1000,10,MATCH(O1660,Cargas,1))),Coluna_fih,1,1))*(1+0.13*0.25)*(PI()*(fi_h/1000)^2/4)*SQRT(2*9.81*(O1660/100-fi_h/2/1000))*1000)),"",IF(O1660&lt;fi_h/20,0,(OFFSET('Base de dados'!$A$5,IF(O1660&lt;20,1,IF(O1660&gt;1000,10,MATCH(O1660,Cargas,1))),Coluna_fih,1,1))*(PI()*(fi_h/1000)^2/4)*SQRT(2*9.81*(O1660/100-fi_h/2/1000))*1000))</f>
        <v>54.43537374489825</v>
      </c>
      <c r="Q1660" s="19">
        <f ca="1">IF(O1660="","",IF(Tipo_Vertedor="Retangular",IF(O1660&lt;=cota_s*100,0,IF(Tipo_Vertedor="Retangular",Cd_sr*Lef_sr*((O1660/100-cota_s)^(3/2))*1000)),IF(O1660&lt;=cota_s*100+fi_s/20,0,(OFFSET('Base de dados'!$A$4,IF(O1660&lt;20,1,IF(O1660&gt;1000,10,MATCH(O1660,Cargas,1))),Coluna_fis,1,1))*(PI()*(fi_s/1000)^2/4)*(2*9.81*(O1660/100-cota_s-fi_s/2/1000))^0.5*1000)))</f>
        <v>7336.4497341427814</v>
      </c>
      <c r="R1660" s="19">
        <f t="shared" ca="1" si="215"/>
        <v>7390.8851078876796</v>
      </c>
      <c r="S1660" s="19">
        <f t="shared" ca="1" si="216"/>
        <v>10006.312646933055</v>
      </c>
    </row>
    <row r="1661" spans="13:19">
      <c r="M1661" s="81">
        <f t="shared" ca="1" si="213"/>
        <v>17411.754144993163</v>
      </c>
      <c r="N1661" s="19">
        <f t="shared" si="214"/>
        <v>300.39287426862808</v>
      </c>
      <c r="O1661" s="17">
        <f t="shared" si="212"/>
        <v>415</v>
      </c>
      <c r="P1661" s="19">
        <f ca="1">IF(ISERROR(IF(O1661&lt;fi_h/20,0,(OFFSET('Base de dados'!$A$5,IF(O1661&lt;20,1,IF(O1661&gt;1000,10,MATCH(O1661,Cargas,1))),Coluna_fih,1,1))*(1+0.13*0.25)*(PI()*(fi_h/1000)^2/4)*SQRT(2*9.81*(O1661/100-fi_h/2/1000))*1000)),"",IF(O1661&lt;fi_h/20,0,(OFFSET('Base de dados'!$A$5,IF(O1661&lt;20,1,IF(O1661&gt;1000,10,MATCH(O1661,Cargas,1))),Coluna_fih,1,1))*(PI()*(fi_h/1000)^2/4)*SQRT(2*9.81*(O1661/100-fi_h/2/1000))*1000))</f>
        <v>54.452003459448598</v>
      </c>
      <c r="Q1661" s="19">
        <f ca="1">IF(O1661="","",IF(Tipo_Vertedor="Retangular",IF(O1661&lt;=cota_s*100,0,IF(Tipo_Vertedor="Retangular",Cd_sr*Lef_sr*((O1661/100-cota_s)^(3/2))*1000)),IF(O1661&lt;=cota_s*100+fi_s/20,0,(OFFSET('Base de dados'!$A$4,IF(O1661&lt;20,1,IF(O1661&gt;1000,10,MATCH(O1661,Cargas,1))),Coluna_fis,1,1))*(PI()*(fi_s/1000)^2/4)*(2*9.81*(O1661/100-cota_s-fi_s/2/1000))^0.5*1000)))</f>
        <v>7344.2063325794461</v>
      </c>
      <c r="R1661" s="19">
        <f t="shared" ca="1" si="215"/>
        <v>7398.658336038895</v>
      </c>
      <c r="S1661" s="19">
        <f t="shared" ca="1" si="216"/>
        <v>10013.095808954269</v>
      </c>
    </row>
    <row r="1662" spans="13:19">
      <c r="M1662" s="81">
        <f t="shared" ca="1" si="213"/>
        <v>17426.313770826542</v>
      </c>
      <c r="N1662" s="19">
        <f t="shared" si="214"/>
        <v>300.59638440107761</v>
      </c>
      <c r="O1662" s="17">
        <f t="shared" si="212"/>
        <v>415.25</v>
      </c>
      <c r="P1662" s="19">
        <f ca="1">IF(ISERROR(IF(O1662&lt;fi_h/20,0,(OFFSET('Base de dados'!$A$5,IF(O1662&lt;20,1,IF(O1662&gt;1000,10,MATCH(O1662,Cargas,1))),Coluna_fih,1,1))*(1+0.13*0.25)*(PI()*(fi_h/1000)^2/4)*SQRT(2*9.81*(O1662/100-fi_h/2/1000))*1000)),"",IF(O1662&lt;fi_h/20,0,(OFFSET('Base de dados'!$A$5,IF(O1662&lt;20,1,IF(O1662&gt;1000,10,MATCH(O1662,Cargas,1))),Coluna_fih,1,1))*(PI()*(fi_h/1000)^2/4)*SQRT(2*9.81*(O1662/100-fi_h/2/1000))*1000))</f>
        <v>54.468628096812253</v>
      </c>
      <c r="Q1662" s="19">
        <f ca="1">IF(O1662="","",IF(Tipo_Vertedor="Retangular",IF(O1662&lt;=cota_s*100,0,IF(Tipo_Vertedor="Retangular",Cd_sr*Lef_sr*((O1662/100-cota_s)^(3/2))*1000)),IF(O1662&lt;=cota_s*100+fi_s/20,0,(OFFSET('Base de dados'!$A$4,IF(O1662&lt;20,1,IF(O1662&gt;1000,10,MATCH(O1662,Cargas,1))),Coluna_fis,1,1))*(PI()*(fi_s/1000)^2/4)*(2*9.81*(O1662/100-cota_s-fi_s/2/1000))^0.5*1000)))</f>
        <v>7351.9656626938095</v>
      </c>
      <c r="R1662" s="19">
        <f t="shared" ca="1" si="215"/>
        <v>7406.4342907906221</v>
      </c>
      <c r="S1662" s="19">
        <f t="shared" ca="1" si="216"/>
        <v>10019.879480035921</v>
      </c>
    </row>
    <row r="1663" spans="13:19">
      <c r="M1663" s="81">
        <f t="shared" ca="1" si="213"/>
        <v>17440.876631095867</v>
      </c>
      <c r="N1663" s="19">
        <f t="shared" si="214"/>
        <v>300.79990979729104</v>
      </c>
      <c r="O1663" s="17">
        <f t="shared" si="212"/>
        <v>415.5</v>
      </c>
      <c r="P1663" s="19">
        <f ca="1">IF(ISERROR(IF(O1663&lt;fi_h/20,0,(OFFSET('Base de dados'!$A$5,IF(O1663&lt;20,1,IF(O1663&gt;1000,10,MATCH(O1663,Cargas,1))),Coluna_fih,1,1))*(1+0.13*0.25)*(PI()*(fi_h/1000)^2/4)*SQRT(2*9.81*(O1663/100-fi_h/2/1000))*1000)),"",IF(O1663&lt;fi_h/20,0,(OFFSET('Base de dados'!$A$5,IF(O1663&lt;20,1,IF(O1663&gt;1000,10,MATCH(O1663,Cargas,1))),Coluna_fih,1,1))*(PI()*(fi_h/1000)^2/4)*SQRT(2*9.81*(O1663/100-fi_h/2/1000))*1000))</f>
        <v>54.485247661636699</v>
      </c>
      <c r="Q1663" s="19">
        <f ca="1">IF(O1663="","",IF(Tipo_Vertedor="Retangular",IF(O1663&lt;=cota_s*100,0,IF(Tipo_Vertedor="Retangular",Cd_sr*Lef_sr*((O1663/100-cota_s)^(3/2))*1000)),IF(O1663&lt;=cota_s*100+fi_s/20,0,(OFFSET('Base de dados'!$A$4,IF(O1663&lt;20,1,IF(O1663&gt;1000,10,MATCH(O1663,Cargas,1))),Coluna_fis,1,1))*(PI()*(fi_s/1000)^2/4)*(2*9.81*(O1663/100-cota_s-fi_s/2/1000))^0.5*1000)))</f>
        <v>7359.7277235245274</v>
      </c>
      <c r="R1663" s="19">
        <f t="shared" ca="1" si="215"/>
        <v>7414.2129711861644</v>
      </c>
      <c r="S1663" s="19">
        <f t="shared" ca="1" si="216"/>
        <v>10026.663659909702</v>
      </c>
    </row>
    <row r="1664" spans="13:19">
      <c r="M1664" s="81">
        <f t="shared" ca="1" si="213"/>
        <v>17455.442724577417</v>
      </c>
      <c r="N1664" s="19">
        <f t="shared" si="214"/>
        <v>301.0034504492279</v>
      </c>
      <c r="O1664" s="17">
        <f t="shared" si="212"/>
        <v>415.75</v>
      </c>
      <c r="P1664" s="19">
        <f ca="1">IF(ISERROR(IF(O1664&lt;fi_h/20,0,(OFFSET('Base de dados'!$A$5,IF(O1664&lt;20,1,IF(O1664&gt;1000,10,MATCH(O1664,Cargas,1))),Coluna_fih,1,1))*(1+0.13*0.25)*(PI()*(fi_h/1000)^2/4)*SQRT(2*9.81*(O1664/100-fi_h/2/1000))*1000)),"",IF(O1664&lt;fi_h/20,0,(OFFSET('Base de dados'!$A$5,IF(O1664&lt;20,1,IF(O1664&gt;1000,10,MATCH(O1664,Cargas,1))),Coluna_fih,1,1))*(PI()*(fi_h/1000)^2/4)*SQRT(2*9.81*(O1664/100-fi_h/2/1000))*1000))</f>
        <v>54.501862158562346</v>
      </c>
      <c r="Q1664" s="19">
        <f ca="1">IF(O1664="","",IF(Tipo_Vertedor="Retangular",IF(O1664&lt;=cota_s*100,0,IF(Tipo_Vertedor="Retangular",Cd_sr*Lef_sr*((O1664/100-cota_s)^(3/2))*1000)),IF(O1664&lt;=cota_s*100+fi_s/20,0,(OFFSET('Base de dados'!$A$4,IF(O1664&lt;20,1,IF(O1664&gt;1000,10,MATCH(O1664,Cargas,1))),Coluna_fis,1,1))*(PI()*(fi_s/1000)^2/4)*(2*9.81*(O1664/100-cota_s-fi_s/2/1000))^0.5*1000)))</f>
        <v>7367.4925141112581</v>
      </c>
      <c r="R1664" s="19">
        <f t="shared" ca="1" si="215"/>
        <v>7421.9943762698203</v>
      </c>
      <c r="S1664" s="19">
        <f t="shared" ca="1" si="216"/>
        <v>10033.448348307596</v>
      </c>
    </row>
    <row r="1665" spans="13:19">
      <c r="M1665" s="81">
        <f t="shared" ca="1" si="213"/>
        <v>17470.012050048823</v>
      </c>
      <c r="N1665" s="19">
        <f t="shared" si="214"/>
        <v>301.20700634885748</v>
      </c>
      <c r="O1665" s="17">
        <f t="shared" si="212"/>
        <v>416</v>
      </c>
      <c r="P1665" s="19">
        <f ca="1">IF(ISERROR(IF(O1665&lt;fi_h/20,0,(OFFSET('Base de dados'!$A$5,IF(O1665&lt;20,1,IF(O1665&gt;1000,10,MATCH(O1665,Cargas,1))),Coluna_fih,1,1))*(1+0.13*0.25)*(PI()*(fi_h/1000)^2/4)*SQRT(2*9.81*(O1665/100-fi_h/2/1000))*1000)),"",IF(O1665&lt;fi_h/20,0,(OFFSET('Base de dados'!$A$5,IF(O1665&lt;20,1,IF(O1665&gt;1000,10,MATCH(O1665,Cargas,1))),Coluna_fih,1,1))*(PI()*(fi_h/1000)^2/4)*SQRT(2*9.81*(O1665/100-fi_h/2/1000))*1000))</f>
        <v>54.518471592222518</v>
      </c>
      <c r="Q1665" s="19">
        <f ca="1">IF(O1665="","",IF(Tipo_Vertedor="Retangular",IF(O1665&lt;=cota_s*100,0,IF(Tipo_Vertedor="Retangular",Cd_sr*Lef_sr*((O1665/100-cota_s)^(3/2))*1000)),IF(O1665&lt;=cota_s*100+fi_s/20,0,(OFFSET('Base de dados'!$A$4,IF(O1665&lt;20,1,IF(O1665&gt;1000,10,MATCH(O1665,Cargas,1))),Coluna_fis,1,1))*(PI()*(fi_s/1000)^2/4)*(2*9.81*(O1665/100-cota_s-fi_s/2/1000))^0.5*1000)))</f>
        <v>7375.2600334946846</v>
      </c>
      <c r="R1665" s="19">
        <f t="shared" ca="1" si="215"/>
        <v>7429.778505086907</v>
      </c>
      <c r="S1665" s="19">
        <f t="shared" ca="1" si="216"/>
        <v>10040.233544961917</v>
      </c>
    </row>
    <row r="1666" spans="13:19">
      <c r="M1666" s="81">
        <f t="shared" ca="1" si="213"/>
        <v>17484.584606288976</v>
      </c>
      <c r="N1666" s="19">
        <f t="shared" si="214"/>
        <v>301.41057748815734</v>
      </c>
      <c r="O1666" s="17">
        <f t="shared" si="212"/>
        <v>416.25</v>
      </c>
      <c r="P1666" s="19">
        <f ca="1">IF(ISERROR(IF(O1666&lt;fi_h/20,0,(OFFSET('Base de dados'!$A$5,IF(O1666&lt;20,1,IF(O1666&gt;1000,10,MATCH(O1666,Cargas,1))),Coluna_fih,1,1))*(1+0.13*0.25)*(PI()*(fi_h/1000)^2/4)*SQRT(2*9.81*(O1666/100-fi_h/2/1000))*1000)),"",IF(O1666&lt;fi_h/20,0,(OFFSET('Base de dados'!$A$5,IF(O1666&lt;20,1,IF(O1666&gt;1000,10,MATCH(O1666,Cargas,1))),Coluna_fih,1,1))*(PI()*(fi_h/1000)^2/4)*SQRT(2*9.81*(O1666/100-fi_h/2/1000))*1000))</f>
        <v>54.535075967243458</v>
      </c>
      <c r="Q1666" s="19">
        <f ca="1">IF(O1666="","",IF(Tipo_Vertedor="Retangular",IF(O1666&lt;=cota_s*100,0,IF(Tipo_Vertedor="Retangular",Cd_sr*Lef_sr*((O1666/100-cota_s)^(3/2))*1000)),IF(O1666&lt;=cota_s*100+fi_s/20,0,(OFFSET('Base de dados'!$A$4,IF(O1666&lt;20,1,IF(O1666&gt;1000,10,MATCH(O1666,Cargas,1))),Coluna_fis,1,1))*(PI()*(fi_s/1000)^2/4)*(2*9.81*(O1666/100-cota_s-fi_s/2/1000))^0.5*1000)))</f>
        <v>7383.0302807164871</v>
      </c>
      <c r="R1666" s="19">
        <f t="shared" ca="1" si="215"/>
        <v>7437.5653566837309</v>
      </c>
      <c r="S1666" s="19">
        <f t="shared" ca="1" si="216"/>
        <v>10047.019249605244</v>
      </c>
    </row>
    <row r="1667" spans="13:19">
      <c r="M1667" s="81">
        <f t="shared" ca="1" si="213"/>
        <v>17499.160392078098</v>
      </c>
      <c r="N1667" s="19">
        <f t="shared" si="214"/>
        <v>301.61416385911468</v>
      </c>
      <c r="O1667" s="17">
        <f t="shared" si="212"/>
        <v>416.5</v>
      </c>
      <c r="P1667" s="19">
        <f ca="1">IF(ISERROR(IF(O1667&lt;fi_h/20,0,(OFFSET('Base de dados'!$A$5,IF(O1667&lt;20,1,IF(O1667&gt;1000,10,MATCH(O1667,Cargas,1))),Coluna_fih,1,1))*(1+0.13*0.25)*(PI()*(fi_h/1000)^2/4)*SQRT(2*9.81*(O1667/100-fi_h/2/1000))*1000)),"",IF(O1667&lt;fi_h/20,0,(OFFSET('Base de dados'!$A$5,IF(O1667&lt;20,1,IF(O1667&gt;1000,10,MATCH(O1667,Cargas,1))),Coluna_fih,1,1))*(PI()*(fi_h/1000)^2/4)*SQRT(2*9.81*(O1667/100-fi_h/2/1000))*1000))</f>
        <v>54.551675288244446</v>
      </c>
      <c r="Q1667" s="19">
        <f ca="1">IF(O1667="","",IF(Tipo_Vertedor="Retangular",IF(O1667&lt;=cota_s*100,0,IF(Tipo_Vertedor="Retangular",Cd_sr*Lef_sr*((O1667/100-cota_s)^(3/2))*1000)),IF(O1667&lt;=cota_s*100+fi_s/20,0,(OFFSET('Base de dados'!$A$4,IF(O1667&lt;20,1,IF(O1667&gt;1000,10,MATCH(O1667,Cargas,1))),Coluna_fis,1,1))*(PI()*(fi_s/1000)^2/4)*(2*9.81*(O1667/100-cota_s-fi_s/2/1000))^0.5*1000)))</f>
        <v>7390.8032548193632</v>
      </c>
      <c r="R1667" s="19">
        <f t="shared" ca="1" si="215"/>
        <v>7445.3549301076073</v>
      </c>
      <c r="S1667" s="19">
        <f t="shared" ca="1" si="216"/>
        <v>10053.805461970489</v>
      </c>
    </row>
    <row r="1668" spans="13:19">
      <c r="M1668" s="81">
        <f t="shared" ca="1" si="213"/>
        <v>17513.739406197703</v>
      </c>
      <c r="N1668" s="19">
        <f t="shared" si="214"/>
        <v>301.81776545372537</v>
      </c>
      <c r="O1668" s="17">
        <f t="shared" si="212"/>
        <v>416.75</v>
      </c>
      <c r="P1668" s="19">
        <f ca="1">IF(ISERROR(IF(O1668&lt;fi_h/20,0,(OFFSET('Base de dados'!$A$5,IF(O1668&lt;20,1,IF(O1668&gt;1000,10,MATCH(O1668,Cargas,1))),Coluna_fih,1,1))*(1+0.13*0.25)*(PI()*(fi_h/1000)^2/4)*SQRT(2*9.81*(O1668/100-fi_h/2/1000))*1000)),"",IF(O1668&lt;fi_h/20,0,(OFFSET('Base de dados'!$A$5,IF(O1668&lt;20,1,IF(O1668&gt;1000,10,MATCH(O1668,Cargas,1))),Coluna_fih,1,1))*(PI()*(fi_h/1000)^2/4)*SQRT(2*9.81*(O1668/100-fi_h/2/1000))*1000))</f>
        <v>54.568269559837631</v>
      </c>
      <c r="Q1668" s="19">
        <f ca="1">IF(O1668="","",IF(Tipo_Vertedor="Retangular",IF(O1668&lt;=cota_s*100,0,IF(Tipo_Vertedor="Retangular",Cd_sr*Lef_sr*((O1668/100-cota_s)^(3/2))*1000)),IF(O1668&lt;=cota_s*100+fi_s/20,0,(OFFSET('Base de dados'!$A$4,IF(O1668&lt;20,1,IF(O1668&gt;1000,10,MATCH(O1668,Cargas,1))),Coluna_fis,1,1))*(PI()*(fi_s/1000)^2/4)*(2*9.81*(O1668/100-cota_s-fi_s/2/1000))^0.5*1000)))</f>
        <v>7398.5789548470184</v>
      </c>
      <c r="R1668" s="19">
        <f t="shared" ca="1" si="215"/>
        <v>7453.1472244068564</v>
      </c>
      <c r="S1668" s="19">
        <f t="shared" ca="1" si="216"/>
        <v>10060.592181790846</v>
      </c>
    </row>
    <row r="1669" spans="13:19">
      <c r="M1669" s="81">
        <f t="shared" ca="1" si="213"/>
        <v>17528.321647430595</v>
      </c>
      <c r="N1669" s="19">
        <f t="shared" si="214"/>
        <v>302.02138226399444</v>
      </c>
      <c r="O1669" s="17">
        <f t="shared" si="212"/>
        <v>417</v>
      </c>
      <c r="P1669" s="19">
        <f ca="1">IF(ISERROR(IF(O1669&lt;fi_h/20,0,(OFFSET('Base de dados'!$A$5,IF(O1669&lt;20,1,IF(O1669&gt;1000,10,MATCH(O1669,Cargas,1))),Coluna_fih,1,1))*(1+0.13*0.25)*(PI()*(fi_h/1000)^2/4)*SQRT(2*9.81*(O1669/100-fi_h/2/1000))*1000)),"",IF(O1669&lt;fi_h/20,0,(OFFSET('Base de dados'!$A$5,IF(O1669&lt;20,1,IF(O1669&gt;1000,10,MATCH(O1669,Cargas,1))),Coluna_fih,1,1))*(PI()*(fi_h/1000)^2/4)*SQRT(2*9.81*(O1669/100-fi_h/2/1000))*1000))</f>
        <v>54.584858786628232</v>
      </c>
      <c r="Q1669" s="19">
        <f ca="1">IF(O1669="","",IF(Tipo_Vertedor="Retangular",IF(O1669&lt;=cota_s*100,0,IF(Tipo_Vertedor="Retangular",Cd_sr*Lef_sr*((O1669/100-cota_s)^(3/2))*1000)),IF(O1669&lt;=cota_s*100+fi_s/20,0,(OFFSET('Base de dados'!$A$4,IF(O1669&lt;20,1,IF(O1669&gt;1000,10,MATCH(O1669,Cargas,1))),Coluna_fis,1,1))*(PI()*(fi_s/1000)^2/4)*(2*9.81*(O1669/100-cota_s-fi_s/2/1000))^0.5*1000)))</f>
        <v>7406.3573798441548</v>
      </c>
      <c r="R1669" s="19">
        <f t="shared" ca="1" si="215"/>
        <v>7460.9422386307833</v>
      </c>
      <c r="S1669" s="19">
        <f t="shared" ca="1" si="216"/>
        <v>10067.379408799814</v>
      </c>
    </row>
    <row r="1670" spans="13:19">
      <c r="M1670" s="81">
        <f t="shared" ca="1" si="213"/>
        <v>17542.907114560905</v>
      </c>
      <c r="N1670" s="19">
        <f t="shared" si="214"/>
        <v>302.2250142819359</v>
      </c>
      <c r="O1670" s="17">
        <f t="shared" si="212"/>
        <v>417.25</v>
      </c>
      <c r="P1670" s="19">
        <f ca="1">IF(ISERROR(IF(O1670&lt;fi_h/20,0,(OFFSET('Base de dados'!$A$5,IF(O1670&lt;20,1,IF(O1670&gt;1000,10,MATCH(O1670,Cargas,1))),Coluna_fih,1,1))*(1+0.13*0.25)*(PI()*(fi_h/1000)^2/4)*SQRT(2*9.81*(O1670/100-fi_h/2/1000))*1000)),"",IF(O1670&lt;fi_h/20,0,(OFFSET('Base de dados'!$A$5,IF(O1670&lt;20,1,IF(O1670&gt;1000,10,MATCH(O1670,Cargas,1))),Coluna_fih,1,1))*(PI()*(fi_h/1000)^2/4)*SQRT(2*9.81*(O1670/100-fi_h/2/1000))*1000))</f>
        <v>54.601442973214446</v>
      </c>
      <c r="Q1670" s="19">
        <f ca="1">IF(O1670="","",IF(Tipo_Vertedor="Retangular",IF(O1670&lt;=cota_s*100,0,IF(Tipo_Vertedor="Retangular",Cd_sr*Lef_sr*((O1670/100-cota_s)^(3/2))*1000)),IF(O1670&lt;=cota_s*100+fi_s/20,0,(OFFSET('Base de dados'!$A$4,IF(O1670&lt;20,1,IF(O1670&gt;1000,10,MATCH(O1670,Cargas,1))),Coluna_fis,1,1))*(PI()*(fi_s/1000)^2/4)*(2*9.81*(O1670/100-cota_s-fi_s/2/1000))^0.5*1000)))</f>
        <v>7414.1385288564934</v>
      </c>
      <c r="R1670" s="19">
        <f t="shared" ca="1" si="215"/>
        <v>7468.7399718297074</v>
      </c>
      <c r="S1670" s="19">
        <f t="shared" ca="1" si="216"/>
        <v>10074.167142731196</v>
      </c>
    </row>
    <row r="1671" spans="13:19">
      <c r="M1671" s="81">
        <f t="shared" ca="1" si="213"/>
        <v>17557.495806374012</v>
      </c>
      <c r="N1671" s="19">
        <f t="shared" si="214"/>
        <v>302.42866149957257</v>
      </c>
      <c r="O1671" s="17">
        <f t="shared" si="212"/>
        <v>417.5</v>
      </c>
      <c r="P1671" s="19">
        <f ca="1">IF(ISERROR(IF(O1671&lt;fi_h/20,0,(OFFSET('Base de dados'!$A$5,IF(O1671&lt;20,1,IF(O1671&gt;1000,10,MATCH(O1671,Cargas,1))),Coluna_fih,1,1))*(1+0.13*0.25)*(PI()*(fi_h/1000)^2/4)*SQRT(2*9.81*(O1671/100-fi_h/2/1000))*1000)),"",IF(O1671&lt;fi_h/20,0,(OFFSET('Base de dados'!$A$5,IF(O1671&lt;20,1,IF(O1671&gt;1000,10,MATCH(O1671,Cargas,1))),Coluna_fih,1,1))*(PI()*(fi_h/1000)^2/4)*SQRT(2*9.81*(O1671/100-fi_h/2/1000))*1000))</f>
        <v>54.618022124187462</v>
      </c>
      <c r="Q1671" s="19">
        <f ca="1">IF(O1671="","",IF(Tipo_Vertedor="Retangular",IF(O1671&lt;=cota_s*100,0,IF(Tipo_Vertedor="Retangular",Cd_sr*Lef_sr*((O1671/100-cota_s)^(3/2))*1000)),IF(O1671&lt;=cota_s*100+fi_s/20,0,(OFFSET('Base de dados'!$A$4,IF(O1671&lt;20,1,IF(O1671&gt;1000,10,MATCH(O1671,Cargas,1))),Coluna_fis,1,1))*(PI()*(fi_s/1000)^2/4)*(2*9.81*(O1671/100-cota_s-fi_s/2/1000))^0.5*1000)))</f>
        <v>7421.9224009307391</v>
      </c>
      <c r="R1671" s="19">
        <f t="shared" ca="1" si="215"/>
        <v>7476.5404230549266</v>
      </c>
      <c r="S1671" s="19">
        <f t="shared" ca="1" si="216"/>
        <v>10080.955383319086</v>
      </c>
    </row>
    <row r="1672" spans="13:19">
      <c r="M1672" s="81">
        <f t="shared" ca="1" si="213"/>
        <v>17572.087721656626</v>
      </c>
      <c r="N1672" s="19">
        <f t="shared" si="214"/>
        <v>302.63232390893654</v>
      </c>
      <c r="O1672" s="17">
        <f t="shared" si="212"/>
        <v>417.75</v>
      </c>
      <c r="P1672" s="19">
        <f ca="1">IF(ISERROR(IF(O1672&lt;fi_h/20,0,(OFFSET('Base de dados'!$A$5,IF(O1672&lt;20,1,IF(O1672&gt;1000,10,MATCH(O1672,Cargas,1))),Coluna_fih,1,1))*(1+0.13*0.25)*(PI()*(fi_h/1000)^2/4)*SQRT(2*9.81*(O1672/100-fi_h/2/1000))*1000)),"",IF(O1672&lt;fi_h/20,0,(OFFSET('Base de dados'!$A$5,IF(O1672&lt;20,1,IF(O1672&gt;1000,10,MATCH(O1672,Cargas,1))),Coluna_fih,1,1))*(PI()*(fi_h/1000)^2/4)*SQRT(2*9.81*(O1672/100-fi_h/2/1000))*1000))</f>
        <v>54.634596244131558</v>
      </c>
      <c r="Q1672" s="19">
        <f ca="1">IF(O1672="","",IF(Tipo_Vertedor="Retangular",IF(O1672&lt;=cota_s*100,0,IF(Tipo_Vertedor="Retangular",Cd_sr*Lef_sr*((O1672/100-cota_s)^(3/2))*1000)),IF(O1672&lt;=cota_s*100+fi_s/20,0,(OFFSET('Base de dados'!$A$4,IF(O1672&lt;20,1,IF(O1672&gt;1000,10,MATCH(O1672,Cargas,1))),Coluna_fis,1,1))*(PI()*(fi_s/1000)^2/4)*(2*9.81*(O1672/100-cota_s-fi_s/2/1000))^0.5*1000)))</f>
        <v>7429.7089951146099</v>
      </c>
      <c r="R1672" s="19">
        <f t="shared" ca="1" si="215"/>
        <v>7484.3435913587418</v>
      </c>
      <c r="S1672" s="19">
        <f t="shared" ca="1" si="216"/>
        <v>10087.744130297884</v>
      </c>
    </row>
    <row r="1673" spans="13:19">
      <c r="M1673" s="81">
        <f t="shared" ca="1" si="213"/>
        <v>17586.682859196728</v>
      </c>
      <c r="N1673" s="19">
        <f t="shared" si="214"/>
        <v>302.83600150206865</v>
      </c>
      <c r="O1673" s="17">
        <f t="shared" si="212"/>
        <v>418</v>
      </c>
      <c r="P1673" s="19">
        <f ca="1">IF(ISERROR(IF(O1673&lt;fi_h/20,0,(OFFSET('Base de dados'!$A$5,IF(O1673&lt;20,1,IF(O1673&gt;1000,10,MATCH(O1673,Cargas,1))),Coluna_fih,1,1))*(1+0.13*0.25)*(PI()*(fi_h/1000)^2/4)*SQRT(2*9.81*(O1673/100-fi_h/2/1000))*1000)),"",IF(O1673&lt;fi_h/20,0,(OFFSET('Base de dados'!$A$5,IF(O1673&lt;20,1,IF(O1673&gt;1000,10,MATCH(O1673,Cargas,1))),Coluna_fih,1,1))*(PI()*(fi_h/1000)^2/4)*SQRT(2*9.81*(O1673/100-fi_h/2/1000))*1000))</f>
        <v>54.651165337624015</v>
      </c>
      <c r="Q1673" s="19">
        <f ca="1">IF(O1673="","",IF(Tipo_Vertedor="Retangular",IF(O1673&lt;=cota_s*100,0,IF(Tipo_Vertedor="Retangular",Cd_sr*Lef_sr*((O1673/100-cota_s)^(3/2))*1000)),IF(O1673&lt;=cota_s*100+fi_s/20,0,(OFFSET('Base de dados'!$A$4,IF(O1673&lt;20,1,IF(O1673&gt;1000,10,MATCH(O1673,Cargas,1))),Coluna_fis,1,1))*(PI()*(fi_s/1000)^2/4)*(2*9.81*(O1673/100-cota_s-fi_s/2/1000))^0.5*1000)))</f>
        <v>7437.4983104568164</v>
      </c>
      <c r="R1673" s="19">
        <f t="shared" ca="1" si="215"/>
        <v>7492.1494757944401</v>
      </c>
      <c r="S1673" s="19">
        <f t="shared" ca="1" si="216"/>
        <v>10094.533383402288</v>
      </c>
    </row>
    <row r="1674" spans="13:19">
      <c r="M1674" s="81">
        <f t="shared" ca="1" si="213"/>
        <v>17601.281217783595</v>
      </c>
      <c r="N1674" s="19">
        <f t="shared" si="214"/>
        <v>303.03969427101867</v>
      </c>
      <c r="O1674" s="17">
        <f t="shared" si="212"/>
        <v>418.25</v>
      </c>
      <c r="P1674" s="19">
        <f ca="1">IF(ISERROR(IF(O1674&lt;fi_h/20,0,(OFFSET('Base de dados'!$A$5,IF(O1674&lt;20,1,IF(O1674&gt;1000,10,MATCH(O1674,Cargas,1))),Coluna_fih,1,1))*(1+0.13*0.25)*(PI()*(fi_h/1000)^2/4)*SQRT(2*9.81*(O1674/100-fi_h/2/1000))*1000)),"",IF(O1674&lt;fi_h/20,0,(OFFSET('Base de dados'!$A$5,IF(O1674&lt;20,1,IF(O1674&gt;1000,10,MATCH(O1674,Cargas,1))),Coluna_fih,1,1))*(PI()*(fi_h/1000)^2/4)*SQRT(2*9.81*(O1674/100-fi_h/2/1000))*1000))</f>
        <v>54.667729409235207</v>
      </c>
      <c r="Q1674" s="19">
        <f ca="1">IF(O1674="","",IF(Tipo_Vertedor="Retangular",IF(O1674&lt;=cota_s*100,0,IF(Tipo_Vertedor="Retangular",Cd_sr*Lef_sr*((O1674/100-cota_s)^(3/2))*1000)),IF(O1674&lt;=cota_s*100+fi_s/20,0,(OFFSET('Base de dados'!$A$4,IF(O1674&lt;20,1,IF(O1674&gt;1000,10,MATCH(O1674,Cargas,1))),Coluna_fis,1,1))*(PI()*(fi_s/1000)^2/4)*(2*9.81*(O1674/100-cota_s-fi_s/2/1000))^0.5*1000)))</f>
        <v>7445.2903460070702</v>
      </c>
      <c r="R1674" s="19">
        <f t="shared" ca="1" si="215"/>
        <v>7499.9580754163053</v>
      </c>
      <c r="S1674" s="19">
        <f t="shared" ca="1" si="216"/>
        <v>10101.32314236729</v>
      </c>
    </row>
    <row r="1675" spans="13:19">
      <c r="M1675" s="81">
        <f t="shared" ca="1" si="213"/>
        <v>17615.88279620777</v>
      </c>
      <c r="N1675" s="19">
        <f t="shared" si="214"/>
        <v>303.24340220784518</v>
      </c>
      <c r="O1675" s="17">
        <f t="shared" si="212"/>
        <v>418.5</v>
      </c>
      <c r="P1675" s="19">
        <f ca="1">IF(ISERROR(IF(O1675&lt;fi_h/20,0,(OFFSET('Base de dados'!$A$5,IF(O1675&lt;20,1,IF(O1675&gt;1000,10,MATCH(O1675,Cargas,1))),Coluna_fih,1,1))*(1+0.13*0.25)*(PI()*(fi_h/1000)^2/4)*SQRT(2*9.81*(O1675/100-fi_h/2/1000))*1000)),"",IF(O1675&lt;fi_h/20,0,(OFFSET('Base de dados'!$A$5,IF(O1675&lt;20,1,IF(O1675&gt;1000,10,MATCH(O1675,Cargas,1))),Coluna_fih,1,1))*(PI()*(fi_h/1000)^2/4)*SQRT(2*9.81*(O1675/100-fi_h/2/1000))*1000))</f>
        <v>54.684288463528567</v>
      </c>
      <c r="Q1675" s="19">
        <f ca="1">IF(O1675="","",IF(Tipo_Vertedor="Retangular",IF(O1675&lt;=cota_s*100,0,IF(Tipo_Vertedor="Retangular",Cd_sr*Lef_sr*((O1675/100-cota_s)^(3/2))*1000)),IF(O1675&lt;=cota_s*100+fi_s/20,0,(OFFSET('Base de dados'!$A$4,IF(O1675&lt;20,1,IF(O1675&gt;1000,10,MATCH(O1675,Cargas,1))),Coluna_fis,1,1))*(PI()*(fi_s/1000)^2/4)*(2*9.81*(O1675/100-cota_s-fi_s/2/1000))^0.5*1000)))</f>
        <v>7453.0851008160698</v>
      </c>
      <c r="R1675" s="19">
        <f t="shared" ca="1" si="215"/>
        <v>7507.7693892795987</v>
      </c>
      <c r="S1675" s="19">
        <f t="shared" ca="1" si="216"/>
        <v>10108.113406928172</v>
      </c>
    </row>
    <row r="1676" spans="13:19">
      <c r="M1676" s="81">
        <f t="shared" ca="1" si="213"/>
        <v>17630.48759326111</v>
      </c>
      <c r="N1676" s="19">
        <f t="shared" si="214"/>
        <v>303.44712530461589</v>
      </c>
      <c r="O1676" s="17">
        <f t="shared" si="212"/>
        <v>418.75</v>
      </c>
      <c r="P1676" s="19">
        <f ca="1">IF(ISERROR(IF(O1676&lt;fi_h/20,0,(OFFSET('Base de dados'!$A$5,IF(O1676&lt;20,1,IF(O1676&gt;1000,10,MATCH(O1676,Cargas,1))),Coluna_fih,1,1))*(1+0.13*0.25)*(PI()*(fi_h/1000)^2/4)*SQRT(2*9.81*(O1676/100-fi_h/2/1000))*1000)),"",IF(O1676&lt;fi_h/20,0,(OFFSET('Base de dados'!$A$5,IF(O1676&lt;20,1,IF(O1676&gt;1000,10,MATCH(O1676,Cargas,1))),Coluna_fih,1,1))*(PI()*(fi_h/1000)^2/4)*SQRT(2*9.81*(O1676/100-fi_h/2/1000))*1000))</f>
        <v>54.700842505060621</v>
      </c>
      <c r="Q1676" s="19">
        <f ca="1">IF(O1676="","",IF(Tipo_Vertedor="Retangular",IF(O1676&lt;=cota_s*100,0,IF(Tipo_Vertedor="Retangular",Cd_sr*Lef_sr*((O1676/100-cota_s)^(3/2))*1000)),IF(O1676&lt;=cota_s*100+fi_s/20,0,(OFFSET('Base de dados'!$A$4,IF(O1676&lt;20,1,IF(O1676&gt;1000,10,MATCH(O1676,Cargas,1))),Coluna_fis,1,1))*(PI()*(fi_s/1000)^2/4)*(2*9.81*(O1676/100-cota_s-fi_s/2/1000))^0.5*1000)))</f>
        <v>7460.8825739355207</v>
      </c>
      <c r="R1676" s="19">
        <f t="shared" ca="1" si="215"/>
        <v>7515.5834164405815</v>
      </c>
      <c r="S1676" s="19">
        <f t="shared" ca="1" si="216"/>
        <v>10114.90417682053</v>
      </c>
    </row>
    <row r="1677" spans="13:19">
      <c r="M1677" s="81">
        <f t="shared" ca="1" si="213"/>
        <v>17645.09560773673</v>
      </c>
      <c r="N1677" s="19">
        <f t="shared" si="214"/>
        <v>303.65086355340736</v>
      </c>
      <c r="O1677" s="17">
        <f t="shared" si="212"/>
        <v>419</v>
      </c>
      <c r="P1677" s="19">
        <f ca="1">IF(ISERROR(IF(O1677&lt;fi_h/20,0,(OFFSET('Base de dados'!$A$5,IF(O1677&lt;20,1,IF(O1677&gt;1000,10,MATCH(O1677,Cargas,1))),Coluna_fih,1,1))*(1+0.13*0.25)*(PI()*(fi_h/1000)^2/4)*SQRT(2*9.81*(O1677/100-fi_h/2/1000))*1000)),"",IF(O1677&lt;fi_h/20,0,(OFFSET('Base de dados'!$A$5,IF(O1677&lt;20,1,IF(O1677&gt;1000,10,MATCH(O1677,Cargas,1))),Coluna_fih,1,1))*(PI()*(fi_h/1000)^2/4)*SQRT(2*9.81*(O1677/100-fi_h/2/1000))*1000))</f>
        <v>54.717391538381001</v>
      </c>
      <c r="Q1677" s="19">
        <f ca="1">IF(O1677="","",IF(Tipo_Vertedor="Retangular",IF(O1677&lt;=cota_s*100,0,IF(Tipo_Vertedor="Retangular",Cd_sr*Lef_sr*((O1677/100-cota_s)^(3/2))*1000)),IF(O1677&lt;=cota_s*100+fi_s/20,0,(OFFSET('Base de dados'!$A$4,IF(O1677&lt;20,1,IF(O1677&gt;1000,10,MATCH(O1677,Cargas,1))),Coluna_fis,1,1))*(PI()*(fi_s/1000)^2/4)*(2*9.81*(O1677/100-cota_s-fi_s/2/1000))^0.5*1000)))</f>
        <v>7468.682764418103</v>
      </c>
      <c r="R1677" s="19">
        <f t="shared" ca="1" si="215"/>
        <v>7523.400155956484</v>
      </c>
      <c r="S1677" s="19">
        <f t="shared" ca="1" si="216"/>
        <v>10121.695451780246</v>
      </c>
    </row>
    <row r="1678" spans="13:19">
      <c r="M1678" s="81">
        <f t="shared" ca="1" si="213"/>
        <v>17659.706838429011</v>
      </c>
      <c r="N1678" s="19">
        <f t="shared" si="214"/>
        <v>303.85461694630459</v>
      </c>
      <c r="O1678" s="17">
        <f t="shared" si="212"/>
        <v>419.25</v>
      </c>
      <c r="P1678" s="19">
        <f ca="1">IF(ISERROR(IF(O1678&lt;fi_h/20,0,(OFFSET('Base de dados'!$A$5,IF(O1678&lt;20,1,IF(O1678&gt;1000,10,MATCH(O1678,Cargas,1))),Coluna_fih,1,1))*(1+0.13*0.25)*(PI()*(fi_h/1000)^2/4)*SQRT(2*9.81*(O1678/100-fi_h/2/1000))*1000)),"",IF(O1678&lt;fi_h/20,0,(OFFSET('Base de dados'!$A$5,IF(O1678&lt;20,1,IF(O1678&gt;1000,10,MATCH(O1678,Cargas,1))),Coluna_fih,1,1))*(PI()*(fi_h/1000)^2/4)*SQRT(2*9.81*(O1678/100-fi_h/2/1000))*1000))</f>
        <v>54.733935568032486</v>
      </c>
      <c r="Q1678" s="19">
        <f ca="1">IF(O1678="","",IF(Tipo_Vertedor="Retangular",IF(O1678&lt;=cota_s*100,0,IF(Tipo_Vertedor="Retangular",Cd_sr*Lef_sr*((O1678/100-cota_s)^(3/2))*1000)),IF(O1678&lt;=cota_s*100+fi_s/20,0,(OFFSET('Base de dados'!$A$4,IF(O1678&lt;20,1,IF(O1678&gt;1000,10,MATCH(O1678,Cargas,1))),Coluna_fis,1,1))*(PI()*(fi_s/1000)^2/4)*(2*9.81*(O1678/100-cota_s-fi_s/2/1000))^0.5*1000)))</f>
        <v>7476.4856713174941</v>
      </c>
      <c r="R1678" s="19">
        <f t="shared" ca="1" si="215"/>
        <v>7531.2196068855264</v>
      </c>
      <c r="S1678" s="19">
        <f t="shared" ca="1" si="216"/>
        <v>10128.487231543486</v>
      </c>
    </row>
    <row r="1679" spans="13:19">
      <c r="M1679" s="81">
        <f t="shared" ca="1" si="213"/>
        <v>17674.321284133664</v>
      </c>
      <c r="N1679" s="19">
        <f t="shared" si="214"/>
        <v>304.0583854754023</v>
      </c>
      <c r="O1679" s="17">
        <f t="shared" si="212"/>
        <v>419.5</v>
      </c>
      <c r="P1679" s="19">
        <f ca="1">IF(ISERROR(IF(O1679&lt;fi_h/20,0,(OFFSET('Base de dados'!$A$5,IF(O1679&lt;20,1,IF(O1679&gt;1000,10,MATCH(O1679,Cargas,1))),Coluna_fih,1,1))*(1+0.13*0.25)*(PI()*(fi_h/1000)^2/4)*SQRT(2*9.81*(O1679/100-fi_h/2/1000))*1000)),"",IF(O1679&lt;fi_h/20,0,(OFFSET('Base de dados'!$A$5,IF(O1679&lt;20,1,IF(O1679&gt;1000,10,MATCH(O1679,Cargas,1))),Coluna_fih,1,1))*(PI()*(fi_h/1000)^2/4)*SQRT(2*9.81*(O1679/100-fi_h/2/1000))*1000))</f>
        <v>54.750474598550973</v>
      </c>
      <c r="Q1679" s="19">
        <f ca="1">IF(O1679="","",IF(Tipo_Vertedor="Retangular",IF(O1679&lt;=cota_s*100,0,IF(Tipo_Vertedor="Retangular",Cd_sr*Lef_sr*((O1679/100-cota_s)^(3/2))*1000)),IF(O1679&lt;=cota_s*100+fi_s/20,0,(OFFSET('Base de dados'!$A$4,IF(O1679&lt;20,1,IF(O1679&gt;1000,10,MATCH(O1679,Cargas,1))),Coluna_fis,1,1))*(PI()*(fi_s/1000)^2/4)*(2*9.81*(O1679/100-cota_s-fi_s/2/1000))^0.5*1000)))</f>
        <v>7484.2912936883695</v>
      </c>
      <c r="R1679" s="19">
        <f t="shared" ca="1" si="215"/>
        <v>7539.0417682869202</v>
      </c>
      <c r="S1679" s="19">
        <f t="shared" ca="1" si="216"/>
        <v>10135.279515846743</v>
      </c>
    </row>
    <row r="1680" spans="13:19">
      <c r="M1680" s="81">
        <f t="shared" ca="1" si="213"/>
        <v>17688.938943647609</v>
      </c>
      <c r="N1680" s="19">
        <f t="shared" si="214"/>
        <v>304.26216913280314</v>
      </c>
      <c r="O1680" s="17">
        <f t="shared" si="212"/>
        <v>419.75</v>
      </c>
      <c r="P1680" s="19">
        <f ca="1">IF(ISERROR(IF(O1680&lt;fi_h/20,0,(OFFSET('Base de dados'!$A$5,IF(O1680&lt;20,1,IF(O1680&gt;1000,10,MATCH(O1680,Cargas,1))),Coluna_fih,1,1))*(1+0.13*0.25)*(PI()*(fi_h/1000)^2/4)*SQRT(2*9.81*(O1680/100-fi_h/2/1000))*1000)),"",IF(O1680&lt;fi_h/20,0,(OFFSET('Base de dados'!$A$5,IF(O1680&lt;20,1,IF(O1680&gt;1000,10,MATCH(O1680,Cargas,1))),Coluna_fih,1,1))*(PI()*(fi_h/1000)^2/4)*SQRT(2*9.81*(O1680/100-fi_h/2/1000))*1000))</f>
        <v>54.767008634465491</v>
      </c>
      <c r="Q1680" s="19">
        <f ca="1">IF(O1680="","",IF(Tipo_Vertedor="Retangular",IF(O1680&lt;=cota_s*100,0,IF(Tipo_Vertedor="Retangular",Cd_sr*Lef_sr*((O1680/100-cota_s)^(3/2))*1000)),IF(O1680&lt;=cota_s*100+fi_s/20,0,(OFFSET('Base de dados'!$A$4,IF(O1680&lt;20,1,IF(O1680&gt;1000,10,MATCH(O1680,Cargas,1))),Coluna_fis,1,1))*(PI()*(fi_s/1000)^2/4)*(2*9.81*(O1680/100-cota_s-fi_s/2/1000))^0.5*1000)))</f>
        <v>7492.0996305863709</v>
      </c>
      <c r="R1680" s="19">
        <f t="shared" ca="1" si="215"/>
        <v>7546.8666392208361</v>
      </c>
      <c r="S1680" s="19">
        <f t="shared" ca="1" si="216"/>
        <v>10142.072304426772</v>
      </c>
    </row>
    <row r="1681" spans="13:19">
      <c r="M1681" s="81">
        <f t="shared" ca="1" si="213"/>
        <v>17703.559815769077</v>
      </c>
      <c r="N1681" s="19">
        <f t="shared" si="214"/>
        <v>304.4659679106191</v>
      </c>
      <c r="O1681" s="17">
        <f t="shared" si="212"/>
        <v>420</v>
      </c>
      <c r="P1681" s="19">
        <f ca="1">IF(ISERROR(IF(O1681&lt;fi_h/20,0,(OFFSET('Base de dados'!$A$5,IF(O1681&lt;20,1,IF(O1681&gt;1000,10,MATCH(O1681,Cargas,1))),Coluna_fih,1,1))*(1+0.13*0.25)*(PI()*(fi_h/1000)^2/4)*SQRT(2*9.81*(O1681/100-fi_h/2/1000))*1000)),"",IF(O1681&lt;fi_h/20,0,(OFFSET('Base de dados'!$A$5,IF(O1681&lt;20,1,IF(O1681&gt;1000,10,MATCH(O1681,Cargas,1))),Coluna_fih,1,1))*(PI()*(fi_h/1000)^2/4)*SQRT(2*9.81*(O1681/100-fi_h/2/1000))*1000))</f>
        <v>54.783537680298281</v>
      </c>
      <c r="Q1681" s="19">
        <f ca="1">IF(O1681="","",IF(Tipo_Vertedor="Retangular",IF(O1681&lt;=cota_s*100,0,IF(Tipo_Vertedor="Retangular",Cd_sr*Lef_sr*((O1681/100-cota_s)^(3/2))*1000)),IF(O1681&lt;=cota_s*100+fi_s/20,0,(OFFSET('Base de dados'!$A$4,IF(O1681&lt;20,1,IF(O1681&gt;1000,10,MATCH(O1681,Cargas,1))),Coluna_fis,1,1))*(PI()*(fi_s/1000)^2/4)*(2*9.81*(O1681/100-cota_s-fi_s/2/1000))^0.5*1000)))</f>
        <v>7499.9106810681433</v>
      </c>
      <c r="R1681" s="19">
        <f t="shared" ca="1" si="215"/>
        <v>7554.6942187484419</v>
      </c>
      <c r="S1681" s="19">
        <f t="shared" ca="1" si="216"/>
        <v>10148.865597020636</v>
      </c>
    </row>
    <row r="1682" spans="13:19">
      <c r="M1682" s="81">
        <f t="shared" ca="1" si="213"/>
        <v>17718.183899297554</v>
      </c>
      <c r="N1682" s="19">
        <f t="shared" si="214"/>
        <v>304.66978180097072</v>
      </c>
      <c r="O1682" s="17">
        <f t="shared" si="212"/>
        <v>420.25</v>
      </c>
      <c r="P1682" s="19">
        <f ca="1">IF(ISERROR(IF(O1682&lt;fi_h/20,0,(OFFSET('Base de dados'!$A$5,IF(O1682&lt;20,1,IF(O1682&gt;1000,10,MATCH(O1682,Cargas,1))),Coluna_fih,1,1))*(1+0.13*0.25)*(PI()*(fi_h/1000)^2/4)*SQRT(2*9.81*(O1682/100-fi_h/2/1000))*1000)),"",IF(O1682&lt;fi_h/20,0,(OFFSET('Base de dados'!$A$5,IF(O1682&lt;20,1,IF(O1682&gt;1000,10,MATCH(O1682,Cargas,1))),Coluna_fih,1,1))*(PI()*(fi_h/1000)^2/4)*SQRT(2*9.81*(O1682/100-fi_h/2/1000))*1000))</f>
        <v>54.800061740564708</v>
      </c>
      <c r="Q1682" s="19">
        <f ca="1">IF(O1682="","",IF(Tipo_Vertedor="Retangular",IF(O1682&lt;=cota_s*100,0,IF(Tipo_Vertedor="Retangular",Cd_sr*Lef_sr*((O1682/100-cota_s)^(3/2))*1000)),IF(O1682&lt;=cota_s*100+fi_s/20,0,(OFFSET('Base de dados'!$A$4,IF(O1682&lt;20,1,IF(O1682&gt;1000,10,MATCH(O1682,Cargas,1))),Coluna_fis,1,1))*(PI()*(fi_s/1000)^2/4)*(2*9.81*(O1682/100-cota_s-fi_s/2/1000))^0.5*1000)))</f>
        <v>7507.7244441912972</v>
      </c>
      <c r="R1682" s="19">
        <f t="shared" ca="1" si="215"/>
        <v>7562.5245059318622</v>
      </c>
      <c r="S1682" s="19">
        <f t="shared" ca="1" si="216"/>
        <v>10155.659393365691</v>
      </c>
    </row>
    <row r="1683" spans="13:19">
      <c r="M1683" s="81">
        <f t="shared" ca="1" si="213"/>
        <v>17732.811193033805</v>
      </c>
      <c r="N1683" s="19">
        <f t="shared" si="214"/>
        <v>304.87361079598759</v>
      </c>
      <c r="O1683" s="17">
        <f t="shared" ref="O1683:O1746" si="217">IF(ISERROR(IF(O1682+passo_altura&gt;h_max_puls*100,"",O1682+passo_altura)),"",IF(O1682+passo_altura&gt;h_max_puls*100,"",O1682+passo_altura))</f>
        <v>420.5</v>
      </c>
      <c r="P1683" s="19">
        <f ca="1">IF(ISERROR(IF(O1683&lt;fi_h/20,0,(OFFSET('Base de dados'!$A$5,IF(O1683&lt;20,1,IF(O1683&gt;1000,10,MATCH(O1683,Cargas,1))),Coluna_fih,1,1))*(1+0.13*0.25)*(PI()*(fi_h/1000)^2/4)*SQRT(2*9.81*(O1683/100-fi_h/2/1000))*1000)),"",IF(O1683&lt;fi_h/20,0,(OFFSET('Base de dados'!$A$5,IF(O1683&lt;20,1,IF(O1683&gt;1000,10,MATCH(O1683,Cargas,1))),Coluna_fih,1,1))*(PI()*(fi_h/1000)^2/4)*SQRT(2*9.81*(O1683/100-fi_h/2/1000))*1000))</f>
        <v>54.816580819773378</v>
      </c>
      <c r="Q1683" s="19">
        <f ca="1">IF(O1683="","",IF(Tipo_Vertedor="Retangular",IF(O1683&lt;=cota_s*100,0,IF(Tipo_Vertedor="Retangular",Cd_sr*Lef_sr*((O1683/100-cota_s)^(3/2))*1000)),IF(O1683&lt;=cota_s*100+fi_s/20,0,(OFFSET('Base de dados'!$A$4,IF(O1683&lt;20,1,IF(O1683&gt;1000,10,MATCH(O1683,Cargas,1))),Coluna_fis,1,1))*(PI()*(fi_s/1000)^2/4)*(2*9.81*(O1683/100-cota_s-fi_s/2/1000))^0.5*1000)))</f>
        <v>7515.5409190144464</v>
      </c>
      <c r="R1683" s="19">
        <f t="shared" ca="1" si="215"/>
        <v>7570.3574998342201</v>
      </c>
      <c r="S1683" s="19">
        <f t="shared" ca="1" si="216"/>
        <v>10162.453693199586</v>
      </c>
    </row>
    <row r="1684" spans="13:19">
      <c r="M1684" s="81">
        <f t="shared" ca="1" si="213"/>
        <v>17747.441695779853</v>
      </c>
      <c r="N1684" s="19">
        <f t="shared" si="214"/>
        <v>305.07745488780796</v>
      </c>
      <c r="O1684" s="17">
        <f t="shared" si="217"/>
        <v>420.75</v>
      </c>
      <c r="P1684" s="19">
        <f ca="1">IF(ISERROR(IF(O1684&lt;fi_h/20,0,(OFFSET('Base de dados'!$A$5,IF(O1684&lt;20,1,IF(O1684&gt;1000,10,MATCH(O1684,Cargas,1))),Coluna_fih,1,1))*(1+0.13*0.25)*(PI()*(fi_h/1000)^2/4)*SQRT(2*9.81*(O1684/100-fi_h/2/1000))*1000)),"",IF(O1684&lt;fi_h/20,0,(OFFSET('Base de dados'!$A$5,IF(O1684&lt;20,1,IF(O1684&gt;1000,10,MATCH(O1684,Cargas,1))),Coluna_fih,1,1))*(PI()*(fi_h/1000)^2/4)*SQRT(2*9.81*(O1684/100-fi_h/2/1000))*1000))</f>
        <v>54.833094922426085</v>
      </c>
      <c r="Q1684" s="19">
        <f ca="1">IF(O1684="","",IF(Tipo_Vertedor="Retangular",IF(O1684&lt;=cota_s*100,0,IF(Tipo_Vertedor="Retangular",Cd_sr*Lef_sr*((O1684/100-cota_s)^(3/2))*1000)),IF(O1684&lt;=cota_s*100+fi_s/20,0,(OFFSET('Base de dados'!$A$4,IF(O1684&lt;20,1,IF(O1684&gt;1000,10,MATCH(O1684,Cargas,1))),Coluna_fis,1,1))*(PI()*(fi_s/1000)^2/4)*(2*9.81*(O1684/100-cota_s-fi_s/2/1000))^0.5*1000)))</f>
        <v>7523.36010459716</v>
      </c>
      <c r="R1684" s="19">
        <f t="shared" ca="1" si="215"/>
        <v>7578.1931995195864</v>
      </c>
      <c r="S1684" s="19">
        <f t="shared" ca="1" si="216"/>
        <v>10169.248496260265</v>
      </c>
    </row>
    <row r="1685" spans="13:19">
      <c r="M1685" s="81">
        <f t="shared" ca="1" si="213"/>
        <v>17762.075406338972</v>
      </c>
      <c r="N1685" s="19">
        <f t="shared" si="214"/>
        <v>305.28131406857864</v>
      </c>
      <c r="O1685" s="17">
        <f t="shared" si="217"/>
        <v>421</v>
      </c>
      <c r="P1685" s="19">
        <f ca="1">IF(ISERROR(IF(O1685&lt;fi_h/20,0,(OFFSET('Base de dados'!$A$5,IF(O1685&lt;20,1,IF(O1685&gt;1000,10,MATCH(O1685,Cargas,1))),Coluna_fih,1,1))*(1+0.13*0.25)*(PI()*(fi_h/1000)^2/4)*SQRT(2*9.81*(O1685/100-fi_h/2/1000))*1000)),"",IF(O1685&lt;fi_h/20,0,(OFFSET('Base de dados'!$A$5,IF(O1685&lt;20,1,IF(O1685&gt;1000,10,MATCH(O1685,Cargas,1))),Coluna_fih,1,1))*(PI()*(fi_h/1000)^2/4)*SQRT(2*9.81*(O1685/100-fi_h/2/1000))*1000))</f>
        <v>54.849604053017856</v>
      </c>
      <c r="Q1685" s="19">
        <f ca="1">IF(O1685="","",IF(Tipo_Vertedor="Retangular",IF(O1685&lt;=cota_s*100,0,IF(Tipo_Vertedor="Retangular",Cd_sr*Lef_sr*((O1685/100-cota_s)^(3/2))*1000)),IF(O1685&lt;=cota_s*100+fi_s/20,0,(OFFSET('Base de dados'!$A$4,IF(O1685&lt;20,1,IF(O1685&gt;1000,10,MATCH(O1685,Cargas,1))),Coluna_fis,1,1))*(PI()*(fi_s/1000)^2/4)*(2*9.81*(O1685/100-cota_s-fi_s/2/1000))^0.5*1000)))</f>
        <v>7531.1820000000007</v>
      </c>
      <c r="R1685" s="19">
        <f t="shared" ca="1" si="215"/>
        <v>7586.0316040530188</v>
      </c>
      <c r="S1685" s="19">
        <f t="shared" ca="1" si="216"/>
        <v>10176.043802285954</v>
      </c>
    </row>
    <row r="1686" spans="13:19">
      <c r="M1686" s="81">
        <f t="shared" ca="1" si="213"/>
        <v>17776.712323515727</v>
      </c>
      <c r="N1686" s="19">
        <f t="shared" si="214"/>
        <v>305.48518833045557</v>
      </c>
      <c r="O1686" s="17">
        <f t="shared" si="217"/>
        <v>421.25</v>
      </c>
      <c r="P1686" s="19">
        <f ca="1">IF(ISERROR(IF(O1686&lt;fi_h/20,0,(OFFSET('Base de dados'!$A$5,IF(O1686&lt;20,1,IF(O1686&gt;1000,10,MATCH(O1686,Cargas,1))),Coluna_fih,1,1))*(1+0.13*0.25)*(PI()*(fi_h/1000)^2/4)*SQRT(2*9.81*(O1686/100-fi_h/2/1000))*1000)),"",IF(O1686&lt;fi_h/20,0,(OFFSET('Base de dados'!$A$5,IF(O1686&lt;20,1,IF(O1686&gt;1000,10,MATCH(O1686,Cargas,1))),Coluna_fih,1,1))*(PI()*(fi_h/1000)^2/4)*SQRT(2*9.81*(O1686/100-fi_h/2/1000))*1000))</f>
        <v>54.866108216036942</v>
      </c>
      <c r="Q1686" s="19">
        <f ca="1">IF(O1686="","",IF(Tipo_Vertedor="Retangular",IF(O1686&lt;=cota_s*100,0,IF(Tipo_Vertedor="Retangular",Cd_sr*Lef_sr*((O1686/100-cota_s)^(3/2))*1000)),IF(O1686&lt;=cota_s*100+fi_s/20,0,(OFFSET('Base de dados'!$A$4,IF(O1686&lt;20,1,IF(O1686&gt;1000,10,MATCH(O1686,Cargas,1))),Coluna_fis,1,1))*(PI()*(fi_s/1000)^2/4)*(2*9.81*(O1686/100-cota_s-fi_s/2/1000))^0.5*1000)))</f>
        <v>7539.0066042845028</v>
      </c>
      <c r="R1686" s="19">
        <f t="shared" ca="1" si="215"/>
        <v>7593.8727125005398</v>
      </c>
      <c r="S1686" s="19">
        <f t="shared" ca="1" si="216"/>
        <v>10182.839611015186</v>
      </c>
    </row>
    <row r="1687" spans="13:19">
      <c r="M1687" s="81">
        <f t="shared" ref="M1687:M1750" ca="1" si="218">IF(O1687="","",2*N1687*1000/(Passo*60)+R1687)</f>
        <v>17791.352446115903</v>
      </c>
      <c r="N1687" s="19">
        <f t="shared" ref="N1687:N1750" si="219">IF(O1687="","",b_0*(O1687/100)^c_0)</f>
        <v>305.68907766560301</v>
      </c>
      <c r="O1687" s="17">
        <f t="shared" si="217"/>
        <v>421.5</v>
      </c>
      <c r="P1687" s="19">
        <f ca="1">IF(ISERROR(IF(O1687&lt;fi_h/20,0,(OFFSET('Base de dados'!$A$5,IF(O1687&lt;20,1,IF(O1687&gt;1000,10,MATCH(O1687,Cargas,1))),Coluna_fih,1,1))*(1+0.13*0.25)*(PI()*(fi_h/1000)^2/4)*SQRT(2*9.81*(O1687/100-fi_h/2/1000))*1000)),"",IF(O1687&lt;fi_h/20,0,(OFFSET('Base de dados'!$A$5,IF(O1687&lt;20,1,IF(O1687&gt;1000,10,MATCH(O1687,Cargas,1))),Coluna_fih,1,1))*(PI()*(fi_h/1000)^2/4)*SQRT(2*9.81*(O1687/100-fi_h/2/1000))*1000))</f>
        <v>54.882607415964848</v>
      </c>
      <c r="Q1687" s="19">
        <f ca="1">IF(O1687="","",IF(Tipo_Vertedor="Retangular",IF(O1687&lt;=cota_s*100,0,IF(Tipo_Vertedor="Retangular",Cd_sr*Lef_sr*((O1687/100-cota_s)^(3/2))*1000)),IF(O1687&lt;=cota_s*100+fi_s/20,0,(OFFSET('Base de dados'!$A$4,IF(O1687&lt;20,1,IF(O1687&gt;1000,10,MATCH(O1687,Cargas,1))),Coluna_fis,1,1))*(PI()*(fi_s/1000)^2/4)*(2*9.81*(O1687/100-cota_s-fi_s/2/1000))^0.5*1000)))</f>
        <v>7546.8339165131702</v>
      </c>
      <c r="R1687" s="19">
        <f t="shared" ref="R1687:R1750" ca="1" si="220">IF(O1687="","",Q1687+P1687)</f>
        <v>7601.7165239291353</v>
      </c>
      <c r="S1687" s="19">
        <f t="shared" ref="S1687:S1750" ca="1" si="221">IF(M1687="","",2*N1687*1000/(Passo*60))</f>
        <v>10189.635922186768</v>
      </c>
    </row>
    <row r="1688" spans="13:19">
      <c r="M1688" s="81">
        <f t="shared" ca="1" si="218"/>
        <v>17805.995772946575</v>
      </c>
      <c r="N1688" s="19">
        <f t="shared" si="219"/>
        <v>305.89298206619435</v>
      </c>
      <c r="O1688" s="17">
        <f t="shared" si="217"/>
        <v>421.75</v>
      </c>
      <c r="P1688" s="19">
        <f ca="1">IF(ISERROR(IF(O1688&lt;fi_h/20,0,(OFFSET('Base de dados'!$A$5,IF(O1688&lt;20,1,IF(O1688&gt;1000,10,MATCH(O1688,Cargas,1))),Coluna_fih,1,1))*(1+0.13*0.25)*(PI()*(fi_h/1000)^2/4)*SQRT(2*9.81*(O1688/100-fi_h/2/1000))*1000)),"",IF(O1688&lt;fi_h/20,0,(OFFSET('Base de dados'!$A$5,IF(O1688&lt;20,1,IF(O1688&gt;1000,10,MATCH(O1688,Cargas,1))),Coluna_fih,1,1))*(PI()*(fi_h/1000)^2/4)*SQRT(2*9.81*(O1688/100-fi_h/2/1000))*1000))</f>
        <v>54.899101657276347</v>
      </c>
      <c r="Q1688" s="19">
        <f ca="1">IF(O1688="","",IF(Tipo_Vertedor="Retangular",IF(O1688&lt;=cota_s*100,0,IF(Tipo_Vertedor="Retangular",Cd_sr*Lef_sr*((O1688/100-cota_s)^(3/2))*1000)),IF(O1688&lt;=cota_s*100+fi_s/20,0,(OFFSET('Base de dados'!$A$4,IF(O1688&lt;20,1,IF(O1688&gt;1000,10,MATCH(O1688,Cargas,1))),Coluna_fis,1,1))*(PI()*(fi_s/1000)^2/4)*(2*9.81*(O1688/100-cota_s-fi_s/2/1000))^0.5*1000)))</f>
        <v>7554.6639357494878</v>
      </c>
      <c r="R1688" s="19">
        <f t="shared" ca="1" si="220"/>
        <v>7609.5630374067641</v>
      </c>
      <c r="S1688" s="19">
        <f t="shared" ca="1" si="221"/>
        <v>10196.432735539811</v>
      </c>
    </row>
    <row r="1689" spans="13:19">
      <c r="M1689" s="81">
        <f t="shared" ca="1" si="218"/>
        <v>17820.642302816057</v>
      </c>
      <c r="N1689" s="19">
        <f t="shared" si="219"/>
        <v>306.09690152441129</v>
      </c>
      <c r="O1689" s="17">
        <f t="shared" si="217"/>
        <v>422</v>
      </c>
      <c r="P1689" s="19">
        <f ca="1">IF(ISERROR(IF(O1689&lt;fi_h/20,0,(OFFSET('Base de dados'!$A$5,IF(O1689&lt;20,1,IF(O1689&gt;1000,10,MATCH(O1689,Cargas,1))),Coluna_fih,1,1))*(1+0.13*0.25)*(PI()*(fi_h/1000)^2/4)*SQRT(2*9.81*(O1689/100-fi_h/2/1000))*1000)),"",IF(O1689&lt;fi_h/20,0,(OFFSET('Base de dados'!$A$5,IF(O1689&lt;20,1,IF(O1689&gt;1000,10,MATCH(O1689,Cargas,1))),Coluna_fih,1,1))*(PI()*(fi_h/1000)^2/4)*SQRT(2*9.81*(O1689/100-fi_h/2/1000))*1000))</f>
        <v>54.915590944439487</v>
      </c>
      <c r="Q1689" s="19">
        <f ca="1">IF(O1689="","",IF(Tipo_Vertedor="Retangular",IF(O1689&lt;=cota_s*100,0,IF(Tipo_Vertedor="Retangular",Cd_sr*Lef_sr*((O1689/100-cota_s)^(3/2))*1000)),IF(O1689&lt;=cota_s*100+fi_s/20,0,(OFFSET('Base de dados'!$A$4,IF(O1689&lt;20,1,IF(O1689&gt;1000,10,MATCH(O1689,Cargas,1))),Coluna_fis,1,1))*(PI()*(fi_s/1000)^2/4)*(2*9.81*(O1689/100-cota_s-fi_s/2/1000))^0.5*1000)))</f>
        <v>7562.4966610579086</v>
      </c>
      <c r="R1689" s="19">
        <f t="shared" ca="1" si="220"/>
        <v>7617.4122520023484</v>
      </c>
      <c r="S1689" s="19">
        <f t="shared" ca="1" si="221"/>
        <v>10203.230050813709</v>
      </c>
    </row>
    <row r="1690" spans="13:19">
      <c r="M1690" s="81">
        <f t="shared" ca="1" si="218"/>
        <v>17835.292034533919</v>
      </c>
      <c r="N1690" s="19">
        <f t="shared" si="219"/>
        <v>306.30083603244464</v>
      </c>
      <c r="O1690" s="17">
        <f t="shared" si="217"/>
        <v>422.25</v>
      </c>
      <c r="P1690" s="19">
        <f ca="1">IF(ISERROR(IF(O1690&lt;fi_h/20,0,(OFFSET('Base de dados'!$A$5,IF(O1690&lt;20,1,IF(O1690&gt;1000,10,MATCH(O1690,Cargas,1))),Coluna_fih,1,1))*(1+0.13*0.25)*(PI()*(fi_h/1000)^2/4)*SQRT(2*9.81*(O1690/100-fi_h/2/1000))*1000)),"",IF(O1690&lt;fi_h/20,0,(OFFSET('Base de dados'!$A$5,IF(O1690&lt;20,1,IF(O1690&gt;1000,10,MATCH(O1690,Cargas,1))),Coluna_fih,1,1))*(PI()*(fi_h/1000)^2/4)*SQRT(2*9.81*(O1690/100-fi_h/2/1000))*1000))</f>
        <v>54.932075281915644</v>
      </c>
      <c r="Q1690" s="19">
        <f ca="1">IF(O1690="","",IF(Tipo_Vertedor="Retangular",IF(O1690&lt;=cota_s*100,0,IF(Tipo_Vertedor="Retangular",Cd_sr*Lef_sr*((O1690/100-cota_s)^(3/2))*1000)),IF(O1690&lt;=cota_s*100+fi_s/20,0,(OFFSET('Base de dados'!$A$4,IF(O1690&lt;20,1,IF(O1690&gt;1000,10,MATCH(O1690,Cargas,1))),Coluna_fis,1,1))*(PI()*(fi_s/1000)^2/4)*(2*9.81*(O1690/100-cota_s-fi_s/2/1000))^0.5*1000)))</f>
        <v>7570.3320915038494</v>
      </c>
      <c r="R1690" s="19">
        <f t="shared" ca="1" si="220"/>
        <v>7625.2641667857652</v>
      </c>
      <c r="S1690" s="19">
        <f t="shared" ca="1" si="221"/>
        <v>10210.027867748153</v>
      </c>
    </row>
    <row r="1691" spans="13:19">
      <c r="M1691" s="81">
        <f t="shared" ca="1" si="218"/>
        <v>17849.944966910971</v>
      </c>
      <c r="N1691" s="19">
        <f t="shared" si="219"/>
        <v>306.50478558249324</v>
      </c>
      <c r="O1691" s="17">
        <f t="shared" si="217"/>
        <v>422.5</v>
      </c>
      <c r="P1691" s="19">
        <f ca="1">IF(ISERROR(IF(O1691&lt;fi_h/20,0,(OFFSET('Base de dados'!$A$5,IF(O1691&lt;20,1,IF(O1691&gt;1000,10,MATCH(O1691,Cargas,1))),Coluna_fih,1,1))*(1+0.13*0.25)*(PI()*(fi_h/1000)^2/4)*SQRT(2*9.81*(O1691/100-fi_h/2/1000))*1000)),"",IF(O1691&lt;fi_h/20,0,(OFFSET('Base de dados'!$A$5,IF(O1691&lt;20,1,IF(O1691&gt;1000,10,MATCH(O1691,Cargas,1))),Coluna_fih,1,1))*(PI()*(fi_h/1000)^2/4)*SQRT(2*9.81*(O1691/100-fi_h/2/1000))*1000))</f>
        <v>54.948554674159453</v>
      </c>
      <c r="Q1691" s="19">
        <f ca="1">IF(O1691="","",IF(Tipo_Vertedor="Retangular",IF(O1691&lt;=cota_s*100,0,IF(Tipo_Vertedor="Retangular",Cd_sr*Lef_sr*((O1691/100-cota_s)^(3/2))*1000)),IF(O1691&lt;=cota_s*100+fi_s/20,0,(OFFSET('Base de dados'!$A$4,IF(O1691&lt;20,1,IF(O1691&gt;1000,10,MATCH(O1691,Cargas,1))),Coluna_fis,1,1))*(PI()*(fi_s/1000)^2/4)*(2*9.81*(O1691/100-cota_s-fi_s/2/1000))^0.5*1000)))</f>
        <v>7578.1702261537039</v>
      </c>
      <c r="R1691" s="19">
        <f t="shared" ca="1" si="220"/>
        <v>7633.1187808278637</v>
      </c>
      <c r="S1691" s="19">
        <f t="shared" ca="1" si="221"/>
        <v>10216.826186083108</v>
      </c>
    </row>
    <row r="1692" spans="13:19">
      <c r="M1692" s="81">
        <f t="shared" ca="1" si="218"/>
        <v>17864.601098759296</v>
      </c>
      <c r="N1692" s="19">
        <f t="shared" si="219"/>
        <v>306.70875016676547</v>
      </c>
      <c r="O1692" s="17">
        <f t="shared" si="217"/>
        <v>422.75</v>
      </c>
      <c r="P1692" s="19">
        <f ca="1">IF(ISERROR(IF(O1692&lt;fi_h/20,0,(OFFSET('Base de dados'!$A$5,IF(O1692&lt;20,1,IF(O1692&gt;1000,10,MATCH(O1692,Cargas,1))),Coluna_fih,1,1))*(1+0.13*0.25)*(PI()*(fi_h/1000)^2/4)*SQRT(2*9.81*(O1692/100-fi_h/2/1000))*1000)),"",IF(O1692&lt;fi_h/20,0,(OFFSET('Base de dados'!$A$5,IF(O1692&lt;20,1,IF(O1692&gt;1000,10,MATCH(O1692,Cargas,1))),Coluna_fih,1,1))*(PI()*(fi_h/1000)^2/4)*SQRT(2*9.81*(O1692/100-fi_h/2/1000))*1000))</f>
        <v>54.965029125618905</v>
      </c>
      <c r="Q1692" s="19">
        <f ca="1">IF(O1692="","",IF(Tipo_Vertedor="Retangular",IF(O1692&lt;=cota_s*100,0,IF(Tipo_Vertedor="Retangular",Cd_sr*Lef_sr*((O1692/100-cota_s)^(3/2))*1000)),IF(O1692&lt;=cota_s*100+fi_s/20,0,(OFFSET('Base de dados'!$A$4,IF(O1692&lt;20,1,IF(O1692&gt;1000,10,MATCH(O1692,Cargas,1))),Coluna_fis,1,1))*(PI()*(fi_s/1000)^2/4)*(2*9.81*(O1692/100-cota_s-fi_s/2/1000))^0.5*1000)))</f>
        <v>7586.011064074828</v>
      </c>
      <c r="R1692" s="19">
        <f t="shared" ca="1" si="220"/>
        <v>7640.9760932004465</v>
      </c>
      <c r="S1692" s="19">
        <f t="shared" ca="1" si="221"/>
        <v>10223.62500555885</v>
      </c>
    </row>
    <row r="1693" spans="13:19">
      <c r="M1693" s="81">
        <f t="shared" ca="1" si="218"/>
        <v>17879.260428892187</v>
      </c>
      <c r="N1693" s="19">
        <f t="shared" si="219"/>
        <v>306.91272977747747</v>
      </c>
      <c r="O1693" s="17">
        <f t="shared" si="217"/>
        <v>423</v>
      </c>
      <c r="P1693" s="19">
        <f ca="1">IF(ISERROR(IF(O1693&lt;fi_h/20,0,(OFFSET('Base de dados'!$A$5,IF(O1693&lt;20,1,IF(O1693&gt;1000,10,MATCH(O1693,Cargas,1))),Coluna_fih,1,1))*(1+0.13*0.25)*(PI()*(fi_h/1000)^2/4)*SQRT(2*9.81*(O1693/100-fi_h/2/1000))*1000)),"",IF(O1693&lt;fi_h/20,0,(OFFSET('Base de dados'!$A$5,IF(O1693&lt;20,1,IF(O1693&gt;1000,10,MATCH(O1693,Cargas,1))),Coluna_fih,1,1))*(PI()*(fi_h/1000)^2/4)*SQRT(2*9.81*(O1693/100-fi_h/2/1000))*1000))</f>
        <v>54.981498640735289</v>
      </c>
      <c r="Q1693" s="19">
        <f ca="1">IF(O1693="","",IF(Tipo_Vertedor="Retangular",IF(O1693&lt;=cota_s*100,0,IF(Tipo_Vertedor="Retangular",Cd_sr*Lef_sr*((O1693/100-cota_s)^(3/2))*1000)),IF(O1693&lt;=cota_s*100+fi_s/20,0,(OFFSET('Base de dados'!$A$4,IF(O1693&lt;20,1,IF(O1693&gt;1000,10,MATCH(O1693,Cargas,1))),Coluna_fis,1,1))*(PI()*(fi_s/1000)^2/4)*(2*9.81*(O1693/100-cota_s-fi_s/2/1000))^0.5*1000)))</f>
        <v>7593.8546043355373</v>
      </c>
      <c r="R1693" s="19">
        <f t="shared" ca="1" si="220"/>
        <v>7648.8361029762727</v>
      </c>
      <c r="S1693" s="19">
        <f t="shared" ca="1" si="221"/>
        <v>10230.424325915916</v>
      </c>
    </row>
    <row r="1694" spans="13:19">
      <c r="M1694" s="81">
        <f t="shared" ca="1" si="218"/>
        <v>17893.92295612421</v>
      </c>
      <c r="N1694" s="19">
        <f t="shared" si="219"/>
        <v>307.11672440685464</v>
      </c>
      <c r="O1694" s="17">
        <f t="shared" si="217"/>
        <v>423.25</v>
      </c>
      <c r="P1694" s="19">
        <f ca="1">IF(ISERROR(IF(O1694&lt;fi_h/20,0,(OFFSET('Base de dados'!$A$5,IF(O1694&lt;20,1,IF(O1694&gt;1000,10,MATCH(O1694,Cargas,1))),Coluna_fih,1,1))*(1+0.13*0.25)*(PI()*(fi_h/1000)^2/4)*SQRT(2*9.81*(O1694/100-fi_h/2/1000))*1000)),"",IF(O1694&lt;fi_h/20,0,(OFFSET('Base de dados'!$A$5,IF(O1694&lt;20,1,IF(O1694&gt;1000,10,MATCH(O1694,Cargas,1))),Coluna_fih,1,1))*(PI()*(fi_h/1000)^2/4)*SQRT(2*9.81*(O1694/100-fi_h/2/1000))*1000))</f>
        <v>54.997963223943302</v>
      </c>
      <c r="Q1694" s="19">
        <f ca="1">IF(O1694="","",IF(Tipo_Vertedor="Retangular",IF(O1694&lt;=cota_s*100,0,IF(Tipo_Vertedor="Retangular",Cd_sr*Lef_sr*((O1694/100-cota_s)^(3/2))*1000)),IF(O1694&lt;=cota_s*100+fi_s/20,0,(OFFSET('Base de dados'!$A$4,IF(O1694&lt;20,1,IF(O1694&gt;1000,10,MATCH(O1694,Cargas,1))),Coluna_fis,1,1))*(PI()*(fi_s/1000)^2/4)*(2*9.81*(O1694/100-cota_s-fi_s/2/1000))^0.5*1000)))</f>
        <v>7601.7008460051093</v>
      </c>
      <c r="R1694" s="19">
        <f t="shared" ca="1" si="220"/>
        <v>7656.6988092290521</v>
      </c>
      <c r="S1694" s="19">
        <f t="shared" ca="1" si="221"/>
        <v>10237.224146895156</v>
      </c>
    </row>
    <row r="1695" spans="13:19">
      <c r="M1695" s="81">
        <f t="shared" ca="1" si="218"/>
        <v>17908.588679271161</v>
      </c>
      <c r="N1695" s="19">
        <f t="shared" si="219"/>
        <v>307.32073404713071</v>
      </c>
      <c r="O1695" s="17">
        <f t="shared" si="217"/>
        <v>423.5</v>
      </c>
      <c r="P1695" s="19">
        <f ca="1">IF(ISERROR(IF(O1695&lt;fi_h/20,0,(OFFSET('Base de dados'!$A$5,IF(O1695&lt;20,1,IF(O1695&gt;1000,10,MATCH(O1695,Cargas,1))),Coluna_fih,1,1))*(1+0.13*0.25)*(PI()*(fi_h/1000)^2/4)*SQRT(2*9.81*(O1695/100-fi_h/2/1000))*1000)),"",IF(O1695&lt;fi_h/20,0,(OFFSET('Base de dados'!$A$5,IF(O1695&lt;20,1,IF(O1695&gt;1000,10,MATCH(O1695,Cargas,1))),Coluna_fih,1,1))*(PI()*(fi_h/1000)^2/4)*SQRT(2*9.81*(O1695/100-fi_h/2/1000))*1000))</f>
        <v>55.01442287967096</v>
      </c>
      <c r="Q1695" s="19">
        <f ca="1">IF(O1695="","",IF(Tipo_Vertedor="Retangular",IF(O1695&lt;=cota_s*100,0,IF(Tipo_Vertedor="Retangular",Cd_sr*Lef_sr*((O1695/100-cota_s)^(3/2))*1000)),IF(O1695&lt;=cota_s*100+fi_s/20,0,(OFFSET('Base de dados'!$A$4,IF(O1695&lt;20,1,IF(O1695&gt;1000,10,MATCH(O1695,Cargas,1))),Coluna_fis,1,1))*(PI()*(fi_s/1000)^2/4)*(2*9.81*(O1695/100-cota_s-fi_s/2/1000))^0.5*1000)))</f>
        <v>7609.5497881537976</v>
      </c>
      <c r="R1695" s="19">
        <f t="shared" ca="1" si="220"/>
        <v>7664.5642110334684</v>
      </c>
      <c r="S1695" s="19">
        <f t="shared" ca="1" si="221"/>
        <v>10244.024468237691</v>
      </c>
    </row>
    <row r="1696" spans="13:19">
      <c r="M1696" s="81">
        <f t="shared" ca="1" si="218"/>
        <v>17923.257597150066</v>
      </c>
      <c r="N1696" s="19">
        <f t="shared" si="219"/>
        <v>307.52475869054797</v>
      </c>
      <c r="O1696" s="17">
        <f t="shared" si="217"/>
        <v>423.75</v>
      </c>
      <c r="P1696" s="19">
        <f ca="1">IF(ISERROR(IF(O1696&lt;fi_h/20,0,(OFFSET('Base de dados'!$A$5,IF(O1696&lt;20,1,IF(O1696&gt;1000,10,MATCH(O1696,Cargas,1))),Coluna_fih,1,1))*(1+0.13*0.25)*(PI()*(fi_h/1000)^2/4)*SQRT(2*9.81*(O1696/100-fi_h/2/1000))*1000)),"",IF(O1696&lt;fi_h/20,0,(OFFSET('Base de dados'!$A$5,IF(O1696&lt;20,1,IF(O1696&gt;1000,10,MATCH(O1696,Cargas,1))),Coluna_fih,1,1))*(PI()*(fi_h/1000)^2/4)*SQRT(2*9.81*(O1696/100-fi_h/2/1000))*1000))</f>
        <v>55.030877612339651</v>
      </c>
      <c r="Q1696" s="19">
        <f ca="1">IF(O1696="","",IF(Tipo_Vertedor="Retangular",IF(O1696&lt;=cota_s*100,0,IF(Tipo_Vertedor="Retangular",Cd_sr*Lef_sr*((O1696/100-cota_s)^(3/2))*1000)),IF(O1696&lt;=cota_s*100+fi_s/20,0,(OFFSET('Base de dados'!$A$4,IF(O1696&lt;20,1,IF(O1696&gt;1000,10,MATCH(O1696,Cargas,1))),Coluna_fis,1,1))*(PI()*(fi_s/1000)^2/4)*(2*9.81*(O1696/100-cota_s-fi_s/2/1000))^0.5*1000)))</f>
        <v>7617.4014298527964</v>
      </c>
      <c r="R1696" s="19">
        <f t="shared" ca="1" si="220"/>
        <v>7672.4323074651356</v>
      </c>
      <c r="S1696" s="19">
        <f t="shared" ca="1" si="221"/>
        <v>10250.825289684932</v>
      </c>
    </row>
    <row r="1697" spans="13:19">
      <c r="M1697" s="81">
        <f t="shared" ca="1" si="218"/>
        <v>17937.929708579217</v>
      </c>
      <c r="N1697" s="19">
        <f t="shared" si="219"/>
        <v>307.72879832935746</v>
      </c>
      <c r="O1697" s="17">
        <f t="shared" si="217"/>
        <v>424</v>
      </c>
      <c r="P1697" s="19">
        <f ca="1">IF(ISERROR(IF(O1697&lt;fi_h/20,0,(OFFSET('Base de dados'!$A$5,IF(O1697&lt;20,1,IF(O1697&gt;1000,10,MATCH(O1697,Cargas,1))),Coluna_fih,1,1))*(1+0.13*0.25)*(PI()*(fi_h/1000)^2/4)*SQRT(2*9.81*(O1697/100-fi_h/2/1000))*1000)),"",IF(O1697&lt;fi_h/20,0,(OFFSET('Base de dados'!$A$5,IF(O1697&lt;20,1,IF(O1697&gt;1000,10,MATCH(O1697,Cargas,1))),Coluna_fih,1,1))*(PI()*(fi_h/1000)^2/4)*SQRT(2*9.81*(O1697/100-fi_h/2/1000))*1000))</f>
        <v>55.047327426364205</v>
      </c>
      <c r="Q1697" s="19">
        <f ca="1">IF(O1697="","",IF(Tipo_Vertedor="Retangular",IF(O1697&lt;=cota_s*100,0,IF(Tipo_Vertedor="Retangular",Cd_sr*Lef_sr*((O1697/100-cota_s)^(3/2))*1000)),IF(O1697&lt;=cota_s*100+fi_s/20,0,(OFFSET('Base de dados'!$A$4,IF(O1697&lt;20,1,IF(O1697&gt;1000,10,MATCH(O1697,Cargas,1))),Coluna_fis,1,1))*(PI()*(fi_s/1000)^2/4)*(2*9.81*(O1697/100-cota_s-fi_s/2/1000))^0.5*1000)))</f>
        <v>7625.2557701742708</v>
      </c>
      <c r="R1697" s="19">
        <f t="shared" ca="1" si="220"/>
        <v>7680.3030976006348</v>
      </c>
      <c r="S1697" s="19">
        <f t="shared" ca="1" si="221"/>
        <v>10257.626610978583</v>
      </c>
    </row>
    <row r="1698" spans="13:19">
      <c r="M1698" s="81">
        <f t="shared" ca="1" si="218"/>
        <v>17952.60501237811</v>
      </c>
      <c r="N1698" s="19">
        <f t="shared" si="219"/>
        <v>307.93285295581882</v>
      </c>
      <c r="O1698" s="17">
        <f t="shared" si="217"/>
        <v>424.25</v>
      </c>
      <c r="P1698" s="19">
        <f ca="1">IF(ISERROR(IF(O1698&lt;fi_h/20,0,(OFFSET('Base de dados'!$A$5,IF(O1698&lt;20,1,IF(O1698&gt;1000,10,MATCH(O1698,Cargas,1))),Coluna_fih,1,1))*(1+0.13*0.25)*(PI()*(fi_h/1000)^2/4)*SQRT(2*9.81*(O1698/100-fi_h/2/1000))*1000)),"",IF(O1698&lt;fi_h/20,0,(OFFSET('Base de dados'!$A$5,IF(O1698&lt;20,1,IF(O1698&gt;1000,10,MATCH(O1698,Cargas,1))),Coluna_fih,1,1))*(PI()*(fi_h/1000)^2/4)*SQRT(2*9.81*(O1698/100-fi_h/2/1000))*1000))</f>
        <v>55.063772326152801</v>
      </c>
      <c r="Q1698" s="19">
        <f ca="1">IF(O1698="","",IF(Tipo_Vertedor="Retangular",IF(O1698&lt;=cota_s*100,0,IF(Tipo_Vertedor="Retangular",Cd_sr*Lef_sr*((O1698/100-cota_s)^(3/2))*1000)),IF(O1698&lt;=cota_s*100+fi_s/20,0,(OFFSET('Base de dados'!$A$4,IF(O1698&lt;20,1,IF(O1698&gt;1000,10,MATCH(O1698,Cargas,1))),Coluna_fis,1,1))*(PI()*(fi_s/1000)^2/4)*(2*9.81*(O1698/100-cota_s-fi_s/2/1000))^0.5*1000)))</f>
        <v>7633.1128081913312</v>
      </c>
      <c r="R1698" s="19">
        <f t="shared" ca="1" si="220"/>
        <v>7688.1765805174837</v>
      </c>
      <c r="S1698" s="19">
        <f t="shared" ca="1" si="221"/>
        <v>10264.428431860628</v>
      </c>
    </row>
    <row r="1699" spans="13:19">
      <c r="M1699" s="81">
        <f t="shared" ca="1" si="218"/>
        <v>17967.283507367494</v>
      </c>
      <c r="N1699" s="19">
        <f t="shared" si="219"/>
        <v>308.13692256219997</v>
      </c>
      <c r="O1699" s="17">
        <f t="shared" si="217"/>
        <v>424.5</v>
      </c>
      <c r="P1699" s="19">
        <f ca="1">IF(ISERROR(IF(O1699&lt;fi_h/20,0,(OFFSET('Base de dados'!$A$5,IF(O1699&lt;20,1,IF(O1699&gt;1000,10,MATCH(O1699,Cargas,1))),Coluna_fih,1,1))*(1+0.13*0.25)*(PI()*(fi_h/1000)^2/4)*SQRT(2*9.81*(O1699/100-fi_h/2/1000))*1000)),"",IF(O1699&lt;fi_h/20,0,(OFFSET('Base de dados'!$A$5,IF(O1699&lt;20,1,IF(O1699&gt;1000,10,MATCH(O1699,Cargas,1))),Coluna_fih,1,1))*(PI()*(fi_h/1000)^2/4)*SQRT(2*9.81*(O1699/100-fi_h/2/1000))*1000))</f>
        <v>55.08021231610708</v>
      </c>
      <c r="Q1699" s="19">
        <f ca="1">IF(O1699="","",IF(Tipo_Vertedor="Retangular",IF(O1699&lt;=cota_s*100,0,IF(Tipo_Vertedor="Retangular",Cd_sr*Lef_sr*((O1699/100-cota_s)^(3/2))*1000)),IF(O1699&lt;=cota_s*100+fi_s/20,0,(OFFSET('Base de dados'!$A$4,IF(O1699&lt;20,1,IF(O1699&gt;1000,10,MATCH(O1699,Cargas,1))),Coluna_fis,1,1))*(PI()*(fi_s/1000)^2/4)*(2*9.81*(O1699/100-cota_s-fi_s/2/1000))^0.5*1000)))</f>
        <v>7640.9725429780538</v>
      </c>
      <c r="R1699" s="19">
        <f t="shared" ca="1" si="220"/>
        <v>7696.0527552941612</v>
      </c>
      <c r="S1699" s="19">
        <f t="shared" ca="1" si="221"/>
        <v>10271.230752073334</v>
      </c>
    </row>
    <row r="1700" spans="13:19">
      <c r="M1700" s="81">
        <f t="shared" ca="1" si="218"/>
        <v>17981.965192369331</v>
      </c>
      <c r="N1700" s="19">
        <f t="shared" si="219"/>
        <v>308.34100714077755</v>
      </c>
      <c r="O1700" s="17">
        <f t="shared" si="217"/>
        <v>424.75</v>
      </c>
      <c r="P1700" s="19">
        <f ca="1">IF(ISERROR(IF(O1700&lt;fi_h/20,0,(OFFSET('Base de dados'!$A$5,IF(O1700&lt;20,1,IF(O1700&gt;1000,10,MATCH(O1700,Cargas,1))),Coluna_fih,1,1))*(1+0.13*0.25)*(PI()*(fi_h/1000)^2/4)*SQRT(2*9.81*(O1700/100-fi_h/2/1000))*1000)),"",IF(O1700&lt;fi_h/20,0,(OFFSET('Base de dados'!$A$5,IF(O1700&lt;20,1,IF(O1700&gt;1000,10,MATCH(O1700,Cargas,1))),Coluna_fih,1,1))*(PI()*(fi_h/1000)^2/4)*SQRT(2*9.81*(O1700/100-fi_h/2/1000))*1000))</f>
        <v>55.096647400622096</v>
      </c>
      <c r="Q1700" s="19">
        <f ca="1">IF(O1700="","",IF(Tipo_Vertedor="Retangular",IF(O1700&lt;=cota_s*100,0,IF(Tipo_Vertedor="Retangular",Cd_sr*Lef_sr*((O1700/100-cota_s)^(3/2))*1000)),IF(O1700&lt;=cota_s*100+fi_s/20,0,(OFFSET('Base de dados'!$A$4,IF(O1700&lt;20,1,IF(O1700&gt;1000,10,MATCH(O1700,Cargas,1))),Coluna_fis,1,1))*(PI()*(fi_s/1000)^2/4)*(2*9.81*(O1700/100-cota_s-fi_s/2/1000))^0.5*1000)))</f>
        <v>7648.8349736094569</v>
      </c>
      <c r="R1700" s="19">
        <f t="shared" ca="1" si="220"/>
        <v>7703.9316210100787</v>
      </c>
      <c r="S1700" s="19">
        <f t="shared" ca="1" si="221"/>
        <v>10278.033571359252</v>
      </c>
    </row>
    <row r="1701" spans="13:19">
      <c r="M1701" s="81">
        <f t="shared" ca="1" si="218"/>
        <v>17996.650066206832</v>
      </c>
      <c r="N1701" s="19">
        <f t="shared" si="219"/>
        <v>308.54510668383676</v>
      </c>
      <c r="O1701" s="17">
        <f t="shared" si="217"/>
        <v>425</v>
      </c>
      <c r="P1701" s="19">
        <f ca="1">IF(ISERROR(IF(O1701&lt;fi_h/20,0,(OFFSET('Base de dados'!$A$5,IF(O1701&lt;20,1,IF(O1701&gt;1000,10,MATCH(O1701,Cargas,1))),Coluna_fih,1,1))*(1+0.13*0.25)*(PI()*(fi_h/1000)^2/4)*SQRT(2*9.81*(O1701/100-fi_h/2/1000))*1000)),"",IF(O1701&lt;fi_h/20,0,(OFFSET('Base de dados'!$A$5,IF(O1701&lt;20,1,IF(O1701&gt;1000,10,MATCH(O1701,Cargas,1))),Coluna_fih,1,1))*(PI()*(fi_h/1000)^2/4)*SQRT(2*9.81*(O1701/100-fi_h/2/1000))*1000))</f>
        <v>55.113077584086348</v>
      </c>
      <c r="Q1701" s="19">
        <f ca="1">IF(O1701="","",IF(Tipo_Vertedor="Retangular",IF(O1701&lt;=cota_s*100,0,IF(Tipo_Vertedor="Retangular",Cd_sr*Lef_sr*((O1701/100-cota_s)^(3/2))*1000)),IF(O1701&lt;=cota_s*100+fi_s/20,0,(OFFSET('Base de dados'!$A$4,IF(O1701&lt;20,1,IF(O1701&gt;1000,10,MATCH(O1701,Cargas,1))),Coluna_fis,1,1))*(PI()*(fi_s/1000)^2/4)*(2*9.81*(O1701/100-cota_s-fi_s/2/1000))^0.5*1000)))</f>
        <v>7656.7000991615178</v>
      </c>
      <c r="R1701" s="19">
        <f t="shared" ca="1" si="220"/>
        <v>7711.8131767456043</v>
      </c>
      <c r="S1701" s="19">
        <f t="shared" ca="1" si="221"/>
        <v>10284.836889461227</v>
      </c>
    </row>
    <row r="1702" spans="13:19">
      <c r="M1702" s="81">
        <f t="shared" ca="1" si="218"/>
        <v>18011.338127704417</v>
      </c>
      <c r="N1702" s="19">
        <f t="shared" si="219"/>
        <v>308.74922118367135</v>
      </c>
      <c r="O1702" s="17">
        <f t="shared" si="217"/>
        <v>425.25</v>
      </c>
      <c r="P1702" s="19">
        <f ca="1">IF(ISERROR(IF(O1702&lt;fi_h/20,0,(OFFSET('Base de dados'!$A$5,IF(O1702&lt;20,1,IF(O1702&gt;1000,10,MATCH(O1702,Cargas,1))),Coluna_fih,1,1))*(1+0.13*0.25)*(PI()*(fi_h/1000)^2/4)*SQRT(2*9.81*(O1702/100-fi_h/2/1000))*1000)),"",IF(O1702&lt;fi_h/20,0,(OFFSET('Base de dados'!$A$5,IF(O1702&lt;20,1,IF(O1702&gt;1000,10,MATCH(O1702,Cargas,1))),Coluna_fih,1,1))*(PI()*(fi_h/1000)^2/4)*SQRT(2*9.81*(O1702/100-fi_h/2/1000))*1000))</f>
        <v>55.129502870881794</v>
      </c>
      <c r="Q1702" s="19">
        <f ca="1">IF(O1702="","",IF(Tipo_Vertedor="Retangular",IF(O1702&lt;=cota_s*100,0,IF(Tipo_Vertedor="Retangular",Cd_sr*Lef_sr*((O1702/100-cota_s)^(3/2))*1000)),IF(O1702&lt;=cota_s*100+fi_s/20,0,(OFFSET('Base de dados'!$A$4,IF(O1702&lt;20,1,IF(O1702&gt;1000,10,MATCH(O1702,Cargas,1))),Coluna_fis,1,1))*(PI()*(fi_s/1000)^2/4)*(2*9.81*(O1702/100-cota_s-fi_s/2/1000))^0.5*1000)))</f>
        <v>7664.5679187111591</v>
      </c>
      <c r="R1702" s="19">
        <f t="shared" ca="1" si="220"/>
        <v>7719.697421582041</v>
      </c>
      <c r="S1702" s="19">
        <f t="shared" ca="1" si="221"/>
        <v>10291.640706122378</v>
      </c>
    </row>
    <row r="1703" spans="13:19">
      <c r="M1703" s="81">
        <f t="shared" ca="1" si="218"/>
        <v>18026.029375687747</v>
      </c>
      <c r="N1703" s="19">
        <f t="shared" si="219"/>
        <v>308.95335063258329</v>
      </c>
      <c r="O1703" s="17">
        <f t="shared" si="217"/>
        <v>425.5</v>
      </c>
      <c r="P1703" s="19">
        <f ca="1">IF(ISERROR(IF(O1703&lt;fi_h/20,0,(OFFSET('Base de dados'!$A$5,IF(O1703&lt;20,1,IF(O1703&gt;1000,10,MATCH(O1703,Cargas,1))),Coluna_fih,1,1))*(1+0.13*0.25)*(PI()*(fi_h/1000)^2/4)*SQRT(2*9.81*(O1703/100-fi_h/2/1000))*1000)),"",IF(O1703&lt;fi_h/20,0,(OFFSET('Base de dados'!$A$5,IF(O1703&lt;20,1,IF(O1703&gt;1000,10,MATCH(O1703,Cargas,1))),Coluna_fih,1,1))*(PI()*(fi_h/1000)^2/4)*SQRT(2*9.81*(O1703/100-fi_h/2/1000))*1000))</f>
        <v>55.145923265383871</v>
      </c>
      <c r="Q1703" s="19">
        <f ca="1">IF(O1703="","",IF(Tipo_Vertedor="Retangular",IF(O1703&lt;=cota_s*100,0,IF(Tipo_Vertedor="Retangular",Cd_sr*Lef_sr*((O1703/100-cota_s)^(3/2))*1000)),IF(O1703&lt;=cota_s*100+fi_s/20,0,(OFFSET('Base de dados'!$A$4,IF(O1703&lt;20,1,IF(O1703&gt;1000,10,MATCH(O1703,Cargas,1))),Coluna_fis,1,1))*(PI()*(fi_s/1000)^2/4)*(2*9.81*(O1703/100-cota_s-fi_s/2/1000))^0.5*1000)))</f>
        <v>7672.4384313362534</v>
      </c>
      <c r="R1703" s="19">
        <f t="shared" ca="1" si="220"/>
        <v>7727.5843546016376</v>
      </c>
      <c r="S1703" s="19">
        <f t="shared" ca="1" si="221"/>
        <v>10298.445021086111</v>
      </c>
    </row>
    <row r="1704" spans="13:19">
      <c r="M1704" s="81">
        <f t="shared" ca="1" si="218"/>
        <v>18040.723808983694</v>
      </c>
      <c r="N1704" s="19">
        <f t="shared" si="219"/>
        <v>309.15749502288338</v>
      </c>
      <c r="O1704" s="17">
        <f t="shared" si="217"/>
        <v>425.75</v>
      </c>
      <c r="P1704" s="19">
        <f ca="1">IF(ISERROR(IF(O1704&lt;fi_h/20,0,(OFFSET('Base de dados'!$A$5,IF(O1704&lt;20,1,IF(O1704&gt;1000,10,MATCH(O1704,Cargas,1))),Coluna_fih,1,1))*(1+0.13*0.25)*(PI()*(fi_h/1000)^2/4)*SQRT(2*9.81*(O1704/100-fi_h/2/1000))*1000)),"",IF(O1704&lt;fi_h/20,0,(OFFSET('Base de dados'!$A$5,IF(O1704&lt;20,1,IF(O1704&gt;1000,10,MATCH(O1704,Cargas,1))),Coluna_fih,1,1))*(PI()*(fi_h/1000)^2/4)*SQRT(2*9.81*(O1704/100-fi_h/2/1000))*1000))</f>
        <v>55.162338771961522</v>
      </c>
      <c r="Q1704" s="19">
        <f ca="1">IF(O1704="","",IF(Tipo_Vertedor="Retangular",IF(O1704&lt;=cota_s*100,0,IF(Tipo_Vertedor="Retangular",Cd_sr*Lef_sr*((O1704/100-cota_s)^(3/2))*1000)),IF(O1704&lt;=cota_s*100+fi_s/20,0,(OFFSET('Base de dados'!$A$4,IF(O1704&lt;20,1,IF(O1704&gt;1000,10,MATCH(O1704,Cargas,1))),Coluna_fis,1,1))*(PI()*(fi_s/1000)^2/4)*(2*9.81*(O1704/100-cota_s-fi_s/2/1000))^0.5*1000)))</f>
        <v>7680.3116361156181</v>
      </c>
      <c r="R1704" s="19">
        <f t="shared" ca="1" si="220"/>
        <v>7735.47397488758</v>
      </c>
      <c r="S1704" s="19">
        <f t="shared" ca="1" si="221"/>
        <v>10305.249834096114</v>
      </c>
    </row>
    <row r="1705" spans="13:19">
      <c r="M1705" s="81">
        <f t="shared" ca="1" si="218"/>
        <v>18055.42142642034</v>
      </c>
      <c r="N1705" s="19">
        <f t="shared" si="219"/>
        <v>309.36165434689065</v>
      </c>
      <c r="O1705" s="17">
        <f t="shared" si="217"/>
        <v>426</v>
      </c>
      <c r="P1705" s="19">
        <f ca="1">IF(ISERROR(IF(O1705&lt;fi_h/20,0,(OFFSET('Base de dados'!$A$5,IF(O1705&lt;20,1,IF(O1705&gt;1000,10,MATCH(O1705,Cargas,1))),Coluna_fih,1,1))*(1+0.13*0.25)*(PI()*(fi_h/1000)^2/4)*SQRT(2*9.81*(O1705/100-fi_h/2/1000))*1000)),"",IF(O1705&lt;fi_h/20,0,(OFFSET('Base de dados'!$A$5,IF(O1705&lt;20,1,IF(O1705&gt;1000,10,MATCH(O1705,Cargas,1))),Coluna_fih,1,1))*(PI()*(fi_h/1000)^2/4)*SQRT(2*9.81*(O1705/100-fi_h/2/1000))*1000))</f>
        <v>55.178749394977153</v>
      </c>
      <c r="Q1705" s="19">
        <f ca="1">IF(O1705="","",IF(Tipo_Vertedor="Retangular",IF(O1705&lt;=cota_s*100,0,IF(Tipo_Vertedor="Retangular",Cd_sr*Lef_sr*((O1705/100-cota_s)^(3/2))*1000)),IF(O1705&lt;=cota_s*100+fi_s/20,0,(OFFSET('Base de dados'!$A$4,IF(O1705&lt;20,1,IF(O1705&gt;1000,10,MATCH(O1705,Cargas,1))),Coluna_fis,1,1))*(PI()*(fi_s/1000)^2/4)*(2*9.81*(O1705/100-cota_s-fi_s/2/1000))^0.5*1000)))</f>
        <v>7688.1875321290099</v>
      </c>
      <c r="R1705" s="19">
        <f t="shared" ca="1" si="220"/>
        <v>7743.3662815239868</v>
      </c>
      <c r="S1705" s="19">
        <f t="shared" ca="1" si="221"/>
        <v>10312.055144896354</v>
      </c>
    </row>
    <row r="1706" spans="13:19">
      <c r="M1706" s="81">
        <f t="shared" ca="1" si="218"/>
        <v>18070.122226827025</v>
      </c>
      <c r="N1706" s="19">
        <f t="shared" si="219"/>
        <v>309.56582859693265</v>
      </c>
      <c r="O1706" s="17">
        <f t="shared" si="217"/>
        <v>426.25</v>
      </c>
      <c r="P1706" s="19">
        <f ca="1">IF(ISERROR(IF(O1706&lt;fi_h/20,0,(OFFSET('Base de dados'!$A$5,IF(O1706&lt;20,1,IF(O1706&gt;1000,10,MATCH(O1706,Cargas,1))),Coluna_fih,1,1))*(1+0.13*0.25)*(PI()*(fi_h/1000)^2/4)*SQRT(2*9.81*(O1706/100-fi_h/2/1000))*1000)),"",IF(O1706&lt;fi_h/20,0,(OFFSET('Base de dados'!$A$5,IF(O1706&lt;20,1,IF(O1706&gt;1000,10,MATCH(O1706,Cargas,1))),Coluna_fih,1,1))*(PI()*(fi_h/1000)^2/4)*SQRT(2*9.81*(O1706/100-fi_h/2/1000))*1000))</f>
        <v>55.195155138786738</v>
      </c>
      <c r="Q1706" s="19">
        <f ca="1">IF(O1706="","",IF(Tipo_Vertedor="Retangular",IF(O1706&lt;=cota_s*100,0,IF(Tipo_Vertedor="Retangular",Cd_sr*Lef_sr*((O1706/100-cota_s)^(3/2))*1000)),IF(O1706&lt;=cota_s*100+fi_s/20,0,(OFFSET('Base de dados'!$A$4,IF(O1706&lt;20,1,IF(O1706&gt;1000,10,MATCH(O1706,Cargas,1))),Coluna_fis,1,1))*(PI()*(fi_s/1000)^2/4)*(2*9.81*(O1706/100-cota_s-fi_s/2/1000))^0.5*1000)))</f>
        <v>7696.06611845715</v>
      </c>
      <c r="R1706" s="19">
        <f t="shared" ca="1" si="220"/>
        <v>7751.2612735959365</v>
      </c>
      <c r="S1706" s="19">
        <f t="shared" ca="1" si="221"/>
        <v>10318.860953231087</v>
      </c>
    </row>
    <row r="1707" spans="13:19">
      <c r="M1707" s="81">
        <f t="shared" ca="1" si="218"/>
        <v>18084.82620903425</v>
      </c>
      <c r="N1707" s="19">
        <f t="shared" si="219"/>
        <v>309.77001776534536</v>
      </c>
      <c r="O1707" s="17">
        <f t="shared" si="217"/>
        <v>426.5</v>
      </c>
      <c r="P1707" s="19">
        <f ca="1">IF(ISERROR(IF(O1707&lt;fi_h/20,0,(OFFSET('Base de dados'!$A$5,IF(O1707&lt;20,1,IF(O1707&gt;1000,10,MATCH(O1707,Cargas,1))),Coluna_fih,1,1))*(1+0.13*0.25)*(PI()*(fi_h/1000)^2/4)*SQRT(2*9.81*(O1707/100-fi_h/2/1000))*1000)),"",IF(O1707&lt;fi_h/20,0,(OFFSET('Base de dados'!$A$5,IF(O1707&lt;20,1,IF(O1707&gt;1000,10,MATCH(O1707,Cargas,1))),Coluna_fih,1,1))*(PI()*(fi_h/1000)^2/4)*SQRT(2*9.81*(O1707/100-fi_h/2/1000))*1000))</f>
        <v>55.211556007739702</v>
      </c>
      <c r="Q1707" s="19">
        <f ca="1">IF(O1707="","",IF(Tipo_Vertedor="Retangular",IF(O1707&lt;=cota_s*100,0,IF(Tipo_Vertedor="Retangular",Cd_sr*Lef_sr*((O1707/100-cota_s)^(3/2))*1000)),IF(O1707&lt;=cota_s*100+fi_s/20,0,(OFFSET('Base de dados'!$A$4,IF(O1707&lt;20,1,IF(O1707&gt;1000,10,MATCH(O1707,Cargas,1))),Coluna_fis,1,1))*(PI()*(fi_s/1000)^2/4)*(2*9.81*(O1707/100-cota_s-fi_s/2/1000))^0.5*1000)))</f>
        <v>7703.9473941816659</v>
      </c>
      <c r="R1707" s="19">
        <f t="shared" ca="1" si="220"/>
        <v>7759.1589501894059</v>
      </c>
      <c r="S1707" s="19">
        <f t="shared" ca="1" si="221"/>
        <v>10325.667258844845</v>
      </c>
    </row>
    <row r="1708" spans="13:19">
      <c r="M1708" s="81">
        <f t="shared" ca="1" si="218"/>
        <v>18099.533371873786</v>
      </c>
      <c r="N1708" s="19">
        <f t="shared" si="219"/>
        <v>309.97422184447345</v>
      </c>
      <c r="O1708" s="17">
        <f t="shared" si="217"/>
        <v>426.75</v>
      </c>
      <c r="P1708" s="19">
        <f ca="1">IF(ISERROR(IF(O1708&lt;fi_h/20,0,(OFFSET('Base de dados'!$A$5,IF(O1708&lt;20,1,IF(O1708&gt;1000,10,MATCH(O1708,Cargas,1))),Coluna_fih,1,1))*(1+0.13*0.25)*(PI()*(fi_h/1000)^2/4)*SQRT(2*9.81*(O1708/100-fi_h/2/1000))*1000)),"",IF(O1708&lt;fi_h/20,0,(OFFSET('Base de dados'!$A$5,IF(O1708&lt;20,1,IF(O1708&gt;1000,10,MATCH(O1708,Cargas,1))),Coluna_fih,1,1))*(PI()*(fi_h/1000)^2/4)*SQRT(2*9.81*(O1708/100-fi_h/2/1000))*1000))</f>
        <v>55.227952006179088</v>
      </c>
      <c r="Q1708" s="19">
        <f ca="1">IF(O1708="","",IF(Tipo_Vertedor="Retangular",IF(O1708&lt;=cota_s*100,0,IF(Tipo_Vertedor="Retangular",Cd_sr*Lef_sr*((O1708/100-cota_s)^(3/2))*1000)),IF(O1708&lt;=cota_s*100+fi_s/20,0,(OFFSET('Base de dados'!$A$4,IF(O1708&lt;20,1,IF(O1708&gt;1000,10,MATCH(O1708,Cargas,1))),Coluna_fis,1,1))*(PI()*(fi_s/1000)^2/4)*(2*9.81*(O1708/100-cota_s-fi_s/2/1000))^0.5*1000)))</f>
        <v>7711.8313583851595</v>
      </c>
      <c r="R1708" s="19">
        <f t="shared" ca="1" si="220"/>
        <v>7767.0593103913388</v>
      </c>
      <c r="S1708" s="19">
        <f t="shared" ca="1" si="221"/>
        <v>10332.474061482448</v>
      </c>
    </row>
    <row r="1709" spans="13:19">
      <c r="M1709" s="81">
        <f t="shared" ca="1" si="218"/>
        <v>18114.24371417857</v>
      </c>
      <c r="N1709" s="19">
        <f t="shared" si="219"/>
        <v>310.17844082666943</v>
      </c>
      <c r="O1709" s="17">
        <f t="shared" si="217"/>
        <v>427</v>
      </c>
      <c r="P1709" s="19">
        <f ca="1">IF(ISERROR(IF(O1709&lt;fi_h/20,0,(OFFSET('Base de dados'!$A$5,IF(O1709&lt;20,1,IF(O1709&gt;1000,10,MATCH(O1709,Cargas,1))),Coluna_fih,1,1))*(1+0.13*0.25)*(PI()*(fi_h/1000)^2/4)*SQRT(2*9.81*(O1709/100-fi_h/2/1000))*1000)),"",IF(O1709&lt;fi_h/20,0,(OFFSET('Base de dados'!$A$5,IF(O1709&lt;20,1,IF(O1709&gt;1000,10,MATCH(O1709,Cargas,1))),Coluna_fih,1,1))*(PI()*(fi_h/1000)^2/4)*SQRT(2*9.81*(O1709/100-fi_h/2/1000))*1000))</f>
        <v>55.244343138441451</v>
      </c>
      <c r="Q1709" s="19">
        <f ca="1">IF(O1709="","",IF(Tipo_Vertedor="Retangular",IF(O1709&lt;=cota_s*100,0,IF(Tipo_Vertedor="Retangular",Cd_sr*Lef_sr*((O1709/100-cota_s)^(3/2))*1000)),IF(O1709&lt;=cota_s*100+fi_s/20,0,(OFFSET('Base de dados'!$A$4,IF(O1709&lt;20,1,IF(O1709&gt;1000,10,MATCH(O1709,Cargas,1))),Coluna_fis,1,1))*(PI()*(fi_s/1000)^2/4)*(2*9.81*(O1709/100-cota_s-fi_s/2/1000))^0.5*1000)))</f>
        <v>7719.7180101511485</v>
      </c>
      <c r="R1709" s="19">
        <f t="shared" ca="1" si="220"/>
        <v>7774.9623532895903</v>
      </c>
      <c r="S1709" s="19">
        <f t="shared" ca="1" si="221"/>
        <v>10339.281360888981</v>
      </c>
    </row>
    <row r="1710" spans="13:19">
      <c r="M1710" s="81">
        <f t="shared" ca="1" si="218"/>
        <v>18128.957234782778</v>
      </c>
      <c r="N1710" s="19">
        <f t="shared" si="219"/>
        <v>310.38267470429486</v>
      </c>
      <c r="O1710" s="17">
        <f t="shared" si="217"/>
        <v>427.25</v>
      </c>
      <c r="P1710" s="19">
        <f ca="1">IF(ISERROR(IF(O1710&lt;fi_h/20,0,(OFFSET('Base de dados'!$A$5,IF(O1710&lt;20,1,IF(O1710&gt;1000,10,MATCH(O1710,Cargas,1))),Coluna_fih,1,1))*(1+0.13*0.25)*(PI()*(fi_h/1000)^2/4)*SQRT(2*9.81*(O1710/100-fi_h/2/1000))*1000)),"",IF(O1710&lt;fi_h/20,0,(OFFSET('Base de dados'!$A$5,IF(O1710&lt;20,1,IF(O1710&gt;1000,10,MATCH(O1710,Cargas,1))),Coluna_fih,1,1))*(PI()*(fi_h/1000)^2/4)*SQRT(2*9.81*(O1710/100-fi_h/2/1000))*1000))</f>
        <v>55.260729408856946</v>
      </c>
      <c r="Q1710" s="19">
        <f ca="1">IF(O1710="","",IF(Tipo_Vertedor="Retangular",IF(O1710&lt;=cota_s*100,0,IF(Tipo_Vertedor="Retangular",Cd_sr*Lef_sr*((O1710/100-cota_s)^(3/2))*1000)),IF(O1710&lt;=cota_s*100+fi_s/20,0,(OFFSET('Base de dados'!$A$4,IF(O1710&lt;20,1,IF(O1710&gt;1000,10,MATCH(O1710,Cargas,1))),Coluna_fis,1,1))*(PI()*(fi_s/1000)^2/4)*(2*9.81*(O1710/100-cota_s-fi_s/2/1000))^0.5*1000)))</f>
        <v>7727.6073485640936</v>
      </c>
      <c r="R1710" s="19">
        <f t="shared" ca="1" si="220"/>
        <v>7782.8680779729502</v>
      </c>
      <c r="S1710" s="19">
        <f t="shared" ca="1" si="221"/>
        <v>10346.089156809829</v>
      </c>
    </row>
    <row r="1711" spans="13:19">
      <c r="M1711" s="81">
        <f t="shared" ca="1" si="218"/>
        <v>18143.673932521786</v>
      </c>
      <c r="N1711" s="19">
        <f t="shared" si="219"/>
        <v>310.58692346971912</v>
      </c>
      <c r="O1711" s="17">
        <f t="shared" si="217"/>
        <v>427.5</v>
      </c>
      <c r="P1711" s="19">
        <f ca="1">IF(ISERROR(IF(O1711&lt;fi_h/20,0,(OFFSET('Base de dados'!$A$5,IF(O1711&lt;20,1,IF(O1711&gt;1000,10,MATCH(O1711,Cargas,1))),Coluna_fih,1,1))*(1+0.13*0.25)*(PI()*(fi_h/1000)^2/4)*SQRT(2*9.81*(O1711/100-fi_h/2/1000))*1000)),"",IF(O1711&lt;fi_h/20,0,(OFFSET('Base de dados'!$A$5,IF(O1711&lt;20,1,IF(O1711&gt;1000,10,MATCH(O1711,Cargas,1))),Coluna_fih,1,1))*(PI()*(fi_h/1000)^2/4)*SQRT(2*9.81*(O1711/100-fi_h/2/1000))*1000))</f>
        <v>55.277110821749261</v>
      </c>
      <c r="Q1711" s="19">
        <f ca="1">IF(O1711="","",IF(Tipo_Vertedor="Retangular",IF(O1711&lt;=cota_s*100,0,IF(Tipo_Vertedor="Retangular",Cd_sr*Lef_sr*((O1711/100-cota_s)^(3/2))*1000)),IF(O1711&lt;=cota_s*100+fi_s/20,0,(OFFSET('Base de dados'!$A$4,IF(O1711&lt;20,1,IF(O1711&gt;1000,10,MATCH(O1711,Cargas,1))),Coluna_fis,1,1))*(PI()*(fi_s/1000)^2/4)*(2*9.81*(O1711/100-cota_s-fi_s/2/1000))^0.5*1000)))</f>
        <v>7735.4993727093988</v>
      </c>
      <c r="R1711" s="19">
        <f t="shared" ca="1" si="220"/>
        <v>7790.7764835311482</v>
      </c>
      <c r="S1711" s="19">
        <f t="shared" ca="1" si="221"/>
        <v>10352.897448990638</v>
      </c>
    </row>
    <row r="1712" spans="13:19">
      <c r="M1712" s="81">
        <f t="shared" ca="1" si="218"/>
        <v>18158.393806232165</v>
      </c>
      <c r="N1712" s="19">
        <f t="shared" si="219"/>
        <v>310.79118711532016</v>
      </c>
      <c r="O1712" s="17">
        <f t="shared" si="217"/>
        <v>427.75</v>
      </c>
      <c r="P1712" s="19">
        <f ca="1">IF(ISERROR(IF(O1712&lt;fi_h/20,0,(OFFSET('Base de dados'!$A$5,IF(O1712&lt;20,1,IF(O1712&gt;1000,10,MATCH(O1712,Cargas,1))),Coluna_fih,1,1))*(1+0.13*0.25)*(PI()*(fi_h/1000)^2/4)*SQRT(2*9.81*(O1712/100-fi_h/2/1000))*1000)),"",IF(O1712&lt;fi_h/20,0,(OFFSET('Base de dados'!$A$5,IF(O1712&lt;20,1,IF(O1712&gt;1000,10,MATCH(O1712,Cargas,1))),Coluna_fih,1,1))*(PI()*(fi_h/1000)^2/4)*SQRT(2*9.81*(O1712/100-fi_h/2/1000))*1000))</f>
        <v>55.293487381435732</v>
      </c>
      <c r="Q1712" s="19">
        <f ca="1">IF(O1712="","",IF(Tipo_Vertedor="Retangular",IF(O1712&lt;=cota_s*100,0,IF(Tipo_Vertedor="Retangular",Cd_sr*Lef_sr*((O1712/100-cota_s)^(3/2))*1000)),IF(O1712&lt;=cota_s*100+fi_s/20,0,(OFFSET('Base de dados'!$A$4,IF(O1712&lt;20,1,IF(O1712&gt;1000,10,MATCH(O1712,Cargas,1))),Coluna_fis,1,1))*(PI()*(fi_s/1000)^2/4)*(2*9.81*(O1712/100-cota_s-fi_s/2/1000))^0.5*1000)))</f>
        <v>7743.3940816733893</v>
      </c>
      <c r="R1712" s="19">
        <f t="shared" ca="1" si="220"/>
        <v>7798.687569054825</v>
      </c>
      <c r="S1712" s="19">
        <f t="shared" ca="1" si="221"/>
        <v>10359.706237177339</v>
      </c>
    </row>
    <row r="1713" spans="13:19">
      <c r="M1713" s="81">
        <f t="shared" ca="1" si="218"/>
        <v>18173.116854751705</v>
      </c>
      <c r="N1713" s="19">
        <f t="shared" si="219"/>
        <v>310.99546563348457</v>
      </c>
      <c r="O1713" s="17">
        <f t="shared" si="217"/>
        <v>428</v>
      </c>
      <c r="P1713" s="19">
        <f ca="1">IF(ISERROR(IF(O1713&lt;fi_h/20,0,(OFFSET('Base de dados'!$A$5,IF(O1713&lt;20,1,IF(O1713&gt;1000,10,MATCH(O1713,Cargas,1))),Coluna_fih,1,1))*(1+0.13*0.25)*(PI()*(fi_h/1000)^2/4)*SQRT(2*9.81*(O1713/100-fi_h/2/1000))*1000)),"",IF(O1713&lt;fi_h/20,0,(OFFSET('Base de dados'!$A$5,IF(O1713&lt;20,1,IF(O1713&gt;1000,10,MATCH(O1713,Cargas,1))),Coluna_fih,1,1))*(PI()*(fi_h/1000)^2/4)*SQRT(2*9.81*(O1713/100-fi_h/2/1000))*1000))</f>
        <v>55.309859092227278</v>
      </c>
      <c r="Q1713" s="19">
        <f ca="1">IF(O1713="","",IF(Tipo_Vertedor="Retangular",IF(O1713&lt;=cota_s*100,0,IF(Tipo_Vertedor="Retangular",Cd_sr*Lef_sr*((O1713/100-cota_s)^(3/2))*1000)),IF(O1713&lt;=cota_s*100+fi_s/20,0,(OFFSET('Base de dados'!$A$4,IF(O1713&lt;20,1,IF(O1713&gt;1000,10,MATCH(O1713,Cargas,1))),Coluna_fis,1,1))*(PI()*(fi_s/1000)^2/4)*(2*9.81*(O1713/100-cota_s-fi_s/2/1000))^0.5*1000)))</f>
        <v>7751.2914745433254</v>
      </c>
      <c r="R1713" s="19">
        <f t="shared" ca="1" si="220"/>
        <v>7806.6013336355527</v>
      </c>
      <c r="S1713" s="19">
        <f t="shared" ca="1" si="221"/>
        <v>10366.515521116153</v>
      </c>
    </row>
    <row r="1714" spans="13:19">
      <c r="M1714" s="81">
        <f t="shared" ca="1" si="218"/>
        <v>18187.843076919387</v>
      </c>
      <c r="N1714" s="19">
        <f t="shared" si="219"/>
        <v>311.19975901660689</v>
      </c>
      <c r="O1714" s="17">
        <f t="shared" si="217"/>
        <v>428.25</v>
      </c>
      <c r="P1714" s="19">
        <f ca="1">IF(ISERROR(IF(O1714&lt;fi_h/20,0,(OFFSET('Base de dados'!$A$5,IF(O1714&lt;20,1,IF(O1714&gt;1000,10,MATCH(O1714,Cargas,1))),Coluna_fih,1,1))*(1+0.13*0.25)*(PI()*(fi_h/1000)^2/4)*SQRT(2*9.81*(O1714/100-fi_h/2/1000))*1000)),"",IF(O1714&lt;fi_h/20,0,(OFFSET('Base de dados'!$A$5,IF(O1714&lt;20,1,IF(O1714&gt;1000,10,MATCH(O1714,Cargas,1))),Coluna_fih,1,1))*(PI()*(fi_h/1000)^2/4)*SQRT(2*9.81*(O1714/100-fi_h/2/1000))*1000))</f>
        <v>55.326225958428417</v>
      </c>
      <c r="Q1714" s="19">
        <f ca="1">IF(O1714="","",IF(Tipo_Vertedor="Retangular",IF(O1714&lt;=cota_s*100,0,IF(Tipo_Vertedor="Retangular",Cd_sr*Lef_sr*((O1714/100-cota_s)^(3/2))*1000)),IF(O1714&lt;=cota_s*100+fi_s/20,0,(OFFSET('Base de dados'!$A$4,IF(O1714&lt;20,1,IF(O1714&gt;1000,10,MATCH(O1714,Cargas,1))),Coluna_fis,1,1))*(PI()*(fi_s/1000)^2/4)*(2*9.81*(O1714/100-cota_s-fi_s/2/1000))^0.5*1000)))</f>
        <v>7759.1915504073986</v>
      </c>
      <c r="R1714" s="19">
        <f t="shared" ca="1" si="220"/>
        <v>7814.5177763658266</v>
      </c>
      <c r="S1714" s="19">
        <f t="shared" ca="1" si="221"/>
        <v>10373.325300553563</v>
      </c>
    </row>
    <row r="1715" spans="13:19">
      <c r="M1715" s="81">
        <f t="shared" ca="1" si="218"/>
        <v>18202.572471575411</v>
      </c>
      <c r="N1715" s="19">
        <f t="shared" si="219"/>
        <v>311.40406725709022</v>
      </c>
      <c r="O1715" s="17">
        <f t="shared" si="217"/>
        <v>428.5</v>
      </c>
      <c r="P1715" s="19">
        <f ca="1">IF(ISERROR(IF(O1715&lt;fi_h/20,0,(OFFSET('Base de dados'!$A$5,IF(O1715&lt;20,1,IF(O1715&gt;1000,10,MATCH(O1715,Cargas,1))),Coluna_fih,1,1))*(1+0.13*0.25)*(PI()*(fi_h/1000)^2/4)*SQRT(2*9.81*(O1715/100-fi_h/2/1000))*1000)),"",IF(O1715&lt;fi_h/20,0,(OFFSET('Base de dados'!$A$5,IF(O1715&lt;20,1,IF(O1715&gt;1000,10,MATCH(O1715,Cargas,1))),Coluna_fih,1,1))*(PI()*(fi_h/1000)^2/4)*SQRT(2*9.81*(O1715/100-fi_h/2/1000))*1000))</f>
        <v>55.342587984337371</v>
      </c>
      <c r="Q1715" s="19">
        <f ca="1">IF(O1715="","",IF(Tipo_Vertedor="Retangular",IF(O1715&lt;=cota_s*100,0,IF(Tipo_Vertedor="Retangular",Cd_sr*Lef_sr*((O1715/100-cota_s)^(3/2))*1000)),IF(O1715&lt;=cota_s*100+fi_s/20,0,(OFFSET('Base de dados'!$A$4,IF(O1715&lt;20,1,IF(O1715&gt;1000,10,MATCH(O1715,Cargas,1))),Coluna_fis,1,1))*(PI()*(fi_s/1000)^2/4)*(2*9.81*(O1715/100-cota_s-fi_s/2/1000))^0.5*1000)))</f>
        <v>7767.0943083547327</v>
      </c>
      <c r="R1715" s="19">
        <f t="shared" ca="1" si="220"/>
        <v>7822.4368963390698</v>
      </c>
      <c r="S1715" s="19">
        <f t="shared" ca="1" si="221"/>
        <v>10380.135575236342</v>
      </c>
    </row>
    <row r="1716" spans="13:19">
      <c r="M1716" s="81">
        <f t="shared" ca="1" si="218"/>
        <v>18217.305037561146</v>
      </c>
      <c r="N1716" s="19">
        <f t="shared" si="219"/>
        <v>311.60839034734568</v>
      </c>
      <c r="O1716" s="17">
        <f t="shared" si="217"/>
        <v>428.75</v>
      </c>
      <c r="P1716" s="19">
        <f ca="1">IF(ISERROR(IF(O1716&lt;fi_h/20,0,(OFFSET('Base de dados'!$A$5,IF(O1716&lt;20,1,IF(O1716&gt;1000,10,MATCH(O1716,Cargas,1))),Coluna_fih,1,1))*(1+0.13*0.25)*(PI()*(fi_h/1000)^2/4)*SQRT(2*9.81*(O1716/100-fi_h/2/1000))*1000)),"",IF(O1716&lt;fi_h/20,0,(OFFSET('Base de dados'!$A$5,IF(O1716&lt;20,1,IF(O1716&gt;1000,10,MATCH(O1716,Cargas,1))),Coluna_fih,1,1))*(PI()*(fi_h/1000)^2/4)*SQRT(2*9.81*(O1716/100-fi_h/2/1000))*1000))</f>
        <v>55.35894517424591</v>
      </c>
      <c r="Q1716" s="19">
        <f ca="1">IF(O1716="","",IF(Tipo_Vertedor="Retangular",IF(O1716&lt;=cota_s*100,0,IF(Tipo_Vertedor="Retangular",Cd_sr*Lef_sr*((O1716/100-cota_s)^(3/2))*1000)),IF(O1716&lt;=cota_s*100+fi_s/20,0,(OFFSET('Base de dados'!$A$4,IF(O1716&lt;20,1,IF(O1716&gt;1000,10,MATCH(O1716,Cargas,1))),Coluna_fis,1,1))*(PI()*(fi_s/1000)^2/4)*(2*9.81*(O1716/100-cota_s-fi_s/2/1000))^0.5*1000)))</f>
        <v>7774.9997474753773</v>
      </c>
      <c r="R1716" s="19">
        <f t="shared" ca="1" si="220"/>
        <v>7830.3586926496228</v>
      </c>
      <c r="S1716" s="19">
        <f t="shared" ca="1" si="221"/>
        <v>10386.946344911523</v>
      </c>
    </row>
    <row r="1717" spans="13:19">
      <c r="M1717" s="81">
        <f t="shared" ca="1" si="218"/>
        <v>18232.040773719182</v>
      </c>
      <c r="N1717" s="19">
        <f t="shared" si="219"/>
        <v>311.81272827979313</v>
      </c>
      <c r="O1717" s="17">
        <f t="shared" si="217"/>
        <v>429</v>
      </c>
      <c r="P1717" s="19">
        <f ca="1">IF(ISERROR(IF(O1717&lt;fi_h/20,0,(OFFSET('Base de dados'!$A$5,IF(O1717&lt;20,1,IF(O1717&gt;1000,10,MATCH(O1717,Cargas,1))),Coluna_fih,1,1))*(1+0.13*0.25)*(PI()*(fi_h/1000)^2/4)*SQRT(2*9.81*(O1717/100-fi_h/2/1000))*1000)),"",IF(O1717&lt;fi_h/20,0,(OFFSET('Base de dados'!$A$5,IF(O1717&lt;20,1,IF(O1717&gt;1000,10,MATCH(O1717,Cargas,1))),Coluna_fih,1,1))*(PI()*(fi_h/1000)^2/4)*SQRT(2*9.81*(O1717/100-fi_h/2/1000))*1000))</f>
        <v>55.375297532439575</v>
      </c>
      <c r="Q1717" s="19">
        <f ca="1">IF(O1717="","",IF(Tipo_Vertedor="Retangular",IF(O1717&lt;=cota_s*100,0,IF(Tipo_Vertedor="Retangular",Cd_sr*Lef_sr*((O1717/100-cota_s)^(3/2))*1000)),IF(O1717&lt;=cota_s*100+fi_s/20,0,(OFFSET('Base de dados'!$A$4,IF(O1717&lt;20,1,IF(O1717&gt;1000,10,MATCH(O1717,Cargas,1))),Coluna_fis,1,1))*(PI()*(fi_s/1000)^2/4)*(2*9.81*(O1717/100-cota_s-fi_s/2/1000))^0.5*1000)))</f>
        <v>7782.9078668603033</v>
      </c>
      <c r="R1717" s="19">
        <f t="shared" ca="1" si="220"/>
        <v>7838.2831643927429</v>
      </c>
      <c r="S1717" s="19">
        <f t="shared" ca="1" si="221"/>
        <v>10393.757609326438</v>
      </c>
    </row>
    <row r="1718" spans="13:19">
      <c r="M1718" s="81">
        <f t="shared" ca="1" si="218"/>
        <v>18246.779678893286</v>
      </c>
      <c r="N1718" s="19">
        <f t="shared" si="219"/>
        <v>312.01708104686037</v>
      </c>
      <c r="O1718" s="17">
        <f t="shared" si="217"/>
        <v>429.25</v>
      </c>
      <c r="P1718" s="19">
        <f ca="1">IF(ISERROR(IF(O1718&lt;fi_h/20,0,(OFFSET('Base de dados'!$A$5,IF(O1718&lt;20,1,IF(O1718&gt;1000,10,MATCH(O1718,Cargas,1))),Coluna_fih,1,1))*(1+0.13*0.25)*(PI()*(fi_h/1000)^2/4)*SQRT(2*9.81*(O1718/100-fi_h/2/1000))*1000)),"",IF(O1718&lt;fi_h/20,0,(OFFSET('Base de dados'!$A$5,IF(O1718&lt;20,1,IF(O1718&gt;1000,10,MATCH(O1718,Cargas,1))),Coluna_fih,1,1))*(PI()*(fi_h/1000)^2/4)*SQRT(2*9.81*(O1718/100-fi_h/2/1000))*1000))</f>
        <v>55.391645063197494</v>
      </c>
      <c r="Q1718" s="19">
        <f ca="1">IF(O1718="","",IF(Tipo_Vertedor="Retangular",IF(O1718&lt;=cota_s*100,0,IF(Tipo_Vertedor="Retangular",Cd_sr*Lef_sr*((O1718/100-cota_s)^(3/2))*1000)),IF(O1718&lt;=cota_s*100+fi_s/20,0,(OFFSET('Base de dados'!$A$4,IF(O1718&lt;20,1,IF(O1718&gt;1000,10,MATCH(O1718,Cargas,1))),Coluna_fis,1,1))*(PI()*(fi_s/1000)^2/4)*(2*9.81*(O1718/100-cota_s-fi_s/2/1000))^0.5*1000)))</f>
        <v>7790.8186656014113</v>
      </c>
      <c r="R1718" s="19">
        <f t="shared" ca="1" si="220"/>
        <v>7846.2103106646091</v>
      </c>
      <c r="S1718" s="19">
        <f t="shared" ca="1" si="221"/>
        <v>10400.569368228678</v>
      </c>
    </row>
    <row r="1719" spans="13:19">
      <c r="M1719" s="81">
        <f t="shared" ca="1" si="218"/>
        <v>18261.521751928423</v>
      </c>
      <c r="N1719" s="19">
        <f t="shared" si="219"/>
        <v>312.22144864098351</v>
      </c>
      <c r="O1719" s="17">
        <f t="shared" si="217"/>
        <v>429.5</v>
      </c>
      <c r="P1719" s="19">
        <f ca="1">IF(ISERROR(IF(O1719&lt;fi_h/20,0,(OFFSET('Base de dados'!$A$5,IF(O1719&lt;20,1,IF(O1719&gt;1000,10,MATCH(O1719,Cargas,1))),Coluna_fih,1,1))*(1+0.13*0.25)*(PI()*(fi_h/1000)^2/4)*SQRT(2*9.81*(O1719/100-fi_h/2/1000))*1000)),"",IF(O1719&lt;fi_h/20,0,(OFFSET('Base de dados'!$A$5,IF(O1719&lt;20,1,IF(O1719&gt;1000,10,MATCH(O1719,Cargas,1))),Coluna_fih,1,1))*(PI()*(fi_h/1000)^2/4)*SQRT(2*9.81*(O1719/100-fi_h/2/1000))*1000))</f>
        <v>55.407987770792523</v>
      </c>
      <c r="Q1719" s="19">
        <f ca="1">IF(O1719="","",IF(Tipo_Vertedor="Retangular",IF(O1719&lt;=cota_s*100,0,IF(Tipo_Vertedor="Retangular",Cd_sr*Lef_sr*((O1719/100-cota_s)^(3/2))*1000)),IF(O1719&lt;=cota_s*100+fi_s/20,0,(OFFSET('Base de dados'!$A$4,IF(O1719&lt;20,1,IF(O1719&gt;1000,10,MATCH(O1719,Cargas,1))),Coluna_fis,1,1))*(PI()*(fi_s/1000)^2/4)*(2*9.81*(O1719/100-cota_s-fi_s/2/1000))^0.5*1000)))</f>
        <v>7798.732142791514</v>
      </c>
      <c r="R1719" s="19">
        <f t="shared" ca="1" si="220"/>
        <v>7854.1401305623067</v>
      </c>
      <c r="S1719" s="19">
        <f t="shared" ca="1" si="221"/>
        <v>10407.381621366116</v>
      </c>
    </row>
    <row r="1720" spans="13:19">
      <c r="M1720" s="81">
        <f t="shared" ca="1" si="218"/>
        <v>18276.266991670753</v>
      </c>
      <c r="N1720" s="19">
        <f t="shared" si="219"/>
        <v>312.42583105460716</v>
      </c>
      <c r="O1720" s="17">
        <f t="shared" si="217"/>
        <v>429.75</v>
      </c>
      <c r="P1720" s="19">
        <f ca="1">IF(ISERROR(IF(O1720&lt;fi_h/20,0,(OFFSET('Base de dados'!$A$5,IF(O1720&lt;20,1,IF(O1720&gt;1000,10,MATCH(O1720,Cargas,1))),Coluna_fih,1,1))*(1+0.13*0.25)*(PI()*(fi_h/1000)^2/4)*SQRT(2*9.81*(O1720/100-fi_h/2/1000))*1000)),"",IF(O1720&lt;fi_h/20,0,(OFFSET('Base de dados'!$A$5,IF(O1720&lt;20,1,IF(O1720&gt;1000,10,MATCH(O1720,Cargas,1))),Coluna_fih,1,1))*(PI()*(fi_h/1000)^2/4)*SQRT(2*9.81*(O1720/100-fi_h/2/1000))*1000))</f>
        <v>55.424325659491224</v>
      </c>
      <c r="Q1720" s="19">
        <f ca="1">IF(O1720="","",IF(Tipo_Vertedor="Retangular",IF(O1720&lt;=cota_s*100,0,IF(Tipo_Vertedor="Retangular",Cd_sr*Lef_sr*((O1720/100-cota_s)^(3/2))*1000)),IF(O1720&lt;=cota_s*100+fi_s/20,0,(OFFSET('Base de dados'!$A$4,IF(O1720&lt;20,1,IF(O1720&gt;1000,10,MATCH(O1720,Cargas,1))),Coluna_fis,1,1))*(PI()*(fi_s/1000)^2/4)*(2*9.81*(O1720/100-cota_s-fi_s/2/1000))^0.5*1000)))</f>
        <v>7806.6482975243571</v>
      </c>
      <c r="R1720" s="19">
        <f t="shared" ca="1" si="220"/>
        <v>7862.072623183848</v>
      </c>
      <c r="S1720" s="19">
        <f t="shared" ca="1" si="221"/>
        <v>10414.194368486906</v>
      </c>
    </row>
    <row r="1721" spans="13:19">
      <c r="M1721" s="81">
        <f t="shared" ca="1" si="218"/>
        <v>18291.015396967614</v>
      </c>
      <c r="N1721" s="19">
        <f t="shared" si="219"/>
        <v>312.63022828018381</v>
      </c>
      <c r="O1721" s="17">
        <f t="shared" si="217"/>
        <v>430</v>
      </c>
      <c r="P1721" s="19">
        <f ca="1">IF(ISERROR(IF(O1721&lt;fi_h/20,0,(OFFSET('Base de dados'!$A$5,IF(O1721&lt;20,1,IF(O1721&gt;1000,10,MATCH(O1721,Cargas,1))),Coluna_fih,1,1))*(1+0.13*0.25)*(PI()*(fi_h/1000)^2/4)*SQRT(2*9.81*(O1721/100-fi_h/2/1000))*1000)),"",IF(O1721&lt;fi_h/20,0,(OFFSET('Base de dados'!$A$5,IF(O1721&lt;20,1,IF(O1721&gt;1000,10,MATCH(O1721,Cargas,1))),Coluna_fih,1,1))*(PI()*(fi_h/1000)^2/4)*SQRT(2*9.81*(O1721/100-fi_h/2/1000))*1000))</f>
        <v>55.440658733553839</v>
      </c>
      <c r="Q1721" s="19">
        <f ca="1">IF(O1721="","",IF(Tipo_Vertedor="Retangular",IF(O1721&lt;=cota_s*100,0,IF(Tipo_Vertedor="Retangular",Cd_sr*Lef_sr*((O1721/100-cota_s)^(3/2))*1000)),IF(O1721&lt;=cota_s*100+fi_s/20,0,(OFFSET('Base de dados'!$A$4,IF(O1721&lt;20,1,IF(O1721&gt;1000,10,MATCH(O1721,Cargas,1))),Coluna_fis,1,1))*(PI()*(fi_s/1000)^2/4)*(2*9.81*(O1721/100-cota_s-fi_s/2/1000))^0.5*1000)))</f>
        <v>7814.5671288945996</v>
      </c>
      <c r="R1721" s="19">
        <f t="shared" ca="1" si="220"/>
        <v>7870.007787628153</v>
      </c>
      <c r="S1721" s="19">
        <f t="shared" ca="1" si="221"/>
        <v>10421.00760933946</v>
      </c>
    </row>
    <row r="1722" spans="13:19">
      <c r="M1722" s="81">
        <f t="shared" ca="1" si="218"/>
        <v>18305.766966667547</v>
      </c>
      <c r="N1722" s="19">
        <f t="shared" si="219"/>
        <v>312.83464031017462</v>
      </c>
      <c r="O1722" s="17">
        <f t="shared" si="217"/>
        <v>430.25</v>
      </c>
      <c r="P1722" s="19">
        <f ca="1">IF(ISERROR(IF(O1722&lt;fi_h/20,0,(OFFSET('Base de dados'!$A$5,IF(O1722&lt;20,1,IF(O1722&gt;1000,10,MATCH(O1722,Cargas,1))),Coluna_fih,1,1))*(1+0.13*0.25)*(PI()*(fi_h/1000)^2/4)*SQRT(2*9.81*(O1722/100-fi_h/2/1000))*1000)),"",IF(O1722&lt;fi_h/20,0,(OFFSET('Base de dados'!$A$5,IF(O1722&lt;20,1,IF(O1722&gt;1000,10,MATCH(O1722,Cargas,1))),Coluna_fih,1,1))*(PI()*(fi_h/1000)^2/4)*SQRT(2*9.81*(O1722/100-fi_h/2/1000))*1000))</f>
        <v>55.456986997234381</v>
      </c>
      <c r="Q1722" s="19">
        <f ca="1">IF(O1722="","",IF(Tipo_Vertedor="Retangular",IF(O1722&lt;=cota_s*100,0,IF(Tipo_Vertedor="Retangular",Cd_sr*Lef_sr*((O1722/100-cota_s)^(3/2))*1000)),IF(O1722&lt;=cota_s*100+fi_s/20,0,(OFFSET('Base de dados'!$A$4,IF(O1722&lt;20,1,IF(O1722&gt;1000,10,MATCH(O1722,Cargas,1))),Coluna_fis,1,1))*(PI()*(fi_s/1000)^2/4)*(2*9.81*(O1722/100-cota_s-fi_s/2/1000))^0.5*1000)))</f>
        <v>7822.4886359978236</v>
      </c>
      <c r="R1722" s="19">
        <f t="shared" ca="1" si="220"/>
        <v>7877.9456229950583</v>
      </c>
      <c r="S1722" s="19">
        <f t="shared" ca="1" si="221"/>
        <v>10427.821343672487</v>
      </c>
    </row>
    <row r="1723" spans="13:19">
      <c r="M1723" s="81">
        <f t="shared" ca="1" si="218"/>
        <v>18320.521699620243</v>
      </c>
      <c r="N1723" s="19">
        <f t="shared" si="219"/>
        <v>313.03906713704845</v>
      </c>
      <c r="O1723" s="17">
        <f t="shared" si="217"/>
        <v>430.5</v>
      </c>
      <c r="P1723" s="19">
        <f ca="1">IF(ISERROR(IF(O1723&lt;fi_h/20,0,(OFFSET('Base de dados'!$A$5,IF(O1723&lt;20,1,IF(O1723&gt;1000,10,MATCH(O1723,Cargas,1))),Coluna_fih,1,1))*(1+0.13*0.25)*(PI()*(fi_h/1000)^2/4)*SQRT(2*9.81*(O1723/100-fi_h/2/1000))*1000)),"",IF(O1723&lt;fi_h/20,0,(OFFSET('Base de dados'!$A$5,IF(O1723&lt;20,1,IF(O1723&gt;1000,10,MATCH(O1723,Cargas,1))),Coluna_fih,1,1))*(PI()*(fi_h/1000)^2/4)*SQRT(2*9.81*(O1723/100-fi_h/2/1000))*1000))</f>
        <v>55.47331045478056</v>
      </c>
      <c r="Q1723" s="19">
        <f ca="1">IF(O1723="","",IF(Tipo_Vertedor="Retangular",IF(O1723&lt;=cota_s*100,0,IF(Tipo_Vertedor="Retangular",Cd_sr*Lef_sr*((O1723/100-cota_s)^(3/2))*1000)),IF(O1723&lt;=cota_s*100+fi_s/20,0,(OFFSET('Base de dados'!$A$4,IF(O1723&lt;20,1,IF(O1723&gt;1000,10,MATCH(O1723,Cargas,1))),Coluna_fis,1,1))*(PI()*(fi_s/1000)^2/4)*(2*9.81*(O1723/100-cota_s-fi_s/2/1000))^0.5*1000)))</f>
        <v>7830.4128179305126</v>
      </c>
      <c r="R1723" s="19">
        <f t="shared" ca="1" si="220"/>
        <v>7885.886128385293</v>
      </c>
      <c r="S1723" s="19">
        <f t="shared" ca="1" si="221"/>
        <v>10434.635571234949</v>
      </c>
    </row>
    <row r="1724" spans="13:19">
      <c r="M1724" s="81">
        <f t="shared" ca="1" si="218"/>
        <v>18335.27959467662</v>
      </c>
      <c r="N1724" s="19">
        <f t="shared" si="219"/>
        <v>313.24350875328287</v>
      </c>
      <c r="O1724" s="17">
        <f t="shared" si="217"/>
        <v>430.75</v>
      </c>
      <c r="P1724" s="19">
        <f ca="1">IF(ISERROR(IF(O1724&lt;fi_h/20,0,(OFFSET('Base de dados'!$A$5,IF(O1724&lt;20,1,IF(O1724&gt;1000,10,MATCH(O1724,Cargas,1))),Coluna_fih,1,1))*(1+0.13*0.25)*(PI()*(fi_h/1000)^2/4)*SQRT(2*9.81*(O1724/100-fi_h/2/1000))*1000)),"",IF(O1724&lt;fi_h/20,0,(OFFSET('Base de dados'!$A$5,IF(O1724&lt;20,1,IF(O1724&gt;1000,10,MATCH(O1724,Cargas,1))),Coluna_fih,1,1))*(PI()*(fi_h/1000)^2/4)*SQRT(2*9.81*(O1724/100-fi_h/2/1000))*1000))</f>
        <v>55.489629110433853</v>
      </c>
      <c r="Q1724" s="19">
        <f ca="1">IF(O1724="","",IF(Tipo_Vertedor="Retangular",IF(O1724&lt;=cota_s*100,0,IF(Tipo_Vertedor="Retangular",Cd_sr*Lef_sr*((O1724/100-cota_s)^(3/2))*1000)),IF(O1724&lt;=cota_s*100+fi_s/20,0,(OFFSET('Base de dados'!$A$4,IF(O1724&lt;20,1,IF(O1724&gt;1000,10,MATCH(O1724,Cargas,1))),Coluna_fis,1,1))*(PI()*(fi_s/1000)^2/4)*(2*9.81*(O1724/100-cota_s-fi_s/2/1000))^0.5*1000)))</f>
        <v>7838.3396737900875</v>
      </c>
      <c r="R1724" s="19">
        <f t="shared" ca="1" si="220"/>
        <v>7893.8293029005217</v>
      </c>
      <c r="S1724" s="19">
        <f t="shared" ca="1" si="221"/>
        <v>10441.450291776096</v>
      </c>
    </row>
    <row r="1725" spans="13:19">
      <c r="M1725" s="81">
        <f t="shared" ca="1" si="218"/>
        <v>18350.040650688723</v>
      </c>
      <c r="N1725" s="19">
        <f t="shared" si="219"/>
        <v>313.44796515136306</v>
      </c>
      <c r="O1725" s="17">
        <f t="shared" si="217"/>
        <v>431</v>
      </c>
      <c r="P1725" s="19">
        <f ca="1">IF(ISERROR(IF(O1725&lt;fi_h/20,0,(OFFSET('Base de dados'!$A$5,IF(O1725&lt;20,1,IF(O1725&gt;1000,10,MATCH(O1725,Cargas,1))),Coluna_fih,1,1))*(1+0.13*0.25)*(PI()*(fi_h/1000)^2/4)*SQRT(2*9.81*(O1725/100-fi_h/2/1000))*1000)),"",IF(O1725&lt;fi_h/20,0,(OFFSET('Base de dados'!$A$5,IF(O1725&lt;20,1,IF(O1725&gt;1000,10,MATCH(O1725,Cargas,1))),Coluna_fih,1,1))*(PI()*(fi_h/1000)^2/4)*SQRT(2*9.81*(O1725/100-fi_h/2/1000))*1000))</f>
        <v>55.505942968429537</v>
      </c>
      <c r="Q1725" s="19">
        <f ca="1">IF(O1725="","",IF(Tipo_Vertedor="Retangular",IF(O1725&lt;=cota_s*100,0,IF(Tipo_Vertedor="Retangular",Cd_sr*Lef_sr*((O1725/100-cota_s)^(3/2))*1000)),IF(O1725&lt;=cota_s*100+fi_s/20,0,(OFFSET('Base de dados'!$A$4,IF(O1725&lt;20,1,IF(O1725&gt;1000,10,MATCH(O1725,Cargas,1))),Coluna_fis,1,1))*(PI()*(fi_s/1000)^2/4)*(2*9.81*(O1725/100-cota_s-fi_s/2/1000))^0.5*1000)))</f>
        <v>7846.2692026748591</v>
      </c>
      <c r="R1725" s="19">
        <f t="shared" ca="1" si="220"/>
        <v>7901.7751456432889</v>
      </c>
      <c r="S1725" s="19">
        <f t="shared" ca="1" si="221"/>
        <v>10448.265505045436</v>
      </c>
    </row>
    <row r="1726" spans="13:19">
      <c r="M1726" s="81">
        <f t="shared" ca="1" si="218"/>
        <v>18364.804866509836</v>
      </c>
      <c r="N1726" s="19">
        <f t="shared" si="219"/>
        <v>313.65243632378309</v>
      </c>
      <c r="O1726" s="17">
        <f t="shared" si="217"/>
        <v>431.25</v>
      </c>
      <c r="P1726" s="19">
        <f ca="1">IF(ISERROR(IF(O1726&lt;fi_h/20,0,(OFFSET('Base de dados'!$A$5,IF(O1726&lt;20,1,IF(O1726&gt;1000,10,MATCH(O1726,Cargas,1))),Coluna_fih,1,1))*(1+0.13*0.25)*(PI()*(fi_h/1000)^2/4)*SQRT(2*9.81*(O1726/100-fi_h/2/1000))*1000)),"",IF(O1726&lt;fi_h/20,0,(OFFSET('Base de dados'!$A$5,IF(O1726&lt;20,1,IF(O1726&gt;1000,10,MATCH(O1726,Cargas,1))),Coluna_fih,1,1))*(PI()*(fi_h/1000)^2/4)*SQRT(2*9.81*(O1726/100-fi_h/2/1000))*1000))</f>
        <v>55.52225203299659</v>
      </c>
      <c r="Q1726" s="19">
        <f ca="1">IF(O1726="","",IF(Tipo_Vertedor="Retangular",IF(O1726&lt;=cota_s*100,0,IF(Tipo_Vertedor="Retangular",Cd_sr*Lef_sr*((O1726/100-cota_s)^(3/2))*1000)),IF(O1726&lt;=cota_s*100+fi_s/20,0,(OFFSET('Base de dados'!$A$4,IF(O1726&lt;20,1,IF(O1726&gt;1000,10,MATCH(O1726,Cargas,1))),Coluna_fis,1,1))*(PI()*(fi_s/1000)^2/4)*(2*9.81*(O1726/100-cota_s-fi_s/2/1000))^0.5*1000)))</f>
        <v>7854.2014036840701</v>
      </c>
      <c r="R1726" s="19">
        <f t="shared" ca="1" si="220"/>
        <v>7909.7236557170663</v>
      </c>
      <c r="S1726" s="19">
        <f t="shared" ca="1" si="221"/>
        <v>10455.081210792769</v>
      </c>
    </row>
    <row r="1727" spans="13:19">
      <c r="M1727" s="81">
        <f t="shared" ca="1" si="218"/>
        <v>18379.572240994374</v>
      </c>
      <c r="N1727" s="19">
        <f t="shared" si="219"/>
        <v>313.85692226304468</v>
      </c>
      <c r="O1727" s="17">
        <f t="shared" si="217"/>
        <v>431.5</v>
      </c>
      <c r="P1727" s="19">
        <f ca="1">IF(ISERROR(IF(O1727&lt;fi_h/20,0,(OFFSET('Base de dados'!$A$5,IF(O1727&lt;20,1,IF(O1727&gt;1000,10,MATCH(O1727,Cargas,1))),Coluna_fih,1,1))*(1+0.13*0.25)*(PI()*(fi_h/1000)^2/4)*SQRT(2*9.81*(O1727/100-fi_h/2/1000))*1000)),"",IF(O1727&lt;fi_h/20,0,(OFFSET('Base de dados'!$A$5,IF(O1727&lt;20,1,IF(O1727&gt;1000,10,MATCH(O1727,Cargas,1))),Coluna_fih,1,1))*(PI()*(fi_h/1000)^2/4)*SQRT(2*9.81*(O1727/100-fi_h/2/1000))*1000))</f>
        <v>55.538556308357869</v>
      </c>
      <c r="Q1727" s="19">
        <f ca="1">IF(O1727="","",IF(Tipo_Vertedor="Retangular",IF(O1727&lt;=cota_s*100,0,IF(Tipo_Vertedor="Retangular",Cd_sr*Lef_sr*((O1727/100-cota_s)^(3/2))*1000)),IF(O1727&lt;=cota_s*100+fi_s/20,0,(OFFSET('Base de dados'!$A$4,IF(O1727&lt;20,1,IF(O1727&gt;1000,10,MATCH(O1727,Cargas,1))),Coluna_fis,1,1))*(PI()*(fi_s/1000)^2/4)*(2*9.81*(O1727/100-cota_s-fi_s/2/1000))^0.5*1000)))</f>
        <v>7862.1362759178583</v>
      </c>
      <c r="R1727" s="19">
        <f t="shared" ca="1" si="220"/>
        <v>7917.6748322262165</v>
      </c>
      <c r="S1727" s="19">
        <f t="shared" ca="1" si="221"/>
        <v>10461.897408768156</v>
      </c>
    </row>
    <row r="1728" spans="13:19">
      <c r="M1728" s="81">
        <f t="shared" ca="1" si="218"/>
        <v>18394.342772997927</v>
      </c>
      <c r="N1728" s="19">
        <f t="shared" si="219"/>
        <v>314.06142296165774</v>
      </c>
      <c r="O1728" s="17">
        <f t="shared" si="217"/>
        <v>431.75</v>
      </c>
      <c r="P1728" s="19">
        <f ca="1">IF(ISERROR(IF(O1728&lt;fi_h/20,0,(OFFSET('Base de dados'!$A$5,IF(O1728&lt;20,1,IF(O1728&gt;1000,10,MATCH(O1728,Cargas,1))),Coluna_fih,1,1))*(1+0.13*0.25)*(PI()*(fi_h/1000)^2/4)*SQRT(2*9.81*(O1728/100-fi_h/2/1000))*1000)),"",IF(O1728&lt;fi_h/20,0,(OFFSET('Base de dados'!$A$5,IF(O1728&lt;20,1,IF(O1728&gt;1000,10,MATCH(O1728,Cargas,1))),Coluna_fih,1,1))*(PI()*(fi_h/1000)^2/4)*SQRT(2*9.81*(O1728/100-fi_h/2/1000))*1000))</f>
        <v>55.554855798729967</v>
      </c>
      <c r="Q1728" s="19">
        <f ca="1">IF(O1728="","",IF(Tipo_Vertedor="Retangular",IF(O1728&lt;=cota_s*100,0,IF(Tipo_Vertedor="Retangular",Cd_sr*Lef_sr*((O1728/100-cota_s)^(3/2))*1000)),IF(O1728&lt;=cota_s*100+fi_s/20,0,(OFFSET('Base de dados'!$A$4,IF(O1728&lt;20,1,IF(O1728&gt;1000,10,MATCH(O1728,Cargas,1))),Coluna_fis,1,1))*(PI()*(fi_s/1000)^2/4)*(2*9.81*(O1728/100-cota_s-fi_s/2/1000))^0.5*1000)))</f>
        <v>7870.0738184772727</v>
      </c>
      <c r="R1728" s="19">
        <f t="shared" ca="1" si="220"/>
        <v>7925.628674276003</v>
      </c>
      <c r="S1728" s="19">
        <f t="shared" ca="1" si="221"/>
        <v>10468.714098721925</v>
      </c>
    </row>
    <row r="1729" spans="13:19">
      <c r="M1729" s="81">
        <f t="shared" ca="1" si="218"/>
        <v>18409.116461377282</v>
      </c>
      <c r="N1729" s="19">
        <f t="shared" si="219"/>
        <v>314.26593841214043</v>
      </c>
      <c r="O1729" s="17">
        <f t="shared" si="217"/>
        <v>432</v>
      </c>
      <c r="P1729" s="19">
        <f ca="1">IF(ISERROR(IF(O1729&lt;fi_h/20,0,(OFFSET('Base de dados'!$A$5,IF(O1729&lt;20,1,IF(O1729&gt;1000,10,MATCH(O1729,Cargas,1))),Coluna_fih,1,1))*(1+0.13*0.25)*(PI()*(fi_h/1000)^2/4)*SQRT(2*9.81*(O1729/100-fi_h/2/1000))*1000)),"",IF(O1729&lt;fi_h/20,0,(OFFSET('Base de dados'!$A$5,IF(O1729&lt;20,1,IF(O1729&gt;1000,10,MATCH(O1729,Cargas,1))),Coluna_fih,1,1))*(PI()*(fi_h/1000)^2/4)*SQRT(2*9.81*(O1729/100-fi_h/2/1000))*1000))</f>
        <v>55.571150508323321</v>
      </c>
      <c r="Q1729" s="19">
        <f ca="1">IF(O1729="","",IF(Tipo_Vertedor="Retangular",IF(O1729&lt;=cota_s*100,0,IF(Tipo_Vertedor="Retangular",Cd_sr*Lef_sr*((O1729/100-cota_s)^(3/2))*1000)),IF(O1729&lt;=cota_s*100+fi_s/20,0,(OFFSET('Base de dados'!$A$4,IF(O1729&lt;20,1,IF(O1729&gt;1000,10,MATCH(O1729,Cargas,1))),Coluna_fis,1,1))*(PI()*(fi_s/1000)^2/4)*(2*9.81*(O1729/100-cota_s-fi_s/2/1000))^0.5*1000)))</f>
        <v>7878.0140304642773</v>
      </c>
      <c r="R1729" s="19">
        <f t="shared" ca="1" si="220"/>
        <v>7933.5851809726009</v>
      </c>
      <c r="S1729" s="19">
        <f t="shared" ca="1" si="221"/>
        <v>10475.531280404681</v>
      </c>
    </row>
    <row r="1730" spans="13:19">
      <c r="M1730" s="81">
        <f t="shared" ca="1" si="218"/>
        <v>18423.893304990379</v>
      </c>
      <c r="N1730" s="19">
        <f t="shared" si="219"/>
        <v>314.47046860701909</v>
      </c>
      <c r="O1730" s="17">
        <f t="shared" si="217"/>
        <v>432.25</v>
      </c>
      <c r="P1730" s="19">
        <f ca="1">IF(ISERROR(IF(O1730&lt;fi_h/20,0,(OFFSET('Base de dados'!$A$5,IF(O1730&lt;20,1,IF(O1730&gt;1000,10,MATCH(O1730,Cargas,1))),Coluna_fih,1,1))*(1+0.13*0.25)*(PI()*(fi_h/1000)^2/4)*SQRT(2*9.81*(O1730/100-fi_h/2/1000))*1000)),"",IF(O1730&lt;fi_h/20,0,(OFFSET('Base de dados'!$A$5,IF(O1730&lt;20,1,IF(O1730&gt;1000,10,MATCH(O1730,Cargas,1))),Coluna_fih,1,1))*(PI()*(fi_h/1000)^2/4)*SQRT(2*9.81*(O1730/100-fi_h/2/1000))*1000))</f>
        <v>55.587440441342196</v>
      </c>
      <c r="Q1730" s="19">
        <f ca="1">IF(O1730="","",IF(Tipo_Vertedor="Retangular",IF(O1730&lt;=cota_s*100,0,IF(Tipo_Vertedor="Retangular",Cd_sr*Lef_sr*((O1730/100-cota_s)^(3/2))*1000)),IF(O1730&lt;=cota_s*100+fi_s/20,0,(OFFSET('Base de dados'!$A$4,IF(O1730&lt;20,1,IF(O1730&gt;1000,10,MATCH(O1730,Cargas,1))),Coluna_fis,1,1))*(PI()*(fi_s/1000)^2/4)*(2*9.81*(O1730/100-cota_s-fi_s/2/1000))^0.5*1000)))</f>
        <v>7885.9569109817339</v>
      </c>
      <c r="R1730" s="19">
        <f t="shared" ca="1" si="220"/>
        <v>7941.5443514230765</v>
      </c>
      <c r="S1730" s="19">
        <f t="shared" ca="1" si="221"/>
        <v>10482.348953567303</v>
      </c>
    </row>
    <row r="1731" spans="13:19">
      <c r="M1731" s="81">
        <f t="shared" ca="1" si="218"/>
        <v>18438.67330269633</v>
      </c>
      <c r="N1731" s="19">
        <f t="shared" si="219"/>
        <v>314.67501353882807</v>
      </c>
      <c r="O1731" s="17">
        <f t="shared" si="217"/>
        <v>432.5</v>
      </c>
      <c r="P1731" s="19">
        <f ca="1">IF(ISERROR(IF(O1731&lt;fi_h/20,0,(OFFSET('Base de dados'!$A$5,IF(O1731&lt;20,1,IF(O1731&gt;1000,10,MATCH(O1731,Cargas,1))),Coluna_fih,1,1))*(1+0.13*0.25)*(PI()*(fi_h/1000)^2/4)*SQRT(2*9.81*(O1731/100-fi_h/2/1000))*1000)),"",IF(O1731&lt;fi_h/20,0,(OFFSET('Base de dados'!$A$5,IF(O1731&lt;20,1,IF(O1731&gt;1000,10,MATCH(O1731,Cargas,1))),Coluna_fih,1,1))*(PI()*(fi_h/1000)^2/4)*SQRT(2*9.81*(O1731/100-fi_h/2/1000))*1000))</f>
        <v>55.603725601984706</v>
      </c>
      <c r="Q1731" s="19">
        <f ca="1">IF(O1731="","",IF(Tipo_Vertedor="Retangular",IF(O1731&lt;=cota_s*100,0,IF(Tipo_Vertedor="Retangular",Cd_sr*Lef_sr*((O1731/100-cota_s)^(3/2))*1000)),IF(O1731&lt;=cota_s*100+fi_s/20,0,(OFFSET('Base de dados'!$A$4,IF(O1731&lt;20,1,IF(O1731&gt;1000,10,MATCH(O1731,Cargas,1))),Coluna_fis,1,1))*(PI()*(fi_s/1000)^2/4)*(2*9.81*(O1731/100-cota_s-fi_s/2/1000))^0.5*1000)))</f>
        <v>7893.9024591334119</v>
      </c>
      <c r="R1731" s="19">
        <f t="shared" ca="1" si="220"/>
        <v>7949.5061847353963</v>
      </c>
      <c r="S1731" s="19">
        <f t="shared" ca="1" si="221"/>
        <v>10489.167117960935</v>
      </c>
    </row>
    <row r="1732" spans="13:19">
      <c r="M1732" s="81">
        <f t="shared" ca="1" si="218"/>
        <v>18453.456453355408</v>
      </c>
      <c r="N1732" s="19">
        <f t="shared" si="219"/>
        <v>314.87957320010969</v>
      </c>
      <c r="O1732" s="17">
        <f t="shared" si="217"/>
        <v>432.75</v>
      </c>
      <c r="P1732" s="19">
        <f ca="1">IF(ISERROR(IF(O1732&lt;fi_h/20,0,(OFFSET('Base de dados'!$A$5,IF(O1732&lt;20,1,IF(O1732&gt;1000,10,MATCH(O1732,Cargas,1))),Coluna_fih,1,1))*(1+0.13*0.25)*(PI()*(fi_h/1000)^2/4)*SQRT(2*9.81*(O1732/100-fi_h/2/1000))*1000)),"",IF(O1732&lt;fi_h/20,0,(OFFSET('Base de dados'!$A$5,IF(O1732&lt;20,1,IF(O1732&gt;1000,10,MATCH(O1732,Cargas,1))),Coluna_fih,1,1))*(PI()*(fi_h/1000)^2/4)*SQRT(2*9.81*(O1732/100-fi_h/2/1000))*1000))</f>
        <v>55.620005994442799</v>
      </c>
      <c r="Q1732" s="19">
        <f ca="1">IF(O1732="","",IF(Tipo_Vertedor="Retangular",IF(O1732&lt;=cota_s*100,0,IF(Tipo_Vertedor="Retangular",Cd_sr*Lef_sr*((O1732/100-cota_s)^(3/2))*1000)),IF(O1732&lt;=cota_s*100+fi_s/20,0,(OFFSET('Base de dados'!$A$4,IF(O1732&lt;20,1,IF(O1732&gt;1000,10,MATCH(O1732,Cargas,1))),Coluna_fis,1,1))*(PI()*(fi_s/1000)^2/4)*(2*9.81*(O1732/100-cota_s-fi_s/2/1000))^0.5*1000)))</f>
        <v>7901.8506740239764</v>
      </c>
      <c r="R1732" s="19">
        <f t="shared" ca="1" si="220"/>
        <v>7957.4706800184194</v>
      </c>
      <c r="S1732" s="19">
        <f t="shared" ca="1" si="221"/>
        <v>10495.98577333699</v>
      </c>
    </row>
    <row r="1733" spans="13:19">
      <c r="M1733" s="81">
        <f t="shared" ca="1" si="218"/>
        <v>18468.242755829066</v>
      </c>
      <c r="N1733" s="19">
        <f t="shared" si="219"/>
        <v>315.08414758341468</v>
      </c>
      <c r="O1733" s="17">
        <f t="shared" si="217"/>
        <v>433</v>
      </c>
      <c r="P1733" s="19">
        <f ca="1">IF(ISERROR(IF(O1733&lt;fi_h/20,0,(OFFSET('Base de dados'!$A$5,IF(O1733&lt;20,1,IF(O1733&gt;1000,10,MATCH(O1733,Cargas,1))),Coluna_fih,1,1))*(1+0.13*0.25)*(PI()*(fi_h/1000)^2/4)*SQRT(2*9.81*(O1733/100-fi_h/2/1000))*1000)),"",IF(O1733&lt;fi_h/20,0,(OFFSET('Base de dados'!$A$5,IF(O1733&lt;20,1,IF(O1733&gt;1000,10,MATCH(O1733,Cargas,1))),Coluna_fih,1,1))*(PI()*(fi_h/1000)^2/4)*SQRT(2*9.81*(O1733/100-fi_h/2/1000))*1000))</f>
        <v>55.636281622902288</v>
      </c>
      <c r="Q1733" s="19">
        <f ca="1">IF(O1733="","",IF(Tipo_Vertedor="Retangular",IF(O1733&lt;=cota_s*100,0,IF(Tipo_Vertedor="Retangular",Cd_sr*Lef_sr*((O1733/100-cota_s)^(3/2))*1000)),IF(O1733&lt;=cota_s*100+fi_s/20,0,(OFFSET('Base de dados'!$A$4,IF(O1733&lt;20,1,IF(O1733&gt;1000,10,MATCH(O1733,Cargas,1))),Coluna_fis,1,1))*(PI()*(fi_s/1000)^2/4)*(2*9.81*(O1733/100-cota_s-fi_s/2/1000))^0.5*1000)))</f>
        <v>7909.8015547590066</v>
      </c>
      <c r="R1733" s="19">
        <f t="shared" ca="1" si="220"/>
        <v>7965.4378363819087</v>
      </c>
      <c r="S1733" s="19">
        <f t="shared" ca="1" si="221"/>
        <v>10502.804919447157</v>
      </c>
    </row>
    <row r="1734" spans="13:19">
      <c r="M1734" s="81">
        <f t="shared" ca="1" si="218"/>
        <v>18483.032208979894</v>
      </c>
      <c r="N1734" s="19">
        <f t="shared" si="219"/>
        <v>315.28873668130143</v>
      </c>
      <c r="O1734" s="17">
        <f t="shared" si="217"/>
        <v>433.25</v>
      </c>
      <c r="P1734" s="19">
        <f ca="1">IF(ISERROR(IF(O1734&lt;fi_h/20,0,(OFFSET('Base de dados'!$A$5,IF(O1734&lt;20,1,IF(O1734&gt;1000,10,MATCH(O1734,Cargas,1))),Coluna_fih,1,1))*(1+0.13*0.25)*(PI()*(fi_h/1000)^2/4)*SQRT(2*9.81*(O1734/100-fi_h/2/1000))*1000)),"",IF(O1734&lt;fi_h/20,0,(OFFSET('Base de dados'!$A$5,IF(O1734&lt;20,1,IF(O1734&gt;1000,10,MATCH(O1734,Cargas,1))),Coluna_fih,1,1))*(PI()*(fi_h/1000)^2/4)*SQRT(2*9.81*(O1734/100-fi_h/2/1000))*1000))</f>
        <v>55.652552491542906</v>
      </c>
      <c r="Q1734" s="19">
        <f ca="1">IF(O1734="","",IF(Tipo_Vertedor="Retangular",IF(O1734&lt;=cota_s*100,0,IF(Tipo_Vertedor="Retangular",Cd_sr*Lef_sr*((O1734/100-cota_s)^(3/2))*1000)),IF(O1734&lt;=cota_s*100+fi_s/20,0,(OFFSET('Base de dados'!$A$4,IF(O1734&lt;20,1,IF(O1734&gt;1000,10,MATCH(O1734,Cargas,1))),Coluna_fis,1,1))*(PI()*(fi_s/1000)^2/4)*(2*9.81*(O1734/100-cota_s-fi_s/2/1000))^0.5*1000)))</f>
        <v>7917.755100444967</v>
      </c>
      <c r="R1734" s="19">
        <f t="shared" ca="1" si="220"/>
        <v>7973.4076529365102</v>
      </c>
      <c r="S1734" s="19">
        <f t="shared" ca="1" si="221"/>
        <v>10509.624556043382</v>
      </c>
    </row>
    <row r="1735" spans="13:19">
      <c r="M1735" s="81">
        <f t="shared" ca="1" si="218"/>
        <v>18497.824811671664</v>
      </c>
      <c r="N1735" s="19">
        <f t="shared" si="219"/>
        <v>315.49334048633688</v>
      </c>
      <c r="O1735" s="17">
        <f t="shared" si="217"/>
        <v>433.5</v>
      </c>
      <c r="P1735" s="19">
        <f ca="1">IF(ISERROR(IF(O1735&lt;fi_h/20,0,(OFFSET('Base de dados'!$A$5,IF(O1735&lt;20,1,IF(O1735&gt;1000,10,MATCH(O1735,Cargas,1))),Coluna_fih,1,1))*(1+0.13*0.25)*(PI()*(fi_h/1000)^2/4)*SQRT(2*9.81*(O1735/100-fi_h/2/1000))*1000)),"",IF(O1735&lt;fi_h/20,0,(OFFSET('Base de dados'!$A$5,IF(O1735&lt;20,1,IF(O1735&gt;1000,10,MATCH(O1735,Cargas,1))),Coluna_fih,1,1))*(PI()*(fi_h/1000)^2/4)*SQRT(2*9.81*(O1735/100-fi_h/2/1000))*1000))</f>
        <v>55.668818604538231</v>
      </c>
      <c r="Q1735" s="19">
        <f ca="1">IF(O1735="","",IF(Tipo_Vertedor="Retangular",IF(O1735&lt;=cota_s*100,0,IF(Tipo_Vertedor="Retangular",Cd_sr*Lef_sr*((O1735/100-cota_s)^(3/2))*1000)),IF(O1735&lt;=cota_s*100+fi_s/20,0,(OFFSET('Base de dados'!$A$4,IF(O1735&lt;20,1,IF(O1735&gt;1000,10,MATCH(O1735,Cargas,1))),Coluna_fis,1,1))*(PI()*(fi_s/1000)^2/4)*(2*9.81*(O1735/100-cota_s-fi_s/2/1000))^0.5*1000)))</f>
        <v>7925.7113101892319</v>
      </c>
      <c r="R1735" s="19">
        <f t="shared" ca="1" si="220"/>
        <v>7981.3801287937704</v>
      </c>
      <c r="S1735" s="19">
        <f t="shared" ca="1" si="221"/>
        <v>10516.444682877895</v>
      </c>
    </row>
    <row r="1736" spans="13:19">
      <c r="M1736" s="81">
        <f t="shared" ca="1" si="218"/>
        <v>18512.620562769298</v>
      </c>
      <c r="N1736" s="19">
        <f t="shared" si="219"/>
        <v>315.69795899109545</v>
      </c>
      <c r="O1736" s="17">
        <f t="shared" si="217"/>
        <v>433.75</v>
      </c>
      <c r="P1736" s="19">
        <f ca="1">IF(ISERROR(IF(O1736&lt;fi_h/20,0,(OFFSET('Base de dados'!$A$5,IF(O1736&lt;20,1,IF(O1736&gt;1000,10,MATCH(O1736,Cargas,1))),Coluna_fih,1,1))*(1+0.13*0.25)*(PI()*(fi_h/1000)^2/4)*SQRT(2*9.81*(O1736/100-fi_h/2/1000))*1000)),"",IF(O1736&lt;fi_h/20,0,(OFFSET('Base de dados'!$A$5,IF(O1736&lt;20,1,IF(O1736&gt;1000,10,MATCH(O1736,Cargas,1))),Coluna_fih,1,1))*(PI()*(fi_h/1000)^2/4)*SQRT(2*9.81*(O1736/100-fi_h/2/1000))*1000))</f>
        <v>55.685079966055767</v>
      </c>
      <c r="Q1736" s="19">
        <f ca="1">IF(O1736="","",IF(Tipo_Vertedor="Retangular",IF(O1736&lt;=cota_s*100,0,IF(Tipo_Vertedor="Retangular",Cd_sr*Lef_sr*((O1736/100-cota_s)^(3/2))*1000)),IF(O1736&lt;=cota_s*100+fi_s/20,0,(OFFSET('Base de dados'!$A$4,IF(O1736&lt;20,1,IF(O1736&gt;1000,10,MATCH(O1736,Cargas,1))),Coluna_fis,1,1))*(PI()*(fi_s/1000)^2/4)*(2*9.81*(O1736/100-cota_s-fi_s/2/1000))^0.5*1000)))</f>
        <v>7933.6701831000637</v>
      </c>
      <c r="R1736" s="19">
        <f t="shared" ca="1" si="220"/>
        <v>7989.3552630661197</v>
      </c>
      <c r="S1736" s="19">
        <f t="shared" ca="1" si="221"/>
        <v>10523.26529970318</v>
      </c>
    </row>
    <row r="1737" spans="13:19">
      <c r="M1737" s="81">
        <f t="shared" ca="1" si="218"/>
        <v>18527.419461138867</v>
      </c>
      <c r="N1737" s="19">
        <f t="shared" si="219"/>
        <v>315.90259218815993</v>
      </c>
      <c r="O1737" s="17">
        <f t="shared" si="217"/>
        <v>434</v>
      </c>
      <c r="P1737" s="19">
        <f ca="1">IF(ISERROR(IF(O1737&lt;fi_h/20,0,(OFFSET('Base de dados'!$A$5,IF(O1737&lt;20,1,IF(O1737&gt;1000,10,MATCH(O1737,Cargas,1))),Coluna_fih,1,1))*(1+0.13*0.25)*(PI()*(fi_h/1000)^2/4)*SQRT(2*9.81*(O1737/100-fi_h/2/1000))*1000)),"",IF(O1737&lt;fi_h/20,0,(OFFSET('Base de dados'!$A$5,IF(O1737&lt;20,1,IF(O1737&gt;1000,10,MATCH(O1737,Cargas,1))),Coluna_fih,1,1))*(PI()*(fi_h/1000)^2/4)*SQRT(2*9.81*(O1737/100-fi_h/2/1000))*1000))</f>
        <v>55.701336580256921</v>
      </c>
      <c r="Q1737" s="19">
        <f ca="1">IF(O1737="","",IF(Tipo_Vertedor="Retangular",IF(O1737&lt;=cota_s*100,0,IF(Tipo_Vertedor="Retangular",Cd_sr*Lef_sr*((O1737/100-cota_s)^(3/2))*1000)),IF(O1737&lt;=cota_s*100+fi_s/20,0,(OFFSET('Base de dados'!$A$4,IF(O1737&lt;20,1,IF(O1737&gt;1000,10,MATCH(O1737,Cargas,1))),Coluna_fis,1,1))*(PI()*(fi_s/1000)^2/4)*(2*9.81*(O1737/100-cota_s-fi_s/2/1000))^0.5*1000)))</f>
        <v>7941.6317182866132</v>
      </c>
      <c r="R1737" s="19">
        <f t="shared" ca="1" si="220"/>
        <v>7997.33305486687</v>
      </c>
      <c r="S1737" s="19">
        <f t="shared" ca="1" si="221"/>
        <v>10530.086406271997</v>
      </c>
    </row>
    <row r="1738" spans="13:19">
      <c r="M1738" s="81">
        <f t="shared" ca="1" si="218"/>
        <v>18542.22150564762</v>
      </c>
      <c r="N1738" s="19">
        <f t="shared" si="219"/>
        <v>316.10724007012118</v>
      </c>
      <c r="O1738" s="17">
        <f t="shared" si="217"/>
        <v>434.25</v>
      </c>
      <c r="P1738" s="19">
        <f ca="1">IF(ISERROR(IF(O1738&lt;fi_h/20,0,(OFFSET('Base de dados'!$A$5,IF(O1738&lt;20,1,IF(O1738&gt;1000,10,MATCH(O1738,Cargas,1))),Coluna_fih,1,1))*(1+0.13*0.25)*(PI()*(fi_h/1000)^2/4)*SQRT(2*9.81*(O1738/100-fi_h/2/1000))*1000)),"",IF(O1738&lt;fi_h/20,0,(OFFSET('Base de dados'!$A$5,IF(O1738&lt;20,1,IF(O1738&gt;1000,10,MATCH(O1738,Cargas,1))),Coluna_fih,1,1))*(PI()*(fi_h/1000)^2/4)*SQRT(2*9.81*(O1738/100-fi_h/2/1000))*1000))</f>
        <v>55.717588451297047</v>
      </c>
      <c r="Q1738" s="19">
        <f ca="1">IF(O1738="","",IF(Tipo_Vertedor="Retangular",IF(O1738&lt;=cota_s*100,0,IF(Tipo_Vertedor="Retangular",Cd_sr*Lef_sr*((O1738/100-cota_s)^(3/2))*1000)),IF(O1738&lt;=cota_s*100+fi_s/20,0,(OFFSET('Base de dados'!$A$4,IF(O1738&lt;20,1,IF(O1738&gt;1000,10,MATCH(O1738,Cargas,1))),Coluna_fis,1,1))*(PI()*(fi_s/1000)^2/4)*(2*9.81*(O1738/100-cota_s-fi_s/2/1000))^0.5*1000)))</f>
        <v>7949.5959148589491</v>
      </c>
      <c r="R1738" s="19">
        <f t="shared" ca="1" si="220"/>
        <v>8005.3135033102462</v>
      </c>
      <c r="S1738" s="19">
        <f t="shared" ca="1" si="221"/>
        <v>10536.908002337374</v>
      </c>
    </row>
    <row r="1739" spans="13:19">
      <c r="M1739" s="81">
        <f t="shared" ca="1" si="218"/>
        <v>18557.026695163921</v>
      </c>
      <c r="N1739" s="19">
        <f t="shared" si="219"/>
        <v>316.31190262957779</v>
      </c>
      <c r="O1739" s="17">
        <f t="shared" si="217"/>
        <v>434.5</v>
      </c>
      <c r="P1739" s="19">
        <f ca="1">IF(ISERROR(IF(O1739&lt;fi_h/20,0,(OFFSET('Base de dados'!$A$5,IF(O1739&lt;20,1,IF(O1739&gt;1000,10,MATCH(O1739,Cargas,1))),Coluna_fih,1,1))*(1+0.13*0.25)*(PI()*(fi_h/1000)^2/4)*SQRT(2*9.81*(O1739/100-fi_h/2/1000))*1000)),"",IF(O1739&lt;fi_h/20,0,(OFFSET('Base de dados'!$A$5,IF(O1739&lt;20,1,IF(O1739&gt;1000,10,MATCH(O1739,Cargas,1))),Coluna_fih,1,1))*(PI()*(fi_h/1000)^2/4)*SQRT(2*9.81*(O1739/100-fi_h/2/1000))*1000))</f>
        <v>55.733835583325444</v>
      </c>
      <c r="Q1739" s="19">
        <f ca="1">IF(O1739="","",IF(Tipo_Vertedor="Retangular",IF(O1739&lt;=cota_s*100,0,IF(Tipo_Vertedor="Retangular",Cd_sr*Lef_sr*((O1739/100-cota_s)^(3/2))*1000)),IF(O1739&lt;=cota_s*100+fi_s/20,0,(OFFSET('Base de dados'!$A$4,IF(O1739&lt;20,1,IF(O1739&gt;1000,10,MATCH(O1739,Cargas,1))),Coluna_fis,1,1))*(PI()*(fi_s/1000)^2/4)*(2*9.81*(O1739/100-cota_s-fi_s/2/1000))^0.5*1000)))</f>
        <v>7957.5627719280028</v>
      </c>
      <c r="R1739" s="19">
        <f t="shared" ca="1" si="220"/>
        <v>8013.2966075113281</v>
      </c>
      <c r="S1739" s="19">
        <f t="shared" ca="1" si="221"/>
        <v>10543.730087652593</v>
      </c>
    </row>
    <row r="1740" spans="13:19">
      <c r="M1740" s="81">
        <f t="shared" ca="1" si="218"/>
        <v>18571.835028557325</v>
      </c>
      <c r="N1740" s="19">
        <f t="shared" si="219"/>
        <v>316.51657985913658</v>
      </c>
      <c r="O1740" s="17">
        <f t="shared" si="217"/>
        <v>434.75</v>
      </c>
      <c r="P1740" s="19">
        <f ca="1">IF(ISERROR(IF(O1740&lt;fi_h/20,0,(OFFSET('Base de dados'!$A$5,IF(O1740&lt;20,1,IF(O1740&gt;1000,10,MATCH(O1740,Cargas,1))),Coluna_fih,1,1))*(1+0.13*0.25)*(PI()*(fi_h/1000)^2/4)*SQRT(2*9.81*(O1740/100-fi_h/2/1000))*1000)),"",IF(O1740&lt;fi_h/20,0,(OFFSET('Base de dados'!$A$5,IF(O1740&lt;20,1,IF(O1740&gt;1000,10,MATCH(O1740,Cargas,1))),Coluna_fih,1,1))*(PI()*(fi_h/1000)^2/4)*SQRT(2*9.81*(O1740/100-fi_h/2/1000))*1000))</f>
        <v>55.750077980485344</v>
      </c>
      <c r="Q1740" s="19">
        <f ca="1">IF(O1740="","",IF(Tipo_Vertedor="Retangular",IF(O1740&lt;=cota_s*100,0,IF(Tipo_Vertedor="Retangular",Cd_sr*Lef_sr*((O1740/100-cota_s)^(3/2))*1000)),IF(O1740&lt;=cota_s*100+fi_s/20,0,(OFFSET('Base de dados'!$A$4,IF(O1740&lt;20,1,IF(O1740&gt;1000,10,MATCH(O1740,Cargas,1))),Coluna_fis,1,1))*(PI()*(fi_s/1000)^2/4)*(2*9.81*(O1740/100-cota_s-fi_s/2/1000))^0.5*1000)))</f>
        <v>7965.532288605621</v>
      </c>
      <c r="R1740" s="19">
        <f t="shared" ca="1" si="220"/>
        <v>8021.282366586106</v>
      </c>
      <c r="S1740" s="19">
        <f t="shared" ca="1" si="221"/>
        <v>10550.55266197122</v>
      </c>
    </row>
    <row r="1741" spans="13:19">
      <c r="M1741" s="81">
        <f t="shared" ca="1" si="218"/>
        <v>18586.64650469851</v>
      </c>
      <c r="N1741" s="19">
        <f t="shared" si="219"/>
        <v>316.72127175141225</v>
      </c>
      <c r="O1741" s="17">
        <f t="shared" si="217"/>
        <v>435</v>
      </c>
      <c r="P1741" s="19">
        <f ca="1">IF(ISERROR(IF(O1741&lt;fi_h/20,0,(OFFSET('Base de dados'!$A$5,IF(O1741&lt;20,1,IF(O1741&gt;1000,10,MATCH(O1741,Cargas,1))),Coluna_fih,1,1))*(1+0.13*0.25)*(PI()*(fi_h/1000)^2/4)*SQRT(2*9.81*(O1741/100-fi_h/2/1000))*1000)),"",IF(O1741&lt;fi_h/20,0,(OFFSET('Base de dados'!$A$5,IF(O1741&lt;20,1,IF(O1741&gt;1000,10,MATCH(O1741,Cargas,1))),Coluna_fih,1,1))*(PI()*(fi_h/1000)^2/4)*SQRT(2*9.81*(O1741/100-fi_h/2/1000))*1000))</f>
        <v>55.766315646913945</v>
      </c>
      <c r="Q1741" s="19">
        <f ca="1">IF(O1741="","",IF(Tipo_Vertedor="Retangular",IF(O1741&lt;=cota_s*100,0,IF(Tipo_Vertedor="Retangular",Cd_sr*Lef_sr*((O1741/100-cota_s)^(3/2))*1000)),IF(O1741&lt;=cota_s*100+fi_s/20,0,(OFFSET('Base de dados'!$A$4,IF(O1741&lt;20,1,IF(O1741&gt;1000,10,MATCH(O1741,Cargas,1))),Coluna_fis,1,1))*(PI()*(fi_s/1000)^2/4)*(2*9.81*(O1741/100-cota_s-fi_s/2/1000))^0.5*1000)))</f>
        <v>7973.5044640045189</v>
      </c>
      <c r="R1741" s="19">
        <f t="shared" ca="1" si="220"/>
        <v>8029.2707796514333</v>
      </c>
      <c r="S1741" s="19">
        <f t="shared" ca="1" si="221"/>
        <v>10557.375725047075</v>
      </c>
    </row>
    <row r="1742" spans="13:19">
      <c r="M1742" s="81">
        <f t="shared" ca="1" si="218"/>
        <v>18601.461122459306</v>
      </c>
      <c r="N1742" s="19">
        <f t="shared" si="219"/>
        <v>316.92597829902741</v>
      </c>
      <c r="O1742" s="17">
        <f t="shared" si="217"/>
        <v>435.25</v>
      </c>
      <c r="P1742" s="19">
        <f ca="1">IF(ISERROR(IF(O1742&lt;fi_h/20,0,(OFFSET('Base de dados'!$A$5,IF(O1742&lt;20,1,IF(O1742&gt;1000,10,MATCH(O1742,Cargas,1))),Coluna_fih,1,1))*(1+0.13*0.25)*(PI()*(fi_h/1000)^2/4)*SQRT(2*9.81*(O1742/100-fi_h/2/1000))*1000)),"",IF(O1742&lt;fi_h/20,0,(OFFSET('Base de dados'!$A$5,IF(O1742&lt;20,1,IF(O1742&gt;1000,10,MATCH(O1742,Cargas,1))),Coluna_fih,1,1))*(PI()*(fi_h/1000)^2/4)*SQRT(2*9.81*(O1742/100-fi_h/2/1000))*1000))</f>
        <v>55.782548586742458</v>
      </c>
      <c r="Q1742" s="19">
        <f ca="1">IF(O1742="","",IF(Tipo_Vertedor="Retangular",IF(O1742&lt;=cota_s*100,0,IF(Tipo_Vertedor="Retangular",Cd_sr*Lef_sr*((O1742/100-cota_s)^(3/2))*1000)),IF(O1742&lt;=cota_s*100+fi_s/20,0,(OFFSET('Base de dados'!$A$4,IF(O1742&lt;20,1,IF(O1742&gt;1000,10,MATCH(O1742,Cargas,1))),Coluna_fis,1,1))*(PI()*(fi_s/1000)^2/4)*(2*9.81*(O1742/100-cota_s-fi_s/2/1000))^0.5*1000)))</f>
        <v>7981.4792972383157</v>
      </c>
      <c r="R1742" s="19">
        <f t="shared" ca="1" si="220"/>
        <v>8037.2618458250581</v>
      </c>
      <c r="S1742" s="19">
        <f t="shared" ca="1" si="221"/>
        <v>10564.199276634248</v>
      </c>
    </row>
    <row r="1743" spans="13:19">
      <c r="M1743" s="81">
        <f t="shared" ca="1" si="218"/>
        <v>18616.278880712685</v>
      </c>
      <c r="N1743" s="19">
        <f t="shared" si="219"/>
        <v>317.1306994946126</v>
      </c>
      <c r="O1743" s="17">
        <f t="shared" si="217"/>
        <v>435.5</v>
      </c>
      <c r="P1743" s="19">
        <f ca="1">IF(ISERROR(IF(O1743&lt;fi_h/20,0,(OFFSET('Base de dados'!$A$5,IF(O1743&lt;20,1,IF(O1743&gt;1000,10,MATCH(O1743,Cargas,1))),Coluna_fih,1,1))*(1+0.13*0.25)*(PI()*(fi_h/1000)^2/4)*SQRT(2*9.81*(O1743/100-fi_h/2/1000))*1000)),"",IF(O1743&lt;fi_h/20,0,(OFFSET('Base de dados'!$A$5,IF(O1743&lt;20,1,IF(O1743&gt;1000,10,MATCH(O1743,Cargas,1))),Coluna_fih,1,1))*(PI()*(fi_h/1000)^2/4)*SQRT(2*9.81*(O1743/100-fi_h/2/1000))*1000))</f>
        <v>55.798776804096036</v>
      </c>
      <c r="Q1743" s="19">
        <f ca="1">IF(O1743="","",IF(Tipo_Vertedor="Retangular",IF(O1743&lt;=cota_s*100,0,IF(Tipo_Vertedor="Retangular",Cd_sr*Lef_sr*((O1743/100-cota_s)^(3/2))*1000)),IF(O1743&lt;=cota_s*100+fi_s/20,0,(OFFSET('Base de dados'!$A$4,IF(O1743&lt;20,1,IF(O1743&gt;1000,10,MATCH(O1743,Cargas,1))),Coluna_fis,1,1))*(PI()*(fi_s/1000)^2/4)*(2*9.81*(O1743/100-cota_s-fi_s/2/1000))^0.5*1000)))</f>
        <v>7989.4567874215027</v>
      </c>
      <c r="R1743" s="19">
        <f t="shared" ca="1" si="220"/>
        <v>8045.2555642255984</v>
      </c>
      <c r="S1743" s="19">
        <f t="shared" ca="1" si="221"/>
        <v>10571.023316487086</v>
      </c>
    </row>
    <row r="1744" spans="13:19">
      <c r="M1744" s="81">
        <f t="shared" ca="1" si="218"/>
        <v>18631.099778332773</v>
      </c>
      <c r="N1744" s="19">
        <f t="shared" si="219"/>
        <v>317.33543533080643</v>
      </c>
      <c r="O1744" s="17">
        <f t="shared" si="217"/>
        <v>435.75</v>
      </c>
      <c r="P1744" s="19">
        <f ca="1">IF(ISERROR(IF(O1744&lt;fi_h/20,0,(OFFSET('Base de dados'!$A$5,IF(O1744&lt;20,1,IF(O1744&gt;1000,10,MATCH(O1744,Cargas,1))),Coluna_fih,1,1))*(1+0.13*0.25)*(PI()*(fi_h/1000)^2/4)*SQRT(2*9.81*(O1744/100-fi_h/2/1000))*1000)),"",IF(O1744&lt;fi_h/20,0,(OFFSET('Base de dados'!$A$5,IF(O1744&lt;20,1,IF(O1744&gt;1000,10,MATCH(O1744,Cargas,1))),Coluna_fih,1,1))*(PI()*(fi_h/1000)^2/4)*SQRT(2*9.81*(O1744/100-fi_h/2/1000))*1000))</f>
        <v>55.815000303093861</v>
      </c>
      <c r="Q1744" s="19">
        <f ca="1">IF(O1744="","",IF(Tipo_Vertedor="Retangular",IF(O1744&lt;=cota_s*100,0,IF(Tipo_Vertedor="Retangular",Cd_sr*Lef_sr*((O1744/100-cota_s)^(3/2))*1000)),IF(O1744&lt;=cota_s*100+fi_s/20,0,(OFFSET('Base de dados'!$A$4,IF(O1744&lt;20,1,IF(O1744&gt;1000,10,MATCH(O1744,Cargas,1))),Coluna_fis,1,1))*(PI()*(fi_s/1000)^2/4)*(2*9.81*(O1744/100-cota_s-fi_s/2/1000))^0.5*1000)))</f>
        <v>7997.4369336694635</v>
      </c>
      <c r="R1744" s="19">
        <f t="shared" ca="1" si="220"/>
        <v>8053.2519339725577</v>
      </c>
      <c r="S1744" s="19">
        <f t="shared" ca="1" si="221"/>
        <v>10577.847844360214</v>
      </c>
    </row>
    <row r="1745" spans="13:19">
      <c r="M1745" s="81">
        <f t="shared" ca="1" si="218"/>
        <v>18645.923814194834</v>
      </c>
      <c r="N1745" s="19">
        <f t="shared" si="219"/>
        <v>317.54018580025547</v>
      </c>
      <c r="O1745" s="17">
        <f t="shared" si="217"/>
        <v>436</v>
      </c>
      <c r="P1745" s="19">
        <f ca="1">IF(ISERROR(IF(O1745&lt;fi_h/20,0,(OFFSET('Base de dados'!$A$5,IF(O1745&lt;20,1,IF(O1745&gt;1000,10,MATCH(O1745,Cargas,1))),Coluna_fih,1,1))*(1+0.13*0.25)*(PI()*(fi_h/1000)^2/4)*SQRT(2*9.81*(O1745/100-fi_h/2/1000))*1000)),"",IF(O1745&lt;fi_h/20,0,(OFFSET('Base de dados'!$A$5,IF(O1745&lt;20,1,IF(O1745&gt;1000,10,MATCH(O1745,Cargas,1))),Coluna_fih,1,1))*(PI()*(fi_h/1000)^2/4)*SQRT(2*9.81*(O1745/100-fi_h/2/1000))*1000))</f>
        <v>55.831219087849149</v>
      </c>
      <c r="Q1745" s="19">
        <f ca="1">IF(O1745="","",IF(Tipo_Vertedor="Retangular",IF(O1745&lt;=cota_s*100,0,IF(Tipo_Vertedor="Retangular",Cd_sr*Lef_sr*((O1745/100-cota_s)^(3/2))*1000)),IF(O1745&lt;=cota_s*100+fi_s/20,0,(OFFSET('Base de dados'!$A$4,IF(O1745&lt;20,1,IF(O1745&gt;1000,10,MATCH(O1745,Cargas,1))),Coluna_fis,1,1))*(PI()*(fi_s/1000)^2/4)*(2*9.81*(O1745/100-cota_s-fi_s/2/1000))^0.5*1000)))</f>
        <v>8005.4197350984687</v>
      </c>
      <c r="R1745" s="19">
        <f t="shared" ca="1" si="220"/>
        <v>8061.2509541863183</v>
      </c>
      <c r="S1745" s="19">
        <f t="shared" ca="1" si="221"/>
        <v>10584.672860008515</v>
      </c>
    </row>
    <row r="1746" spans="13:19">
      <c r="M1746" s="81">
        <f t="shared" ca="1" si="218"/>
        <v>18660.750987175248</v>
      </c>
      <c r="N1746" s="19">
        <f t="shared" si="219"/>
        <v>317.74495089561384</v>
      </c>
      <c r="O1746" s="17">
        <f t="shared" si="217"/>
        <v>436.25</v>
      </c>
      <c r="P1746" s="19">
        <f ca="1">IF(ISERROR(IF(O1746&lt;fi_h/20,0,(OFFSET('Base de dados'!$A$5,IF(O1746&lt;20,1,IF(O1746&gt;1000,10,MATCH(O1746,Cargas,1))),Coluna_fih,1,1))*(1+0.13*0.25)*(PI()*(fi_h/1000)^2/4)*SQRT(2*9.81*(O1746/100-fi_h/2/1000))*1000)),"",IF(O1746&lt;fi_h/20,0,(OFFSET('Base de dados'!$A$5,IF(O1746&lt;20,1,IF(O1746&gt;1000,10,MATCH(O1746,Cargas,1))),Coluna_fih,1,1))*(PI()*(fi_h/1000)^2/4)*SQRT(2*9.81*(O1746/100-fi_h/2/1000))*1000))</f>
        <v>55.847433162469102</v>
      </c>
      <c r="Q1746" s="19">
        <f ca="1">IF(O1746="","",IF(Tipo_Vertedor="Retangular",IF(O1746&lt;=cota_s*100,0,IF(Tipo_Vertedor="Retangular",Cd_sr*Lef_sr*((O1746/100-cota_s)^(3/2))*1000)),IF(O1746&lt;=cota_s*100+fi_s/20,0,(OFFSET('Base de dados'!$A$4,IF(O1746&lt;20,1,IF(O1746&gt;1000,10,MATCH(O1746,Cargas,1))),Coluna_fis,1,1))*(PI()*(fi_s/1000)^2/4)*(2*9.81*(O1746/100-cota_s-fi_s/2/1000))^0.5*1000)))</f>
        <v>8013.4051908256524</v>
      </c>
      <c r="R1746" s="19">
        <f t="shared" ca="1" si="220"/>
        <v>8069.2526239881217</v>
      </c>
      <c r="S1746" s="19">
        <f t="shared" ca="1" si="221"/>
        <v>10591.498363187127</v>
      </c>
    </row>
    <row r="1747" spans="13:19">
      <c r="M1747" s="81">
        <f t="shared" ca="1" si="218"/>
        <v>18675.58129615158</v>
      </c>
      <c r="N1747" s="19">
        <f t="shared" si="219"/>
        <v>317.94973060954402</v>
      </c>
      <c r="O1747" s="17">
        <f t="shared" ref="O1747:O1810" si="222">IF(ISERROR(IF(O1746+passo_altura&gt;h_max_puls*100,"",O1746+passo_altura)),"",IF(O1746+passo_altura&gt;h_max_puls*100,"",O1746+passo_altura))</f>
        <v>436.5</v>
      </c>
      <c r="P1747" s="19">
        <f ca="1">IF(ISERROR(IF(O1747&lt;fi_h/20,0,(OFFSET('Base de dados'!$A$5,IF(O1747&lt;20,1,IF(O1747&gt;1000,10,MATCH(O1747,Cargas,1))),Coluna_fih,1,1))*(1+0.13*0.25)*(PI()*(fi_h/1000)^2/4)*SQRT(2*9.81*(O1747/100-fi_h/2/1000))*1000)),"",IF(O1747&lt;fi_h/20,0,(OFFSET('Base de dados'!$A$5,IF(O1747&lt;20,1,IF(O1747&gt;1000,10,MATCH(O1747,Cargas,1))),Coluna_fih,1,1))*(PI()*(fi_h/1000)^2/4)*SQRT(2*9.81*(O1747/100-fi_h/2/1000))*1000))</f>
        <v>55.863642531055007</v>
      </c>
      <c r="Q1747" s="19">
        <f ca="1">IF(O1747="","",IF(Tipo_Vertedor="Retangular",IF(O1747&lt;=cota_s*100,0,IF(Tipo_Vertedor="Retangular",Cd_sr*Lef_sr*((O1747/100-cota_s)^(3/2))*1000)),IF(O1747&lt;=cota_s*100+fi_s/20,0,(OFFSET('Base de dados'!$A$4,IF(O1747&lt;20,1,IF(O1747&gt;1000,10,MATCH(O1747,Cargas,1))),Coluna_fis,1,1))*(PI()*(fi_s/1000)^2/4)*(2*9.81*(O1747/100-cota_s-fi_s/2/1000))^0.5*1000)))</f>
        <v>8021.3932999690587</v>
      </c>
      <c r="R1747" s="19">
        <f t="shared" ca="1" si="220"/>
        <v>8077.2569425001138</v>
      </c>
      <c r="S1747" s="19">
        <f t="shared" ca="1" si="221"/>
        <v>10598.324353651467</v>
      </c>
    </row>
    <row r="1748" spans="13:19">
      <c r="M1748" s="81">
        <f t="shared" ca="1" si="218"/>
        <v>18690.414740002478</v>
      </c>
      <c r="N1748" s="19">
        <f t="shared" si="219"/>
        <v>318.15452493471588</v>
      </c>
      <c r="O1748" s="17">
        <f t="shared" si="222"/>
        <v>436.75</v>
      </c>
      <c r="P1748" s="19">
        <f ca="1">IF(ISERROR(IF(O1748&lt;fi_h/20,0,(OFFSET('Base de dados'!$A$5,IF(O1748&lt;20,1,IF(O1748&gt;1000,10,MATCH(O1748,Cargas,1))),Coluna_fih,1,1))*(1+0.13*0.25)*(PI()*(fi_h/1000)^2/4)*SQRT(2*9.81*(O1748/100-fi_h/2/1000))*1000)),"",IF(O1748&lt;fi_h/20,0,(OFFSET('Base de dados'!$A$5,IF(O1748&lt;20,1,IF(O1748&gt;1000,10,MATCH(O1748,Cargas,1))),Coluna_fih,1,1))*(PI()*(fi_h/1000)^2/4)*SQRT(2*9.81*(O1748/100-fi_h/2/1000))*1000))</f>
        <v>55.879847197702141</v>
      </c>
      <c r="Q1748" s="19">
        <f ca="1">IF(O1748="","",IF(Tipo_Vertedor="Retangular",IF(O1748&lt;=cota_s*100,0,IF(Tipo_Vertedor="Retangular",Cd_sr*Lef_sr*((O1748/100-cota_s)^(3/2))*1000)),IF(O1748&lt;=cota_s*100+fi_s/20,0,(OFFSET('Base de dados'!$A$4,IF(O1748&lt;20,1,IF(O1748&gt;1000,10,MATCH(O1748,Cargas,1))),Coluna_fis,1,1))*(PI()*(fi_s/1000)^2/4)*(2*9.81*(O1748/100-cota_s-fi_s/2/1000))^0.5*1000)))</f>
        <v>8029.38406164758</v>
      </c>
      <c r="R1748" s="19">
        <f t="shared" ca="1" si="220"/>
        <v>8085.2639088452825</v>
      </c>
      <c r="S1748" s="19">
        <f t="shared" ca="1" si="221"/>
        <v>10605.150831157196</v>
      </c>
    </row>
    <row r="1749" spans="13:19">
      <c r="M1749" s="81">
        <f t="shared" ca="1" si="218"/>
        <v>18705.251317607763</v>
      </c>
      <c r="N1749" s="19">
        <f t="shared" si="219"/>
        <v>318.35933386380782</v>
      </c>
      <c r="O1749" s="17">
        <f t="shared" si="222"/>
        <v>437</v>
      </c>
      <c r="P1749" s="19">
        <f ca="1">IF(ISERROR(IF(O1749&lt;fi_h/20,0,(OFFSET('Base de dados'!$A$5,IF(O1749&lt;20,1,IF(O1749&gt;1000,10,MATCH(O1749,Cargas,1))),Coluna_fih,1,1))*(1+0.13*0.25)*(PI()*(fi_h/1000)^2/4)*SQRT(2*9.81*(O1749/100-fi_h/2/1000))*1000)),"",IF(O1749&lt;fi_h/20,0,(OFFSET('Base de dados'!$A$5,IF(O1749&lt;20,1,IF(O1749&gt;1000,10,MATCH(O1749,Cargas,1))),Coluna_fih,1,1))*(PI()*(fi_h/1000)^2/4)*SQRT(2*9.81*(O1749/100-fi_h/2/1000))*1000))</f>
        <v>55.896047166499912</v>
      </c>
      <c r="Q1749" s="19">
        <f ca="1">IF(O1749="","",IF(Tipo_Vertedor="Retangular",IF(O1749&lt;=cota_s*100,0,IF(Tipo_Vertedor="Retangular",Cd_sr*Lef_sr*((O1749/100-cota_s)^(3/2))*1000)),IF(O1749&lt;=cota_s*100+fi_s/20,0,(OFFSET('Base de dados'!$A$4,IF(O1749&lt;20,1,IF(O1749&gt;1000,10,MATCH(O1749,Cargas,1))),Coluna_fis,1,1))*(PI()*(fi_s/1000)^2/4)*(2*9.81*(O1749/100-cota_s-fi_s/2/1000))^0.5*1000)))</f>
        <v>8037.3774749810036</v>
      </c>
      <c r="R1749" s="19">
        <f t="shared" ca="1" si="220"/>
        <v>8093.2735221475032</v>
      </c>
      <c r="S1749" s="19">
        <f t="shared" ca="1" si="221"/>
        <v>10611.977795460261</v>
      </c>
    </row>
    <row r="1750" spans="13:19">
      <c r="M1750" s="81">
        <f t="shared" ca="1" si="218"/>
        <v>18720.091027848372</v>
      </c>
      <c r="N1750" s="19">
        <f t="shared" si="219"/>
        <v>318.56415738950551</v>
      </c>
      <c r="O1750" s="17">
        <f t="shared" si="222"/>
        <v>437.25</v>
      </c>
      <c r="P1750" s="19">
        <f ca="1">IF(ISERROR(IF(O1750&lt;fi_h/20,0,(OFFSET('Base de dados'!$A$5,IF(O1750&lt;20,1,IF(O1750&gt;1000,10,MATCH(O1750,Cargas,1))),Coluna_fih,1,1))*(1+0.13*0.25)*(PI()*(fi_h/1000)^2/4)*SQRT(2*9.81*(O1750/100-fi_h/2/1000))*1000)),"",IF(O1750&lt;fi_h/20,0,(OFFSET('Base de dados'!$A$5,IF(O1750&lt;20,1,IF(O1750&gt;1000,10,MATCH(O1750,Cargas,1))),Coluna_fih,1,1))*(PI()*(fi_h/1000)^2/4)*SQRT(2*9.81*(O1750/100-fi_h/2/1000))*1000))</f>
        <v>55.912242441531767</v>
      </c>
      <c r="Q1750" s="19">
        <f ca="1">IF(O1750="","",IF(Tipo_Vertedor="Retangular",IF(O1750&lt;=cota_s*100,0,IF(Tipo_Vertedor="Retangular",Cd_sr*Lef_sr*((O1750/100-cota_s)^(3/2))*1000)),IF(O1750&lt;=cota_s*100+fi_s/20,0,(OFFSET('Base de dados'!$A$4,IF(O1750&lt;20,1,IF(O1750&gt;1000,10,MATCH(O1750,Cargas,1))),Coluna_fis,1,1))*(PI()*(fi_s/1000)^2/4)*(2*9.81*(O1750/100-cota_s-fi_s/2/1000))^0.5*1000)))</f>
        <v>8045.3735390899865</v>
      </c>
      <c r="R1750" s="19">
        <f t="shared" ca="1" si="220"/>
        <v>8101.2857815315183</v>
      </c>
      <c r="S1750" s="19">
        <f t="shared" ca="1" si="221"/>
        <v>10618.805246316851</v>
      </c>
    </row>
    <row r="1751" spans="13:19">
      <c r="M1751" s="81">
        <f t="shared" ref="M1751:M1814" ca="1" si="223">IF(O1751="","",2*N1751*1000/(Passo*60)+R1751)</f>
        <v>18734.933869606357</v>
      </c>
      <c r="N1751" s="19">
        <f t="shared" ref="N1751:N1814" si="224">IF(O1751="","",b_0*(O1751/100)^c_0)</f>
        <v>318.76899550450264</v>
      </c>
      <c r="O1751" s="17">
        <f t="shared" si="222"/>
        <v>437.5</v>
      </c>
      <c r="P1751" s="19">
        <f ca="1">IF(ISERROR(IF(O1751&lt;fi_h/20,0,(OFFSET('Base de dados'!$A$5,IF(O1751&lt;20,1,IF(O1751&gt;1000,10,MATCH(O1751,Cargas,1))),Coluna_fih,1,1))*(1+0.13*0.25)*(PI()*(fi_h/1000)^2/4)*SQRT(2*9.81*(O1751/100-fi_h/2/1000))*1000)),"",IF(O1751&lt;fi_h/20,0,(OFFSET('Base de dados'!$A$5,IF(O1751&lt;20,1,IF(O1751&gt;1000,10,MATCH(O1751,Cargas,1))),Coluna_fih,1,1))*(PI()*(fi_h/1000)^2/4)*SQRT(2*9.81*(O1751/100-fi_h/2/1000))*1000))</f>
        <v>55.928433026875247</v>
      </c>
      <c r="Q1751" s="19">
        <f ca="1">IF(O1751="","",IF(Tipo_Vertedor="Retangular",IF(O1751&lt;=cota_s*100,0,IF(Tipo_Vertedor="Retangular",Cd_sr*Lef_sr*((O1751/100-cota_s)^(3/2))*1000)),IF(O1751&lt;=cota_s*100+fi_s/20,0,(OFFSET('Base de dados'!$A$4,IF(O1751&lt;20,1,IF(O1751&gt;1000,10,MATCH(O1751,Cargas,1))),Coluna_fis,1,1))*(PI()*(fi_s/1000)^2/4)*(2*9.81*(O1751/100-cota_s-fi_s/2/1000))^0.5*1000)))</f>
        <v>8053.3722530960595</v>
      </c>
      <c r="R1751" s="19">
        <f t="shared" ref="R1751:R1814" ca="1" si="225">IF(O1751="","",Q1751+P1751)</f>
        <v>8109.3006861229351</v>
      </c>
      <c r="S1751" s="19">
        <f t="shared" ref="S1751:S1814" ca="1" si="226">IF(M1751="","",2*N1751*1000/(Passo*60))</f>
        <v>10625.63318348342</v>
      </c>
    </row>
    <row r="1752" spans="13:19">
      <c r="M1752" s="81">
        <f t="shared" ca="1" si="223"/>
        <v>18749.779841764925</v>
      </c>
      <c r="N1752" s="19">
        <f t="shared" si="224"/>
        <v>318.97384820150074</v>
      </c>
      <c r="O1752" s="17">
        <f t="shared" si="222"/>
        <v>437.75</v>
      </c>
      <c r="P1752" s="19">
        <f ca="1">IF(ISERROR(IF(O1752&lt;fi_h/20,0,(OFFSET('Base de dados'!$A$5,IF(O1752&lt;20,1,IF(O1752&gt;1000,10,MATCH(O1752,Cargas,1))),Coluna_fih,1,1))*(1+0.13*0.25)*(PI()*(fi_h/1000)^2/4)*SQRT(2*9.81*(O1752/100-fi_h/2/1000))*1000)),"",IF(O1752&lt;fi_h/20,0,(OFFSET('Base de dados'!$A$5,IF(O1752&lt;20,1,IF(O1752&gt;1000,10,MATCH(O1752,Cargas,1))),Coluna_fih,1,1))*(PI()*(fi_h/1000)^2/4)*SQRT(2*9.81*(O1752/100-fi_h/2/1000))*1000))</f>
        <v>55.944618926601983</v>
      </c>
      <c r="Q1752" s="19">
        <f ca="1">IF(O1752="","",IF(Tipo_Vertedor="Retangular",IF(O1752&lt;=cota_s*100,0,IF(Tipo_Vertedor="Retangular",Cd_sr*Lef_sr*((O1752/100-cota_s)^(3/2))*1000)),IF(O1752&lt;=cota_s*100+fi_s/20,0,(OFFSET('Base de dados'!$A$4,IF(O1752&lt;20,1,IF(O1752&gt;1000,10,MATCH(O1752,Cargas,1))),Coluna_fis,1,1))*(PI()*(fi_s/1000)^2/4)*(2*9.81*(O1752/100-cota_s-fi_s/2/1000))^0.5*1000)))</f>
        <v>8061.373616121632</v>
      </c>
      <c r="R1752" s="19">
        <f t="shared" ca="1" si="225"/>
        <v>8117.3182350482339</v>
      </c>
      <c r="S1752" s="19">
        <f t="shared" ca="1" si="226"/>
        <v>10632.46160671669</v>
      </c>
    </row>
    <row r="1753" spans="13:19">
      <c r="M1753" s="81">
        <f t="shared" ca="1" si="223"/>
        <v>18764.628943208394</v>
      </c>
      <c r="N1753" s="19">
        <f t="shared" si="224"/>
        <v>319.17871547320919</v>
      </c>
      <c r="O1753" s="17">
        <f t="shared" si="222"/>
        <v>438</v>
      </c>
      <c r="P1753" s="19">
        <f ca="1">IF(ISERROR(IF(O1753&lt;fi_h/20,0,(OFFSET('Base de dados'!$A$5,IF(O1753&lt;20,1,IF(O1753&gt;1000,10,MATCH(O1753,Cargas,1))),Coluna_fih,1,1))*(1+0.13*0.25)*(PI()*(fi_h/1000)^2/4)*SQRT(2*9.81*(O1753/100-fi_h/2/1000))*1000)),"",IF(O1753&lt;fi_h/20,0,(OFFSET('Base de dados'!$A$5,IF(O1753&lt;20,1,IF(O1753&gt;1000,10,MATCH(O1753,Cargas,1))),Coluna_fih,1,1))*(PI()*(fi_h/1000)^2/4)*SQRT(2*9.81*(O1753/100-fi_h/2/1000))*1000))</f>
        <v>55.960800144777721</v>
      </c>
      <c r="Q1753" s="19">
        <f ca="1">IF(O1753="","",IF(Tipo_Vertedor="Retangular",IF(O1753&lt;=cota_s*100,0,IF(Tipo_Vertedor="Retangular",Cd_sr*Lef_sr*((O1753/100-cota_s)^(3/2))*1000)),IF(O1753&lt;=cota_s*100+fi_s/20,0,(OFFSET('Base de dados'!$A$4,IF(O1753&lt;20,1,IF(O1753&gt;1000,10,MATCH(O1753,Cargas,1))),Coluna_fis,1,1))*(PI()*(fi_s/1000)^2/4)*(2*9.81*(O1753/100-cota_s-fi_s/2/1000))^0.5*1000)))</f>
        <v>8069.377627289974</v>
      </c>
      <c r="R1753" s="19">
        <f t="shared" ca="1" si="225"/>
        <v>8125.3384274347518</v>
      </c>
      <c r="S1753" s="19">
        <f t="shared" ca="1" si="226"/>
        <v>10639.29051577364</v>
      </c>
    </row>
    <row r="1754" spans="13:19">
      <c r="M1754" s="81">
        <f t="shared" ca="1" si="223"/>
        <v>18779.481172822208</v>
      </c>
      <c r="N1754" s="19">
        <f t="shared" si="224"/>
        <v>319.38359731234522</v>
      </c>
      <c r="O1754" s="17">
        <f t="shared" si="222"/>
        <v>438.25</v>
      </c>
      <c r="P1754" s="19">
        <f ca="1">IF(ISERROR(IF(O1754&lt;fi_h/20,0,(OFFSET('Base de dados'!$A$5,IF(O1754&lt;20,1,IF(O1754&gt;1000,10,MATCH(O1754,Cargas,1))),Coluna_fih,1,1))*(1+0.13*0.25)*(PI()*(fi_h/1000)^2/4)*SQRT(2*9.81*(O1754/100-fi_h/2/1000))*1000)),"",IF(O1754&lt;fi_h/20,0,(OFFSET('Base de dados'!$A$5,IF(O1754&lt;20,1,IF(O1754&gt;1000,10,MATCH(O1754,Cargas,1))),Coluna_fih,1,1))*(PI()*(fi_h/1000)^2/4)*SQRT(2*9.81*(O1754/100-fi_h/2/1000))*1000))</f>
        <v>55.976976685462375</v>
      </c>
      <c r="Q1754" s="19">
        <f ca="1">IF(O1754="","",IF(Tipo_Vertedor="Retangular",IF(O1754&lt;=cota_s*100,0,IF(Tipo_Vertedor="Retangular",Cd_sr*Lef_sr*((O1754/100-cota_s)^(3/2))*1000)),IF(O1754&lt;=cota_s*100+fi_s/20,0,(OFFSET('Base de dados'!$A$4,IF(O1754&lt;20,1,IF(O1754&gt;1000,10,MATCH(O1754,Cargas,1))),Coluna_fis,1,1))*(PI()*(fi_s/1000)^2/4)*(2*9.81*(O1754/100-cota_s-fi_s/2/1000))^0.5*1000)))</f>
        <v>8077.3842857252394</v>
      </c>
      <c r="R1754" s="19">
        <f t="shared" ca="1" si="225"/>
        <v>8133.3612624107018</v>
      </c>
      <c r="S1754" s="19">
        <f t="shared" ca="1" si="226"/>
        <v>10646.119910411508</v>
      </c>
    </row>
    <row r="1755" spans="13:19">
      <c r="M1755" s="81">
        <f t="shared" ca="1" si="223"/>
        <v>18794.336529492939</v>
      </c>
      <c r="N1755" s="19">
        <f t="shared" si="224"/>
        <v>319.58849371163365</v>
      </c>
      <c r="O1755" s="17">
        <f t="shared" si="222"/>
        <v>438.5</v>
      </c>
      <c r="P1755" s="19">
        <f ca="1">IF(ISERROR(IF(O1755&lt;fi_h/20,0,(OFFSET('Base de dados'!$A$5,IF(O1755&lt;20,1,IF(O1755&gt;1000,10,MATCH(O1755,Cargas,1))),Coluna_fih,1,1))*(1+0.13*0.25)*(PI()*(fi_h/1000)^2/4)*SQRT(2*9.81*(O1755/100-fi_h/2/1000))*1000)),"",IF(O1755&lt;fi_h/20,0,(OFFSET('Base de dados'!$A$5,IF(O1755&lt;20,1,IF(O1755&gt;1000,10,MATCH(O1755,Cargas,1))),Coluna_fih,1,1))*(PI()*(fi_h/1000)^2/4)*SQRT(2*9.81*(O1755/100-fi_h/2/1000))*1000))</f>
        <v>55.993148552709911</v>
      </c>
      <c r="Q1755" s="19">
        <f ca="1">IF(O1755="","",IF(Tipo_Vertedor="Retangular",IF(O1755&lt;=cota_s*100,0,IF(Tipo_Vertedor="Retangular",Cd_sr*Lef_sr*((O1755/100-cota_s)^(3/2))*1000)),IF(O1755&lt;=cota_s*100+fi_s/20,0,(OFFSET('Base de dados'!$A$4,IF(O1755&lt;20,1,IF(O1755&gt;1000,10,MATCH(O1755,Cargas,1))),Coluna_fis,1,1))*(PI()*(fi_s/1000)^2/4)*(2*9.81*(O1755/100-cota_s-fi_s/2/1000))^0.5*1000)))</f>
        <v>8085.3935905524386</v>
      </c>
      <c r="R1755" s="19">
        <f t="shared" ca="1" si="225"/>
        <v>8141.3867391051481</v>
      </c>
      <c r="S1755" s="19">
        <f t="shared" ca="1" si="226"/>
        <v>10652.949790387789</v>
      </c>
    </row>
    <row r="1756" spans="13:19">
      <c r="M1756" s="81">
        <f t="shared" ca="1" si="223"/>
        <v>18809.195012108274</v>
      </c>
      <c r="N1756" s="19">
        <f t="shared" si="224"/>
        <v>319.79340466380734</v>
      </c>
      <c r="O1756" s="17">
        <f t="shared" si="222"/>
        <v>438.75</v>
      </c>
      <c r="P1756" s="19">
        <f ca="1">IF(ISERROR(IF(O1756&lt;fi_h/20,0,(OFFSET('Base de dados'!$A$5,IF(O1756&lt;20,1,IF(O1756&gt;1000,10,MATCH(O1756,Cargas,1))),Coluna_fih,1,1))*(1+0.13*0.25)*(PI()*(fi_h/1000)^2/4)*SQRT(2*9.81*(O1756/100-fi_h/2/1000))*1000)),"",IF(O1756&lt;fi_h/20,0,(OFFSET('Base de dados'!$A$5,IF(O1756&lt;20,1,IF(O1756&gt;1000,10,MATCH(O1756,Cargas,1))),Coluna_fih,1,1))*(PI()*(fi_h/1000)^2/4)*SQRT(2*9.81*(O1756/100-fi_h/2/1000))*1000))</f>
        <v>56.009315750568526</v>
      </c>
      <c r="Q1756" s="19">
        <f ca="1">IF(O1756="","",IF(Tipo_Vertedor="Retangular",IF(O1756&lt;=cota_s*100,0,IF(Tipo_Vertedor="Retangular",Cd_sr*Lef_sr*((O1756/100-cota_s)^(3/2))*1000)),IF(O1756&lt;=cota_s*100+fi_s/20,0,(OFFSET('Base de dados'!$A$4,IF(O1756&lt;20,1,IF(O1756&gt;1000,10,MATCH(O1756,Cargas,1))),Coluna_fis,1,1))*(PI()*(fi_s/1000)^2/4)*(2*9.81*(O1756/100-cota_s-fi_s/2/1000))^0.5*1000)))</f>
        <v>8093.4055408974591</v>
      </c>
      <c r="R1756" s="19">
        <f t="shared" ca="1" si="225"/>
        <v>8149.414856648028</v>
      </c>
      <c r="S1756" s="19">
        <f t="shared" ca="1" si="226"/>
        <v>10659.780155460245</v>
      </c>
    </row>
    <row r="1757" spans="13:19">
      <c r="M1757" s="81">
        <f t="shared" ca="1" si="223"/>
        <v>18824.056619557014</v>
      </c>
      <c r="N1757" s="19">
        <f t="shared" si="224"/>
        <v>319.9983301616067</v>
      </c>
      <c r="O1757" s="17">
        <f t="shared" si="222"/>
        <v>439</v>
      </c>
      <c r="P1757" s="19">
        <f ca="1">IF(ISERROR(IF(O1757&lt;fi_h/20,0,(OFFSET('Base de dados'!$A$5,IF(O1757&lt;20,1,IF(O1757&gt;1000,10,MATCH(O1757,Cargas,1))),Coluna_fih,1,1))*(1+0.13*0.25)*(PI()*(fi_h/1000)^2/4)*SQRT(2*9.81*(O1757/100-fi_h/2/1000))*1000)),"",IF(O1757&lt;fi_h/20,0,(OFFSET('Base de dados'!$A$5,IF(O1757&lt;20,1,IF(O1757&gt;1000,10,MATCH(O1757,Cargas,1))),Coluna_fih,1,1))*(PI()*(fi_h/1000)^2/4)*SQRT(2*9.81*(O1757/100-fi_h/2/1000))*1000))</f>
        <v>56.025478283080524</v>
      </c>
      <c r="Q1757" s="19">
        <f ca="1">IF(O1757="","",IF(Tipo_Vertedor="Retangular",IF(O1757&lt;=cota_s*100,0,IF(Tipo_Vertedor="Retangular",Cd_sr*Lef_sr*((O1757/100-cota_s)^(3/2))*1000)),IF(O1757&lt;=cota_s*100+fi_s/20,0,(OFFSET('Base de dados'!$A$4,IF(O1757&lt;20,1,IF(O1757&gt;1000,10,MATCH(O1757,Cargas,1))),Coluna_fis,1,1))*(PI()*(fi_s/1000)^2/4)*(2*9.81*(O1757/100-cota_s-fi_s/2/1000))^0.5*1000)))</f>
        <v>8101.4201358870414</v>
      </c>
      <c r="R1757" s="19">
        <f t="shared" ca="1" si="225"/>
        <v>8157.4456141701221</v>
      </c>
      <c r="S1757" s="19">
        <f t="shared" ca="1" si="226"/>
        <v>10666.611005386891</v>
      </c>
    </row>
    <row r="1758" spans="13:19">
      <c r="M1758" s="81">
        <f t="shared" ca="1" si="223"/>
        <v>18838.921350729088</v>
      </c>
      <c r="N1758" s="19">
        <f t="shared" si="224"/>
        <v>320.20327019778011</v>
      </c>
      <c r="O1758" s="17">
        <f t="shared" si="222"/>
        <v>439.25</v>
      </c>
      <c r="P1758" s="19">
        <f ca="1">IF(ISERROR(IF(O1758&lt;fi_h/20,0,(OFFSET('Base de dados'!$A$5,IF(O1758&lt;20,1,IF(O1758&gt;1000,10,MATCH(O1758,Cargas,1))),Coluna_fih,1,1))*(1+0.13*0.25)*(PI()*(fi_h/1000)^2/4)*SQRT(2*9.81*(O1758/100-fi_h/2/1000))*1000)),"",IF(O1758&lt;fi_h/20,0,(OFFSET('Base de dados'!$A$5,IF(O1758&lt;20,1,IF(O1758&gt;1000,10,MATCH(O1758,Cargas,1))),Coluna_fih,1,1))*(PI()*(fi_h/1000)^2/4)*SQRT(2*9.81*(O1758/100-fi_h/2/1000))*1000))</f>
        <v>56.041636154282379</v>
      </c>
      <c r="Q1758" s="19">
        <f ca="1">IF(O1758="","",IF(Tipo_Vertedor="Retangular",IF(O1758&lt;=cota_s*100,0,IF(Tipo_Vertedor="Retangular",Cd_sr*Lef_sr*((O1758/100-cota_s)^(3/2))*1000)),IF(O1758&lt;=cota_s*100+fi_s/20,0,(OFFSET('Base de dados'!$A$4,IF(O1758&lt;20,1,IF(O1758&gt;1000,10,MATCH(O1758,Cargas,1))),Coluna_fis,1,1))*(PI()*(fi_s/1000)^2/4)*(2*9.81*(O1758/100-cota_s-fi_s/2/1000))^0.5*1000)))</f>
        <v>8109.4373746488027</v>
      </c>
      <c r="R1758" s="19">
        <f t="shared" ca="1" si="225"/>
        <v>8165.4790108030847</v>
      </c>
      <c r="S1758" s="19">
        <f t="shared" ca="1" si="226"/>
        <v>10673.442339926003</v>
      </c>
    </row>
    <row r="1759" spans="13:19">
      <c r="M1759" s="81">
        <f t="shared" ca="1" si="223"/>
        <v>18853.789204515528</v>
      </c>
      <c r="N1759" s="19">
        <f t="shared" si="224"/>
        <v>320.40822476508345</v>
      </c>
      <c r="O1759" s="17">
        <f t="shared" si="222"/>
        <v>439.5</v>
      </c>
      <c r="P1759" s="19">
        <f ca="1">IF(ISERROR(IF(O1759&lt;fi_h/20,0,(OFFSET('Base de dados'!$A$5,IF(O1759&lt;20,1,IF(O1759&gt;1000,10,MATCH(O1759,Cargas,1))),Coluna_fih,1,1))*(1+0.13*0.25)*(PI()*(fi_h/1000)^2/4)*SQRT(2*9.81*(O1759/100-fi_h/2/1000))*1000)),"",IF(O1759&lt;fi_h/20,0,(OFFSET('Base de dados'!$A$5,IF(O1759&lt;20,1,IF(O1759&gt;1000,10,MATCH(O1759,Cargas,1))),Coluna_fih,1,1))*(PI()*(fi_h/1000)^2/4)*SQRT(2*9.81*(O1759/100-fi_h/2/1000))*1000))</f>
        <v>56.057789368204773</v>
      </c>
      <c r="Q1759" s="19">
        <f ca="1">IF(O1759="","",IF(Tipo_Vertedor="Retangular",IF(O1759&lt;=cota_s*100,0,IF(Tipo_Vertedor="Retangular",Cd_sr*Lef_sr*((O1759/100-cota_s)^(3/2))*1000)),IF(O1759&lt;=cota_s*100+fi_s/20,0,(OFFSET('Base de dados'!$A$4,IF(O1759&lt;20,1,IF(O1759&gt;1000,10,MATCH(O1759,Cargas,1))),Coluna_fis,1,1))*(PI()*(fi_s/1000)^2/4)*(2*9.81*(O1759/100-cota_s-fi_s/2/1000))^0.5*1000)))</f>
        <v>8117.4572563112088</v>
      </c>
      <c r="R1759" s="19">
        <f t="shared" ca="1" si="225"/>
        <v>8173.5150456794136</v>
      </c>
      <c r="S1759" s="19">
        <f t="shared" ca="1" si="226"/>
        <v>10680.274158836115</v>
      </c>
    </row>
    <row r="1760" spans="13:19">
      <c r="M1760" s="81">
        <f t="shared" ca="1" si="223"/>
        <v>18868.660179808499</v>
      </c>
      <c r="N1760" s="19">
        <f t="shared" si="224"/>
        <v>320.61319385628059</v>
      </c>
      <c r="O1760" s="17">
        <f t="shared" si="222"/>
        <v>439.75</v>
      </c>
      <c r="P1760" s="19">
        <f ca="1">IF(ISERROR(IF(O1760&lt;fi_h/20,0,(OFFSET('Base de dados'!$A$5,IF(O1760&lt;20,1,IF(O1760&gt;1000,10,MATCH(O1760,Cargas,1))),Coluna_fih,1,1))*(1+0.13*0.25)*(PI()*(fi_h/1000)^2/4)*SQRT(2*9.81*(O1760/100-fi_h/2/1000))*1000)),"",IF(O1760&lt;fi_h/20,0,(OFFSET('Base de dados'!$A$5,IF(O1760&lt;20,1,IF(O1760&gt;1000,10,MATCH(O1760,Cargas,1))),Coluna_fih,1,1))*(PI()*(fi_h/1000)^2/4)*SQRT(2*9.81*(O1760/100-fi_h/2/1000))*1000))</f>
        <v>56.073937928872581</v>
      </c>
      <c r="Q1760" s="19">
        <f ca="1">IF(O1760="","",IF(Tipo_Vertedor="Retangular",IF(O1760&lt;=cota_s*100,0,IF(Tipo_Vertedor="Retangular",Cd_sr*Lef_sr*((O1760/100-cota_s)^(3/2))*1000)),IF(O1760&lt;=cota_s*100+fi_s/20,0,(OFFSET('Base de dados'!$A$4,IF(O1760&lt;20,1,IF(O1760&gt;1000,10,MATCH(O1760,Cargas,1))),Coluna_fis,1,1))*(PI()*(fi_s/1000)^2/4)*(2*9.81*(O1760/100-cota_s-fi_s/2/1000))^0.5*1000)))</f>
        <v>8125.4797800036067</v>
      </c>
      <c r="R1760" s="19">
        <f t="shared" ca="1" si="225"/>
        <v>8181.5537179324792</v>
      </c>
      <c r="S1760" s="19">
        <f t="shared" ca="1" si="226"/>
        <v>10687.106461876019</v>
      </c>
    </row>
    <row r="1761" spans="13:19">
      <c r="M1761" s="81">
        <f t="shared" ca="1" si="223"/>
        <v>18883.534275501246</v>
      </c>
      <c r="N1761" s="19">
        <f t="shared" si="224"/>
        <v>320.81817746414271</v>
      </c>
      <c r="O1761" s="17">
        <f t="shared" si="222"/>
        <v>440</v>
      </c>
      <c r="P1761" s="19">
        <f ca="1">IF(ISERROR(IF(O1761&lt;fi_h/20,0,(OFFSET('Base de dados'!$A$5,IF(O1761&lt;20,1,IF(O1761&gt;1000,10,MATCH(O1761,Cargas,1))),Coluna_fih,1,1))*(1+0.13*0.25)*(PI()*(fi_h/1000)^2/4)*SQRT(2*9.81*(O1761/100-fi_h/2/1000))*1000)),"",IF(O1761&lt;fi_h/20,0,(OFFSET('Base de dados'!$A$5,IF(O1761&lt;20,1,IF(O1761&gt;1000,10,MATCH(O1761,Cargas,1))),Coluna_fih,1,1))*(PI()*(fi_h/1000)^2/4)*SQRT(2*9.81*(O1761/100-fi_h/2/1000))*1000))</f>
        <v>56.090081840304876</v>
      </c>
      <c r="Q1761" s="19">
        <f ca="1">IF(O1761="","",IF(Tipo_Vertedor="Retangular",IF(O1761&lt;=cota_s*100,0,IF(Tipo_Vertedor="Retangular",Cd_sr*Lef_sr*((O1761/100-cota_s)^(3/2))*1000)),IF(O1761&lt;=cota_s*100+fi_s/20,0,(OFFSET('Base de dados'!$A$4,IF(O1761&lt;20,1,IF(O1761&gt;1000,10,MATCH(O1761,Cargas,1))),Coluna_fis,1,1))*(PI()*(fi_s/1000)^2/4)*(2*9.81*(O1761/100-cota_s-fi_s/2/1000))^0.5*1000)))</f>
        <v>8133.5049448561849</v>
      </c>
      <c r="R1761" s="19">
        <f t="shared" ca="1" si="225"/>
        <v>8189.5950266964901</v>
      </c>
      <c r="S1761" s="19">
        <f t="shared" ca="1" si="226"/>
        <v>10693.939248804758</v>
      </c>
    </row>
    <row r="1762" spans="13:19">
      <c r="M1762" s="81">
        <f t="shared" ca="1" si="223"/>
        <v>18898.411490488154</v>
      </c>
      <c r="N1762" s="19">
        <f t="shared" si="224"/>
        <v>321.0231755814491</v>
      </c>
      <c r="O1762" s="17">
        <f t="shared" si="222"/>
        <v>440.25</v>
      </c>
      <c r="P1762" s="19">
        <f ca="1">IF(ISERROR(IF(O1762&lt;fi_h/20,0,(OFFSET('Base de dados'!$A$5,IF(O1762&lt;20,1,IF(O1762&gt;1000,10,MATCH(O1762,Cargas,1))),Coluna_fih,1,1))*(1+0.13*0.25)*(PI()*(fi_h/1000)^2/4)*SQRT(2*9.81*(O1762/100-fi_h/2/1000))*1000)),"",IF(O1762&lt;fi_h/20,0,(OFFSET('Base de dados'!$A$5,IF(O1762&lt;20,1,IF(O1762&gt;1000,10,MATCH(O1762,Cargas,1))),Coluna_fih,1,1))*(PI()*(fi_h/1000)^2/4)*SQRT(2*9.81*(O1762/100-fi_h/2/1000))*1000))</f>
        <v>56.10622110651493</v>
      </c>
      <c r="Q1762" s="19">
        <f ca="1">IF(O1762="","",IF(Tipo_Vertedor="Retangular",IF(O1762&lt;=cota_s*100,0,IF(Tipo_Vertedor="Retangular",Cd_sr*Lef_sr*((O1762/100-cota_s)^(3/2))*1000)),IF(O1762&lt;=cota_s*100+fi_s/20,0,(OFFSET('Base de dados'!$A$4,IF(O1762&lt;20,1,IF(O1762&gt;1000,10,MATCH(O1762,Cargas,1))),Coluna_fis,1,1))*(PI()*(fi_s/1000)^2/4)*(2*9.81*(O1762/100-cota_s-fi_s/2/1000))^0.5*1000)))</f>
        <v>8141.5327500000012</v>
      </c>
      <c r="R1762" s="19">
        <f t="shared" ca="1" si="225"/>
        <v>8197.6389711065167</v>
      </c>
      <c r="S1762" s="19">
        <f t="shared" ca="1" si="226"/>
        <v>10700.772519381637</v>
      </c>
    </row>
    <row r="1763" spans="13:19">
      <c r="M1763" s="81">
        <f t="shared" ca="1" si="223"/>
        <v>18913.291823664698</v>
      </c>
      <c r="N1763" s="19">
        <f t="shared" si="224"/>
        <v>321.22818820098661</v>
      </c>
      <c r="O1763" s="17">
        <f t="shared" si="222"/>
        <v>440.5</v>
      </c>
      <c r="P1763" s="19">
        <f ca="1">IF(ISERROR(IF(O1763&lt;fi_h/20,0,(OFFSET('Base de dados'!$A$5,IF(O1763&lt;20,1,IF(O1763&gt;1000,10,MATCH(O1763,Cargas,1))),Coluna_fih,1,1))*(1+0.13*0.25)*(PI()*(fi_h/1000)^2/4)*SQRT(2*9.81*(O1763/100-fi_h/2/1000))*1000)),"",IF(O1763&lt;fi_h/20,0,(OFFSET('Base de dados'!$A$5,IF(O1763&lt;20,1,IF(O1763&gt;1000,10,MATCH(O1763,Cargas,1))),Coluna_fih,1,1))*(PI()*(fi_h/1000)^2/4)*SQRT(2*9.81*(O1763/100-fi_h/2/1000))*1000))</f>
        <v>56.122355731510282</v>
      </c>
      <c r="Q1763" s="19">
        <f ca="1">IF(O1763="","",IF(Tipo_Vertedor="Retangular",IF(O1763&lt;=cota_s*100,0,IF(Tipo_Vertedor="Retangular",Cd_sr*Lef_sr*((O1763/100-cota_s)^(3/2))*1000)),IF(O1763&lt;=cota_s*100+fi_s/20,0,(OFFSET('Base de dados'!$A$4,IF(O1763&lt;20,1,IF(O1763&gt;1000,10,MATCH(O1763,Cargas,1))),Coluna_fis,1,1))*(PI()*(fi_s/1000)^2/4)*(2*9.81*(O1763/100-cota_s-fi_s/2/1000))^0.5*1000)))</f>
        <v>8149.5631945669675</v>
      </c>
      <c r="R1763" s="19">
        <f t="shared" ca="1" si="225"/>
        <v>8205.6855502984781</v>
      </c>
      <c r="S1763" s="19">
        <f t="shared" ca="1" si="226"/>
        <v>10707.60627336622</v>
      </c>
    </row>
    <row r="1764" spans="13:19">
      <c r="M1764" s="81">
        <f t="shared" ca="1" si="223"/>
        <v>18928.17527392746</v>
      </c>
      <c r="N1764" s="19">
        <f t="shared" si="224"/>
        <v>321.43321531554966</v>
      </c>
      <c r="O1764" s="17">
        <f t="shared" si="222"/>
        <v>440.75</v>
      </c>
      <c r="P1764" s="19">
        <f ca="1">IF(ISERROR(IF(O1764&lt;fi_h/20,0,(OFFSET('Base de dados'!$A$5,IF(O1764&lt;20,1,IF(O1764&gt;1000,10,MATCH(O1764,Cargas,1))),Coluna_fih,1,1))*(1+0.13*0.25)*(PI()*(fi_h/1000)^2/4)*SQRT(2*9.81*(O1764/100-fi_h/2/1000))*1000)),"",IF(O1764&lt;fi_h/20,0,(OFFSET('Base de dados'!$A$5,IF(O1764&lt;20,1,IF(O1764&gt;1000,10,MATCH(O1764,Cargas,1))),Coluna_fih,1,1))*(PI()*(fi_h/1000)^2/4)*SQRT(2*9.81*(O1764/100-fi_h/2/1000))*1000))</f>
        <v>56.138485719292675</v>
      </c>
      <c r="Q1764" s="19">
        <f ca="1">IF(O1764="","",IF(Tipo_Vertedor="Retangular",IF(O1764&lt;=cota_s*100,0,IF(Tipo_Vertedor="Retangular",Cd_sr*Lef_sr*((O1764/100-cota_s)^(3/2))*1000)),IF(O1764&lt;=cota_s*100+fi_s/20,0,(OFFSET('Base de dados'!$A$4,IF(O1764&lt;20,1,IF(O1764&gt;1000,10,MATCH(O1764,Cargas,1))),Coluna_fis,1,1))*(PI()*(fi_s/1000)^2/4)*(2*9.81*(O1764/100-cota_s-fi_s/2/1000))^0.5*1000)))</f>
        <v>8157.5962776898441</v>
      </c>
      <c r="R1764" s="19">
        <f t="shared" ca="1" si="225"/>
        <v>8213.7347634091366</v>
      </c>
      <c r="S1764" s="19">
        <f t="shared" ca="1" si="226"/>
        <v>10714.440510518321</v>
      </c>
    </row>
    <row r="1765" spans="13:19">
      <c r="M1765" s="81">
        <f t="shared" ca="1" si="223"/>
        <v>18943.061840174141</v>
      </c>
      <c r="N1765" s="19">
        <f t="shared" si="224"/>
        <v>321.63825691794062</v>
      </c>
      <c r="O1765" s="17">
        <f t="shared" si="222"/>
        <v>441</v>
      </c>
      <c r="P1765" s="19">
        <f ca="1">IF(ISERROR(IF(O1765&lt;fi_h/20,0,(OFFSET('Base de dados'!$A$5,IF(O1765&lt;20,1,IF(O1765&gt;1000,10,MATCH(O1765,Cargas,1))),Coluna_fih,1,1))*(1+0.13*0.25)*(PI()*(fi_h/1000)^2/4)*SQRT(2*9.81*(O1765/100-fi_h/2/1000))*1000)),"",IF(O1765&lt;fi_h/20,0,(OFFSET('Base de dados'!$A$5,IF(O1765&lt;20,1,IF(O1765&gt;1000,10,MATCH(O1765,Cargas,1))),Coluna_fih,1,1))*(PI()*(fi_h/1000)^2/4)*SQRT(2*9.81*(O1765/100-fi_h/2/1000))*1000))</f>
        <v>56.154611073858135</v>
      </c>
      <c r="Q1765" s="19">
        <f ca="1">IF(O1765="","",IF(Tipo_Vertedor="Retangular",IF(O1765&lt;=cota_s*100,0,IF(Tipo_Vertedor="Retangular",Cd_sr*Lef_sr*((O1765/100-cota_s)^(3/2))*1000)),IF(O1765&lt;=cota_s*100+fi_s/20,0,(OFFSET('Base de dados'!$A$4,IF(O1765&lt;20,1,IF(O1765&gt;1000,10,MATCH(O1765,Cargas,1))),Coluna_fis,1,1))*(PI()*(fi_s/1000)^2/4)*(2*9.81*(O1765/100-cota_s-fi_s/2/1000))^0.5*1000)))</f>
        <v>8165.6319985022619</v>
      </c>
      <c r="R1765" s="19">
        <f t="shared" ca="1" si="225"/>
        <v>8221.7866095761201</v>
      </c>
      <c r="S1765" s="19">
        <f t="shared" ca="1" si="226"/>
        <v>10721.275230598021</v>
      </c>
    </row>
    <row r="1766" spans="13:19">
      <c r="M1766" s="81">
        <f t="shared" ca="1" si="223"/>
        <v>18957.951521303519</v>
      </c>
      <c r="N1766" s="19">
        <f t="shared" si="224"/>
        <v>321.84331300096915</v>
      </c>
      <c r="O1766" s="17">
        <f t="shared" si="222"/>
        <v>441.25</v>
      </c>
      <c r="P1766" s="19">
        <f ca="1">IF(ISERROR(IF(O1766&lt;fi_h/20,0,(OFFSET('Base de dados'!$A$5,IF(O1766&lt;20,1,IF(O1766&gt;1000,10,MATCH(O1766,Cargas,1))),Coluna_fih,1,1))*(1+0.13*0.25)*(PI()*(fi_h/1000)^2/4)*SQRT(2*9.81*(O1766/100-fi_h/2/1000))*1000)),"",IF(O1766&lt;fi_h/20,0,(OFFSET('Base de dados'!$A$5,IF(O1766&lt;20,1,IF(O1766&gt;1000,10,MATCH(O1766,Cargas,1))),Coluna_fih,1,1))*(PI()*(fi_h/1000)^2/4)*SQRT(2*9.81*(O1766/100-fi_h/2/1000))*1000))</f>
        <v>56.170731799196929</v>
      </c>
      <c r="Q1766" s="19">
        <f ca="1">IF(O1766="","",IF(Tipo_Vertedor="Retangular",IF(O1766&lt;=cota_s*100,0,IF(Tipo_Vertedor="Retangular",Cd_sr*Lef_sr*((O1766/100-cota_s)^(3/2))*1000)),IF(O1766&lt;=cota_s*100+fi_s/20,0,(OFFSET('Base de dados'!$A$4,IF(O1766&lt;20,1,IF(O1766&gt;1000,10,MATCH(O1766,Cargas,1))),Coluna_fis,1,1))*(PI()*(fi_s/1000)^2/4)*(2*9.81*(O1766/100-cota_s-fi_s/2/1000))^0.5*1000)))</f>
        <v>8173.6703561386857</v>
      </c>
      <c r="R1766" s="19">
        <f t="shared" ca="1" si="225"/>
        <v>8229.8410879378825</v>
      </c>
      <c r="S1766" s="19">
        <f t="shared" ca="1" si="226"/>
        <v>10728.110433365637</v>
      </c>
    </row>
    <row r="1767" spans="13:19">
      <c r="M1767" s="81">
        <f t="shared" ca="1" si="223"/>
        <v>18972.844316215502</v>
      </c>
      <c r="N1767" s="19">
        <f t="shared" si="224"/>
        <v>322.04838355745278</v>
      </c>
      <c r="O1767" s="17">
        <f t="shared" si="222"/>
        <v>441.5</v>
      </c>
      <c r="P1767" s="19">
        <f ca="1">IF(ISERROR(IF(O1767&lt;fi_h/20,0,(OFFSET('Base de dados'!$A$5,IF(O1767&lt;20,1,IF(O1767&gt;1000,10,MATCH(O1767,Cargas,1))),Coluna_fih,1,1))*(1+0.13*0.25)*(PI()*(fi_h/1000)^2/4)*SQRT(2*9.81*(O1767/100-fi_h/2/1000))*1000)),"",IF(O1767&lt;fi_h/20,0,(OFFSET('Base de dados'!$A$5,IF(O1767&lt;20,1,IF(O1767&gt;1000,10,MATCH(O1767,Cargas,1))),Coluna_fih,1,1))*(PI()*(fi_h/1000)^2/4)*SQRT(2*9.81*(O1767/100-fi_h/2/1000))*1000))</f>
        <v>56.186847899293625</v>
      </c>
      <c r="Q1767" s="19">
        <f ca="1">IF(O1767="","",IF(Tipo_Vertedor="Retangular",IF(O1767&lt;=cota_s*100,0,IF(Tipo_Vertedor="Retangular",Cd_sr*Lef_sr*((O1767/100-cota_s)^(3/2))*1000)),IF(O1767&lt;=cota_s*100+fi_s/20,0,(OFFSET('Base de dados'!$A$4,IF(O1767&lt;20,1,IF(O1767&gt;1000,10,MATCH(O1767,Cargas,1))),Coluna_fis,1,1))*(PI()*(fi_s/1000)^2/4)*(2*9.81*(O1767/100-cota_s-fi_s/2/1000))^0.5*1000)))</f>
        <v>8181.711349734449</v>
      </c>
      <c r="R1767" s="19">
        <f t="shared" ca="1" si="225"/>
        <v>8237.8981976337418</v>
      </c>
      <c r="S1767" s="19">
        <f t="shared" ca="1" si="226"/>
        <v>10734.946118581758</v>
      </c>
    </row>
    <row r="1768" spans="13:19">
      <c r="M1768" s="81">
        <f t="shared" ca="1" si="223"/>
        <v>18987.740223811074</v>
      </c>
      <c r="N1768" s="19">
        <f t="shared" si="224"/>
        <v>322.25346858021663</v>
      </c>
      <c r="O1768" s="17">
        <f t="shared" si="222"/>
        <v>441.75</v>
      </c>
      <c r="P1768" s="19">
        <f ca="1">IF(ISERROR(IF(O1768&lt;fi_h/20,0,(OFFSET('Base de dados'!$A$5,IF(O1768&lt;20,1,IF(O1768&gt;1000,10,MATCH(O1768,Cargas,1))),Coluna_fih,1,1))*(1+0.13*0.25)*(PI()*(fi_h/1000)^2/4)*SQRT(2*9.81*(O1768/100-fi_h/2/1000))*1000)),"",IF(O1768&lt;fi_h/20,0,(OFFSET('Base de dados'!$A$5,IF(O1768&lt;20,1,IF(O1768&gt;1000,10,MATCH(O1768,Cargas,1))),Coluna_fih,1,1))*(PI()*(fi_h/1000)^2/4)*SQRT(2*9.81*(O1768/100-fi_h/2/1000))*1000))</f>
        <v>56.202959378127055</v>
      </c>
      <c r="Q1768" s="19">
        <f ca="1">IF(O1768="","",IF(Tipo_Vertedor="Retangular",IF(O1768&lt;=cota_s*100,0,IF(Tipo_Vertedor="Retangular",Cd_sr*Lef_sr*((O1768/100-cota_s)^(3/2))*1000)),IF(O1768&lt;=cota_s*100+fi_s/20,0,(OFFSET('Base de dados'!$A$4,IF(O1768&lt;20,1,IF(O1768&gt;1000,10,MATCH(O1768,Cargas,1))),Coluna_fis,1,1))*(PI()*(fi_s/1000)^2/4)*(2*9.81*(O1768/100-cota_s-fi_s/2/1000))^0.5*1000)))</f>
        <v>8189.7549784257253</v>
      </c>
      <c r="R1768" s="19">
        <f t="shared" ca="1" si="225"/>
        <v>8245.9579378038525</v>
      </c>
      <c r="S1768" s="19">
        <f t="shared" ca="1" si="226"/>
        <v>10741.782286007221</v>
      </c>
    </row>
    <row r="1769" spans="13:19">
      <c r="M1769" s="81">
        <f t="shared" ca="1" si="223"/>
        <v>19002.639242992314</v>
      </c>
      <c r="N1769" s="19">
        <f t="shared" si="224"/>
        <v>322.45856806209326</v>
      </c>
      <c r="O1769" s="17">
        <f t="shared" si="222"/>
        <v>442</v>
      </c>
      <c r="P1769" s="19">
        <f ca="1">IF(ISERROR(IF(O1769&lt;fi_h/20,0,(OFFSET('Base de dados'!$A$5,IF(O1769&lt;20,1,IF(O1769&gt;1000,10,MATCH(O1769,Cargas,1))),Coluna_fih,1,1))*(1+0.13*0.25)*(PI()*(fi_h/1000)^2/4)*SQRT(2*9.81*(O1769/100-fi_h/2/1000))*1000)),"",IF(O1769&lt;fi_h/20,0,(OFFSET('Base de dados'!$A$5,IF(O1769&lt;20,1,IF(O1769&gt;1000,10,MATCH(O1769,Cargas,1))),Coluna_fih,1,1))*(PI()*(fi_h/1000)^2/4)*SQRT(2*9.81*(O1769/100-fi_h/2/1000))*1000))</f>
        <v>56.219066239670347</v>
      </c>
      <c r="Q1769" s="19">
        <f ca="1">IF(O1769="","",IF(Tipo_Vertedor="Retangular",IF(O1769&lt;=cota_s*100,0,IF(Tipo_Vertedor="Retangular",Cd_sr*Lef_sr*((O1769/100-cota_s)^(3/2))*1000)),IF(O1769&lt;=cota_s*100+fi_s/20,0,(OFFSET('Base de dados'!$A$4,IF(O1769&lt;20,1,IF(O1769&gt;1000,10,MATCH(O1769,Cargas,1))),Coluna_fis,1,1))*(PI()*(fi_s/1000)^2/4)*(2*9.81*(O1769/100-cota_s-fi_s/2/1000))^0.5*1000)))</f>
        <v>8197.8012413495362</v>
      </c>
      <c r="R1769" s="19">
        <f t="shared" ca="1" si="225"/>
        <v>8254.0203075892059</v>
      </c>
      <c r="S1769" s="19">
        <f t="shared" ca="1" si="226"/>
        <v>10748.61893540311</v>
      </c>
    </row>
    <row r="1770" spans="13:19">
      <c r="M1770" s="81">
        <f t="shared" ca="1" si="223"/>
        <v>19017.541372662421</v>
      </c>
      <c r="N1770" s="19">
        <f t="shared" si="224"/>
        <v>322.66368199592313</v>
      </c>
      <c r="O1770" s="17">
        <f t="shared" si="222"/>
        <v>442.25</v>
      </c>
      <c r="P1770" s="19">
        <f ca="1">IF(ISERROR(IF(O1770&lt;fi_h/20,0,(OFFSET('Base de dados'!$A$5,IF(O1770&lt;20,1,IF(O1770&gt;1000,10,MATCH(O1770,Cargas,1))),Coluna_fih,1,1))*(1+0.13*0.25)*(PI()*(fi_h/1000)^2/4)*SQRT(2*9.81*(O1770/100-fi_h/2/1000))*1000)),"",IF(O1770&lt;fi_h/20,0,(OFFSET('Base de dados'!$A$5,IF(O1770&lt;20,1,IF(O1770&gt;1000,10,MATCH(O1770,Cargas,1))),Coluna_fih,1,1))*(PI()*(fi_h/1000)^2/4)*SQRT(2*9.81*(O1770/100-fi_h/2/1000))*1000))</f>
        <v>56.235168487890974</v>
      </c>
      <c r="Q1770" s="19">
        <f ca="1">IF(O1770="","",IF(Tipo_Vertedor="Retangular",IF(O1770&lt;=cota_s*100,0,IF(Tipo_Vertedor="Retangular",Cd_sr*Lef_sr*((O1770/100-cota_s)^(3/2))*1000)),IF(O1770&lt;=cota_s*100+fi_s/20,0,(OFFSET('Base de dados'!$A$4,IF(O1770&lt;20,1,IF(O1770&gt;1000,10,MATCH(O1770,Cargas,1))),Coluna_fis,1,1))*(PI()*(fi_s/1000)^2/4)*(2*9.81*(O1770/100-cota_s-fi_s/2/1000))^0.5*1000)))</f>
        <v>8205.8501376437598</v>
      </c>
      <c r="R1770" s="19">
        <f t="shared" ca="1" si="225"/>
        <v>8262.0853061316502</v>
      </c>
      <c r="S1770" s="19">
        <f t="shared" ca="1" si="226"/>
        <v>10755.456066530771</v>
      </c>
    </row>
    <row r="1771" spans="13:19">
      <c r="M1771" s="81">
        <f t="shared" ca="1" si="223"/>
        <v>19032.446611725652</v>
      </c>
      <c r="N1771" s="19">
        <f t="shared" si="224"/>
        <v>322.86881037455413</v>
      </c>
      <c r="O1771" s="17">
        <f t="shared" si="222"/>
        <v>442.5</v>
      </c>
      <c r="P1771" s="19">
        <f ca="1">IF(ISERROR(IF(O1771&lt;fi_h/20,0,(OFFSET('Base de dados'!$A$5,IF(O1771&lt;20,1,IF(O1771&gt;1000,10,MATCH(O1771,Cargas,1))),Coluna_fih,1,1))*(1+0.13*0.25)*(PI()*(fi_h/1000)^2/4)*SQRT(2*9.81*(O1771/100-fi_h/2/1000))*1000)),"",IF(O1771&lt;fi_h/20,0,(OFFSET('Base de dados'!$A$5,IF(O1771&lt;20,1,IF(O1771&gt;1000,10,MATCH(O1771,Cargas,1))),Coluna_fih,1,1))*(PI()*(fi_h/1000)^2/4)*SQRT(2*9.81*(O1771/100-fi_h/2/1000))*1000))</f>
        <v>56.251266126750679</v>
      </c>
      <c r="Q1771" s="19">
        <f ca="1">IF(O1771="","",IF(Tipo_Vertedor="Retangular",IF(O1771&lt;=cota_s*100,0,IF(Tipo_Vertedor="Retangular",Cd_sr*Lef_sr*((O1771/100-cota_s)^(3/2))*1000)),IF(O1771&lt;=cota_s*100+fi_s/20,0,(OFFSET('Base de dados'!$A$4,IF(O1771&lt;20,1,IF(O1771&gt;1000,10,MATCH(O1771,Cargas,1))),Coluna_fis,1,1))*(PI()*(fi_s/1000)^2/4)*(2*9.81*(O1771/100-cota_s-fi_s/2/1000))^0.5*1000)))</f>
        <v>8213.9016664471001</v>
      </c>
      <c r="R1771" s="19">
        <f t="shared" ca="1" si="225"/>
        <v>8270.1529325738502</v>
      </c>
      <c r="S1771" s="19">
        <f t="shared" ca="1" si="226"/>
        <v>10762.293679151804</v>
      </c>
    </row>
    <row r="1772" spans="13:19">
      <c r="M1772" s="81">
        <f t="shared" ca="1" si="223"/>
        <v>19047.354959087403</v>
      </c>
      <c r="N1772" s="19">
        <f t="shared" si="224"/>
        <v>323.07395319084173</v>
      </c>
      <c r="O1772" s="17">
        <f t="shared" si="222"/>
        <v>442.75</v>
      </c>
      <c r="P1772" s="19">
        <f ca="1">IF(ISERROR(IF(O1772&lt;fi_h/20,0,(OFFSET('Base de dados'!$A$5,IF(O1772&lt;20,1,IF(O1772&gt;1000,10,MATCH(O1772,Cargas,1))),Coluna_fih,1,1))*(1+0.13*0.25)*(PI()*(fi_h/1000)^2/4)*SQRT(2*9.81*(O1772/100-fi_h/2/1000))*1000)),"",IF(O1772&lt;fi_h/20,0,(OFFSET('Base de dados'!$A$5,IF(O1772&lt;20,1,IF(O1772&gt;1000,10,MATCH(O1772,Cargas,1))),Coluna_fih,1,1))*(PI()*(fi_h/1000)^2/4)*SQRT(2*9.81*(O1772/100-fi_h/2/1000))*1000))</f>
        <v>56.267359160205586</v>
      </c>
      <c r="Q1772" s="19">
        <f ca="1">IF(O1772="","",IF(Tipo_Vertedor="Retangular",IF(O1772&lt;=cota_s*100,0,IF(Tipo_Vertedor="Retangular",Cd_sr*Lef_sr*((O1772/100-cota_s)^(3/2))*1000)),IF(O1772&lt;=cota_s*100+fi_s/20,0,(OFFSET('Base de dados'!$A$4,IF(O1772&lt;20,1,IF(O1772&gt;1000,10,MATCH(O1772,Cargas,1))),Coluna_fis,1,1))*(PI()*(fi_s/1000)^2/4)*(2*9.81*(O1772/100-cota_s-fi_s/2/1000))^0.5*1000)))</f>
        <v>8221.9558268991386</v>
      </c>
      <c r="R1772" s="19">
        <f t="shared" ca="1" si="225"/>
        <v>8278.2231860593438</v>
      </c>
      <c r="S1772" s="19">
        <f t="shared" ca="1" si="226"/>
        <v>10769.131773028057</v>
      </c>
    </row>
    <row r="1773" spans="13:19">
      <c r="M1773" s="81">
        <f t="shared" ca="1" si="223"/>
        <v>19062.266413654099</v>
      </c>
      <c r="N1773" s="19">
        <f t="shared" si="224"/>
        <v>323.27911043764891</v>
      </c>
      <c r="O1773" s="17">
        <f t="shared" si="222"/>
        <v>443</v>
      </c>
      <c r="P1773" s="19">
        <f ca="1">IF(ISERROR(IF(O1773&lt;fi_h/20,0,(OFFSET('Base de dados'!$A$5,IF(O1773&lt;20,1,IF(O1773&gt;1000,10,MATCH(O1773,Cargas,1))),Coluna_fih,1,1))*(1+0.13*0.25)*(PI()*(fi_h/1000)^2/4)*SQRT(2*9.81*(O1773/100-fi_h/2/1000))*1000)),"",IF(O1773&lt;fi_h/20,0,(OFFSET('Base de dados'!$A$5,IF(O1773&lt;20,1,IF(O1773&gt;1000,10,MATCH(O1773,Cargas,1))),Coluna_fih,1,1))*(PI()*(fi_h/1000)^2/4)*SQRT(2*9.81*(O1773/100-fi_h/2/1000))*1000))</f>
        <v>56.28344759220613</v>
      </c>
      <c r="Q1773" s="19">
        <f ca="1">IF(O1773="","",IF(Tipo_Vertedor="Retangular",IF(O1773&lt;=cota_s*100,0,IF(Tipo_Vertedor="Retangular",Cd_sr*Lef_sr*((O1773/100-cota_s)^(3/2))*1000)),IF(O1773&lt;=cota_s*100+fi_s/20,0,(OFFSET('Base de dados'!$A$4,IF(O1773&lt;20,1,IF(O1773&gt;1000,10,MATCH(O1773,Cargas,1))),Coluna_fis,1,1))*(PI()*(fi_s/1000)^2/4)*(2*9.81*(O1773/100-cota_s-fi_s/2/1000))^0.5*1000)))</f>
        <v>8230.0126181402647</v>
      </c>
      <c r="R1773" s="19">
        <f t="shared" ca="1" si="225"/>
        <v>8286.2960657324711</v>
      </c>
      <c r="S1773" s="19">
        <f t="shared" ca="1" si="226"/>
        <v>10775.97034792163</v>
      </c>
    </row>
    <row r="1774" spans="13:19">
      <c r="M1774" s="81">
        <f t="shared" ca="1" si="223"/>
        <v>19077.180974333311</v>
      </c>
      <c r="N1774" s="19">
        <f t="shared" si="224"/>
        <v>323.48428210784635</v>
      </c>
      <c r="O1774" s="17">
        <f t="shared" si="222"/>
        <v>443.25</v>
      </c>
      <c r="P1774" s="19">
        <f ca="1">IF(ISERROR(IF(O1774&lt;fi_h/20,0,(OFFSET('Base de dados'!$A$5,IF(O1774&lt;20,1,IF(O1774&gt;1000,10,MATCH(O1774,Cargas,1))),Coluna_fih,1,1))*(1+0.13*0.25)*(PI()*(fi_h/1000)^2/4)*SQRT(2*9.81*(O1774/100-fi_h/2/1000))*1000)),"",IF(O1774&lt;fi_h/20,0,(OFFSET('Base de dados'!$A$5,IF(O1774&lt;20,1,IF(O1774&gt;1000,10,MATCH(O1774,Cargas,1))),Coluna_fih,1,1))*(PI()*(fi_h/1000)^2/4)*SQRT(2*9.81*(O1774/100-fi_h/2/1000))*1000))</f>
        <v>56.299531426697129</v>
      </c>
      <c r="Q1774" s="19">
        <f ca="1">IF(O1774="","",IF(Tipo_Vertedor="Retangular",IF(O1774&lt;=cota_s*100,0,IF(Tipo_Vertedor="Retangular",Cd_sr*Lef_sr*((O1774/100-cota_s)^(3/2))*1000)),IF(O1774&lt;=cota_s*100+fi_s/20,0,(OFFSET('Base de dados'!$A$4,IF(O1774&lt;20,1,IF(O1774&gt;1000,10,MATCH(O1774,Cargas,1))),Coluna_fis,1,1))*(PI()*(fi_s/1000)^2/4)*(2*9.81*(O1774/100-cota_s-fi_s/2/1000))^0.5*1000)))</f>
        <v>8238.0720393117354</v>
      </c>
      <c r="R1774" s="19">
        <f t="shared" ca="1" si="225"/>
        <v>8294.3715707384326</v>
      </c>
      <c r="S1774" s="19">
        <f t="shared" ca="1" si="226"/>
        <v>10782.809403594878</v>
      </c>
    </row>
    <row r="1775" spans="13:19">
      <c r="M1775" s="81">
        <f t="shared" ca="1" si="223"/>
        <v>19092.098640033655</v>
      </c>
      <c r="N1775" s="19">
        <f t="shared" si="224"/>
        <v>323.68946819431221</v>
      </c>
      <c r="O1775" s="17">
        <f t="shared" si="222"/>
        <v>443.5</v>
      </c>
      <c r="P1775" s="19">
        <f ca="1">IF(ISERROR(IF(O1775&lt;fi_h/20,0,(OFFSET('Base de dados'!$A$5,IF(O1775&lt;20,1,IF(O1775&gt;1000,10,MATCH(O1775,Cargas,1))),Coluna_fih,1,1))*(1+0.13*0.25)*(PI()*(fi_h/1000)^2/4)*SQRT(2*9.81*(O1775/100-fi_h/2/1000))*1000)),"",IF(O1775&lt;fi_h/20,0,(OFFSET('Base de dados'!$A$5,IF(O1775&lt;20,1,IF(O1775&gt;1000,10,MATCH(O1775,Cargas,1))),Coluna_fih,1,1))*(PI()*(fi_h/1000)^2/4)*SQRT(2*9.81*(O1775/100-fi_h/2/1000))*1000))</f>
        <v>56.315610667617733</v>
      </c>
      <c r="Q1775" s="19">
        <f ca="1">IF(O1775="","",IF(Tipo_Vertedor="Retangular",IF(O1775&lt;=cota_s*100,0,IF(Tipo_Vertedor="Retangular",Cd_sr*Lef_sr*((O1775/100-cota_s)^(3/2))*1000)),IF(O1775&lt;=cota_s*100+fi_s/20,0,(OFFSET('Base de dados'!$A$4,IF(O1775&lt;20,1,IF(O1775&gt;1000,10,MATCH(O1775,Cargas,1))),Coluna_fis,1,1))*(PI()*(fi_s/1000)^2/4)*(2*9.81*(O1775/100-cota_s-fi_s/2/1000))^0.5*1000)))</f>
        <v>8246.1340895556314</v>
      </c>
      <c r="R1775" s="19">
        <f t="shared" ca="1" si="225"/>
        <v>8302.4497002232492</v>
      </c>
      <c r="S1775" s="19">
        <f t="shared" ca="1" si="226"/>
        <v>10789.648939810406</v>
      </c>
    </row>
    <row r="1776" spans="13:19">
      <c r="M1776" s="81">
        <f t="shared" ca="1" si="223"/>
        <v>19107.019409664852</v>
      </c>
      <c r="N1776" s="19">
        <f t="shared" si="224"/>
        <v>323.89466868993202</v>
      </c>
      <c r="O1776" s="17">
        <f t="shared" si="222"/>
        <v>443.75</v>
      </c>
      <c r="P1776" s="19">
        <f ca="1">IF(ISERROR(IF(O1776&lt;fi_h/20,0,(OFFSET('Base de dados'!$A$5,IF(O1776&lt;20,1,IF(O1776&gt;1000,10,MATCH(O1776,Cargas,1))),Coluna_fih,1,1))*(1+0.13*0.25)*(PI()*(fi_h/1000)^2/4)*SQRT(2*9.81*(O1776/100-fi_h/2/1000))*1000)),"",IF(O1776&lt;fi_h/20,0,(OFFSET('Base de dados'!$A$5,IF(O1776&lt;20,1,IF(O1776&gt;1000,10,MATCH(O1776,Cargas,1))),Coluna_fih,1,1))*(PI()*(fi_h/1000)^2/4)*SQRT(2*9.81*(O1776/100-fi_h/2/1000))*1000))</f>
        <v>56.331685318901499</v>
      </c>
      <c r="Q1776" s="19">
        <f ca="1">IF(O1776="","",IF(Tipo_Vertedor="Retangular",IF(O1776&lt;=cota_s*100,0,IF(Tipo_Vertedor="Retangular",Cd_sr*Lef_sr*((O1776/100-cota_s)^(3/2))*1000)),IF(O1776&lt;=cota_s*100+fi_s/20,0,(OFFSET('Base de dados'!$A$4,IF(O1776&lt;20,1,IF(O1776&gt;1000,10,MATCH(O1776,Cargas,1))),Coluna_fis,1,1))*(PI()*(fi_s/1000)^2/4)*(2*9.81*(O1776/100-cota_s-fi_s/2/1000))^0.5*1000)))</f>
        <v>8254.1987680148832</v>
      </c>
      <c r="R1776" s="19">
        <f t="shared" ca="1" si="225"/>
        <v>8310.530453333784</v>
      </c>
      <c r="S1776" s="19">
        <f t="shared" ca="1" si="226"/>
        <v>10796.488956331068</v>
      </c>
    </row>
    <row r="1777" spans="13:19">
      <c r="M1777" s="81">
        <f t="shared" ca="1" si="223"/>
        <v>19121.943282137712</v>
      </c>
      <c r="N1777" s="19">
        <f t="shared" si="224"/>
        <v>324.09988358759938</v>
      </c>
      <c r="O1777" s="17">
        <f t="shared" si="222"/>
        <v>444</v>
      </c>
      <c r="P1777" s="19">
        <f ca="1">IF(ISERROR(IF(O1777&lt;fi_h/20,0,(OFFSET('Base de dados'!$A$5,IF(O1777&lt;20,1,IF(O1777&gt;1000,10,MATCH(O1777,Cargas,1))),Coluna_fih,1,1))*(1+0.13*0.25)*(PI()*(fi_h/1000)^2/4)*SQRT(2*9.81*(O1777/100-fi_h/2/1000))*1000)),"",IF(O1777&lt;fi_h/20,0,(OFFSET('Base de dados'!$A$5,IF(O1777&lt;20,1,IF(O1777&gt;1000,10,MATCH(O1777,Cargas,1))),Coluna_fih,1,1))*(PI()*(fi_h/1000)^2/4)*SQRT(2*9.81*(O1777/100-fi_h/2/1000))*1000))</f>
        <v>56.347755384476372</v>
      </c>
      <c r="Q1777" s="19">
        <f ca="1">IF(O1777="","",IF(Tipo_Vertedor="Retangular",IF(O1777&lt;=cota_s*100,0,IF(Tipo_Vertedor="Retangular",Cd_sr*Lef_sr*((O1777/100-cota_s)^(3/2))*1000)),IF(O1777&lt;=cota_s*100+fi_s/20,0,(OFFSET('Base de dados'!$A$4,IF(O1777&lt;20,1,IF(O1777&gt;1000,10,MATCH(O1777,Cargas,1))),Coluna_fis,1,1))*(PI()*(fi_s/1000)^2/4)*(2*9.81*(O1777/100-cota_s-fi_s/2/1000))^0.5*1000)))</f>
        <v>8262.2660738332579</v>
      </c>
      <c r="R1777" s="19">
        <f t="shared" ca="1" si="225"/>
        <v>8318.6138292177347</v>
      </c>
      <c r="S1777" s="19">
        <f t="shared" ca="1" si="226"/>
        <v>10803.329452919979</v>
      </c>
    </row>
    <row r="1778" spans="13:19">
      <c r="M1778" s="81">
        <f t="shared" ca="1" si="223"/>
        <v>19136.870256364091</v>
      </c>
      <c r="N1778" s="19">
        <f t="shared" si="224"/>
        <v>324.30511288021432</v>
      </c>
      <c r="O1778" s="17">
        <f t="shared" si="222"/>
        <v>444.25</v>
      </c>
      <c r="P1778" s="19">
        <f ca="1">IF(ISERROR(IF(O1778&lt;fi_h/20,0,(OFFSET('Base de dados'!$A$5,IF(O1778&lt;20,1,IF(O1778&gt;1000,10,MATCH(O1778,Cargas,1))),Coluna_fih,1,1))*(1+0.13*0.25)*(PI()*(fi_h/1000)^2/4)*SQRT(2*9.81*(O1778/100-fi_h/2/1000))*1000)),"",IF(O1778&lt;fi_h/20,0,(OFFSET('Base de dados'!$A$5,IF(O1778&lt;20,1,IF(O1778&gt;1000,10,MATCH(O1778,Cargas,1))),Coluna_fih,1,1))*(PI()*(fi_h/1000)^2/4)*SQRT(2*9.81*(O1778/100-fi_h/2/1000))*1000))</f>
        <v>56.363820868264682</v>
      </c>
      <c r="Q1778" s="19">
        <f ca="1">IF(O1778="","",IF(Tipo_Vertedor="Retangular",IF(O1778&lt;=cota_s*100,0,IF(Tipo_Vertedor="Retangular",Cd_sr*Lef_sr*((O1778/100-cota_s)^(3/2))*1000)),IF(O1778&lt;=cota_s*100+fi_s/20,0,(OFFSET('Base de dados'!$A$4,IF(O1778&lt;20,1,IF(O1778&gt;1000,10,MATCH(O1778,Cargas,1))),Coluna_fis,1,1))*(PI()*(fi_s/1000)^2/4)*(2*9.81*(O1778/100-cota_s-fi_s/2/1000))^0.5*1000)))</f>
        <v>8270.3360061553467</v>
      </c>
      <c r="R1778" s="19">
        <f t="shared" ca="1" si="225"/>
        <v>8326.6998270236109</v>
      </c>
      <c r="S1778" s="19">
        <f t="shared" ca="1" si="226"/>
        <v>10810.170429340478</v>
      </c>
    </row>
    <row r="1779" spans="13:19">
      <c r="M1779" s="81">
        <f t="shared" ca="1" si="223"/>
        <v>19151.800331256964</v>
      </c>
      <c r="N1779" s="19">
        <f t="shared" si="224"/>
        <v>324.51035656068558</v>
      </c>
      <c r="O1779" s="17">
        <f t="shared" si="222"/>
        <v>444.5</v>
      </c>
      <c r="P1779" s="19">
        <f ca="1">IF(ISERROR(IF(O1779&lt;fi_h/20,0,(OFFSET('Base de dados'!$A$5,IF(O1779&lt;20,1,IF(O1779&gt;1000,10,MATCH(O1779,Cargas,1))),Coluna_fih,1,1))*(1+0.13*0.25)*(PI()*(fi_h/1000)^2/4)*SQRT(2*9.81*(O1779/100-fi_h/2/1000))*1000)),"",IF(O1779&lt;fi_h/20,0,(OFFSET('Base de dados'!$A$5,IF(O1779&lt;20,1,IF(O1779&gt;1000,10,MATCH(O1779,Cargas,1))),Coluna_fih,1,1))*(PI()*(fi_h/1000)^2/4)*SQRT(2*9.81*(O1779/100-fi_h/2/1000))*1000))</f>
        <v>56.379881774183183</v>
      </c>
      <c r="Q1779" s="19">
        <f ca="1">IF(O1779="","",IF(Tipo_Vertedor="Retangular",IF(O1779&lt;=cota_s*100,0,IF(Tipo_Vertedor="Retangular",Cd_sr*Lef_sr*((O1779/100-cota_s)^(3/2))*1000)),IF(O1779&lt;=cota_s*100+fi_s/20,0,(OFFSET('Base de dados'!$A$4,IF(O1779&lt;20,1,IF(O1779&gt;1000,10,MATCH(O1779,Cargas,1))),Coluna_fis,1,1))*(PI()*(fi_s/1000)^2/4)*(2*9.81*(O1779/100-cota_s-fi_s/2/1000))^0.5*1000)))</f>
        <v>8278.4085641265956</v>
      </c>
      <c r="R1779" s="19">
        <f t="shared" ca="1" si="225"/>
        <v>8334.7884459007782</v>
      </c>
      <c r="S1779" s="19">
        <f t="shared" ca="1" si="226"/>
        <v>10817.011885356185</v>
      </c>
    </row>
    <row r="1780" spans="13:19">
      <c r="M1780" s="81">
        <f t="shared" ca="1" si="223"/>
        <v>19166.733505730357</v>
      </c>
      <c r="N1780" s="19">
        <f t="shared" si="224"/>
        <v>324.71561462192864</v>
      </c>
      <c r="O1780" s="17">
        <f t="shared" si="222"/>
        <v>444.75</v>
      </c>
      <c r="P1780" s="19">
        <f ca="1">IF(ISERROR(IF(O1780&lt;fi_h/20,0,(OFFSET('Base de dados'!$A$5,IF(O1780&lt;20,1,IF(O1780&gt;1000,10,MATCH(O1780,Cargas,1))),Coluna_fih,1,1))*(1+0.13*0.25)*(PI()*(fi_h/1000)^2/4)*SQRT(2*9.81*(O1780/100-fi_h/2/1000))*1000)),"",IF(O1780&lt;fi_h/20,0,(OFFSET('Base de dados'!$A$5,IF(O1780&lt;20,1,IF(O1780&gt;1000,10,MATCH(O1780,Cargas,1))),Coluna_fih,1,1))*(PI()*(fi_h/1000)^2/4)*SQRT(2*9.81*(O1780/100-fi_h/2/1000))*1000))</f>
        <v>56.395938106143028</v>
      </c>
      <c r="Q1780" s="19">
        <f ca="1">IF(O1780="","",IF(Tipo_Vertedor="Retangular",IF(O1780&lt;=cota_s*100,0,IF(Tipo_Vertedor="Retangular",Cd_sr*Lef_sr*((O1780/100-cota_s)^(3/2))*1000)),IF(O1780&lt;=cota_s*100+fi_s/20,0,(OFFSET('Base de dados'!$A$4,IF(O1780&lt;20,1,IF(O1780&gt;1000,10,MATCH(O1780,Cargas,1))),Coluna_fis,1,1))*(PI()*(fi_s/1000)^2/4)*(2*9.81*(O1780/100-cota_s-fi_s/2/1000))^0.5*1000)))</f>
        <v>8286.4837468932601</v>
      </c>
      <c r="R1780" s="19">
        <f t="shared" ca="1" si="225"/>
        <v>8342.8796849994033</v>
      </c>
      <c r="S1780" s="19">
        <f t="shared" ca="1" si="226"/>
        <v>10823.853820730956</v>
      </c>
    </row>
    <row r="1781" spans="13:19">
      <c r="M1781" s="81">
        <f t="shared" ca="1" si="223"/>
        <v>19181.669778699394</v>
      </c>
      <c r="N1781" s="19">
        <f t="shared" si="224"/>
        <v>324.9208870568666</v>
      </c>
      <c r="O1781" s="17">
        <f t="shared" si="222"/>
        <v>445</v>
      </c>
      <c r="P1781" s="19">
        <f ca="1">IF(ISERROR(IF(O1781&lt;fi_h/20,0,(OFFSET('Base de dados'!$A$5,IF(O1781&lt;20,1,IF(O1781&gt;1000,10,MATCH(O1781,Cargas,1))),Coluna_fih,1,1))*(1+0.13*0.25)*(PI()*(fi_h/1000)^2/4)*SQRT(2*9.81*(O1781/100-fi_h/2/1000))*1000)),"",IF(O1781&lt;fi_h/20,0,(OFFSET('Base de dados'!$A$5,IF(O1781&lt;20,1,IF(O1781&gt;1000,10,MATCH(O1781,Cargas,1))),Coluna_fih,1,1))*(PI()*(fi_h/1000)^2/4)*SQRT(2*9.81*(O1781/100-fi_h/2/1000))*1000))</f>
        <v>56.411989868049844</v>
      </c>
      <c r="Q1781" s="19">
        <f ca="1">IF(O1781="","",IF(Tipo_Vertedor="Retangular",IF(O1781&lt;=cota_s*100,0,IF(Tipo_Vertedor="Retangular",Cd_sr*Lef_sr*((O1781/100-cota_s)^(3/2))*1000)),IF(O1781&lt;=cota_s*100+fi_s/20,0,(OFFSET('Base de dados'!$A$4,IF(O1781&lt;20,1,IF(O1781&gt;1000,10,MATCH(O1781,Cargas,1))),Coluna_fis,1,1))*(PI()*(fi_s/1000)^2/4)*(2*9.81*(O1781/100-cota_s-fi_s/2/1000))^0.5*1000)))</f>
        <v>8294.5615536024579</v>
      </c>
      <c r="R1781" s="19">
        <f t="shared" ca="1" si="225"/>
        <v>8350.9735434705071</v>
      </c>
      <c r="S1781" s="19">
        <f t="shared" ca="1" si="226"/>
        <v>10830.696235228887</v>
      </c>
    </row>
    <row r="1782" spans="13:19">
      <c r="M1782" s="81">
        <f t="shared" ca="1" si="223"/>
        <v>19196.60914908025</v>
      </c>
      <c r="N1782" s="19">
        <f t="shared" si="224"/>
        <v>325.12617385843015</v>
      </c>
      <c r="O1782" s="17">
        <f t="shared" si="222"/>
        <v>445.25</v>
      </c>
      <c r="P1782" s="19">
        <f ca="1">IF(ISERROR(IF(O1782&lt;fi_h/20,0,(OFFSET('Base de dados'!$A$5,IF(O1782&lt;20,1,IF(O1782&gt;1000,10,MATCH(O1782,Cargas,1))),Coluna_fih,1,1))*(1+0.13*0.25)*(PI()*(fi_h/1000)^2/4)*SQRT(2*9.81*(O1782/100-fi_h/2/1000))*1000)),"",IF(O1782&lt;fi_h/20,0,(OFFSET('Base de dados'!$A$5,IF(O1782&lt;20,1,IF(O1782&gt;1000,10,MATCH(O1782,Cargas,1))),Coluna_fih,1,1))*(PI()*(fi_h/1000)^2/4)*SQRT(2*9.81*(O1782/100-fi_h/2/1000))*1000))</f>
        <v>56.428037063803671</v>
      </c>
      <c r="Q1782" s="19">
        <f ca="1">IF(O1782="","",IF(Tipo_Vertedor="Retangular",IF(O1782&lt;=cota_s*100,0,IF(Tipo_Vertedor="Retangular",Cd_sr*Lef_sr*((O1782/100-cota_s)^(3/2))*1000)),IF(O1782&lt;=cota_s*100+fi_s/20,0,(OFFSET('Base de dados'!$A$4,IF(O1782&lt;20,1,IF(O1782&gt;1000,10,MATCH(O1782,Cargas,1))),Coluna_fis,1,1))*(PI()*(fi_s/1000)^2/4)*(2*9.81*(O1782/100-cota_s-fi_s/2/1000))^0.5*1000)))</f>
        <v>8302.641983402109</v>
      </c>
      <c r="R1782" s="19">
        <f t="shared" ca="1" si="225"/>
        <v>8359.0700204659133</v>
      </c>
      <c r="S1782" s="19">
        <f t="shared" ca="1" si="226"/>
        <v>10837.539128614339</v>
      </c>
    </row>
    <row r="1783" spans="13:19">
      <c r="M1783" s="81">
        <f t="shared" ca="1" si="223"/>
        <v>19211.551615790191</v>
      </c>
      <c r="N1783" s="19">
        <f t="shared" si="224"/>
        <v>325.33147501955727</v>
      </c>
      <c r="O1783" s="17">
        <f t="shared" si="222"/>
        <v>445.5</v>
      </c>
      <c r="P1783" s="19">
        <f ca="1">IF(ISERROR(IF(O1783&lt;fi_h/20,0,(OFFSET('Base de dados'!$A$5,IF(O1783&lt;20,1,IF(O1783&gt;1000,10,MATCH(O1783,Cargas,1))),Coluna_fih,1,1))*(1+0.13*0.25)*(PI()*(fi_h/1000)^2/4)*SQRT(2*9.81*(O1783/100-fi_h/2/1000))*1000)),"",IF(O1783&lt;fi_h/20,0,(OFFSET('Base de dados'!$A$5,IF(O1783&lt;20,1,IF(O1783&gt;1000,10,MATCH(O1783,Cargas,1))),Coluna_fih,1,1))*(PI()*(fi_h/1000)^2/4)*SQRT(2*9.81*(O1783/100-fi_h/2/1000))*1000))</f>
        <v>56.444079697299031</v>
      </c>
      <c r="Q1783" s="19">
        <f ca="1">IF(O1783="","",IF(Tipo_Vertedor="Retangular",IF(O1783&lt;=cota_s*100,0,IF(Tipo_Vertedor="Retangular",Cd_sr*Lef_sr*((O1783/100-cota_s)^(3/2))*1000)),IF(O1783&lt;=cota_s*100+fi_s/20,0,(OFFSET('Base de dados'!$A$4,IF(O1783&lt;20,1,IF(O1783&gt;1000,10,MATCH(O1783,Cargas,1))),Coluna_fis,1,1))*(PI()*(fi_s/1000)^2/4)*(2*9.81*(O1783/100-cota_s-fi_s/2/1000))^0.5*1000)))</f>
        <v>8310.7250354409825</v>
      </c>
      <c r="R1783" s="19">
        <f t="shared" ca="1" si="225"/>
        <v>8367.169115138282</v>
      </c>
      <c r="S1783" s="19">
        <f t="shared" ca="1" si="226"/>
        <v>10844.382500651909</v>
      </c>
    </row>
    <row r="1784" spans="13:19">
      <c r="M1784" s="81">
        <f t="shared" ca="1" si="223"/>
        <v>19226.497177747537</v>
      </c>
      <c r="N1784" s="19">
        <f t="shared" si="224"/>
        <v>325.53679053319343</v>
      </c>
      <c r="O1784" s="17">
        <f t="shared" si="222"/>
        <v>445.75</v>
      </c>
      <c r="P1784" s="19">
        <f ca="1">IF(ISERROR(IF(O1784&lt;fi_h/20,0,(OFFSET('Base de dados'!$A$5,IF(O1784&lt;20,1,IF(O1784&gt;1000,10,MATCH(O1784,Cargas,1))),Coluna_fih,1,1))*(1+0.13*0.25)*(PI()*(fi_h/1000)^2/4)*SQRT(2*9.81*(O1784/100-fi_h/2/1000))*1000)),"",IF(O1784&lt;fi_h/20,0,(OFFSET('Base de dados'!$A$5,IF(O1784&lt;20,1,IF(O1784&gt;1000,10,MATCH(O1784,Cargas,1))),Coluna_fih,1,1))*(PI()*(fi_h/1000)^2/4)*SQRT(2*9.81*(O1784/100-fi_h/2/1000))*1000))</f>
        <v>56.460117772424873</v>
      </c>
      <c r="Q1784" s="19">
        <f ca="1">IF(O1784="","",IF(Tipo_Vertedor="Retangular",IF(O1784&lt;=cota_s*100,0,IF(Tipo_Vertedor="Retangular",Cd_sr*Lef_sr*((O1784/100-cota_s)^(3/2))*1000)),IF(O1784&lt;=cota_s*100+fi_s/20,0,(OFFSET('Base de dados'!$A$4,IF(O1784&lt;20,1,IF(O1784&gt;1000,10,MATCH(O1784,Cargas,1))),Coluna_fis,1,1))*(PI()*(fi_s/1000)^2/4)*(2*9.81*(O1784/100-cota_s-fi_s/2/1000))^0.5*1000)))</f>
        <v>8318.8107088686611</v>
      </c>
      <c r="R1784" s="19">
        <f t="shared" ca="1" si="225"/>
        <v>8375.2708266410864</v>
      </c>
      <c r="S1784" s="19">
        <f t="shared" ca="1" si="226"/>
        <v>10851.226351106448</v>
      </c>
    </row>
    <row r="1785" spans="13:19">
      <c r="M1785" s="81">
        <f t="shared" ca="1" si="223"/>
        <v>19241.445833871687</v>
      </c>
      <c r="N1785" s="19">
        <f t="shared" si="224"/>
        <v>325.74212039229144</v>
      </c>
      <c r="O1785" s="17">
        <f t="shared" si="222"/>
        <v>446</v>
      </c>
      <c r="P1785" s="19">
        <f ca="1">IF(ISERROR(IF(O1785&lt;fi_h/20,0,(OFFSET('Base de dados'!$A$5,IF(O1785&lt;20,1,IF(O1785&gt;1000,10,MATCH(O1785,Cargas,1))),Coluna_fih,1,1))*(1+0.13*0.25)*(PI()*(fi_h/1000)^2/4)*SQRT(2*9.81*(O1785/100-fi_h/2/1000))*1000)),"",IF(O1785&lt;fi_h/20,0,(OFFSET('Base de dados'!$A$5,IF(O1785&lt;20,1,IF(O1785&gt;1000,10,MATCH(O1785,Cargas,1))),Coluna_fih,1,1))*(PI()*(fi_h/1000)^2/4)*SQRT(2*9.81*(O1785/100-fi_h/2/1000))*1000))</f>
        <v>56.476151293064675</v>
      </c>
      <c r="Q1785" s="19">
        <f ca="1">IF(O1785="","",IF(Tipo_Vertedor="Retangular",IF(O1785&lt;=cota_s*100,0,IF(Tipo_Vertedor="Retangular",Cd_sr*Lef_sr*((O1785/100-cota_s)^(3/2))*1000)),IF(O1785&lt;=cota_s*100+fi_s/20,0,(OFFSET('Base de dados'!$A$4,IF(O1785&lt;20,1,IF(O1785&gt;1000,10,MATCH(O1785,Cargas,1))),Coluna_fis,1,1))*(PI()*(fi_s/1000)^2/4)*(2*9.81*(O1785/100-cota_s-fi_s/2/1000))^0.5*1000)))</f>
        <v>8326.8990028355711</v>
      </c>
      <c r="R1785" s="19">
        <f t="shared" ca="1" si="225"/>
        <v>8383.3751541286365</v>
      </c>
      <c r="S1785" s="19">
        <f t="shared" ca="1" si="226"/>
        <v>10858.070679743048</v>
      </c>
    </row>
    <row r="1786" spans="13:19">
      <c r="M1786" s="81">
        <f t="shared" ca="1" si="223"/>
        <v>19256.397583083108</v>
      </c>
      <c r="N1786" s="19">
        <f t="shared" si="224"/>
        <v>325.94746458981194</v>
      </c>
      <c r="O1786" s="17">
        <f t="shared" si="222"/>
        <v>446.25</v>
      </c>
      <c r="P1786" s="19">
        <f ca="1">IF(ISERROR(IF(O1786&lt;fi_h/20,0,(OFFSET('Base de dados'!$A$5,IF(O1786&lt;20,1,IF(O1786&gt;1000,10,MATCH(O1786,Cargas,1))),Coluna_fih,1,1))*(1+0.13*0.25)*(PI()*(fi_h/1000)^2/4)*SQRT(2*9.81*(O1786/100-fi_h/2/1000))*1000)),"",IF(O1786&lt;fi_h/20,0,(OFFSET('Base de dados'!$A$5,IF(O1786&lt;20,1,IF(O1786&gt;1000,10,MATCH(O1786,Cargas,1))),Coluna_fih,1,1))*(PI()*(fi_h/1000)^2/4)*SQRT(2*9.81*(O1786/100-fi_h/2/1000))*1000))</f>
        <v>56.492180263096351</v>
      </c>
      <c r="Q1786" s="19">
        <f ca="1">IF(O1786="","",IF(Tipo_Vertedor="Retangular",IF(O1786&lt;=cota_s*100,0,IF(Tipo_Vertedor="Retangular",Cd_sr*Lef_sr*((O1786/100-cota_s)^(3/2))*1000)),IF(O1786&lt;=cota_s*100+fi_s/20,0,(OFFSET('Base de dados'!$A$4,IF(O1786&lt;20,1,IF(O1786&gt;1000,10,MATCH(O1786,Cargas,1))),Coluna_fis,1,1))*(PI()*(fi_s/1000)^2/4)*(2*9.81*(O1786/100-cota_s-fi_s/2/1000))^0.5*1000)))</f>
        <v>8334.9899164929484</v>
      </c>
      <c r="R1786" s="19">
        <f t="shared" ca="1" si="225"/>
        <v>8391.4820967560445</v>
      </c>
      <c r="S1786" s="19">
        <f t="shared" ca="1" si="226"/>
        <v>10864.915486327063</v>
      </c>
    </row>
    <row r="1787" spans="13:19">
      <c r="M1787" s="81">
        <f t="shared" ca="1" si="223"/>
        <v>19271.352424303317</v>
      </c>
      <c r="N1787" s="19">
        <f t="shared" si="224"/>
        <v>326.15282311872215</v>
      </c>
      <c r="O1787" s="17">
        <f t="shared" si="222"/>
        <v>446.5</v>
      </c>
      <c r="P1787" s="19">
        <f ca="1">IF(ISERROR(IF(O1787&lt;fi_h/20,0,(OFFSET('Base de dados'!$A$5,IF(O1787&lt;20,1,IF(O1787&gt;1000,10,MATCH(O1787,Cargas,1))),Coluna_fih,1,1))*(1+0.13*0.25)*(PI()*(fi_h/1000)^2/4)*SQRT(2*9.81*(O1787/100-fi_h/2/1000))*1000)),"",IF(O1787&lt;fi_h/20,0,(OFFSET('Base de dados'!$A$5,IF(O1787&lt;20,1,IF(O1787&gt;1000,10,MATCH(O1787,Cargas,1))),Coluna_fih,1,1))*(PI()*(fi_h/1000)^2/4)*SQRT(2*9.81*(O1787/100-fi_h/2/1000))*1000))</f>
        <v>56.508204686392368</v>
      </c>
      <c r="Q1787" s="19">
        <f ca="1">IF(O1787="","",IF(Tipo_Vertedor="Retangular",IF(O1787&lt;=cota_s*100,0,IF(Tipo_Vertedor="Retangular",Cd_sr*Lef_sr*((O1787/100-cota_s)^(3/2))*1000)),IF(O1787&lt;=cota_s*100+fi_s/20,0,(OFFSET('Base de dados'!$A$4,IF(O1787&lt;20,1,IF(O1787&gt;1000,10,MATCH(O1787,Cargas,1))),Coluna_fis,1,1))*(PI()*(fi_s/1000)^2/4)*(2*9.81*(O1787/100-cota_s-fi_s/2/1000))^0.5*1000)))</f>
        <v>8343.0834489928529</v>
      </c>
      <c r="R1787" s="19">
        <f t="shared" ca="1" si="225"/>
        <v>8399.5916536792447</v>
      </c>
      <c r="S1787" s="19">
        <f t="shared" ca="1" si="226"/>
        <v>10871.760770624072</v>
      </c>
    </row>
    <row r="1788" spans="13:19">
      <c r="M1788" s="81">
        <f t="shared" ca="1" si="223"/>
        <v>19286.310356454924</v>
      </c>
      <c r="N1788" s="19">
        <f t="shared" si="224"/>
        <v>326.35819597199747</v>
      </c>
      <c r="O1788" s="17">
        <f t="shared" si="222"/>
        <v>446.75</v>
      </c>
      <c r="P1788" s="19">
        <f ca="1">IF(ISERROR(IF(O1788&lt;fi_h/20,0,(OFFSET('Base de dados'!$A$5,IF(O1788&lt;20,1,IF(O1788&gt;1000,10,MATCH(O1788,Cargas,1))),Coluna_fih,1,1))*(1+0.13*0.25)*(PI()*(fi_h/1000)^2/4)*SQRT(2*9.81*(O1788/100-fi_h/2/1000))*1000)),"",IF(O1788&lt;fi_h/20,0,(OFFSET('Base de dados'!$A$5,IF(O1788&lt;20,1,IF(O1788&gt;1000,10,MATCH(O1788,Cargas,1))),Coluna_fih,1,1))*(PI()*(fi_h/1000)^2/4)*SQRT(2*9.81*(O1788/100-fi_h/2/1000))*1000))</f>
        <v>56.524224566819662</v>
      </c>
      <c r="Q1788" s="19">
        <f ca="1">IF(O1788="","",IF(Tipo_Vertedor="Retangular",IF(O1788&lt;=cota_s*100,0,IF(Tipo_Vertedor="Retangular",Cd_sr*Lef_sr*((O1788/100-cota_s)^(3/2))*1000)),IF(O1788&lt;=cota_s*100+fi_s/20,0,(OFFSET('Base de dados'!$A$4,IF(O1788&lt;20,1,IF(O1788&gt;1000,10,MATCH(O1788,Cargas,1))),Coluna_fis,1,1))*(PI()*(fi_s/1000)^2/4)*(2*9.81*(O1788/100-cota_s-fi_s/2/1000))^0.5*1000)))</f>
        <v>8351.1795994881886</v>
      </c>
      <c r="R1788" s="19">
        <f t="shared" ca="1" si="225"/>
        <v>8407.7038240550082</v>
      </c>
      <c r="S1788" s="19">
        <f t="shared" ca="1" si="226"/>
        <v>10878.606532399916</v>
      </c>
    </row>
    <row r="1789" spans="13:19">
      <c r="M1789" s="81">
        <f t="shared" ca="1" si="223"/>
        <v>19301.27137846157</v>
      </c>
      <c r="N1789" s="19">
        <f t="shared" si="224"/>
        <v>326.56358314262019</v>
      </c>
      <c r="O1789" s="17">
        <f t="shared" si="222"/>
        <v>447</v>
      </c>
      <c r="P1789" s="19">
        <f ca="1">IF(ISERROR(IF(O1789&lt;fi_h/20,0,(OFFSET('Base de dados'!$A$5,IF(O1789&lt;20,1,IF(O1789&gt;1000,10,MATCH(O1789,Cargas,1))),Coluna_fih,1,1))*(1+0.13*0.25)*(PI()*(fi_h/1000)^2/4)*SQRT(2*9.81*(O1789/100-fi_h/2/1000))*1000)),"",IF(O1789&lt;fi_h/20,0,(OFFSET('Base de dados'!$A$5,IF(O1789&lt;20,1,IF(O1789&gt;1000,10,MATCH(O1789,Cargas,1))),Coluna_fih,1,1))*(PI()*(fi_h/1000)^2/4)*SQRT(2*9.81*(O1789/100-fi_h/2/1000))*1000))</f>
        <v>56.540239908239698</v>
      </c>
      <c r="Q1789" s="19">
        <f ca="1">IF(O1789="","",IF(Tipo_Vertedor="Retangular",IF(O1789&lt;=cota_s*100,0,IF(Tipo_Vertedor="Retangular",Cd_sr*Lef_sr*((O1789/100-cota_s)^(3/2))*1000)),IF(O1789&lt;=cota_s*100+fi_s/20,0,(OFFSET('Base de dados'!$A$4,IF(O1789&lt;20,1,IF(O1789&gt;1000,10,MATCH(O1789,Cargas,1))),Coluna_fis,1,1))*(PI()*(fi_s/1000)^2/4)*(2*9.81*(O1789/100-cota_s-fi_s/2/1000))^0.5*1000)))</f>
        <v>8359.2783671326561</v>
      </c>
      <c r="R1789" s="19">
        <f t="shared" ca="1" si="225"/>
        <v>8415.8186070408956</v>
      </c>
      <c r="S1789" s="19">
        <f t="shared" ca="1" si="226"/>
        <v>10885.452771420672</v>
      </c>
    </row>
    <row r="1790" spans="13:19">
      <c r="M1790" s="81">
        <f t="shared" ca="1" si="223"/>
        <v>19316.235489247978</v>
      </c>
      <c r="N1790" s="19">
        <f t="shared" si="224"/>
        <v>326.76898462358037</v>
      </c>
      <c r="O1790" s="17">
        <f t="shared" si="222"/>
        <v>447.25</v>
      </c>
      <c r="P1790" s="19">
        <f ca="1">IF(ISERROR(IF(O1790&lt;fi_h/20,0,(OFFSET('Base de dados'!$A$5,IF(O1790&lt;20,1,IF(O1790&gt;1000,10,MATCH(O1790,Cargas,1))),Coluna_fih,1,1))*(1+0.13*0.25)*(PI()*(fi_h/1000)^2/4)*SQRT(2*9.81*(O1790/100-fi_h/2/1000))*1000)),"",IF(O1790&lt;fi_h/20,0,(OFFSET('Base de dados'!$A$5,IF(O1790&lt;20,1,IF(O1790&gt;1000,10,MATCH(O1790,Cargas,1))),Coluna_fih,1,1))*(PI()*(fi_h/1000)^2/4)*SQRT(2*9.81*(O1790/100-fi_h/2/1000))*1000))</f>
        <v>56.556250714508515</v>
      </c>
      <c r="Q1790" s="19">
        <f ca="1">IF(O1790="","",IF(Tipo_Vertedor="Retangular",IF(O1790&lt;=cota_s*100,0,IF(Tipo_Vertedor="Retangular",Cd_sr*Lef_sr*((O1790/100-cota_s)^(3/2))*1000)),IF(O1790&lt;=cota_s*100+fi_s/20,0,(OFFSET('Base de dados'!$A$4,IF(O1790&lt;20,1,IF(O1790&gt;1000,10,MATCH(O1790,Cargas,1))),Coluna_fis,1,1))*(PI()*(fi_s/1000)^2/4)*(2*9.81*(O1790/100-cota_s-fi_s/2/1000))^0.5*1000)))</f>
        <v>8367.379751080789</v>
      </c>
      <c r="R1790" s="19">
        <f t="shared" ca="1" si="225"/>
        <v>8423.9360017952968</v>
      </c>
      <c r="S1790" s="19">
        <f t="shared" ca="1" si="226"/>
        <v>10892.299487452679</v>
      </c>
    </row>
    <row r="1791" spans="13:19">
      <c r="M1791" s="81">
        <f t="shared" ca="1" si="223"/>
        <v>19331.202687739911</v>
      </c>
      <c r="N1791" s="19">
        <f t="shared" si="224"/>
        <v>326.97440040787478</v>
      </c>
      <c r="O1791" s="17">
        <f t="shared" si="222"/>
        <v>447.5</v>
      </c>
      <c r="P1791" s="19">
        <f ca="1">IF(ISERROR(IF(O1791&lt;fi_h/20,0,(OFFSET('Base de dados'!$A$5,IF(O1791&lt;20,1,IF(O1791&gt;1000,10,MATCH(O1791,Cargas,1))),Coluna_fih,1,1))*(1+0.13*0.25)*(PI()*(fi_h/1000)^2/4)*SQRT(2*9.81*(O1791/100-fi_h/2/1000))*1000)),"",IF(O1791&lt;fi_h/20,0,(OFFSET('Base de dados'!$A$5,IF(O1791&lt;20,1,IF(O1791&gt;1000,10,MATCH(O1791,Cargas,1))),Coluna_fih,1,1))*(PI()*(fi_h/1000)^2/4)*SQRT(2*9.81*(O1791/100-fi_h/2/1000))*1000))</f>
        <v>56.572256989476628</v>
      </c>
      <c r="Q1791" s="19">
        <f ca="1">IF(O1791="","",IF(Tipo_Vertedor="Retangular",IF(O1791&lt;=cota_s*100,0,IF(Tipo_Vertedor="Retangular",Cd_sr*Lef_sr*((O1791/100-cota_s)^(3/2))*1000)),IF(O1791&lt;=cota_s*100+fi_s/20,0,(OFFSET('Base de dados'!$A$4,IF(O1791&lt;20,1,IF(O1791&gt;1000,10,MATCH(O1791,Cargas,1))),Coluna_fis,1,1))*(PI()*(fi_s/1000)^2/4)*(2*9.81*(O1791/100-cota_s-fi_s/2/1000))^0.5*1000)))</f>
        <v>8375.4837504879397</v>
      </c>
      <c r="R1791" s="19">
        <f t="shared" ca="1" si="225"/>
        <v>8432.0560074774166</v>
      </c>
      <c r="S1791" s="19">
        <f t="shared" ca="1" si="226"/>
        <v>10899.146680262493</v>
      </c>
    </row>
    <row r="1792" spans="13:19">
      <c r="M1792" s="81">
        <f t="shared" ca="1" si="223"/>
        <v>19346.172972864202</v>
      </c>
      <c r="N1792" s="19">
        <f t="shared" si="224"/>
        <v>327.17983048850834</v>
      </c>
      <c r="O1792" s="17">
        <f t="shared" si="222"/>
        <v>447.75</v>
      </c>
      <c r="P1792" s="19">
        <f ca="1">IF(ISERROR(IF(O1792&lt;fi_h/20,0,(OFFSET('Base de dados'!$A$5,IF(O1792&lt;20,1,IF(O1792&gt;1000,10,MATCH(O1792,Cargas,1))),Coluna_fih,1,1))*(1+0.13*0.25)*(PI()*(fi_h/1000)^2/4)*SQRT(2*9.81*(O1792/100-fi_h/2/1000))*1000)),"",IF(O1792&lt;fi_h/20,0,(OFFSET('Base de dados'!$A$5,IF(O1792&lt;20,1,IF(O1792&gt;1000,10,MATCH(O1792,Cargas,1))),Coluna_fih,1,1))*(PI()*(fi_h/1000)^2/4)*SQRT(2*9.81*(O1792/100-fi_h/2/1000))*1000))</f>
        <v>56.588258736989161</v>
      </c>
      <c r="Q1792" s="19">
        <f ca="1">IF(O1792="","",IF(Tipo_Vertedor="Retangular",IF(O1792&lt;=cota_s*100,0,IF(Tipo_Vertedor="Retangular",Cd_sr*Lef_sr*((O1792/100-cota_s)^(3/2))*1000)),IF(O1792&lt;=cota_s*100+fi_s/20,0,(OFFSET('Base de dados'!$A$4,IF(O1792&lt;20,1,IF(O1792&gt;1000,10,MATCH(O1792,Cargas,1))),Coluna_fis,1,1))*(PI()*(fi_s/1000)^2/4)*(2*9.81*(O1792/100-cota_s-fi_s/2/1000))^0.5*1000)))</f>
        <v>8383.5903645102699</v>
      </c>
      <c r="R1792" s="19">
        <f t="shared" ca="1" si="225"/>
        <v>8440.1786232472587</v>
      </c>
      <c r="S1792" s="19">
        <f t="shared" ca="1" si="226"/>
        <v>10905.994349616945</v>
      </c>
    </row>
    <row r="1793" spans="13:19">
      <c r="M1793" s="81">
        <f t="shared" ca="1" si="223"/>
        <v>19361.146343548746</v>
      </c>
      <c r="N1793" s="19">
        <f t="shared" si="224"/>
        <v>327.38527485849261</v>
      </c>
      <c r="O1793" s="17">
        <f t="shared" si="222"/>
        <v>448</v>
      </c>
      <c r="P1793" s="19">
        <f ca="1">IF(ISERROR(IF(O1793&lt;fi_h/20,0,(OFFSET('Base de dados'!$A$5,IF(O1793&lt;20,1,IF(O1793&gt;1000,10,MATCH(O1793,Cargas,1))),Coluna_fih,1,1))*(1+0.13*0.25)*(PI()*(fi_h/1000)^2/4)*SQRT(2*9.81*(O1793/100-fi_h/2/1000))*1000)),"",IF(O1793&lt;fi_h/20,0,(OFFSET('Base de dados'!$A$5,IF(O1793&lt;20,1,IF(O1793&gt;1000,10,MATCH(O1793,Cargas,1))),Coluna_fih,1,1))*(PI()*(fi_h/1000)^2/4)*SQRT(2*9.81*(O1793/100-fi_h/2/1000))*1000))</f>
        <v>56.604255960885787</v>
      </c>
      <c r="Q1793" s="19">
        <f ca="1">IF(O1793="","",IF(Tipo_Vertedor="Retangular",IF(O1793&lt;=cota_s*100,0,IF(Tipo_Vertedor="Retangular",Cd_sr*Lef_sr*((O1793/100-cota_s)^(3/2))*1000)),IF(O1793&lt;=cota_s*100+fi_s/20,0,(OFFSET('Base de dados'!$A$4,IF(O1793&lt;20,1,IF(O1793&gt;1000,10,MATCH(O1793,Cargas,1))),Coluna_fis,1,1))*(PI()*(fi_s/1000)^2/4)*(2*9.81*(O1793/100-cota_s-fi_s/2/1000))^0.5*1000)))</f>
        <v>8391.6995923047725</v>
      </c>
      <c r="R1793" s="19">
        <f t="shared" ca="1" si="225"/>
        <v>8448.3038482656575</v>
      </c>
      <c r="S1793" s="19">
        <f t="shared" ca="1" si="226"/>
        <v>10912.842495283086</v>
      </c>
    </row>
    <row r="1794" spans="13:19">
      <c r="M1794" s="81">
        <f t="shared" ca="1" si="223"/>
        <v>19376.122798722452</v>
      </c>
      <c r="N1794" s="19">
        <f t="shared" si="224"/>
        <v>327.59073351084675</v>
      </c>
      <c r="O1794" s="17">
        <f t="shared" si="222"/>
        <v>448.25</v>
      </c>
      <c r="P1794" s="19">
        <f ca="1">IF(ISERROR(IF(O1794&lt;fi_h/20,0,(OFFSET('Base de dados'!$A$5,IF(O1794&lt;20,1,IF(O1794&gt;1000,10,MATCH(O1794,Cargas,1))),Coluna_fih,1,1))*(1+0.13*0.25)*(PI()*(fi_h/1000)^2/4)*SQRT(2*9.81*(O1794/100-fi_h/2/1000))*1000)),"",IF(O1794&lt;fi_h/20,0,(OFFSET('Base de dados'!$A$5,IF(O1794&lt;20,1,IF(O1794&gt;1000,10,MATCH(O1794,Cargas,1))),Coluna_fih,1,1))*(PI()*(fi_h/1000)^2/4)*SQRT(2*9.81*(O1794/100-fi_h/2/1000))*1000))</f>
        <v>56.620248665000723</v>
      </c>
      <c r="Q1794" s="19">
        <f ca="1">IF(O1794="","",IF(Tipo_Vertedor="Retangular",IF(O1794&lt;=cota_s*100,0,IF(Tipo_Vertedor="Retangular",Cd_sr*Lef_sr*((O1794/100-cota_s)^(3/2))*1000)),IF(O1794&lt;=cota_s*100+fi_s/20,0,(OFFSET('Base de dados'!$A$4,IF(O1794&lt;20,1,IF(O1794&gt;1000,10,MATCH(O1794,Cargas,1))),Coluna_fis,1,1))*(PI()*(fi_s/1000)^2/4)*(2*9.81*(O1794/100-cota_s-fi_s/2/1000))^0.5*1000)))</f>
        <v>8399.8114330292283</v>
      </c>
      <c r="R1794" s="19">
        <f t="shared" ca="1" si="225"/>
        <v>8456.4316816942282</v>
      </c>
      <c r="S1794" s="19">
        <f t="shared" ca="1" si="226"/>
        <v>10919.691117028224</v>
      </c>
    </row>
    <row r="1795" spans="13:19">
      <c r="M1795" s="81">
        <f t="shared" ca="1" si="223"/>
        <v>19391.102337315344</v>
      </c>
      <c r="N1795" s="19">
        <f t="shared" si="224"/>
        <v>327.79620643859727</v>
      </c>
      <c r="O1795" s="17">
        <f t="shared" si="222"/>
        <v>448.5</v>
      </c>
      <c r="P1795" s="19">
        <f ca="1">IF(ISERROR(IF(O1795&lt;fi_h/20,0,(OFFSET('Base de dados'!$A$5,IF(O1795&lt;20,1,IF(O1795&gt;1000,10,MATCH(O1795,Cargas,1))),Coluna_fih,1,1))*(1+0.13*0.25)*(PI()*(fi_h/1000)^2/4)*SQRT(2*9.81*(O1795/100-fi_h/2/1000))*1000)),"",IF(O1795&lt;fi_h/20,0,(OFFSET('Base de dados'!$A$5,IF(O1795&lt;20,1,IF(O1795&gt;1000,10,MATCH(O1795,Cargas,1))),Coluna_fih,1,1))*(PI()*(fi_h/1000)^2/4)*SQRT(2*9.81*(O1795/100-fi_h/2/1000))*1000))</f>
        <v>56.636236853162835</v>
      </c>
      <c r="Q1795" s="19">
        <f ca="1">IF(O1795="","",IF(Tipo_Vertedor="Retangular",IF(O1795&lt;=cota_s*100,0,IF(Tipo_Vertedor="Retangular",Cd_sr*Lef_sr*((O1795/100-cota_s)^(3/2))*1000)),IF(O1795&lt;=cota_s*100+fi_s/20,0,(OFFSET('Base de dados'!$A$4,IF(O1795&lt;20,1,IF(O1795&gt;1000,10,MATCH(O1795,Cargas,1))),Coluna_fis,1,1))*(PI()*(fi_s/1000)^2/4)*(2*9.81*(O1795/100-cota_s-fi_s/2/1000))^0.5*1000)))</f>
        <v>8407.9258858422691</v>
      </c>
      <c r="R1795" s="19">
        <f t="shared" ca="1" si="225"/>
        <v>8464.5621226954318</v>
      </c>
      <c r="S1795" s="19">
        <f t="shared" ca="1" si="226"/>
        <v>10926.54021461991</v>
      </c>
    </row>
    <row r="1796" spans="13:19">
      <c r="M1796" s="81">
        <f t="shared" ca="1" si="223"/>
        <v>19406.084958258434</v>
      </c>
      <c r="N1796" s="19">
        <f t="shared" si="224"/>
        <v>328.00169363477789</v>
      </c>
      <c r="O1796" s="17">
        <f t="shared" si="222"/>
        <v>448.75</v>
      </c>
      <c r="P1796" s="19">
        <f ca="1">IF(ISERROR(IF(O1796&lt;fi_h/20,0,(OFFSET('Base de dados'!$A$5,IF(O1796&lt;20,1,IF(O1796&gt;1000,10,MATCH(O1796,Cargas,1))),Coluna_fih,1,1))*(1+0.13*0.25)*(PI()*(fi_h/1000)^2/4)*SQRT(2*9.81*(O1796/100-fi_h/2/1000))*1000)),"",IF(O1796&lt;fi_h/20,0,(OFFSET('Base de dados'!$A$5,IF(O1796&lt;20,1,IF(O1796&gt;1000,10,MATCH(O1796,Cargas,1))),Coluna_fih,1,1))*(PI()*(fi_h/1000)^2/4)*SQRT(2*9.81*(O1796/100-fi_h/2/1000))*1000))</f>
        <v>56.652220529195525</v>
      </c>
      <c r="Q1796" s="19">
        <f ca="1">IF(O1796="","",IF(Tipo_Vertedor="Retangular",IF(O1796&lt;=cota_s*100,0,IF(Tipo_Vertedor="Retangular",Cd_sr*Lef_sr*((O1796/100-cota_s)^(3/2))*1000)),IF(O1796&lt;=cota_s*100+fi_s/20,0,(OFFSET('Base de dados'!$A$4,IF(O1796&lt;20,1,IF(O1796&gt;1000,10,MATCH(O1796,Cargas,1))),Coluna_fis,1,1))*(PI()*(fi_s/1000)^2/4)*(2*9.81*(O1796/100-cota_s-fi_s/2/1000))^0.5*1000)))</f>
        <v>8416.0429499033089</v>
      </c>
      <c r="R1796" s="19">
        <f t="shared" ca="1" si="225"/>
        <v>8472.6951704325038</v>
      </c>
      <c r="S1796" s="19">
        <f t="shared" ca="1" si="226"/>
        <v>10933.38978782593</v>
      </c>
    </row>
    <row r="1797" spans="13:19">
      <c r="M1797" s="81">
        <f t="shared" ca="1" si="223"/>
        <v>19421.070660483827</v>
      </c>
      <c r="N1797" s="19">
        <f t="shared" si="224"/>
        <v>328.20719509242974</v>
      </c>
      <c r="O1797" s="17">
        <f t="shared" si="222"/>
        <v>449</v>
      </c>
      <c r="P1797" s="19">
        <f ca="1">IF(ISERROR(IF(O1797&lt;fi_h/20,0,(OFFSET('Base de dados'!$A$5,IF(O1797&lt;20,1,IF(O1797&gt;1000,10,MATCH(O1797,Cargas,1))),Coluna_fih,1,1))*(1+0.13*0.25)*(PI()*(fi_h/1000)^2/4)*SQRT(2*9.81*(O1797/100-fi_h/2/1000))*1000)),"",IF(O1797&lt;fi_h/20,0,(OFFSET('Base de dados'!$A$5,IF(O1797&lt;20,1,IF(O1797&gt;1000,10,MATCH(O1797,Cargas,1))),Coluna_fih,1,1))*(PI()*(fi_h/1000)^2/4)*SQRT(2*9.81*(O1797/100-fi_h/2/1000))*1000))</f>
        <v>56.668199696916837</v>
      </c>
      <c r="Q1797" s="19">
        <f ca="1">IF(O1797="","",IF(Tipo_Vertedor="Retangular",IF(O1797&lt;=cota_s*100,0,IF(Tipo_Vertedor="Retangular",Cd_sr*Lef_sr*((O1797/100-cota_s)^(3/2))*1000)),IF(O1797&lt;=cota_s*100+fi_s/20,0,(OFFSET('Base de dados'!$A$4,IF(O1797&lt;20,1,IF(O1797&gt;1000,10,MATCH(O1797,Cargas,1))),Coluna_fis,1,1))*(PI()*(fi_s/1000)^2/4)*(2*9.81*(O1797/100-cota_s-fi_s/2/1000))^0.5*1000)))</f>
        <v>8424.1626243725859</v>
      </c>
      <c r="R1797" s="19">
        <f t="shared" ca="1" si="225"/>
        <v>8480.8308240695023</v>
      </c>
      <c r="S1797" s="19">
        <f t="shared" ca="1" si="226"/>
        <v>10940.239836414325</v>
      </c>
    </row>
    <row r="1798" spans="13:19">
      <c r="M1798" s="81">
        <f t="shared" ca="1" si="223"/>
        <v>19436.059442924648</v>
      </c>
      <c r="N1798" s="19">
        <f t="shared" si="224"/>
        <v>328.41271080460092</v>
      </c>
      <c r="O1798" s="17">
        <f t="shared" si="222"/>
        <v>449.25</v>
      </c>
      <c r="P1798" s="19">
        <f ca="1">IF(ISERROR(IF(O1798&lt;fi_h/20,0,(OFFSET('Base de dados'!$A$5,IF(O1798&lt;20,1,IF(O1798&gt;1000,10,MATCH(O1798,Cargas,1))),Coluna_fih,1,1))*(1+0.13*0.25)*(PI()*(fi_h/1000)^2/4)*SQRT(2*9.81*(O1798/100-fi_h/2/1000))*1000)),"",IF(O1798&lt;fi_h/20,0,(OFFSET('Base de dados'!$A$5,IF(O1798&lt;20,1,IF(O1798&gt;1000,10,MATCH(O1798,Cargas,1))),Coluna_fih,1,1))*(PI()*(fi_h/1000)^2/4)*SQRT(2*9.81*(O1798/100-fi_h/2/1000))*1000))</f>
        <v>56.68417436013943</v>
      </c>
      <c r="Q1798" s="19">
        <f ca="1">IF(O1798="","",IF(Tipo_Vertedor="Retangular",IF(O1798&lt;=cota_s*100,0,IF(Tipo_Vertedor="Retangular",Cd_sr*Lef_sr*((O1798/100-cota_s)^(3/2))*1000)),IF(O1798&lt;=cota_s*100+fi_s/20,0,(OFFSET('Base de dados'!$A$4,IF(O1798&lt;20,1,IF(O1798&gt;1000,10,MATCH(O1798,Cargas,1))),Coluna_fis,1,1))*(PI()*(fi_s/1000)^2/4)*(2*9.81*(O1798/100-cota_s-fi_s/2/1000))^0.5*1000)))</f>
        <v>8432.284908411144</v>
      </c>
      <c r="R1798" s="19">
        <f t="shared" ca="1" si="225"/>
        <v>8488.9690827712839</v>
      </c>
      <c r="S1798" s="19">
        <f t="shared" ca="1" si="226"/>
        <v>10947.090360153363</v>
      </c>
    </row>
    <row r="1799" spans="13:19">
      <c r="M1799" s="81">
        <f t="shared" ca="1" si="223"/>
        <v>19451.051304515073</v>
      </c>
      <c r="N1799" s="19">
        <f t="shared" si="224"/>
        <v>328.61824076434704</v>
      </c>
      <c r="O1799" s="17">
        <f t="shared" si="222"/>
        <v>449.5</v>
      </c>
      <c r="P1799" s="19">
        <f ca="1">IF(ISERROR(IF(O1799&lt;fi_h/20,0,(OFFSET('Base de dados'!$A$5,IF(O1799&lt;20,1,IF(O1799&gt;1000,10,MATCH(O1799,Cargas,1))),Coluna_fih,1,1))*(1+0.13*0.25)*(PI()*(fi_h/1000)^2/4)*SQRT(2*9.81*(O1799/100-fi_h/2/1000))*1000)),"",IF(O1799&lt;fi_h/20,0,(OFFSET('Base de dados'!$A$5,IF(O1799&lt;20,1,IF(O1799&gt;1000,10,MATCH(O1799,Cargas,1))),Coluna_fih,1,1))*(PI()*(fi_h/1000)^2/4)*SQRT(2*9.81*(O1799/100-fi_h/2/1000))*1000))</f>
        <v>56.700144522670591</v>
      </c>
      <c r="Q1799" s="19">
        <f ca="1">IF(O1799="","",IF(Tipo_Vertedor="Retangular",IF(O1799&lt;=cota_s*100,0,IF(Tipo_Vertedor="Retangular",Cd_sr*Lef_sr*((O1799/100-cota_s)^(3/2))*1000)),IF(O1799&lt;=cota_s*100+fi_s/20,0,(OFFSET('Base de dados'!$A$4,IF(O1799&lt;20,1,IF(O1799&gt;1000,10,MATCH(O1799,Cargas,1))),Coluna_fis,1,1))*(PI()*(fi_s/1000)^2/4)*(2*9.81*(O1799/100-cota_s-fi_s/2/1000))^0.5*1000)))</f>
        <v>8440.4098011808364</v>
      </c>
      <c r="R1799" s="19">
        <f t="shared" ca="1" si="225"/>
        <v>8497.109945703507</v>
      </c>
      <c r="S1799" s="19">
        <f t="shared" ca="1" si="226"/>
        <v>10953.941358811568</v>
      </c>
    </row>
    <row r="1800" spans="13:19">
      <c r="M1800" s="81">
        <f t="shared" ca="1" si="223"/>
        <v>19466.046244190329</v>
      </c>
      <c r="N1800" s="19">
        <f t="shared" si="224"/>
        <v>328.82378496473075</v>
      </c>
      <c r="O1800" s="17">
        <f t="shared" si="222"/>
        <v>449.75</v>
      </c>
      <c r="P1800" s="19">
        <f ca="1">IF(ISERROR(IF(O1800&lt;fi_h/20,0,(OFFSET('Base de dados'!$A$5,IF(O1800&lt;20,1,IF(O1800&gt;1000,10,MATCH(O1800,Cargas,1))),Coluna_fih,1,1))*(1+0.13*0.25)*(PI()*(fi_h/1000)^2/4)*SQRT(2*9.81*(O1800/100-fi_h/2/1000))*1000)),"",IF(O1800&lt;fi_h/20,0,(OFFSET('Base de dados'!$A$5,IF(O1800&lt;20,1,IF(O1800&gt;1000,10,MATCH(O1800,Cargas,1))),Coluna_fih,1,1))*(PI()*(fi_h/1000)^2/4)*SQRT(2*9.81*(O1800/100-fi_h/2/1000))*1000))</f>
        <v>56.716110188312236</v>
      </c>
      <c r="Q1800" s="19">
        <f ca="1">IF(O1800="","",IF(Tipo_Vertedor="Retangular",IF(O1800&lt;=cota_s*100,0,IF(Tipo_Vertedor="Retangular",Cd_sr*Lef_sr*((O1800/100-cota_s)^(3/2))*1000)),IF(O1800&lt;=cota_s*100+fi_s/20,0,(OFFSET('Base de dados'!$A$4,IF(O1800&lt;20,1,IF(O1800&gt;1000,10,MATCH(O1800,Cargas,1))),Coluna_fis,1,1))*(PI()*(fi_s/1000)^2/4)*(2*9.81*(O1800/100-cota_s-fi_s/2/1000))^0.5*1000)))</f>
        <v>8448.5373018443242</v>
      </c>
      <c r="R1800" s="19">
        <f t="shared" ca="1" si="225"/>
        <v>8505.2534120326363</v>
      </c>
      <c r="S1800" s="19">
        <f t="shared" ca="1" si="226"/>
        <v>10960.792832157691</v>
      </c>
    </row>
    <row r="1801" spans="13:19">
      <c r="M1801" s="81">
        <f t="shared" ca="1" si="223"/>
        <v>19481.044260886676</v>
      </c>
      <c r="N1801" s="19">
        <f t="shared" si="224"/>
        <v>329.02934339882233</v>
      </c>
      <c r="O1801" s="17">
        <f t="shared" si="222"/>
        <v>450</v>
      </c>
      <c r="P1801" s="19">
        <f ca="1">IF(ISERROR(IF(O1801&lt;fi_h/20,0,(OFFSET('Base de dados'!$A$5,IF(O1801&lt;20,1,IF(O1801&gt;1000,10,MATCH(O1801,Cargas,1))),Coluna_fih,1,1))*(1+0.13*0.25)*(PI()*(fi_h/1000)^2/4)*SQRT(2*9.81*(O1801/100-fi_h/2/1000))*1000)),"",IF(O1801&lt;fi_h/20,0,(OFFSET('Base de dados'!$A$5,IF(O1801&lt;20,1,IF(O1801&gt;1000,10,MATCH(O1801,Cargas,1))),Coluna_fih,1,1))*(PI()*(fi_h/1000)^2/4)*SQRT(2*9.81*(O1801/100-fi_h/2/1000))*1000))</f>
        <v>56.732071360860942</v>
      </c>
      <c r="Q1801" s="19">
        <f ca="1">IF(O1801="","",IF(Tipo_Vertedor="Retangular",IF(O1801&lt;=cota_s*100,0,IF(Tipo_Vertedor="Retangular",Cd_sr*Lef_sr*((O1801/100-cota_s)^(3/2))*1000)),IF(O1801&lt;=cota_s*100+fi_s/20,0,(OFFSET('Base de dados'!$A$4,IF(O1801&lt;20,1,IF(O1801&gt;1000,10,MATCH(O1801,Cargas,1))),Coluna_fis,1,1))*(PI()*(fi_s/1000)^2/4)*(2*9.81*(O1801/100-cota_s-fi_s/2/1000))^0.5*1000)))</f>
        <v>8456.6674095650706</v>
      </c>
      <c r="R1801" s="19">
        <f t="shared" ca="1" si="225"/>
        <v>8513.3994809259311</v>
      </c>
      <c r="S1801" s="19">
        <f t="shared" ca="1" si="226"/>
        <v>10967.644779960745</v>
      </c>
    </row>
    <row r="1802" spans="13:19">
      <c r="M1802" s="81">
        <f t="shared" ca="1" si="223"/>
        <v>19496.04535354142</v>
      </c>
      <c r="N1802" s="19">
        <f t="shared" si="224"/>
        <v>329.23491605969878</v>
      </c>
      <c r="O1802" s="17">
        <f t="shared" si="222"/>
        <v>450.25</v>
      </c>
      <c r="P1802" s="19">
        <f ca="1">IF(ISERROR(IF(O1802&lt;fi_h/20,0,(OFFSET('Base de dados'!$A$5,IF(O1802&lt;20,1,IF(O1802&gt;1000,10,MATCH(O1802,Cargas,1))),Coluna_fih,1,1))*(1+0.13*0.25)*(PI()*(fi_h/1000)^2/4)*SQRT(2*9.81*(O1802/100-fi_h/2/1000))*1000)),"",IF(O1802&lt;fi_h/20,0,(OFFSET('Base de dados'!$A$5,IF(O1802&lt;20,1,IF(O1802&gt;1000,10,MATCH(O1802,Cargas,1))),Coluna_fih,1,1))*(PI()*(fi_h/1000)^2/4)*SQRT(2*9.81*(O1802/100-fi_h/2/1000))*1000))</f>
        <v>56.74802804410794</v>
      </c>
      <c r="Q1802" s="19">
        <f ca="1">IF(O1802="","",IF(Tipo_Vertedor="Retangular",IF(O1802&lt;=cota_s*100,0,IF(Tipo_Vertedor="Retangular",Cd_sr*Lef_sr*((O1802/100-cota_s)^(3/2))*1000)),IF(O1802&lt;=cota_s*100+fi_s/20,0,(OFFSET('Base de dados'!$A$4,IF(O1802&lt;20,1,IF(O1802&gt;1000,10,MATCH(O1802,Cargas,1))),Coluna_fis,1,1))*(PI()*(fi_s/1000)^2/4)*(2*9.81*(O1802/100-cota_s-fi_s/2/1000))^0.5*1000)))</f>
        <v>8464.8001235073534</v>
      </c>
      <c r="R1802" s="19">
        <f t="shared" ca="1" si="225"/>
        <v>8521.5481515514621</v>
      </c>
      <c r="S1802" s="19">
        <f t="shared" ca="1" si="226"/>
        <v>10974.49720198996</v>
      </c>
    </row>
    <row r="1803" spans="13:19">
      <c r="M1803" s="81">
        <f t="shared" ca="1" si="223"/>
        <v>19511.049521092897</v>
      </c>
      <c r="N1803" s="19">
        <f t="shared" si="224"/>
        <v>329.44050294044462</v>
      </c>
      <c r="O1803" s="17">
        <f t="shared" si="222"/>
        <v>450.5</v>
      </c>
      <c r="P1803" s="19">
        <f ca="1">IF(ISERROR(IF(O1803&lt;fi_h/20,0,(OFFSET('Base de dados'!$A$5,IF(O1803&lt;20,1,IF(O1803&gt;1000,10,MATCH(O1803,Cargas,1))),Coluna_fih,1,1))*(1+0.13*0.25)*(PI()*(fi_h/1000)^2/4)*SQRT(2*9.81*(O1803/100-fi_h/2/1000))*1000)),"",IF(O1803&lt;fi_h/20,0,(OFFSET('Base de dados'!$A$5,IF(O1803&lt;20,1,IF(O1803&gt;1000,10,MATCH(O1803,Cargas,1))),Coluna_fih,1,1))*(PI()*(fi_h/1000)^2/4)*SQRT(2*9.81*(O1803/100-fi_h/2/1000))*1000))</f>
        <v>56.763980241839128</v>
      </c>
      <c r="Q1803" s="19">
        <f ca="1">IF(O1803="","",IF(Tipo_Vertedor="Retangular",IF(O1803&lt;=cota_s*100,0,IF(Tipo_Vertedor="Retangular",Cd_sr*Lef_sr*((O1803/100-cota_s)^(3/2))*1000)),IF(O1803&lt;=cota_s*100+fi_s/20,0,(OFFSET('Base de dados'!$A$4,IF(O1803&lt;20,1,IF(O1803&gt;1000,10,MATCH(O1803,Cargas,1))),Coluna_fis,1,1))*(PI()*(fi_s/1000)^2/4)*(2*9.81*(O1803/100-cota_s-fi_s/2/1000))^0.5*1000)))</f>
        <v>8472.9354428362367</v>
      </c>
      <c r="R1803" s="19">
        <f t="shared" ca="1" si="225"/>
        <v>8529.6994230780765</v>
      </c>
      <c r="S1803" s="19">
        <f t="shared" ca="1" si="226"/>
        <v>10981.35009801482</v>
      </c>
    </row>
    <row r="1804" spans="13:19">
      <c r="M1804" s="81">
        <f t="shared" ca="1" si="223"/>
        <v>19526.056762480497</v>
      </c>
      <c r="N1804" s="19">
        <f t="shared" si="224"/>
        <v>329.64610403415156</v>
      </c>
      <c r="O1804" s="17">
        <f t="shared" si="222"/>
        <v>450.75</v>
      </c>
      <c r="P1804" s="19">
        <f ca="1">IF(ISERROR(IF(O1804&lt;fi_h/20,0,(OFFSET('Base de dados'!$A$5,IF(O1804&lt;20,1,IF(O1804&gt;1000,10,MATCH(O1804,Cargas,1))),Coluna_fih,1,1))*(1+0.13*0.25)*(PI()*(fi_h/1000)^2/4)*SQRT(2*9.81*(O1804/100-fi_h/2/1000))*1000)),"",IF(O1804&lt;fi_h/20,0,(OFFSET('Base de dados'!$A$5,IF(O1804&lt;20,1,IF(O1804&gt;1000,10,MATCH(O1804,Cargas,1))),Coluna_fih,1,1))*(PI()*(fi_h/1000)^2/4)*SQRT(2*9.81*(O1804/100-fi_h/2/1000))*1000))</f>
        <v>56.779927957835127</v>
      </c>
      <c r="Q1804" s="19">
        <f ca="1">IF(O1804="","",IF(Tipo_Vertedor="Retangular",IF(O1804&lt;=cota_s*100,0,IF(Tipo_Vertedor="Retangular",Cd_sr*Lef_sr*((O1804/100-cota_s)^(3/2))*1000)),IF(O1804&lt;=cota_s*100+fi_s/20,0,(OFFSET('Base de dados'!$A$4,IF(O1804&lt;20,1,IF(O1804&gt;1000,10,MATCH(O1804,Cargas,1))),Coluna_fis,1,1))*(PI()*(fi_s/1000)^2/4)*(2*9.81*(O1804/100-cota_s-fi_s/2/1000))^0.5*1000)))</f>
        <v>8481.07336671761</v>
      </c>
      <c r="R1804" s="19">
        <f t="shared" ca="1" si="225"/>
        <v>8537.8532946754458</v>
      </c>
      <c r="S1804" s="19">
        <f t="shared" ca="1" si="226"/>
        <v>10988.203467805053</v>
      </c>
    </row>
    <row r="1805" spans="13:19">
      <c r="M1805" s="81">
        <f t="shared" ca="1" si="223"/>
        <v>19541.067076644613</v>
      </c>
      <c r="N1805" s="19">
        <f t="shared" si="224"/>
        <v>329.85171933391831</v>
      </c>
      <c r="O1805" s="17">
        <f t="shared" si="222"/>
        <v>451</v>
      </c>
      <c r="P1805" s="19">
        <f ca="1">IF(ISERROR(IF(O1805&lt;fi_h/20,0,(OFFSET('Base de dados'!$A$5,IF(O1805&lt;20,1,IF(O1805&gt;1000,10,MATCH(O1805,Cargas,1))),Coluna_fih,1,1))*(1+0.13*0.25)*(PI()*(fi_h/1000)^2/4)*SQRT(2*9.81*(O1805/100-fi_h/2/1000))*1000)),"",IF(O1805&lt;fi_h/20,0,(OFFSET('Base de dados'!$A$5,IF(O1805&lt;20,1,IF(O1805&gt;1000,10,MATCH(O1805,Cargas,1))),Coluna_fih,1,1))*(PI()*(fi_h/1000)^2/4)*SQRT(2*9.81*(O1805/100-fi_h/2/1000))*1000))</f>
        <v>56.795871195871179</v>
      </c>
      <c r="Q1805" s="19">
        <f ca="1">IF(O1805="","",IF(Tipo_Vertedor="Retangular",IF(O1805&lt;=cota_s*100,0,IF(Tipo_Vertedor="Retangular",Cd_sr*Lef_sr*((O1805/100-cota_s)^(3/2))*1000)),IF(O1805&lt;=cota_s*100+fi_s/20,0,(OFFSET('Base de dados'!$A$4,IF(O1805&lt;20,1,IF(O1805&gt;1000,10,MATCH(O1805,Cargas,1))),Coluna_fis,1,1))*(PI()*(fi_s/1000)^2/4)*(2*9.81*(O1805/100-cota_s-fi_s/2/1000))^0.5*1000)))</f>
        <v>8489.2138943181308</v>
      </c>
      <c r="R1805" s="19">
        <f t="shared" ca="1" si="225"/>
        <v>8546.0097655140016</v>
      </c>
      <c r="S1805" s="19">
        <f t="shared" ca="1" si="226"/>
        <v>10995.057311130609</v>
      </c>
    </row>
    <row r="1806" spans="13:19">
      <c r="M1806" s="81">
        <f t="shared" ca="1" si="223"/>
        <v>19556.080462526705</v>
      </c>
      <c r="N1806" s="19">
        <f t="shared" si="224"/>
        <v>330.05734883285083</v>
      </c>
      <c r="O1806" s="17">
        <f t="shared" si="222"/>
        <v>451.25</v>
      </c>
      <c r="P1806" s="19">
        <f ca="1">IF(ISERROR(IF(O1806&lt;fi_h/20,0,(OFFSET('Base de dados'!$A$5,IF(O1806&lt;20,1,IF(O1806&gt;1000,10,MATCH(O1806,Cargas,1))),Coluna_fih,1,1))*(1+0.13*0.25)*(PI()*(fi_h/1000)^2/4)*SQRT(2*9.81*(O1806/100-fi_h/2/1000))*1000)),"",IF(O1806&lt;fi_h/20,0,(OFFSET('Base de dados'!$A$5,IF(O1806&lt;20,1,IF(O1806&gt;1000,10,MATCH(O1806,Cargas,1))),Coluna_fih,1,1))*(PI()*(fi_h/1000)^2/4)*SQRT(2*9.81*(O1806/100-fi_h/2/1000))*1000))</f>
        <v>56.811809959717287</v>
      </c>
      <c r="Q1806" s="19">
        <f ca="1">IF(O1806="","",IF(Tipo_Vertedor="Retangular",IF(O1806&lt;=cota_s*100,0,IF(Tipo_Vertedor="Retangular",Cd_sr*Lef_sr*((O1806/100-cota_s)^(3/2))*1000)),IF(O1806&lt;=cota_s*100+fi_s/20,0,(OFFSET('Base de dados'!$A$4,IF(O1806&lt;20,1,IF(O1806&gt;1000,10,MATCH(O1806,Cargas,1))),Coluna_fis,1,1))*(PI()*(fi_s/1000)^2/4)*(2*9.81*(O1806/100-cota_s-fi_s/2/1000))^0.5*1000)))</f>
        <v>8497.3570248052929</v>
      </c>
      <c r="R1806" s="19">
        <f t="shared" ca="1" si="225"/>
        <v>8554.1688347650106</v>
      </c>
      <c r="S1806" s="19">
        <f t="shared" ca="1" si="226"/>
        <v>11001.911627761694</v>
      </c>
    </row>
    <row r="1807" spans="13:19">
      <c r="M1807" s="81">
        <f t="shared" ca="1" si="223"/>
        <v>19571.096919069241</v>
      </c>
      <c r="N1807" s="19">
        <f t="shared" si="224"/>
        <v>330.26299252406233</v>
      </c>
      <c r="O1807" s="17">
        <f t="shared" si="222"/>
        <v>451.5</v>
      </c>
      <c r="P1807" s="19">
        <f ca="1">IF(ISERROR(IF(O1807&lt;fi_h/20,0,(OFFSET('Base de dados'!$A$5,IF(O1807&lt;20,1,IF(O1807&gt;1000,10,MATCH(O1807,Cargas,1))),Coluna_fih,1,1))*(1+0.13*0.25)*(PI()*(fi_h/1000)^2/4)*SQRT(2*9.81*(O1807/100-fi_h/2/1000))*1000)),"",IF(O1807&lt;fi_h/20,0,(OFFSET('Base de dados'!$A$5,IF(O1807&lt;20,1,IF(O1807&gt;1000,10,MATCH(O1807,Cargas,1))),Coluna_fih,1,1))*(PI()*(fi_h/1000)^2/4)*SQRT(2*9.81*(O1807/100-fi_h/2/1000))*1000))</f>
        <v>56.82774425313815</v>
      </c>
      <c r="Q1807" s="19">
        <f ca="1">IF(O1807="","",IF(Tipo_Vertedor="Retangular",IF(O1807&lt;=cota_s*100,0,IF(Tipo_Vertedor="Retangular",Cd_sr*Lef_sr*((O1807/100-cota_s)^(3/2))*1000)),IF(O1807&lt;=cota_s*100+fi_s/20,0,(OFFSET('Base de dados'!$A$4,IF(O1807&lt;20,1,IF(O1807&gt;1000,10,MATCH(O1807,Cargas,1))),Coluna_fis,1,1))*(PI()*(fi_s/1000)^2/4)*(2*9.81*(O1807/100-cota_s-fi_s/2/1000))^0.5*1000)))</f>
        <v>8505.5027573473562</v>
      </c>
      <c r="R1807" s="19">
        <f t="shared" ca="1" si="225"/>
        <v>8562.3305016004942</v>
      </c>
      <c r="S1807" s="19">
        <f t="shared" ca="1" si="226"/>
        <v>11008.766417468745</v>
      </c>
    </row>
    <row r="1808" spans="13:19">
      <c r="M1808" s="81">
        <f t="shared" ca="1" si="223"/>
        <v>19586.116445215743</v>
      </c>
      <c r="N1808" s="19">
        <f t="shared" si="224"/>
        <v>330.46865040067331</v>
      </c>
      <c r="O1808" s="17">
        <f t="shared" si="222"/>
        <v>451.75</v>
      </c>
      <c r="P1808" s="19">
        <f ca="1">IF(ISERROR(IF(O1808&lt;fi_h/20,0,(OFFSET('Base de dados'!$A$5,IF(O1808&lt;20,1,IF(O1808&gt;1000,10,MATCH(O1808,Cargas,1))),Coluna_fih,1,1))*(1+0.13*0.25)*(PI()*(fi_h/1000)^2/4)*SQRT(2*9.81*(O1808/100-fi_h/2/1000))*1000)),"",IF(O1808&lt;fi_h/20,0,(OFFSET('Base de dados'!$A$5,IF(O1808&lt;20,1,IF(O1808&gt;1000,10,MATCH(O1808,Cargas,1))),Coluna_fih,1,1))*(PI()*(fi_h/1000)^2/4)*SQRT(2*9.81*(O1808/100-fi_h/2/1000))*1000))</f>
        <v>56.843674079893169</v>
      </c>
      <c r="Q1808" s="19">
        <f ca="1">IF(O1808="","",IF(Tipo_Vertedor="Retangular",IF(O1808&lt;=cota_s*100,0,IF(Tipo_Vertedor="Retangular",Cd_sr*Lef_sr*((O1808/100-cota_s)^(3/2))*1000)),IF(O1808&lt;=cota_s*100+fi_s/20,0,(OFFSET('Base de dados'!$A$4,IF(O1808&lt;20,1,IF(O1808&gt;1000,10,MATCH(O1808,Cargas,1))),Coluna_fis,1,1))*(PI()*(fi_s/1000)^2/4)*(2*9.81*(O1808/100-cota_s-fi_s/2/1000))^0.5*1000)))</f>
        <v>8513.6510911134046</v>
      </c>
      <c r="R1808" s="19">
        <f t="shared" ca="1" si="225"/>
        <v>8570.494765193298</v>
      </c>
      <c r="S1808" s="19">
        <f t="shared" ca="1" si="226"/>
        <v>11015.621680022445</v>
      </c>
    </row>
    <row r="1809" spans="13:19">
      <c r="M1809" s="81">
        <f t="shared" ca="1" si="223"/>
        <v>19601.139039910733</v>
      </c>
      <c r="N1809" s="19">
        <f t="shared" si="224"/>
        <v>330.67432245581108</v>
      </c>
      <c r="O1809" s="17">
        <f t="shared" si="222"/>
        <v>452</v>
      </c>
      <c r="P1809" s="19">
        <f ca="1">IF(ISERROR(IF(O1809&lt;fi_h/20,0,(OFFSET('Base de dados'!$A$5,IF(O1809&lt;20,1,IF(O1809&gt;1000,10,MATCH(O1809,Cargas,1))),Coluna_fih,1,1))*(1+0.13*0.25)*(PI()*(fi_h/1000)^2/4)*SQRT(2*9.81*(O1809/100-fi_h/2/1000))*1000)),"",IF(O1809&lt;fi_h/20,0,(OFFSET('Base de dados'!$A$5,IF(O1809&lt;20,1,IF(O1809&gt;1000,10,MATCH(O1809,Cargas,1))),Coluna_fih,1,1))*(PI()*(fi_h/1000)^2/4)*SQRT(2*9.81*(O1809/100-fi_h/2/1000))*1000))</f>
        <v>56.859599443736499</v>
      </c>
      <c r="Q1809" s="19">
        <f ca="1">IF(O1809="","",IF(Tipo_Vertedor="Retangular",IF(O1809&lt;=cota_s*100,0,IF(Tipo_Vertedor="Retangular",Cd_sr*Lef_sr*((O1809/100-cota_s)^(3/2))*1000)),IF(O1809&lt;=cota_s*100+fi_s/20,0,(OFFSET('Base de dados'!$A$4,IF(O1809&lt;20,1,IF(O1809&gt;1000,10,MATCH(O1809,Cargas,1))),Coluna_fis,1,1))*(PI()*(fi_s/1000)^2/4)*(2*9.81*(O1809/100-cota_s-fi_s/2/1000))^0.5*1000)))</f>
        <v>8521.8020252732913</v>
      </c>
      <c r="R1809" s="19">
        <f t="shared" ca="1" si="225"/>
        <v>8578.6616247170277</v>
      </c>
      <c r="S1809" s="19">
        <f t="shared" ca="1" si="226"/>
        <v>11022.477415193704</v>
      </c>
    </row>
    <row r="1810" spans="13:19">
      <c r="M1810" s="81">
        <f t="shared" ca="1" si="223"/>
        <v>19616.164702099777</v>
      </c>
      <c r="N1810" s="19">
        <f t="shared" si="224"/>
        <v>330.88000868261003</v>
      </c>
      <c r="O1810" s="17">
        <f t="shared" si="222"/>
        <v>452.25</v>
      </c>
      <c r="P1810" s="19">
        <f ca="1">IF(ISERROR(IF(O1810&lt;fi_h/20,0,(OFFSET('Base de dados'!$A$5,IF(O1810&lt;20,1,IF(O1810&gt;1000,10,MATCH(O1810,Cargas,1))),Coluna_fih,1,1))*(1+0.13*0.25)*(PI()*(fi_h/1000)^2/4)*SQRT(2*9.81*(O1810/100-fi_h/2/1000))*1000)),"",IF(O1810&lt;fi_h/20,0,(OFFSET('Base de dados'!$A$5,IF(O1810&lt;20,1,IF(O1810&gt;1000,10,MATCH(O1810,Cargas,1))),Coluna_fih,1,1))*(PI()*(fi_h/1000)^2/4)*SQRT(2*9.81*(O1810/100-fi_h/2/1000))*1000))</f>
        <v>56.875520348417069</v>
      </c>
      <c r="Q1810" s="19">
        <f ca="1">IF(O1810="","",IF(Tipo_Vertedor="Retangular",IF(O1810&lt;=cota_s*100,0,IF(Tipo_Vertedor="Retangular",Cd_sr*Lef_sr*((O1810/100-cota_s)^(3/2))*1000)),IF(O1810&lt;=cota_s*100+fi_s/20,0,(OFFSET('Base de dados'!$A$4,IF(O1810&lt;20,1,IF(O1810&gt;1000,10,MATCH(O1810,Cargas,1))),Coluna_fis,1,1))*(PI()*(fi_s/1000)^2/4)*(2*9.81*(O1810/100-cota_s-fi_s/2/1000))^0.5*1000)))</f>
        <v>8529.9555589976899</v>
      </c>
      <c r="R1810" s="19">
        <f t="shared" ca="1" si="225"/>
        <v>8586.8310793461078</v>
      </c>
      <c r="S1810" s="19">
        <f t="shared" ca="1" si="226"/>
        <v>11029.333622753667</v>
      </c>
    </row>
    <row r="1811" spans="13:19">
      <c r="M1811" s="81">
        <f t="shared" ca="1" si="223"/>
        <v>19631.193430729465</v>
      </c>
      <c r="N1811" s="19">
        <f t="shared" si="224"/>
        <v>331.08570907421222</v>
      </c>
      <c r="O1811" s="17">
        <f t="shared" ref="O1811:O1874" si="227">IF(ISERROR(IF(O1810+passo_altura&gt;h_max_puls*100,"",O1810+passo_altura)),"",IF(O1810+passo_altura&gt;h_max_puls*100,"",O1810+passo_altura))</f>
        <v>452.5</v>
      </c>
      <c r="P1811" s="19">
        <f ca="1">IF(ISERROR(IF(O1811&lt;fi_h/20,0,(OFFSET('Base de dados'!$A$5,IF(O1811&lt;20,1,IF(O1811&gt;1000,10,MATCH(O1811,Cargas,1))),Coluna_fih,1,1))*(1+0.13*0.25)*(PI()*(fi_h/1000)^2/4)*SQRT(2*9.81*(O1811/100-fi_h/2/1000))*1000)),"",IF(O1811&lt;fi_h/20,0,(OFFSET('Base de dados'!$A$5,IF(O1811&lt;20,1,IF(O1811&gt;1000,10,MATCH(O1811,Cargas,1))),Coluna_fih,1,1))*(PI()*(fi_h/1000)^2/4)*SQRT(2*9.81*(O1811/100-fi_h/2/1000))*1000))</f>
        <v>56.891436797678494</v>
      </c>
      <c r="Q1811" s="19">
        <f ca="1">IF(O1811="","",IF(Tipo_Vertedor="Retangular",IF(O1811&lt;=cota_s*100,0,IF(Tipo_Vertedor="Retangular",Cd_sr*Lef_sr*((O1811/100-cota_s)^(3/2))*1000)),IF(O1811&lt;=cota_s*100+fi_s/20,0,(OFFSET('Base de dados'!$A$4,IF(O1811&lt;20,1,IF(O1811&gt;1000,10,MATCH(O1811,Cargas,1))),Coluna_fis,1,1))*(PI()*(fi_s/1000)^2/4)*(2*9.81*(O1811/100-cota_s-fi_s/2/1000))^0.5*1000)))</f>
        <v>8538.1116914580434</v>
      </c>
      <c r="R1811" s="19">
        <f t="shared" ca="1" si="225"/>
        <v>8595.0031282557211</v>
      </c>
      <c r="S1811" s="19">
        <f t="shared" ca="1" si="226"/>
        <v>11036.190302473742</v>
      </c>
    </row>
    <row r="1812" spans="13:19">
      <c r="M1812" s="81">
        <f t="shared" ca="1" si="223"/>
        <v>19646.225224747399</v>
      </c>
      <c r="N1812" s="19">
        <f t="shared" si="224"/>
        <v>331.29142362376615</v>
      </c>
      <c r="O1812" s="17">
        <f t="shared" si="227"/>
        <v>452.75</v>
      </c>
      <c r="P1812" s="19">
        <f ca="1">IF(ISERROR(IF(O1812&lt;fi_h/20,0,(OFFSET('Base de dados'!$A$5,IF(O1812&lt;20,1,IF(O1812&gt;1000,10,MATCH(O1812,Cargas,1))),Coluna_fih,1,1))*(1+0.13*0.25)*(PI()*(fi_h/1000)^2/4)*SQRT(2*9.81*(O1812/100-fi_h/2/1000))*1000)),"",IF(O1812&lt;fi_h/20,0,(OFFSET('Base de dados'!$A$5,IF(O1812&lt;20,1,IF(O1812&gt;1000,10,MATCH(O1812,Cargas,1))),Coluna_fih,1,1))*(PI()*(fi_h/1000)^2/4)*SQRT(2*9.81*(O1812/100-fi_h/2/1000))*1000))</f>
        <v>56.907348795259217</v>
      </c>
      <c r="Q1812" s="19">
        <f ca="1">IF(O1812="","",IF(Tipo_Vertedor="Retangular",IF(O1812&lt;=cota_s*100,0,IF(Tipo_Vertedor="Retangular",Cd_sr*Lef_sr*((O1812/100-cota_s)^(3/2))*1000)),IF(O1812&lt;=cota_s*100+fi_s/20,0,(OFFSET('Base de dados'!$A$4,IF(O1812&lt;20,1,IF(O1812&gt;1000,10,MATCH(O1812,Cargas,1))),Coluna_fis,1,1))*(PI()*(fi_s/1000)^2/4)*(2*9.81*(O1812/100-cota_s-fi_s/2/1000))^0.5*1000)))</f>
        <v>8546.2704218266008</v>
      </c>
      <c r="R1812" s="19">
        <f t="shared" ca="1" si="225"/>
        <v>8603.17777062186</v>
      </c>
      <c r="S1812" s="19">
        <f t="shared" ca="1" si="226"/>
        <v>11043.047454125539</v>
      </c>
    </row>
    <row r="1813" spans="13:19">
      <c r="M1813" s="81">
        <f t="shared" ca="1" si="223"/>
        <v>19661.260083102217</v>
      </c>
      <c r="N1813" s="19">
        <f t="shared" si="224"/>
        <v>331.49715232442793</v>
      </c>
      <c r="O1813" s="17">
        <f t="shared" si="227"/>
        <v>453</v>
      </c>
      <c r="P1813" s="19">
        <f ca="1">IF(ISERROR(IF(O1813&lt;fi_h/20,0,(OFFSET('Base de dados'!$A$5,IF(O1813&lt;20,1,IF(O1813&gt;1000,10,MATCH(O1813,Cargas,1))),Coluna_fih,1,1))*(1+0.13*0.25)*(PI()*(fi_h/1000)^2/4)*SQRT(2*9.81*(O1813/100-fi_h/2/1000))*1000)),"",IF(O1813&lt;fi_h/20,0,(OFFSET('Base de dados'!$A$5,IF(O1813&lt;20,1,IF(O1813&gt;1000,10,MATCH(O1813,Cargas,1))),Coluna_fih,1,1))*(PI()*(fi_h/1000)^2/4)*SQRT(2*9.81*(O1813/100-fi_h/2/1000))*1000))</f>
        <v>56.923256344892408</v>
      </c>
      <c r="Q1813" s="19">
        <f ca="1">IF(O1813="","",IF(Tipo_Vertedor="Retangular",IF(O1813&lt;=cota_s*100,0,IF(Tipo_Vertedor="Retangular",Cd_sr*Lef_sr*((O1813/100-cota_s)^(3/2))*1000)),IF(O1813&lt;=cota_s*100+fi_s/20,0,(OFFSET('Base de dados'!$A$4,IF(O1813&lt;20,1,IF(O1813&gt;1000,10,MATCH(O1813,Cargas,1))),Coluna_fis,1,1))*(PI()*(fi_s/1000)^2/4)*(2*9.81*(O1813/100-cota_s-fi_s/2/1000))^0.5*1000)))</f>
        <v>8554.431749276393</v>
      </c>
      <c r="R1813" s="19">
        <f t="shared" ca="1" si="225"/>
        <v>8611.3550056212862</v>
      </c>
      <c r="S1813" s="19">
        <f t="shared" ca="1" si="226"/>
        <v>11049.905077480931</v>
      </c>
    </row>
    <row r="1814" spans="13:19">
      <c r="M1814" s="81">
        <f t="shared" ca="1" si="223"/>
        <v>19676.29800474357</v>
      </c>
      <c r="N1814" s="19">
        <f t="shared" si="224"/>
        <v>331.70289516936037</v>
      </c>
      <c r="O1814" s="17">
        <f t="shared" si="227"/>
        <v>453.25</v>
      </c>
      <c r="P1814" s="19">
        <f ca="1">IF(ISERROR(IF(O1814&lt;fi_h/20,0,(OFFSET('Base de dados'!$A$5,IF(O1814&lt;20,1,IF(O1814&gt;1000,10,MATCH(O1814,Cargas,1))),Coluna_fih,1,1))*(1+0.13*0.25)*(PI()*(fi_h/1000)^2/4)*SQRT(2*9.81*(O1814/100-fi_h/2/1000))*1000)),"",IF(O1814&lt;fi_h/20,0,(OFFSET('Base de dados'!$A$5,IF(O1814&lt;20,1,IF(O1814&gt;1000,10,MATCH(O1814,Cargas,1))),Coluna_fih,1,1))*(PI()*(fi_h/1000)^2/4)*SQRT(2*9.81*(O1814/100-fi_h/2/1000))*1000))</f>
        <v>56.939159450306043</v>
      </c>
      <c r="Q1814" s="19">
        <f ca="1">IF(O1814="","",IF(Tipo_Vertedor="Retangular",IF(O1814&lt;=cota_s*100,0,IF(Tipo_Vertedor="Retangular",Cd_sr*Lef_sr*((O1814/100-cota_s)^(3/2))*1000)),IF(O1814&lt;=cota_s*100+fi_s/20,0,(OFFSET('Base de dados'!$A$4,IF(O1814&lt;20,1,IF(O1814&gt;1000,10,MATCH(O1814,Cargas,1))),Coluna_fis,1,1))*(PI()*(fi_s/1000)^2/4)*(2*9.81*(O1814/100-cota_s-fi_s/2/1000))^0.5*1000)))</f>
        <v>8562.5956729812533</v>
      </c>
      <c r="R1814" s="19">
        <f t="shared" ca="1" si="225"/>
        <v>8619.5348324315601</v>
      </c>
      <c r="S1814" s="19">
        <f t="shared" ca="1" si="226"/>
        <v>11056.763172312012</v>
      </c>
    </row>
    <row r="1815" spans="13:19">
      <c r="M1815" s="81">
        <f t="shared" ref="M1815:M1878" ca="1" si="228">IF(O1815="","",2*N1815*1000/(Passo*60)+R1815)</f>
        <v>19691.338988622141</v>
      </c>
      <c r="N1815" s="19">
        <f t="shared" ref="N1815:N1878" si="229">IF(O1815="","",b_0*(O1815/100)^c_0)</f>
        <v>331.90865215173375</v>
      </c>
      <c r="O1815" s="17">
        <f t="shared" si="227"/>
        <v>453.5</v>
      </c>
      <c r="P1815" s="19">
        <f ca="1">IF(ISERROR(IF(O1815&lt;fi_h/20,0,(OFFSET('Base de dados'!$A$5,IF(O1815&lt;20,1,IF(O1815&gt;1000,10,MATCH(O1815,Cargas,1))),Coluna_fih,1,1))*(1+0.13*0.25)*(PI()*(fi_h/1000)^2/4)*SQRT(2*9.81*(O1815/100-fi_h/2/1000))*1000)),"",IF(O1815&lt;fi_h/20,0,(OFFSET('Base de dados'!$A$5,IF(O1815&lt;20,1,IF(O1815&gt;1000,10,MATCH(O1815,Cargas,1))),Coluna_fih,1,1))*(PI()*(fi_h/1000)^2/4)*SQRT(2*9.81*(O1815/100-fi_h/2/1000))*1000))</f>
        <v>56.955058115222919</v>
      </c>
      <c r="Q1815" s="19">
        <f ca="1">IF(O1815="","",IF(Tipo_Vertedor="Retangular",IF(O1815&lt;=cota_s*100,0,IF(Tipo_Vertedor="Retangular",Cd_sr*Lef_sr*((O1815/100-cota_s)^(3/2))*1000)),IF(O1815&lt;=cota_s*100+fi_s/20,0,(OFFSET('Base de dados'!$A$4,IF(O1815&lt;20,1,IF(O1815&gt;1000,10,MATCH(O1815,Cargas,1))),Coluna_fis,1,1))*(PI()*(fi_s/1000)^2/4)*(2*9.81*(O1815/100-cota_s-fi_s/2/1000))^0.5*1000)))</f>
        <v>8570.7621921157915</v>
      </c>
      <c r="R1815" s="19">
        <f t="shared" ref="R1815:R1878" ca="1" si="230">IF(O1815="","",Q1815+P1815)</f>
        <v>8627.717250231015</v>
      </c>
      <c r="S1815" s="19">
        <f t="shared" ref="S1815:S1878" ca="1" si="231">IF(M1815="","",2*N1815*1000/(Passo*60))</f>
        <v>11063.621738391124</v>
      </c>
    </row>
    <row r="1816" spans="13:19">
      <c r="M1816" s="81">
        <f t="shared" ca="1" si="228"/>
        <v>19706.383033689595</v>
      </c>
      <c r="N1816" s="19">
        <f t="shared" si="229"/>
        <v>332.11442326472491</v>
      </c>
      <c r="O1816" s="17">
        <f t="shared" si="227"/>
        <v>453.75</v>
      </c>
      <c r="P1816" s="19">
        <f ca="1">IF(ISERROR(IF(O1816&lt;fi_h/20,0,(OFFSET('Base de dados'!$A$5,IF(O1816&lt;20,1,IF(O1816&gt;1000,10,MATCH(O1816,Cargas,1))),Coluna_fih,1,1))*(1+0.13*0.25)*(PI()*(fi_h/1000)^2/4)*SQRT(2*9.81*(O1816/100-fi_h/2/1000))*1000)),"",IF(O1816&lt;fi_h/20,0,(OFFSET('Base de dados'!$A$5,IF(O1816&lt;20,1,IF(O1816&gt;1000,10,MATCH(O1816,Cargas,1))),Coluna_fih,1,1))*(PI()*(fi_h/1000)^2/4)*SQRT(2*9.81*(O1816/100-fi_h/2/1000))*1000))</f>
        <v>56.97095234336058</v>
      </c>
      <c r="Q1816" s="19">
        <f ca="1">IF(O1816="","",IF(Tipo_Vertedor="Retangular",IF(O1816&lt;=cota_s*100,0,IF(Tipo_Vertedor="Retangular",Cd_sr*Lef_sr*((O1816/100-cota_s)^(3/2))*1000)),IF(O1816&lt;=cota_s*100+fi_s/20,0,(OFFSET('Base de dados'!$A$4,IF(O1816&lt;20,1,IF(O1816&gt;1000,10,MATCH(O1816,Cargas,1))),Coluna_fis,1,1))*(PI()*(fi_s/1000)^2/4)*(2*9.81*(O1816/100-cota_s-fi_s/2/1000))^0.5*1000)))</f>
        <v>8578.9313058554035</v>
      </c>
      <c r="R1816" s="19">
        <f t="shared" ca="1" si="230"/>
        <v>8635.9022581987647</v>
      </c>
      <c r="S1816" s="19">
        <f t="shared" ca="1" si="231"/>
        <v>11070.480775490831</v>
      </c>
    </row>
    <row r="1817" spans="13:19">
      <c r="M1817" s="81">
        <f t="shared" ca="1" si="228"/>
        <v>19721.43013889865</v>
      </c>
      <c r="N1817" s="19">
        <f t="shared" si="229"/>
        <v>332.32020850151827</v>
      </c>
      <c r="O1817" s="17">
        <f t="shared" si="227"/>
        <v>454</v>
      </c>
      <c r="P1817" s="19">
        <f ca="1">IF(ISERROR(IF(O1817&lt;fi_h/20,0,(OFFSET('Base de dados'!$A$5,IF(O1817&lt;20,1,IF(O1817&gt;1000,10,MATCH(O1817,Cargas,1))),Coluna_fih,1,1))*(1+0.13*0.25)*(PI()*(fi_h/1000)^2/4)*SQRT(2*9.81*(O1817/100-fi_h/2/1000))*1000)),"",IF(O1817&lt;fi_h/20,0,(OFFSET('Base de dados'!$A$5,IF(O1817&lt;20,1,IF(O1817&gt;1000,10,MATCH(O1817,Cargas,1))),Coluna_fih,1,1))*(PI()*(fi_h/1000)^2/4)*SQRT(2*9.81*(O1817/100-fi_h/2/1000))*1000))</f>
        <v>56.986842138431435</v>
      </c>
      <c r="Q1817" s="19">
        <f ca="1">IF(O1817="","",IF(Tipo_Vertedor="Retangular",IF(O1817&lt;=cota_s*100,0,IF(Tipo_Vertedor="Retangular",Cd_sr*Lef_sr*((O1817/100-cota_s)^(3/2))*1000)),IF(O1817&lt;=cota_s*100+fi_s/20,0,(OFFSET('Base de dados'!$A$4,IF(O1817&lt;20,1,IF(O1817&gt;1000,10,MATCH(O1817,Cargas,1))),Coluna_fis,1,1))*(PI()*(fi_s/1000)^2/4)*(2*9.81*(O1817/100-cota_s-fi_s/2/1000))^0.5*1000)))</f>
        <v>8587.1030133762797</v>
      </c>
      <c r="R1817" s="19">
        <f t="shared" ca="1" si="230"/>
        <v>8644.0898555147105</v>
      </c>
      <c r="S1817" s="19">
        <f t="shared" ca="1" si="231"/>
        <v>11077.340283383941</v>
      </c>
    </row>
    <row r="1818" spans="13:19">
      <c r="M1818" s="81">
        <f t="shared" ca="1" si="228"/>
        <v>19736.480303203032</v>
      </c>
      <c r="N1818" s="19">
        <f t="shared" si="229"/>
        <v>332.52600785530507</v>
      </c>
      <c r="O1818" s="17">
        <f t="shared" si="227"/>
        <v>454.25</v>
      </c>
      <c r="P1818" s="19">
        <f ca="1">IF(ISERROR(IF(O1818&lt;fi_h/20,0,(OFFSET('Base de dados'!$A$5,IF(O1818&lt;20,1,IF(O1818&gt;1000,10,MATCH(O1818,Cargas,1))),Coluna_fih,1,1))*(1+0.13*0.25)*(PI()*(fi_h/1000)^2/4)*SQRT(2*9.81*(O1818/100-fi_h/2/1000))*1000)),"",IF(O1818&lt;fi_h/20,0,(OFFSET('Base de dados'!$A$5,IF(O1818&lt;20,1,IF(O1818&gt;1000,10,MATCH(O1818,Cargas,1))),Coluna_fih,1,1))*(PI()*(fi_h/1000)^2/4)*SQRT(2*9.81*(O1818/100-fi_h/2/1000))*1000))</f>
        <v>57.002727504142712</v>
      </c>
      <c r="Q1818" s="19">
        <f ca="1">IF(O1818="","",IF(Tipo_Vertedor="Retangular",IF(O1818&lt;=cota_s*100,0,IF(Tipo_Vertedor="Retangular",Cd_sr*Lef_sr*((O1818/100-cota_s)^(3/2))*1000)),IF(O1818&lt;=cota_s*100+fi_s/20,0,(OFFSET('Base de dados'!$A$4,IF(O1818&lt;20,1,IF(O1818&gt;1000,10,MATCH(O1818,Cargas,1))),Coluna_fis,1,1))*(PI()*(fi_s/1000)^2/4)*(2*9.81*(O1818/100-cota_s-fi_s/2/1000))^0.5*1000)))</f>
        <v>8595.2773138553875</v>
      </c>
      <c r="R1818" s="19">
        <f t="shared" ca="1" si="230"/>
        <v>8652.2800413595305</v>
      </c>
      <c r="S1818" s="19">
        <f t="shared" ca="1" si="231"/>
        <v>11084.200261843502</v>
      </c>
    </row>
    <row r="1819" spans="13:19">
      <c r="M1819" s="81">
        <f t="shared" ca="1" si="228"/>
        <v>19751.533525557446</v>
      </c>
      <c r="N1819" s="19">
        <f t="shared" si="229"/>
        <v>332.73182131928326</v>
      </c>
      <c r="O1819" s="17">
        <f t="shared" si="227"/>
        <v>454.5</v>
      </c>
      <c r="P1819" s="19">
        <f ca="1">IF(ISERROR(IF(O1819&lt;fi_h/20,0,(OFFSET('Base de dados'!$A$5,IF(O1819&lt;20,1,IF(O1819&gt;1000,10,MATCH(O1819,Cargas,1))),Coluna_fih,1,1))*(1+0.13*0.25)*(PI()*(fi_h/1000)^2/4)*SQRT(2*9.81*(O1819/100-fi_h/2/1000))*1000)),"",IF(O1819&lt;fi_h/20,0,(OFFSET('Base de dados'!$A$5,IF(O1819&lt;20,1,IF(O1819&gt;1000,10,MATCH(O1819,Cargas,1))),Coluna_fih,1,1))*(PI()*(fi_h/1000)^2/4)*SQRT(2*9.81*(O1819/100-fi_h/2/1000))*1000))</f>
        <v>57.018608444196452</v>
      </c>
      <c r="Q1819" s="19">
        <f ca="1">IF(O1819="","",IF(Tipo_Vertedor="Retangular",IF(O1819&lt;=cota_s*100,0,IF(Tipo_Vertedor="Retangular",Cd_sr*Lef_sr*((O1819/100-cota_s)^(3/2))*1000)),IF(O1819&lt;=cota_s*100+fi_s/20,0,(OFFSET('Base de dados'!$A$4,IF(O1819&lt;20,1,IF(O1819&gt;1000,10,MATCH(O1819,Cargas,1))),Coluna_fis,1,1))*(PI()*(fi_s/1000)^2/4)*(2*9.81*(O1819/100-cota_s-fi_s/2/1000))^0.5*1000)))</f>
        <v>8603.4542064704729</v>
      </c>
      <c r="R1819" s="19">
        <f t="shared" ca="1" si="230"/>
        <v>8660.4728149146686</v>
      </c>
      <c r="S1819" s="19">
        <f t="shared" ca="1" si="231"/>
        <v>11091.060710642776</v>
      </c>
    </row>
    <row r="1820" spans="13:19">
      <c r="M1820" s="81">
        <f t="shared" ca="1" si="228"/>
        <v>19766.589804917647</v>
      </c>
      <c r="N1820" s="19">
        <f t="shared" si="229"/>
        <v>332.93764888665834</v>
      </c>
      <c r="O1820" s="17">
        <f t="shared" si="227"/>
        <v>454.75</v>
      </c>
      <c r="P1820" s="19">
        <f ca="1">IF(ISERROR(IF(O1820&lt;fi_h/20,0,(OFFSET('Base de dados'!$A$5,IF(O1820&lt;20,1,IF(O1820&gt;1000,10,MATCH(O1820,Cargas,1))),Coluna_fih,1,1))*(1+0.13*0.25)*(PI()*(fi_h/1000)^2/4)*SQRT(2*9.81*(O1820/100-fi_h/2/1000))*1000)),"",IF(O1820&lt;fi_h/20,0,(OFFSET('Base de dados'!$A$5,IF(O1820&lt;20,1,IF(O1820&gt;1000,10,MATCH(O1820,Cargas,1))),Coluna_fih,1,1))*(PI()*(fi_h/1000)^2/4)*SQRT(2*9.81*(O1820/100-fi_h/2/1000))*1000))</f>
        <v>57.034484962289561</v>
      </c>
      <c r="Q1820" s="19">
        <f ca="1">IF(O1820="","",IF(Tipo_Vertedor="Retangular",IF(O1820&lt;=cota_s*100,0,IF(Tipo_Vertedor="Retangular",Cd_sr*Lef_sr*((O1820/100-cota_s)^(3/2))*1000)),IF(O1820&lt;=cota_s*100+fi_s/20,0,(OFFSET('Base de dados'!$A$4,IF(O1820&lt;20,1,IF(O1820&gt;1000,10,MATCH(O1820,Cargas,1))),Coluna_fis,1,1))*(PI()*(fi_s/1000)^2/4)*(2*9.81*(O1820/100-cota_s-fi_s/2/1000))^0.5*1000)))</f>
        <v>8611.6336904000818</v>
      </c>
      <c r="R1820" s="19">
        <f t="shared" ca="1" si="230"/>
        <v>8668.6681753623707</v>
      </c>
      <c r="S1820" s="19">
        <f t="shared" ca="1" si="231"/>
        <v>11097.921629555278</v>
      </c>
    </row>
    <row r="1821" spans="13:19">
      <c r="M1821" s="81">
        <f t="shared" ca="1" si="228"/>
        <v>19781.649140240377</v>
      </c>
      <c r="N1821" s="19">
        <f t="shared" si="229"/>
        <v>333.14349055064247</v>
      </c>
      <c r="O1821" s="17">
        <f t="shared" si="227"/>
        <v>455</v>
      </c>
      <c r="P1821" s="19">
        <f ca="1">IF(ISERROR(IF(O1821&lt;fi_h/20,0,(OFFSET('Base de dados'!$A$5,IF(O1821&lt;20,1,IF(O1821&gt;1000,10,MATCH(O1821,Cargas,1))),Coluna_fih,1,1))*(1+0.13*0.25)*(PI()*(fi_h/1000)^2/4)*SQRT(2*9.81*(O1821/100-fi_h/2/1000))*1000)),"",IF(O1821&lt;fi_h/20,0,(OFFSET('Base de dados'!$A$5,IF(O1821&lt;20,1,IF(O1821&gt;1000,10,MATCH(O1821,Cargas,1))),Coluna_fih,1,1))*(PI()*(fi_h/1000)^2/4)*SQRT(2*9.81*(O1821/100-fi_h/2/1000))*1000))</f>
        <v>57.05035706211379</v>
      </c>
      <c r="Q1821" s="19">
        <f ca="1">IF(O1821="","",IF(Tipo_Vertedor="Retangular",IF(O1821&lt;=cota_s*100,0,IF(Tipo_Vertedor="Retangular",Cd_sr*Lef_sr*((O1821/100-cota_s)^(3/2))*1000)),IF(O1821&lt;=cota_s*100+fi_s/20,0,(OFFSET('Base de dados'!$A$4,IF(O1821&lt;20,1,IF(O1821&gt;1000,10,MATCH(O1821,Cargas,1))),Coluna_fis,1,1))*(PI()*(fi_s/1000)^2/4)*(2*9.81*(O1821/100-cota_s-fi_s/2/1000))^0.5*1000)))</f>
        <v>8619.8157648235156</v>
      </c>
      <c r="R1821" s="19">
        <f t="shared" ca="1" si="230"/>
        <v>8676.8661218856287</v>
      </c>
      <c r="S1821" s="19">
        <f t="shared" ca="1" si="231"/>
        <v>11104.78301835475</v>
      </c>
    </row>
    <row r="1822" spans="13:19">
      <c r="M1822" s="81">
        <f t="shared" ca="1" si="228"/>
        <v>19796.711530483401</v>
      </c>
      <c r="N1822" s="19">
        <f t="shared" si="229"/>
        <v>333.34934630445497</v>
      </c>
      <c r="O1822" s="17">
        <f t="shared" si="227"/>
        <v>455.25</v>
      </c>
      <c r="P1822" s="19">
        <f ca="1">IF(ISERROR(IF(O1822&lt;fi_h/20,0,(OFFSET('Base de dados'!$A$5,IF(O1822&lt;20,1,IF(O1822&gt;1000,10,MATCH(O1822,Cargas,1))),Coluna_fih,1,1))*(1+0.13*0.25)*(PI()*(fi_h/1000)^2/4)*SQRT(2*9.81*(O1822/100-fi_h/2/1000))*1000)),"",IF(O1822&lt;fi_h/20,0,(OFFSET('Base de dados'!$A$5,IF(O1822&lt;20,1,IF(O1822&gt;1000,10,MATCH(O1822,Cargas,1))),Coluna_fih,1,1))*(PI()*(fi_h/1000)^2/4)*SQRT(2*9.81*(O1822/100-fi_h/2/1000))*1000))</f>
        <v>57.066224747355776</v>
      </c>
      <c r="Q1822" s="19">
        <f ca="1">IF(O1822="","",IF(Tipo_Vertedor="Retangular",IF(O1822&lt;=cota_s*100,0,IF(Tipo_Vertedor="Retangular",Cd_sr*Lef_sr*((O1822/100-cota_s)^(3/2))*1000)),IF(O1822&lt;=cota_s*100+fi_s/20,0,(OFFSET('Base de dados'!$A$4,IF(O1822&lt;20,1,IF(O1822&gt;1000,10,MATCH(O1822,Cargas,1))),Coluna_fis,1,1))*(PI()*(fi_s/1000)^2/4)*(2*9.81*(O1822/100-cota_s-fi_s/2/1000))^0.5*1000)))</f>
        <v>8628.0004289208773</v>
      </c>
      <c r="R1822" s="19">
        <f t="shared" ca="1" si="230"/>
        <v>8685.0666536682329</v>
      </c>
      <c r="S1822" s="19">
        <f t="shared" ca="1" si="231"/>
        <v>11111.644876815166</v>
      </c>
    </row>
    <row r="1823" spans="13:19">
      <c r="M1823" s="81">
        <f t="shared" ca="1" si="228"/>
        <v>19811.776974605458</v>
      </c>
      <c r="N1823" s="19">
        <f t="shared" si="229"/>
        <v>333.55521614132192</v>
      </c>
      <c r="O1823" s="17">
        <f t="shared" si="227"/>
        <v>455.5</v>
      </c>
      <c r="P1823" s="19">
        <f ca="1">IF(ISERROR(IF(O1823&lt;fi_h/20,0,(OFFSET('Base de dados'!$A$5,IF(O1823&lt;20,1,IF(O1823&gt;1000,10,MATCH(O1823,Cargas,1))),Coluna_fih,1,1))*(1+0.13*0.25)*(PI()*(fi_h/1000)^2/4)*SQRT(2*9.81*(O1823/100-fi_h/2/1000))*1000)),"",IF(O1823&lt;fi_h/20,0,(OFFSET('Base de dados'!$A$5,IF(O1823&lt;20,1,IF(O1823&gt;1000,10,MATCH(O1823,Cargas,1))),Coluna_fih,1,1))*(PI()*(fi_h/1000)^2/4)*SQRT(2*9.81*(O1823/100-fi_h/2/1000))*1000))</f>
        <v>57.08208802169699</v>
      </c>
      <c r="Q1823" s="19">
        <f ca="1">IF(O1823="","",IF(Tipo_Vertedor="Retangular",IF(O1823&lt;=cota_s*100,0,IF(Tipo_Vertedor="Retangular",Cd_sr*Lef_sr*((O1823/100-cota_s)^(3/2))*1000)),IF(O1823&lt;=cota_s*100+fi_s/20,0,(OFFSET('Base de dados'!$A$4,IF(O1823&lt;20,1,IF(O1823&gt;1000,10,MATCH(O1823,Cargas,1))),Coluna_fis,1,1))*(PI()*(fi_s/1000)^2/4)*(2*9.81*(O1823/100-cota_s-fi_s/2/1000))^0.5*1000)))</f>
        <v>8636.1876818730307</v>
      </c>
      <c r="R1823" s="19">
        <f t="shared" ca="1" si="230"/>
        <v>8693.2697698947268</v>
      </c>
      <c r="S1823" s="19">
        <f t="shared" ca="1" si="231"/>
        <v>11118.507204710731</v>
      </c>
    </row>
    <row r="1824" spans="13:19">
      <c r="M1824" s="81">
        <f t="shared" ca="1" si="228"/>
        <v>19826.845471566339</v>
      </c>
      <c r="N1824" s="19">
        <f t="shared" si="229"/>
        <v>333.76110005447669</v>
      </c>
      <c r="O1824" s="17">
        <f t="shared" si="227"/>
        <v>455.75</v>
      </c>
      <c r="P1824" s="19">
        <f ca="1">IF(ISERROR(IF(O1824&lt;fi_h/20,0,(OFFSET('Base de dados'!$A$5,IF(O1824&lt;20,1,IF(O1824&gt;1000,10,MATCH(O1824,Cargas,1))),Coluna_fih,1,1))*(1+0.13*0.25)*(PI()*(fi_h/1000)^2/4)*SQRT(2*9.81*(O1824/100-fi_h/2/1000))*1000)),"",IF(O1824&lt;fi_h/20,0,(OFFSET('Base de dados'!$A$5,IF(O1824&lt;20,1,IF(O1824&gt;1000,10,MATCH(O1824,Cargas,1))),Coluna_fih,1,1))*(PI()*(fi_h/1000)^2/4)*SQRT(2*9.81*(O1824/100-fi_h/2/1000))*1000))</f>
        <v>57.09794688881383</v>
      </c>
      <c r="Q1824" s="19">
        <f ca="1">IF(O1824="","",IF(Tipo_Vertedor="Retangular",IF(O1824&lt;=cota_s*100,0,IF(Tipo_Vertedor="Retangular",Cd_sr*Lef_sr*((O1824/100-cota_s)^(3/2))*1000)),IF(O1824&lt;=cota_s*100+fi_s/20,0,(OFFSET('Base de dados'!$A$4,IF(O1824&lt;20,1,IF(O1824&gt;1000,10,MATCH(O1824,Cargas,1))),Coluna_fis,1,1))*(PI()*(fi_s/1000)^2/4)*(2*9.81*(O1824/100-cota_s-fi_s/2/1000))^0.5*1000)))</f>
        <v>8644.377522861636</v>
      </c>
      <c r="R1824" s="19">
        <f t="shared" ca="1" si="230"/>
        <v>8701.4754697504504</v>
      </c>
      <c r="S1824" s="19">
        <f t="shared" ca="1" si="231"/>
        <v>11125.370001815891</v>
      </c>
    </row>
    <row r="1825" spans="13:19">
      <c r="M1825" s="81">
        <f t="shared" ca="1" si="228"/>
        <v>19841.917020326793</v>
      </c>
      <c r="N1825" s="19">
        <f t="shared" si="229"/>
        <v>333.96699803715939</v>
      </c>
      <c r="O1825" s="17">
        <f t="shared" si="227"/>
        <v>456</v>
      </c>
      <c r="P1825" s="19">
        <f ca="1">IF(ISERROR(IF(O1825&lt;fi_h/20,0,(OFFSET('Base de dados'!$A$5,IF(O1825&lt;20,1,IF(O1825&gt;1000,10,MATCH(O1825,Cargas,1))),Coluna_fih,1,1))*(1+0.13*0.25)*(PI()*(fi_h/1000)^2/4)*SQRT(2*9.81*(O1825/100-fi_h/2/1000))*1000)),"",IF(O1825&lt;fi_h/20,0,(OFFSET('Base de dados'!$A$5,IF(O1825&lt;20,1,IF(O1825&gt;1000,10,MATCH(O1825,Cargas,1))),Coluna_fih,1,1))*(PI()*(fi_h/1000)^2/4)*SQRT(2*9.81*(O1825/100-fi_h/2/1000))*1000))</f>
        <v>57.1138013523776</v>
      </c>
      <c r="Q1825" s="19">
        <f ca="1">IF(O1825="","",IF(Tipo_Vertedor="Retangular",IF(O1825&lt;=cota_s*100,0,IF(Tipo_Vertedor="Retangular",Cd_sr*Lef_sr*((O1825/100-cota_s)^(3/2))*1000)),IF(O1825&lt;=cota_s*100+fi_s/20,0,(OFFSET('Base de dados'!$A$4,IF(O1825&lt;20,1,IF(O1825&gt;1000,10,MATCH(O1825,Cargas,1))),Coluna_fis,1,1))*(PI()*(fi_s/1000)^2/4)*(2*9.81*(O1825/100-cota_s-fi_s/2/1000))^0.5*1000)))</f>
        <v>8652.5699510691047</v>
      </c>
      <c r="R1825" s="19">
        <f t="shared" ca="1" si="230"/>
        <v>8709.6837524214825</v>
      </c>
      <c r="S1825" s="19">
        <f t="shared" ca="1" si="231"/>
        <v>11132.233267905312</v>
      </c>
    </row>
    <row r="1826" spans="13:19">
      <c r="M1826" s="81">
        <f t="shared" ca="1" si="228"/>
        <v>19856.991619848603</v>
      </c>
      <c r="N1826" s="19">
        <f t="shared" si="229"/>
        <v>334.17291008261725</v>
      </c>
      <c r="O1826" s="17">
        <f t="shared" si="227"/>
        <v>456.25</v>
      </c>
      <c r="P1826" s="19">
        <f ca="1">IF(ISERROR(IF(O1826&lt;fi_h/20,0,(OFFSET('Base de dados'!$A$5,IF(O1826&lt;20,1,IF(O1826&gt;1000,10,MATCH(O1826,Cargas,1))),Coluna_fih,1,1))*(1+0.13*0.25)*(PI()*(fi_h/1000)^2/4)*SQRT(2*9.81*(O1826/100-fi_h/2/1000))*1000)),"",IF(O1826&lt;fi_h/20,0,(OFFSET('Base de dados'!$A$5,IF(O1826&lt;20,1,IF(O1826&gt;1000,10,MATCH(O1826,Cargas,1))),Coluna_fih,1,1))*(PI()*(fi_h/1000)^2/4)*SQRT(2*9.81*(O1826/100-fi_h/2/1000))*1000))</f>
        <v>57.129651416054443</v>
      </c>
      <c r="Q1826" s="19">
        <f ca="1">IF(O1826="","",IF(Tipo_Vertedor="Retangular",IF(O1826&lt;=cota_s*100,0,IF(Tipo_Vertedor="Retangular",Cd_sr*Lef_sr*((O1826/100-cota_s)^(3/2))*1000)),IF(O1826&lt;=cota_s*100+fi_s/20,0,(OFFSET('Base de dados'!$A$4,IF(O1826&lt;20,1,IF(O1826&gt;1000,10,MATCH(O1826,Cargas,1))),Coluna_fis,1,1))*(PI()*(fi_s/1000)^2/4)*(2*9.81*(O1826/100-cota_s-fi_s/2/1000))^0.5*1000)))</f>
        <v>8660.7649656786398</v>
      </c>
      <c r="R1826" s="19">
        <f t="shared" ca="1" si="230"/>
        <v>8717.8946170946947</v>
      </c>
      <c r="S1826" s="19">
        <f t="shared" ca="1" si="231"/>
        <v>11139.097002753908</v>
      </c>
    </row>
    <row r="1827" spans="13:19">
      <c r="M1827" s="81">
        <f t="shared" ca="1" si="228"/>
        <v>19872.069269094533</v>
      </c>
      <c r="N1827" s="19">
        <f t="shared" si="229"/>
        <v>334.37883618410427</v>
      </c>
      <c r="O1827" s="17">
        <f t="shared" si="227"/>
        <v>456.5</v>
      </c>
      <c r="P1827" s="19">
        <f ca="1">IF(ISERROR(IF(O1827&lt;fi_h/20,0,(OFFSET('Base de dados'!$A$5,IF(O1827&lt;20,1,IF(O1827&gt;1000,10,MATCH(O1827,Cargas,1))),Coluna_fih,1,1))*(1+0.13*0.25)*(PI()*(fi_h/1000)^2/4)*SQRT(2*9.81*(O1827/100-fi_h/2/1000))*1000)),"",IF(O1827&lt;fi_h/20,0,(OFFSET('Base de dados'!$A$5,IF(O1827&lt;20,1,IF(O1827&gt;1000,10,MATCH(O1827,Cargas,1))),Coluna_fih,1,1))*(PI()*(fi_h/1000)^2/4)*SQRT(2*9.81*(O1827/100-fi_h/2/1000))*1000))</f>
        <v>57.145497083505489</v>
      </c>
      <c r="Q1827" s="19">
        <f ca="1">IF(O1827="","",IF(Tipo_Vertedor="Retangular",IF(O1827&lt;=cota_s*100,0,IF(Tipo_Vertedor="Retangular",Cd_sr*Lef_sr*((O1827/100-cota_s)^(3/2))*1000)),IF(O1827&lt;=cota_s*100+fi_s/20,0,(OFFSET('Base de dados'!$A$4,IF(O1827&lt;20,1,IF(O1827&gt;1000,10,MATCH(O1827,Cargas,1))),Coluna_fis,1,1))*(PI()*(fi_s/1000)^2/4)*(2*9.81*(O1827/100-cota_s-fi_s/2/1000))^0.5*1000)))</f>
        <v>8668.9625658742189</v>
      </c>
      <c r="R1827" s="19">
        <f t="shared" ca="1" si="230"/>
        <v>8726.1080629577245</v>
      </c>
      <c r="S1827" s="19">
        <f t="shared" ca="1" si="231"/>
        <v>11145.961206136808</v>
      </c>
    </row>
    <row r="1828" spans="13:19">
      <c r="M1828" s="81">
        <f t="shared" ca="1" si="228"/>
        <v>19887.149967028341</v>
      </c>
      <c r="N1828" s="19">
        <f t="shared" si="229"/>
        <v>334.58477633488138</v>
      </c>
      <c r="O1828" s="17">
        <f t="shared" si="227"/>
        <v>456.75</v>
      </c>
      <c r="P1828" s="19">
        <f ca="1">IF(ISERROR(IF(O1828&lt;fi_h/20,0,(OFFSET('Base de dados'!$A$5,IF(O1828&lt;20,1,IF(O1828&gt;1000,10,MATCH(O1828,Cargas,1))),Coluna_fih,1,1))*(1+0.13*0.25)*(PI()*(fi_h/1000)^2/4)*SQRT(2*9.81*(O1828/100-fi_h/2/1000))*1000)),"",IF(O1828&lt;fi_h/20,0,(OFFSET('Base de dados'!$A$5,IF(O1828&lt;20,1,IF(O1828&gt;1000,10,MATCH(O1828,Cargas,1))),Coluna_fih,1,1))*(PI()*(fi_h/1000)^2/4)*SQRT(2*9.81*(O1828/100-fi_h/2/1000))*1000))</f>
        <v>57.161338358386764</v>
      </c>
      <c r="Q1828" s="19">
        <f ca="1">IF(O1828="","",IF(Tipo_Vertedor="Retangular",IF(O1828&lt;=cota_s*100,0,IF(Tipo_Vertedor="Retangular",Cd_sr*Lef_sr*((O1828/100-cota_s)^(3/2))*1000)),IF(O1828&lt;=cota_s*100+fi_s/20,0,(OFFSET('Base de dados'!$A$4,IF(O1828&lt;20,1,IF(O1828&gt;1000,10,MATCH(O1828,Cargas,1))),Coluna_fis,1,1))*(PI()*(fi_s/1000)^2/4)*(2*9.81*(O1828/100-cota_s-fi_s/2/1000))^0.5*1000)))</f>
        <v>8677.1627508405763</v>
      </c>
      <c r="R1828" s="19">
        <f t="shared" ca="1" si="230"/>
        <v>8734.3240891989626</v>
      </c>
      <c r="S1828" s="19">
        <f t="shared" ca="1" si="231"/>
        <v>11152.825877829378</v>
      </c>
    </row>
    <row r="1829" spans="13:19">
      <c r="M1829" s="81">
        <f t="shared" ca="1" si="228"/>
        <v>19902.233712614798</v>
      </c>
      <c r="N1829" s="19">
        <f t="shared" si="229"/>
        <v>334.79073052821644</v>
      </c>
      <c r="O1829" s="17">
        <f t="shared" si="227"/>
        <v>457</v>
      </c>
      <c r="P1829" s="19">
        <f ca="1">IF(ISERROR(IF(O1829&lt;fi_h/20,0,(OFFSET('Base de dados'!$A$5,IF(O1829&lt;20,1,IF(O1829&gt;1000,10,MATCH(O1829,Cargas,1))),Coluna_fih,1,1))*(1+0.13*0.25)*(PI()*(fi_h/1000)^2/4)*SQRT(2*9.81*(O1829/100-fi_h/2/1000))*1000)),"",IF(O1829&lt;fi_h/20,0,(OFFSET('Base de dados'!$A$5,IF(O1829&lt;20,1,IF(O1829&gt;1000,10,MATCH(O1829,Cargas,1))),Coluna_fih,1,1))*(PI()*(fi_h/1000)^2/4)*SQRT(2*9.81*(O1829/100-fi_h/2/1000))*1000))</f>
        <v>57.177175244349215</v>
      </c>
      <c r="Q1829" s="19">
        <f ca="1">IF(O1829="","",IF(Tipo_Vertedor="Retangular",IF(O1829&lt;=cota_s*100,0,IF(Tipo_Vertedor="Retangular",Cd_sr*Lef_sr*((O1829/100-cota_s)^(3/2))*1000)),IF(O1829&lt;=cota_s*100+fi_s/20,0,(OFFSET('Base de dados'!$A$4,IF(O1829&lt;20,1,IF(O1829&gt;1000,10,MATCH(O1829,Cargas,1))),Coluna_fis,1,1))*(PI()*(fi_s/1000)^2/4)*(2*9.81*(O1829/100-cota_s-fi_s/2/1000))^0.5*1000)))</f>
        <v>8685.3655197632324</v>
      </c>
      <c r="R1829" s="19">
        <f t="shared" ca="1" si="230"/>
        <v>8742.5426950075816</v>
      </c>
      <c r="S1829" s="19">
        <f t="shared" ca="1" si="231"/>
        <v>11159.691017607216</v>
      </c>
    </row>
    <row r="1830" spans="13:19">
      <c r="M1830" s="81">
        <f t="shared" ca="1" si="228"/>
        <v>19917.320504819647</v>
      </c>
      <c r="N1830" s="19">
        <f t="shared" si="229"/>
        <v>334.99669875738437</v>
      </c>
      <c r="O1830" s="17">
        <f t="shared" si="227"/>
        <v>457.25</v>
      </c>
      <c r="P1830" s="19">
        <f ca="1">IF(ISERROR(IF(O1830&lt;fi_h/20,0,(OFFSET('Base de dados'!$A$5,IF(O1830&lt;20,1,IF(O1830&gt;1000,10,MATCH(O1830,Cargas,1))),Coluna_fih,1,1))*(1+0.13*0.25)*(PI()*(fi_h/1000)^2/4)*SQRT(2*9.81*(O1830/100-fi_h/2/1000))*1000)),"",IF(O1830&lt;fi_h/20,0,(OFFSET('Base de dados'!$A$5,IF(O1830&lt;20,1,IF(O1830&gt;1000,10,MATCH(O1830,Cargas,1))),Coluna_fih,1,1))*(PI()*(fi_h/1000)^2/4)*SQRT(2*9.81*(O1830/100-fi_h/2/1000))*1000))</f>
        <v>57.193007745038756</v>
      </c>
      <c r="Q1830" s="19">
        <f ca="1">IF(O1830="","",IF(Tipo_Vertedor="Retangular",IF(O1830&lt;=cota_s*100,0,IF(Tipo_Vertedor="Retangular",Cd_sr*Lef_sr*((O1830/100-cota_s)^(3/2))*1000)),IF(O1830&lt;=cota_s*100+fi_s/20,0,(OFFSET('Base de dados'!$A$4,IF(O1830&lt;20,1,IF(O1830&gt;1000,10,MATCH(O1830,Cargas,1))),Coluna_fis,1,1))*(PI()*(fi_s/1000)^2/4)*(2*9.81*(O1830/100-cota_s-fi_s/2/1000))^0.5*1000)))</f>
        <v>8693.5708718284641</v>
      </c>
      <c r="R1830" s="19">
        <f t="shared" ca="1" si="230"/>
        <v>8750.763879573502</v>
      </c>
      <c r="S1830" s="19">
        <f t="shared" ca="1" si="231"/>
        <v>11166.556625246147</v>
      </c>
    </row>
    <row r="1831" spans="13:19">
      <c r="M1831" s="81">
        <f t="shared" ca="1" si="228"/>
        <v>19932.410342609655</v>
      </c>
      <c r="N1831" s="19">
        <f t="shared" si="229"/>
        <v>335.20268101566694</v>
      </c>
      <c r="O1831" s="17">
        <f t="shared" si="227"/>
        <v>457.5</v>
      </c>
      <c r="P1831" s="19">
        <f ca="1">IF(ISERROR(IF(O1831&lt;fi_h/20,0,(OFFSET('Base de dados'!$A$5,IF(O1831&lt;20,1,IF(O1831&gt;1000,10,MATCH(O1831,Cargas,1))),Coluna_fih,1,1))*(1+0.13*0.25)*(PI()*(fi_h/1000)^2/4)*SQRT(2*9.81*(O1831/100-fi_h/2/1000))*1000)),"",IF(O1831&lt;fi_h/20,0,(OFFSET('Base de dados'!$A$5,IF(O1831&lt;20,1,IF(O1831&gt;1000,10,MATCH(O1831,Cargas,1))),Coluna_fih,1,1))*(PI()*(fi_h/1000)^2/4)*SQRT(2*9.81*(O1831/100-fi_h/2/1000))*1000))</f>
        <v>57.208835864096265</v>
      </c>
      <c r="Q1831" s="19">
        <f ca="1">IF(O1831="","",IF(Tipo_Vertedor="Retangular",IF(O1831&lt;=cota_s*100,0,IF(Tipo_Vertedor="Retangular",Cd_sr*Lef_sr*((O1831/100-cota_s)^(3/2))*1000)),IF(O1831&lt;=cota_s*100+fi_s/20,0,(OFFSET('Base de dados'!$A$4,IF(O1831&lt;20,1,IF(O1831&gt;1000,10,MATCH(O1831,Cargas,1))),Coluna_fis,1,1))*(PI()*(fi_s/1000)^2/4)*(2*9.81*(O1831/100-cota_s-fi_s/2/1000))^0.5*1000)))</f>
        <v>8701.7788062233267</v>
      </c>
      <c r="R1831" s="19">
        <f t="shared" ca="1" si="230"/>
        <v>8758.9876420874225</v>
      </c>
      <c r="S1831" s="19">
        <f t="shared" ca="1" si="231"/>
        <v>11173.422700522231</v>
      </c>
    </row>
    <row r="1832" spans="13:19">
      <c r="M1832" s="81">
        <f t="shared" ca="1" si="228"/>
        <v>19947.503224952554</v>
      </c>
      <c r="N1832" s="19">
        <f t="shared" si="229"/>
        <v>335.40867729635261</v>
      </c>
      <c r="O1832" s="17">
        <f t="shared" si="227"/>
        <v>457.75</v>
      </c>
      <c r="P1832" s="19">
        <f ca="1">IF(ISERROR(IF(O1832&lt;fi_h/20,0,(OFFSET('Base de dados'!$A$5,IF(O1832&lt;20,1,IF(O1832&gt;1000,10,MATCH(O1832,Cargas,1))),Coluna_fih,1,1))*(1+0.13*0.25)*(PI()*(fi_h/1000)^2/4)*SQRT(2*9.81*(O1832/100-fi_h/2/1000))*1000)),"",IF(O1832&lt;fi_h/20,0,(OFFSET('Base de dados'!$A$5,IF(O1832&lt;20,1,IF(O1832&gt;1000,10,MATCH(O1832,Cargas,1))),Coluna_fih,1,1))*(PI()*(fi_h/1000)^2/4)*SQRT(2*9.81*(O1832/100-fi_h/2/1000))*1000))</f>
        <v>57.224659605157548</v>
      </c>
      <c r="Q1832" s="19">
        <f ca="1">IF(O1832="","",IF(Tipo_Vertedor="Retangular",IF(O1832&lt;=cota_s*100,0,IF(Tipo_Vertedor="Retangular",Cd_sr*Lef_sr*((O1832/100-cota_s)^(3/2))*1000)),IF(O1832&lt;=cota_s*100+fi_s/20,0,(OFFSET('Base de dados'!$A$4,IF(O1832&lt;20,1,IF(O1832&gt;1000,10,MATCH(O1832,Cargas,1))),Coluna_fis,1,1))*(PI()*(fi_s/1000)^2/4)*(2*9.81*(O1832/100-cota_s-fi_s/2/1000))^0.5*1000)))</f>
        <v>8709.9893221356433</v>
      </c>
      <c r="R1832" s="19">
        <f t="shared" ca="1" si="230"/>
        <v>8767.2139817408006</v>
      </c>
      <c r="S1832" s="19">
        <f t="shared" ca="1" si="231"/>
        <v>11180.289243211755</v>
      </c>
    </row>
    <row r="1833" spans="13:19">
      <c r="M1833" s="81">
        <f t="shared" ca="1" si="228"/>
        <v>19962.599150817085</v>
      </c>
      <c r="N1833" s="19">
        <f t="shared" si="229"/>
        <v>335.61468759273697</v>
      </c>
      <c r="O1833" s="17">
        <f t="shared" si="227"/>
        <v>458</v>
      </c>
      <c r="P1833" s="19">
        <f ca="1">IF(ISERROR(IF(O1833&lt;fi_h/20,0,(OFFSET('Base de dados'!$A$5,IF(O1833&lt;20,1,IF(O1833&gt;1000,10,MATCH(O1833,Cargas,1))),Coluna_fih,1,1))*(1+0.13*0.25)*(PI()*(fi_h/1000)^2/4)*SQRT(2*9.81*(O1833/100-fi_h/2/1000))*1000)),"",IF(O1833&lt;fi_h/20,0,(OFFSET('Base de dados'!$A$5,IF(O1833&lt;20,1,IF(O1833&gt;1000,10,MATCH(O1833,Cargas,1))),Coluna_fih,1,1))*(PI()*(fi_h/1000)^2/4)*SQRT(2*9.81*(O1833/100-fi_h/2/1000))*1000))</f>
        <v>57.240478971853413</v>
      </c>
      <c r="Q1833" s="19">
        <f ca="1">IF(O1833="","",IF(Tipo_Vertedor="Retangular",IF(O1833&lt;=cota_s*100,0,IF(Tipo_Vertedor="Retangular",Cd_sr*Lef_sr*((O1833/100-cota_s)^(3/2))*1000)),IF(O1833&lt;=cota_s*100+fi_s/20,0,(OFFSET('Base de dados'!$A$4,IF(O1833&lt;20,1,IF(O1833&gt;1000,10,MATCH(O1833,Cargas,1))),Coluna_fis,1,1))*(PI()*(fi_s/1000)^2/4)*(2*9.81*(O1833/100-cota_s-fi_s/2/1000))^0.5*1000)))</f>
        <v>8718.2024187539973</v>
      </c>
      <c r="R1833" s="19">
        <f t="shared" ca="1" si="230"/>
        <v>8775.4428977258503</v>
      </c>
      <c r="S1833" s="19">
        <f t="shared" ca="1" si="231"/>
        <v>11187.156253091232</v>
      </c>
    </row>
    <row r="1834" spans="13:19">
      <c r="M1834" s="81">
        <f t="shared" ca="1" si="228"/>
        <v>19977.69811917295</v>
      </c>
      <c r="N1834" s="19">
        <f t="shared" si="229"/>
        <v>335.82071189812228</v>
      </c>
      <c r="O1834" s="17">
        <f t="shared" si="227"/>
        <v>458.25</v>
      </c>
      <c r="P1834" s="19">
        <f ca="1">IF(ISERROR(IF(O1834&lt;fi_h/20,0,(OFFSET('Base de dados'!$A$5,IF(O1834&lt;20,1,IF(O1834&gt;1000,10,MATCH(O1834,Cargas,1))),Coluna_fih,1,1))*(1+0.13*0.25)*(PI()*(fi_h/1000)^2/4)*SQRT(2*9.81*(O1834/100-fi_h/2/1000))*1000)),"",IF(O1834&lt;fi_h/20,0,(OFFSET('Base de dados'!$A$5,IF(O1834&lt;20,1,IF(O1834&gt;1000,10,MATCH(O1834,Cargas,1))),Coluna_fih,1,1))*(PI()*(fi_h/1000)^2/4)*SQRT(2*9.81*(O1834/100-fi_h/2/1000))*1000))</f>
        <v>57.256293967809647</v>
      </c>
      <c r="Q1834" s="19">
        <f ca="1">IF(O1834="","",IF(Tipo_Vertedor="Retangular",IF(O1834&lt;=cota_s*100,0,IF(Tipo_Vertedor="Retangular",Cd_sr*Lef_sr*((O1834/100-cota_s)^(3/2))*1000)),IF(O1834&lt;=cota_s*100+fi_s/20,0,(OFFSET('Base de dados'!$A$4,IF(O1834&lt;20,1,IF(O1834&gt;1000,10,MATCH(O1834,Cargas,1))),Coluna_fis,1,1))*(PI()*(fi_s/1000)^2/4)*(2*9.81*(O1834/100-cota_s-fi_s/2/1000))^0.5*1000)))</f>
        <v>8726.4180952677307</v>
      </c>
      <c r="R1834" s="19">
        <f t="shared" ca="1" si="230"/>
        <v>8783.6743892355407</v>
      </c>
      <c r="S1834" s="19">
        <f t="shared" ca="1" si="231"/>
        <v>11194.023729937409</v>
      </c>
    </row>
    <row r="1835" spans="13:19">
      <c r="M1835" s="81">
        <f t="shared" ca="1" si="228"/>
        <v>19992.800128990868</v>
      </c>
      <c r="N1835" s="19">
        <f t="shared" si="229"/>
        <v>336.02675020581779</v>
      </c>
      <c r="O1835" s="17">
        <f t="shared" si="227"/>
        <v>458.5</v>
      </c>
      <c r="P1835" s="19">
        <f ca="1">IF(ISERROR(IF(O1835&lt;fi_h/20,0,(OFFSET('Base de dados'!$A$5,IF(O1835&lt;20,1,IF(O1835&gt;1000,10,MATCH(O1835,Cargas,1))),Coluna_fih,1,1))*(1+0.13*0.25)*(PI()*(fi_h/1000)^2/4)*SQRT(2*9.81*(O1835/100-fi_h/2/1000))*1000)),"",IF(O1835&lt;fi_h/20,0,(OFFSET('Base de dados'!$A$5,IF(O1835&lt;20,1,IF(O1835&gt;1000,10,MATCH(O1835,Cargas,1))),Coluna_fih,1,1))*(PI()*(fi_h/1000)^2/4)*SQRT(2*9.81*(O1835/100-fi_h/2/1000))*1000))</f>
        <v>57.27210459664704</v>
      </c>
      <c r="Q1835" s="19">
        <f ca="1">IF(O1835="","",IF(Tipo_Vertedor="Retangular",IF(O1835&lt;=cota_s*100,0,IF(Tipo_Vertedor="Retangular",Cd_sr*Lef_sr*((O1835/100-cota_s)^(3/2))*1000)),IF(O1835&lt;=cota_s*100+fi_s/20,0,(OFFSET('Base de dados'!$A$4,IF(O1835&lt;20,1,IF(O1835&gt;1000,10,MATCH(O1835,Cargas,1))),Coluna_fis,1,1))*(PI()*(fi_s/1000)^2/4)*(2*9.81*(O1835/100-cota_s-fi_s/2/1000))^0.5*1000)))</f>
        <v>8734.6363508669619</v>
      </c>
      <c r="R1835" s="19">
        <f t="shared" ca="1" si="230"/>
        <v>8791.9084554636083</v>
      </c>
      <c r="S1835" s="19">
        <f t="shared" ca="1" si="231"/>
        <v>11200.89167352726</v>
      </c>
    </row>
    <row r="1836" spans="13:19">
      <c r="M1836" s="81">
        <f t="shared" ca="1" si="228"/>
        <v>20007.905179242531</v>
      </c>
      <c r="N1836" s="19">
        <f t="shared" si="229"/>
        <v>336.23280250913956</v>
      </c>
      <c r="O1836" s="17">
        <f t="shared" si="227"/>
        <v>458.75</v>
      </c>
      <c r="P1836" s="19">
        <f ca="1">IF(ISERROR(IF(O1836&lt;fi_h/20,0,(OFFSET('Base de dados'!$A$5,IF(O1836&lt;20,1,IF(O1836&gt;1000,10,MATCH(O1836,Cargas,1))),Coluna_fih,1,1))*(1+0.13*0.25)*(PI()*(fi_h/1000)^2/4)*SQRT(2*9.81*(O1836/100-fi_h/2/1000))*1000)),"",IF(O1836&lt;fi_h/20,0,(OFFSET('Base de dados'!$A$5,IF(O1836&lt;20,1,IF(O1836&gt;1000,10,MATCH(O1836,Cargas,1))),Coluna_fih,1,1))*(PI()*(fi_h/1000)^2/4)*SQRT(2*9.81*(O1836/100-fi_h/2/1000))*1000))</f>
        <v>57.287910861981359</v>
      </c>
      <c r="Q1836" s="19">
        <f ca="1">IF(O1836="","",IF(Tipo_Vertedor="Retangular",IF(O1836&lt;=cota_s*100,0,IF(Tipo_Vertedor="Retangular",Cd_sr*Lef_sr*((O1836/100-cota_s)^(3/2))*1000)),IF(O1836&lt;=cota_s*100+fi_s/20,0,(OFFSET('Base de dados'!$A$4,IF(O1836&lt;20,1,IF(O1836&gt;1000,10,MATCH(O1836,Cargas,1))),Coluna_fis,1,1))*(PI()*(fi_s/1000)^2/4)*(2*9.81*(O1836/100-cota_s-fi_s/2/1000))^0.5*1000)))</f>
        <v>8742.8571847425646</v>
      </c>
      <c r="R1836" s="19">
        <f t="shared" ca="1" si="230"/>
        <v>8800.1450956045464</v>
      </c>
      <c r="S1836" s="19">
        <f t="shared" ca="1" si="231"/>
        <v>11207.760083637986</v>
      </c>
    </row>
    <row r="1837" spans="13:19">
      <c r="M1837" s="81">
        <f t="shared" ca="1" si="228"/>
        <v>20023.013268900613</v>
      </c>
      <c r="N1837" s="19">
        <f t="shared" si="229"/>
        <v>336.43886880141025</v>
      </c>
      <c r="O1837" s="17">
        <f t="shared" si="227"/>
        <v>459</v>
      </c>
      <c r="P1837" s="19">
        <f ca="1">IF(ISERROR(IF(O1837&lt;fi_h/20,0,(OFFSET('Base de dados'!$A$5,IF(O1837&lt;20,1,IF(O1837&gt;1000,10,MATCH(O1837,Cargas,1))),Coluna_fih,1,1))*(1+0.13*0.25)*(PI()*(fi_h/1000)^2/4)*SQRT(2*9.81*(O1837/100-fi_h/2/1000))*1000)),"",IF(O1837&lt;fi_h/20,0,(OFFSET('Base de dados'!$A$5,IF(O1837&lt;20,1,IF(O1837&gt;1000,10,MATCH(O1837,Cargas,1))),Coluna_fih,1,1))*(PI()*(fi_h/1000)^2/4)*SQRT(2*9.81*(O1837/100-fi_h/2/1000))*1000))</f>
        <v>57.303712767423406</v>
      </c>
      <c r="Q1837" s="19">
        <f ca="1">IF(O1837="","",IF(Tipo_Vertedor="Retangular",IF(O1837&lt;=cota_s*100,0,IF(Tipo_Vertedor="Retangular",Cd_sr*Lef_sr*((O1837/100-cota_s)^(3/2))*1000)),IF(O1837&lt;=cota_s*100+fi_s/20,0,(OFFSET('Base de dados'!$A$4,IF(O1837&lt;20,1,IF(O1837&gt;1000,10,MATCH(O1837,Cargas,1))),Coluna_fis,1,1))*(PI()*(fi_s/1000)^2/4)*(2*9.81*(O1837/100-cota_s-fi_s/2/1000))^0.5*1000)))</f>
        <v>8751.0805960861799</v>
      </c>
      <c r="R1837" s="19">
        <f t="shared" ca="1" si="230"/>
        <v>8808.3843088536032</v>
      </c>
      <c r="S1837" s="19">
        <f t="shared" ca="1" si="231"/>
        <v>11214.628960047008</v>
      </c>
    </row>
    <row r="1838" spans="13:19">
      <c r="M1838" s="81">
        <f t="shared" ca="1" si="228"/>
        <v>20038.124396938765</v>
      </c>
      <c r="N1838" s="19">
        <f t="shared" si="229"/>
        <v>336.64494907595974</v>
      </c>
      <c r="O1838" s="17">
        <f t="shared" si="227"/>
        <v>459.25</v>
      </c>
      <c r="P1838" s="19">
        <f ca="1">IF(ISERROR(IF(O1838&lt;fi_h/20,0,(OFFSET('Base de dados'!$A$5,IF(O1838&lt;20,1,IF(O1838&gt;1000,10,MATCH(O1838,Cargas,1))),Coluna_fih,1,1))*(1+0.13*0.25)*(PI()*(fi_h/1000)^2/4)*SQRT(2*9.81*(O1838/100-fi_h/2/1000))*1000)),"",IF(O1838&lt;fi_h/20,0,(OFFSET('Base de dados'!$A$5,IF(O1838&lt;20,1,IF(O1838&gt;1000,10,MATCH(O1838,Cargas,1))),Coluna_fih,1,1))*(PI()*(fi_h/1000)^2/4)*SQRT(2*9.81*(O1838/100-fi_h/2/1000))*1000))</f>
        <v>57.319510316579013</v>
      </c>
      <c r="Q1838" s="19">
        <f ca="1">IF(O1838="","",IF(Tipo_Vertedor="Retangular",IF(O1838&lt;=cota_s*100,0,IF(Tipo_Vertedor="Retangular",Cd_sr*Lef_sr*((O1838/100-cota_s)^(3/2))*1000)),IF(O1838&lt;=cota_s*100+fi_s/20,0,(OFFSET('Base de dados'!$A$4,IF(O1838&lt;20,1,IF(O1838&gt;1000,10,MATCH(O1838,Cargas,1))),Coluna_fis,1,1))*(PI()*(fi_s/1000)^2/4)*(2*9.81*(O1838/100-cota_s-fi_s/2/1000))^0.5*1000)))</f>
        <v>8759.3065840901945</v>
      </c>
      <c r="R1838" s="19">
        <f t="shared" ca="1" si="230"/>
        <v>8816.6260944067744</v>
      </c>
      <c r="S1838" s="19">
        <f t="shared" ca="1" si="231"/>
        <v>11221.498302531991</v>
      </c>
    </row>
    <row r="1839" spans="13:19">
      <c r="M1839" s="81">
        <f t="shared" ca="1" si="228"/>
        <v>20053.238562331637</v>
      </c>
      <c r="N1839" s="19">
        <f t="shared" si="229"/>
        <v>336.85104332612451</v>
      </c>
      <c r="O1839" s="17">
        <f t="shared" si="227"/>
        <v>459.5</v>
      </c>
      <c r="P1839" s="19">
        <f ca="1">IF(ISERROR(IF(O1839&lt;fi_h/20,0,(OFFSET('Base de dados'!$A$5,IF(O1839&lt;20,1,IF(O1839&gt;1000,10,MATCH(O1839,Cargas,1))),Coluna_fih,1,1))*(1+0.13*0.25)*(PI()*(fi_h/1000)^2/4)*SQRT(2*9.81*(O1839/100-fi_h/2/1000))*1000)),"",IF(O1839&lt;fi_h/20,0,(OFFSET('Base de dados'!$A$5,IF(O1839&lt;20,1,IF(O1839&gt;1000,10,MATCH(O1839,Cargas,1))),Coluna_fih,1,1))*(PI()*(fi_h/1000)^2/4)*SQRT(2*9.81*(O1839/100-fi_h/2/1000))*1000))</f>
        <v>57.335303513049013</v>
      </c>
      <c r="Q1839" s="19">
        <f ca="1">IF(O1839="","",IF(Tipo_Vertedor="Retangular",IF(O1839&lt;=cota_s*100,0,IF(Tipo_Vertedor="Retangular",Cd_sr*Lef_sr*((O1839/100-cota_s)^(3/2))*1000)),IF(O1839&lt;=cota_s*100+fi_s/20,0,(OFFSET('Base de dados'!$A$4,IF(O1839&lt;20,1,IF(O1839&gt;1000,10,MATCH(O1839,Cargas,1))),Coluna_fis,1,1))*(PI()*(fi_s/1000)^2/4)*(2*9.81*(O1839/100-cota_s-fi_s/2/1000))^0.5*1000)))</f>
        <v>8767.5351479477686</v>
      </c>
      <c r="R1839" s="19">
        <f t="shared" ca="1" si="230"/>
        <v>8824.870451460818</v>
      </c>
      <c r="S1839" s="19">
        <f t="shared" ca="1" si="231"/>
        <v>11228.368110870817</v>
      </c>
    </row>
    <row r="1840" spans="13:19">
      <c r="M1840" s="81">
        <f t="shared" ca="1" si="228"/>
        <v>20068.355764054839</v>
      </c>
      <c r="N1840" s="19">
        <f t="shared" si="229"/>
        <v>337.05715154524779</v>
      </c>
      <c r="O1840" s="17">
        <f t="shared" si="227"/>
        <v>459.75</v>
      </c>
      <c r="P1840" s="19">
        <f ca="1">IF(ISERROR(IF(O1840&lt;fi_h/20,0,(OFFSET('Base de dados'!$A$5,IF(O1840&lt;20,1,IF(O1840&gt;1000,10,MATCH(O1840,Cargas,1))),Coluna_fih,1,1))*(1+0.13*0.25)*(PI()*(fi_h/1000)^2/4)*SQRT(2*9.81*(O1840/100-fi_h/2/1000))*1000)),"",IF(O1840&lt;fi_h/20,0,(OFFSET('Base de dados'!$A$5,IF(O1840&lt;20,1,IF(O1840&gt;1000,10,MATCH(O1840,Cargas,1))),Coluna_fih,1,1))*(PI()*(fi_h/1000)^2/4)*SQRT(2*9.81*(O1840/100-fi_h/2/1000))*1000))</f>
        <v>57.35109236042932</v>
      </c>
      <c r="Q1840" s="19">
        <f ca="1">IF(O1840="","",IF(Tipo_Vertedor="Retangular",IF(O1840&lt;=cota_s*100,0,IF(Tipo_Vertedor="Retangular",Cd_sr*Lef_sr*((O1840/100-cota_s)^(3/2))*1000)),IF(O1840&lt;=cota_s*100+fi_s/20,0,(OFFSET('Base de dados'!$A$4,IF(O1840&lt;20,1,IF(O1840&gt;1000,10,MATCH(O1840,Cargas,1))),Coluna_fis,1,1))*(PI()*(fi_s/1000)^2/4)*(2*9.81*(O1840/100-cota_s-fi_s/2/1000))^0.5*1000)))</f>
        <v>8775.7662868528168</v>
      </c>
      <c r="R1840" s="19">
        <f t="shared" ca="1" si="230"/>
        <v>8833.1173792132467</v>
      </c>
      <c r="S1840" s="19">
        <f t="shared" ca="1" si="231"/>
        <v>11235.238384841594</v>
      </c>
    </row>
    <row r="1841" spans="13:19">
      <c r="M1841" s="81">
        <f t="shared" ca="1" si="228"/>
        <v>20083.47600108496</v>
      </c>
      <c r="N1841" s="19">
        <f t="shared" si="229"/>
        <v>337.26327372667959</v>
      </c>
      <c r="O1841" s="17">
        <f t="shared" si="227"/>
        <v>460</v>
      </c>
      <c r="P1841" s="19">
        <f ca="1">IF(ISERROR(IF(O1841&lt;fi_h/20,0,(OFFSET('Base de dados'!$A$5,IF(O1841&lt;20,1,IF(O1841&gt;1000,10,MATCH(O1841,Cargas,1))),Coluna_fih,1,1))*(1+0.13*0.25)*(PI()*(fi_h/1000)^2/4)*SQRT(2*9.81*(O1841/100-fi_h/2/1000))*1000)),"",IF(O1841&lt;fi_h/20,0,(OFFSET('Base de dados'!$A$5,IF(O1841&lt;20,1,IF(O1841&gt;1000,10,MATCH(O1841,Cargas,1))),Coluna_fih,1,1))*(PI()*(fi_h/1000)^2/4)*SQRT(2*9.81*(O1841/100-fi_h/2/1000))*1000))</f>
        <v>57.366876862310846</v>
      </c>
      <c r="Q1841" s="19">
        <f ca="1">IF(O1841="","",IF(Tipo_Vertedor="Retangular",IF(O1841&lt;=cota_s*100,0,IF(Tipo_Vertedor="Retangular",Cd_sr*Lef_sr*((O1841/100-cota_s)^(3/2))*1000)),IF(O1841&lt;=cota_s*100+fi_s/20,0,(OFFSET('Base de dados'!$A$4,IF(O1841&lt;20,1,IF(O1841&gt;1000,10,MATCH(O1841,Cargas,1))),Coluna_fis,1,1))*(PI()*(fi_s/1000)^2/4)*(2*9.81*(O1841/100-cota_s-fi_s/2/1000))^0.5*1000)))</f>
        <v>8783.9999999999982</v>
      </c>
      <c r="R1841" s="19">
        <f t="shared" ca="1" si="230"/>
        <v>8841.3668768623083</v>
      </c>
      <c r="S1841" s="19">
        <f t="shared" ca="1" si="231"/>
        <v>11242.109124222652</v>
      </c>
    </row>
    <row r="1842" spans="13:19">
      <c r="M1842" s="81">
        <f t="shared" ca="1" si="228"/>
        <v>20098.599272399595</v>
      </c>
      <c r="N1842" s="19">
        <f t="shared" si="229"/>
        <v>337.46940986377695</v>
      </c>
      <c r="O1842" s="17">
        <f t="shared" si="227"/>
        <v>460.25</v>
      </c>
      <c r="P1842" s="19">
        <f ca="1">IF(ISERROR(IF(O1842&lt;fi_h/20,0,(OFFSET('Base de dados'!$A$5,IF(O1842&lt;20,1,IF(O1842&gt;1000,10,MATCH(O1842,Cargas,1))),Coluna_fih,1,1))*(1+0.13*0.25)*(PI()*(fi_h/1000)^2/4)*SQRT(2*9.81*(O1842/100-fi_h/2/1000))*1000)),"",IF(O1842&lt;fi_h/20,0,(OFFSET('Base de dados'!$A$5,IF(O1842&lt;20,1,IF(O1842&gt;1000,10,MATCH(O1842,Cargas,1))),Coluna_fih,1,1))*(PI()*(fi_h/1000)^2/4)*SQRT(2*9.81*(O1842/100-fi_h/2/1000))*1000))</f>
        <v>57.382657022279645</v>
      </c>
      <c r="Q1842" s="19">
        <f ca="1">IF(O1842="","",IF(Tipo_Vertedor="Retangular",IF(O1842&lt;=cota_s*100,0,IF(Tipo_Vertedor="Retangular",Cd_sr*Lef_sr*((O1842/100-cota_s)^(3/2))*1000)),IF(O1842&lt;=cota_s*100+fi_s/20,0,(OFFSET('Base de dados'!$A$4,IF(O1842&lt;20,1,IF(O1842&gt;1000,10,MATCH(O1842,Cargas,1))),Coluna_fis,1,1))*(PI()*(fi_s/1000)^2/4)*(2*9.81*(O1842/100-cota_s-fi_s/2/1000))^0.5*1000)))</f>
        <v>8792.2362865847517</v>
      </c>
      <c r="R1842" s="19">
        <f t="shared" ca="1" si="230"/>
        <v>8849.6189436070308</v>
      </c>
      <c r="S1842" s="19">
        <f t="shared" ca="1" si="231"/>
        <v>11248.980328792564</v>
      </c>
    </row>
    <row r="1843" spans="13:19">
      <c r="M1843" s="81">
        <f t="shared" ca="1" si="228"/>
        <v>20113.725576977275</v>
      </c>
      <c r="N1843" s="19">
        <f t="shared" si="229"/>
        <v>337.67555994990352</v>
      </c>
      <c r="O1843" s="17">
        <f t="shared" si="227"/>
        <v>460.5</v>
      </c>
      <c r="P1843" s="19">
        <f ca="1">IF(ISERROR(IF(O1843&lt;fi_h/20,0,(OFFSET('Base de dados'!$A$5,IF(O1843&lt;20,1,IF(O1843&gt;1000,10,MATCH(O1843,Cargas,1))),Coluna_fih,1,1))*(1+0.13*0.25)*(PI()*(fi_h/1000)^2/4)*SQRT(2*9.81*(O1843/100-fi_h/2/1000))*1000)),"",IF(O1843&lt;fi_h/20,0,(OFFSET('Base de dados'!$A$5,IF(O1843&lt;20,1,IF(O1843&gt;1000,10,MATCH(O1843,Cargas,1))),Coluna_fih,1,1))*(PI()*(fi_h/1000)^2/4)*SQRT(2*9.81*(O1843/100-fi_h/2/1000))*1000))</f>
        <v>57.398432843916758</v>
      </c>
      <c r="Q1843" s="19">
        <f ca="1">IF(O1843="","",IF(Tipo_Vertedor="Retangular",IF(O1843&lt;=cota_s*100,0,IF(Tipo_Vertedor="Retangular",Cd_sr*Lef_sr*((O1843/100-cota_s)^(3/2))*1000)),IF(O1843&lt;=cota_s*100+fi_s/20,0,(OFFSET('Base de dados'!$A$4,IF(O1843&lt;20,1,IF(O1843&gt;1000,10,MATCH(O1843,Cargas,1))),Coluna_fis,1,1))*(PI()*(fi_s/1000)^2/4)*(2*9.81*(O1843/100-cota_s-fi_s/2/1000))^0.5*1000)))</f>
        <v>8800.4751458032388</v>
      </c>
      <c r="R1843" s="19">
        <f t="shared" ca="1" si="230"/>
        <v>8857.8735786471552</v>
      </c>
      <c r="S1843" s="19">
        <f t="shared" ca="1" si="231"/>
        <v>11255.851998330118</v>
      </c>
    </row>
    <row r="1844" spans="13:19">
      <c r="M1844" s="81">
        <f t="shared" ca="1" si="228"/>
        <v>20128.854913797513</v>
      </c>
      <c r="N1844" s="19">
        <f t="shared" si="229"/>
        <v>337.88172397842953</v>
      </c>
      <c r="O1844" s="17">
        <f t="shared" si="227"/>
        <v>460.75</v>
      </c>
      <c r="P1844" s="19">
        <f ca="1">IF(ISERROR(IF(O1844&lt;fi_h/20,0,(OFFSET('Base de dados'!$A$5,IF(O1844&lt;20,1,IF(O1844&gt;1000,10,MATCH(O1844,Cargas,1))),Coluna_fih,1,1))*(1+0.13*0.25)*(PI()*(fi_h/1000)^2/4)*SQRT(2*9.81*(O1844/100-fi_h/2/1000))*1000)),"",IF(O1844&lt;fi_h/20,0,(OFFSET('Base de dados'!$A$5,IF(O1844&lt;20,1,IF(O1844&gt;1000,10,MATCH(O1844,Cargas,1))),Coluna_fih,1,1))*(PI()*(fi_h/1000)^2/4)*SQRT(2*9.81*(O1844/100-fi_h/2/1000))*1000))</f>
        <v>57.414204330798363</v>
      </c>
      <c r="Q1844" s="19">
        <f ca="1">IF(O1844="","",IF(Tipo_Vertedor="Retangular",IF(O1844&lt;=cota_s*100,0,IF(Tipo_Vertedor="Retangular",Cd_sr*Lef_sr*((O1844/100-cota_s)^(3/2))*1000)),IF(O1844&lt;=cota_s*100+fi_s/20,0,(OFFSET('Base de dados'!$A$4,IF(O1844&lt;20,1,IF(O1844&gt;1000,10,MATCH(O1844,Cargas,1))),Coluna_fis,1,1))*(PI()*(fi_s/1000)^2/4)*(2*9.81*(O1844/100-cota_s-fi_s/2/1000))^0.5*1000)))</f>
        <v>8808.7165768523992</v>
      </c>
      <c r="R1844" s="19">
        <f t="shared" ca="1" si="230"/>
        <v>8866.1307811831975</v>
      </c>
      <c r="S1844" s="19">
        <f t="shared" ca="1" si="231"/>
        <v>11262.724132614318</v>
      </c>
    </row>
    <row r="1845" spans="13:19">
      <c r="M1845" s="81">
        <f t="shared" ca="1" si="228"/>
        <v>20143.987281840808</v>
      </c>
      <c r="N1845" s="19">
        <f t="shared" si="229"/>
        <v>338.08790194273206</v>
      </c>
      <c r="O1845" s="17">
        <f t="shared" si="227"/>
        <v>461</v>
      </c>
      <c r="P1845" s="19">
        <f ca="1">IF(ISERROR(IF(O1845&lt;fi_h/20,0,(OFFSET('Base de dados'!$A$5,IF(O1845&lt;20,1,IF(O1845&gt;1000,10,MATCH(O1845,Cargas,1))),Coluna_fih,1,1))*(1+0.13*0.25)*(PI()*(fi_h/1000)^2/4)*SQRT(2*9.81*(O1845/100-fi_h/2/1000))*1000)),"",IF(O1845&lt;fi_h/20,0,(OFFSET('Base de dados'!$A$5,IF(O1845&lt;20,1,IF(O1845&gt;1000,10,MATCH(O1845,Cargas,1))),Coluna_fih,1,1))*(PI()*(fi_h/1000)^2/4)*SQRT(2*9.81*(O1845/100-fi_h/2/1000))*1000))</f>
        <v>57.429971486495695</v>
      </c>
      <c r="Q1845" s="19">
        <f ca="1">IF(O1845="","",IF(Tipo_Vertedor="Retangular",IF(O1845&lt;=cota_s*100,0,IF(Tipo_Vertedor="Retangular",Cd_sr*Lef_sr*((O1845/100-cota_s)^(3/2))*1000)),IF(O1845&lt;=cota_s*100+fi_s/20,0,(OFFSET('Base de dados'!$A$4,IF(O1845&lt;20,1,IF(O1845&gt;1000,10,MATCH(O1845,Cargas,1))),Coluna_fis,1,1))*(PI()*(fi_s/1000)^2/4)*(2*9.81*(O1845/100-cota_s-fi_s/2/1000))^0.5*1000)))</f>
        <v>8816.9605789299112</v>
      </c>
      <c r="R1845" s="19">
        <f t="shared" ca="1" si="230"/>
        <v>8874.3905504164068</v>
      </c>
      <c r="S1845" s="19">
        <f t="shared" ca="1" si="231"/>
        <v>11269.596731424401</v>
      </c>
    </row>
    <row r="1846" spans="13:19">
      <c r="M1846" s="81">
        <f t="shared" ca="1" si="228"/>
        <v>20159.122680088614</v>
      </c>
      <c r="N1846" s="19">
        <f t="shared" si="229"/>
        <v>338.29409383619509</v>
      </c>
      <c r="O1846" s="17">
        <f t="shared" si="227"/>
        <v>461.25</v>
      </c>
      <c r="P1846" s="19">
        <f ca="1">IF(ISERROR(IF(O1846&lt;fi_h/20,0,(OFFSET('Base de dados'!$A$5,IF(O1846&lt;20,1,IF(O1846&gt;1000,10,MATCH(O1846,Cargas,1))),Coluna_fih,1,1))*(1+0.13*0.25)*(PI()*(fi_h/1000)^2/4)*SQRT(2*9.81*(O1846/100-fi_h/2/1000))*1000)),"",IF(O1846&lt;fi_h/20,0,(OFFSET('Base de dados'!$A$5,IF(O1846&lt;20,1,IF(O1846&gt;1000,10,MATCH(O1846,Cargas,1))),Coluna_fih,1,1))*(PI()*(fi_h/1000)^2/4)*SQRT(2*9.81*(O1846/100-fi_h/2/1000))*1000))</f>
        <v>57.445734314575098</v>
      </c>
      <c r="Q1846" s="19">
        <f ca="1">IF(O1846="","",IF(Tipo_Vertedor="Retangular",IF(O1846&lt;=cota_s*100,0,IF(Tipo_Vertedor="Retangular",Cd_sr*Lef_sr*((O1846/100-cota_s)^(3/2))*1000)),IF(O1846&lt;=cota_s*100+fi_s/20,0,(OFFSET('Base de dados'!$A$4,IF(O1846&lt;20,1,IF(O1846&gt;1000,10,MATCH(O1846,Cargas,1))),Coluna_fis,1,1))*(PI()*(fi_s/1000)^2/4)*(2*9.81*(O1846/100-cota_s-fi_s/2/1000))^0.5*1000)))</f>
        <v>8825.2071512342045</v>
      </c>
      <c r="R1846" s="19">
        <f t="shared" ca="1" si="230"/>
        <v>8882.6528855487795</v>
      </c>
      <c r="S1846" s="19">
        <f t="shared" ca="1" si="231"/>
        <v>11276.469794539835</v>
      </c>
    </row>
    <row r="1847" spans="13:19">
      <c r="M1847" s="81">
        <f t="shared" ca="1" si="228"/>
        <v>20174.261107523373</v>
      </c>
      <c r="N1847" s="19">
        <f t="shared" si="229"/>
        <v>338.50029965220921</v>
      </c>
      <c r="O1847" s="17">
        <f t="shared" si="227"/>
        <v>461.5</v>
      </c>
      <c r="P1847" s="19">
        <f ca="1">IF(ISERROR(IF(O1847&lt;fi_h/20,0,(OFFSET('Base de dados'!$A$5,IF(O1847&lt;20,1,IF(O1847&gt;1000,10,MATCH(O1847,Cargas,1))),Coluna_fih,1,1))*(1+0.13*0.25)*(PI()*(fi_h/1000)^2/4)*SQRT(2*9.81*(O1847/100-fi_h/2/1000))*1000)),"",IF(O1847&lt;fi_h/20,0,(OFFSET('Base de dados'!$A$5,IF(O1847&lt;20,1,IF(O1847&gt;1000,10,MATCH(O1847,Cargas,1))),Coluna_fih,1,1))*(PI()*(fi_h/1000)^2/4)*SQRT(2*9.81*(O1847/100-fi_h/2/1000))*1000))</f>
        <v>57.461492818598046</v>
      </c>
      <c r="Q1847" s="19">
        <f ca="1">IF(O1847="","",IF(Tipo_Vertedor="Retangular",IF(O1847&lt;=cota_s*100,0,IF(Tipo_Vertedor="Retangular",Cd_sr*Lef_sr*((O1847/100-cota_s)^(3/2))*1000)),IF(O1847&lt;=cota_s*100+fi_s/20,0,(OFFSET('Base de dados'!$A$4,IF(O1847&lt;20,1,IF(O1847&gt;1000,10,MATCH(O1847,Cargas,1))),Coluna_fis,1,1))*(PI()*(fi_s/1000)^2/4)*(2*9.81*(O1847/100-cota_s-fi_s/2/1000))^0.5*1000)))</f>
        <v>8833.4562929644671</v>
      </c>
      <c r="R1847" s="19">
        <f t="shared" ca="1" si="230"/>
        <v>8890.9177857830655</v>
      </c>
      <c r="S1847" s="19">
        <f t="shared" ca="1" si="231"/>
        <v>11283.343321740307</v>
      </c>
    </row>
    <row r="1848" spans="13:19">
      <c r="M1848" s="81">
        <f t="shared" ca="1" si="228"/>
        <v>20189.402563128468</v>
      </c>
      <c r="N1848" s="19">
        <f t="shared" si="229"/>
        <v>338.70651938417171</v>
      </c>
      <c r="O1848" s="17">
        <f t="shared" si="227"/>
        <v>461.75</v>
      </c>
      <c r="P1848" s="19">
        <f ca="1">IF(ISERROR(IF(O1848&lt;fi_h/20,0,(OFFSET('Base de dados'!$A$5,IF(O1848&lt;20,1,IF(O1848&gt;1000,10,MATCH(O1848,Cargas,1))),Coluna_fih,1,1))*(1+0.13*0.25)*(PI()*(fi_h/1000)^2/4)*SQRT(2*9.81*(O1848/100-fi_h/2/1000))*1000)),"",IF(O1848&lt;fi_h/20,0,(OFFSET('Base de dados'!$A$5,IF(O1848&lt;20,1,IF(O1848&gt;1000,10,MATCH(O1848,Cargas,1))),Coluna_fih,1,1))*(PI()*(fi_h/1000)^2/4)*SQRT(2*9.81*(O1848/100-fi_h/2/1000))*1000))</f>
        <v>57.477247002121082</v>
      </c>
      <c r="Q1848" s="19">
        <f ca="1">IF(O1848="","",IF(Tipo_Vertedor="Retangular",IF(O1848&lt;=cota_s*100,0,IF(Tipo_Vertedor="Retangular",Cd_sr*Lef_sr*((O1848/100-cota_s)^(3/2))*1000)),IF(O1848&lt;=cota_s*100+fi_s/20,0,(OFFSET('Base de dados'!$A$4,IF(O1848&lt;20,1,IF(O1848&gt;1000,10,MATCH(O1848,Cargas,1))),Coluna_fis,1,1))*(PI()*(fi_s/1000)^2/4)*(2*9.81*(O1848/100-cota_s-fi_s/2/1000))^0.5*1000)))</f>
        <v>8841.7080033206239</v>
      </c>
      <c r="R1848" s="19">
        <f t="shared" ca="1" si="230"/>
        <v>8899.1852503227456</v>
      </c>
      <c r="S1848" s="19">
        <f t="shared" ca="1" si="231"/>
        <v>11290.217312805724</v>
      </c>
    </row>
    <row r="1849" spans="13:19">
      <c r="M1849" s="81">
        <f t="shared" ca="1" si="228"/>
        <v>20204.547045888277</v>
      </c>
      <c r="N1849" s="19">
        <f t="shared" si="229"/>
        <v>338.91275302548672</v>
      </c>
      <c r="O1849" s="17">
        <f t="shared" si="227"/>
        <v>462</v>
      </c>
      <c r="P1849" s="19">
        <f ca="1">IF(ISERROR(IF(O1849&lt;fi_h/20,0,(OFFSET('Base de dados'!$A$5,IF(O1849&lt;20,1,IF(O1849&gt;1000,10,MATCH(O1849,Cargas,1))),Coluna_fih,1,1))*(1+0.13*0.25)*(PI()*(fi_h/1000)^2/4)*SQRT(2*9.81*(O1849/100-fi_h/2/1000))*1000)),"",IF(O1849&lt;fi_h/20,0,(OFFSET('Base de dados'!$A$5,IF(O1849&lt;20,1,IF(O1849&gt;1000,10,MATCH(O1849,Cargas,1))),Coluna_fih,1,1))*(PI()*(fi_h/1000)^2/4)*SQRT(2*9.81*(O1849/100-fi_h/2/1000))*1000))</f>
        <v>57.492996868695933</v>
      </c>
      <c r="Q1849" s="19">
        <f ca="1">IF(O1849="","",IF(Tipo_Vertedor="Retangular",IF(O1849&lt;=cota_s*100,0,IF(Tipo_Vertedor="Retangular",Cd_sr*Lef_sr*((O1849/100-cota_s)^(3/2))*1000)),IF(O1849&lt;=cota_s*100+fi_s/20,0,(OFFSET('Base de dados'!$A$4,IF(O1849&lt;20,1,IF(O1849&gt;1000,10,MATCH(O1849,Cargas,1))),Coluna_fis,1,1))*(PI()*(fi_s/1000)^2/4)*(2*9.81*(O1849/100-cota_s-fi_s/2/1000))^0.5*1000)))</f>
        <v>8849.9622815033563</v>
      </c>
      <c r="R1849" s="19">
        <f t="shared" ca="1" si="230"/>
        <v>8907.4552783720519</v>
      </c>
      <c r="S1849" s="19">
        <f t="shared" ca="1" si="231"/>
        <v>11297.091767516224</v>
      </c>
    </row>
    <row r="1850" spans="13:19">
      <c r="M1850" s="81">
        <f t="shared" ca="1" si="228"/>
        <v>20219.694554788097</v>
      </c>
      <c r="N1850" s="19">
        <f t="shared" si="229"/>
        <v>339.11900056956466</v>
      </c>
      <c r="O1850" s="17">
        <f t="shared" si="227"/>
        <v>462.25</v>
      </c>
      <c r="P1850" s="19">
        <f ca="1">IF(ISERROR(IF(O1850&lt;fi_h/20,0,(OFFSET('Base de dados'!$A$5,IF(O1850&lt;20,1,IF(O1850&gt;1000,10,MATCH(O1850,Cargas,1))),Coluna_fih,1,1))*(1+0.13*0.25)*(PI()*(fi_h/1000)^2/4)*SQRT(2*9.81*(O1850/100-fi_h/2/1000))*1000)),"",IF(O1850&lt;fi_h/20,0,(OFFSET('Base de dados'!$A$5,IF(O1850&lt;20,1,IF(O1850&gt;1000,10,MATCH(O1850,Cargas,1))),Coluna_fih,1,1))*(PI()*(fi_h/1000)^2/4)*SQRT(2*9.81*(O1850/100-fi_h/2/1000))*1000))</f>
        <v>57.508742421869421</v>
      </c>
      <c r="Q1850" s="19">
        <f ca="1">IF(O1850="","",IF(Tipo_Vertedor="Retangular",IF(O1850&lt;=cota_s*100,0,IF(Tipo_Vertedor="Retangular",Cd_sr*Lef_sr*((O1850/100-cota_s)^(3/2))*1000)),IF(O1850&lt;=cota_s*100+fi_s/20,0,(OFFSET('Base de dados'!$A$4,IF(O1850&lt;20,1,IF(O1850&gt;1000,10,MATCH(O1850,Cargas,1))),Coluna_fis,1,1))*(PI()*(fi_s/1000)^2/4)*(2*9.81*(O1850/100-cota_s-fi_s/2/1000))^0.5*1000)))</f>
        <v>8858.2191267140752</v>
      </c>
      <c r="R1850" s="19">
        <f t="shared" ca="1" si="230"/>
        <v>8915.7278691359443</v>
      </c>
      <c r="S1850" s="19">
        <f t="shared" ca="1" si="231"/>
        <v>11303.966685652154</v>
      </c>
    </row>
    <row r="1851" spans="13:19">
      <c r="M1851" s="81">
        <f t="shared" ca="1" si="228"/>
        <v>20234.845088814251</v>
      </c>
      <c r="N1851" s="19">
        <f t="shared" si="229"/>
        <v>339.32526200982323</v>
      </c>
      <c r="O1851" s="17">
        <f t="shared" si="227"/>
        <v>462.5</v>
      </c>
      <c r="P1851" s="19">
        <f ca="1">IF(ISERROR(IF(O1851&lt;fi_h/20,0,(OFFSET('Base de dados'!$A$5,IF(O1851&lt;20,1,IF(O1851&gt;1000,10,MATCH(O1851,Cargas,1))),Coluna_fih,1,1))*(1+0.13*0.25)*(PI()*(fi_h/1000)^2/4)*SQRT(2*9.81*(O1851/100-fi_h/2/1000))*1000)),"",IF(O1851&lt;fi_h/20,0,(OFFSET('Base de dados'!$A$5,IF(O1851&lt;20,1,IF(O1851&gt;1000,10,MATCH(O1851,Cargas,1))),Coluna_fih,1,1))*(PI()*(fi_h/1000)^2/4)*SQRT(2*9.81*(O1851/100-fi_h/2/1000))*1000))</f>
        <v>57.524483665183517</v>
      </c>
      <c r="Q1851" s="19">
        <f ca="1">IF(O1851="","",IF(Tipo_Vertedor="Retangular",IF(O1851&lt;=cota_s*100,0,IF(Tipo_Vertedor="Retangular",Cd_sr*Lef_sr*((O1851/100-cota_s)^(3/2))*1000)),IF(O1851&lt;=cota_s*100+fi_s/20,0,(OFFSET('Base de dados'!$A$4,IF(O1851&lt;20,1,IF(O1851&gt;1000,10,MATCH(O1851,Cargas,1))),Coluna_fis,1,1))*(PI()*(fi_s/1000)^2/4)*(2*9.81*(O1851/100-cota_s-fi_s/2/1000))^0.5*1000)))</f>
        <v>8866.4785381549591</v>
      </c>
      <c r="R1851" s="19">
        <f t="shared" ca="1" si="230"/>
        <v>8924.0030218201427</v>
      </c>
      <c r="S1851" s="19">
        <f t="shared" ca="1" si="231"/>
        <v>11310.842066994108</v>
      </c>
    </row>
    <row r="1852" spans="13:19">
      <c r="M1852" s="81">
        <f t="shared" ca="1" si="228"/>
        <v>20249.998646953973</v>
      </c>
      <c r="N1852" s="19">
        <f t="shared" si="229"/>
        <v>339.53153733968639</v>
      </c>
      <c r="O1852" s="17">
        <f t="shared" si="227"/>
        <v>462.75</v>
      </c>
      <c r="P1852" s="19">
        <f ca="1">IF(ISERROR(IF(O1852&lt;fi_h/20,0,(OFFSET('Base de dados'!$A$5,IF(O1852&lt;20,1,IF(O1852&gt;1000,10,MATCH(O1852,Cargas,1))),Coluna_fih,1,1))*(1+0.13*0.25)*(PI()*(fi_h/1000)^2/4)*SQRT(2*9.81*(O1852/100-fi_h/2/1000))*1000)),"",IF(O1852&lt;fi_h/20,0,(OFFSET('Base de dados'!$A$5,IF(O1852&lt;20,1,IF(O1852&gt;1000,10,MATCH(O1852,Cargas,1))),Coluna_fih,1,1))*(PI()*(fi_h/1000)^2/4)*SQRT(2*9.81*(O1852/100-fi_h/2/1000))*1000))</f>
        <v>57.540220602175388</v>
      </c>
      <c r="Q1852" s="19">
        <f ca="1">IF(O1852="","",IF(Tipo_Vertedor="Retangular",IF(O1852&lt;=cota_s*100,0,IF(Tipo_Vertedor="Retangular",Cd_sr*Lef_sr*((O1852/100-cota_s)^(3/2))*1000)),IF(O1852&lt;=cota_s*100+fi_s/20,0,(OFFSET('Base de dados'!$A$4,IF(O1852&lt;20,1,IF(O1852&gt;1000,10,MATCH(O1852,Cargas,1))),Coluna_fis,1,1))*(PI()*(fi_s/1000)^2/4)*(2*9.81*(O1852/100-cota_s-fi_s/2/1000))^0.5*1000)))</f>
        <v>8874.7405150289178</v>
      </c>
      <c r="R1852" s="19">
        <f t="shared" ca="1" si="230"/>
        <v>8932.2807356310932</v>
      </c>
      <c r="S1852" s="19">
        <f t="shared" ca="1" si="231"/>
        <v>11317.717911322881</v>
      </c>
    </row>
    <row r="1853" spans="13:19">
      <c r="M1853" s="81">
        <f t="shared" ca="1" si="228"/>
        <v>20265.155228195465</v>
      </c>
      <c r="N1853" s="19">
        <f t="shared" si="229"/>
        <v>339.73782655258475</v>
      </c>
      <c r="O1853" s="17">
        <f t="shared" si="227"/>
        <v>463</v>
      </c>
      <c r="P1853" s="19">
        <f ca="1">IF(ISERROR(IF(O1853&lt;fi_h/20,0,(OFFSET('Base de dados'!$A$5,IF(O1853&lt;20,1,IF(O1853&gt;1000,10,MATCH(O1853,Cargas,1))),Coluna_fih,1,1))*(1+0.13*0.25)*(PI()*(fi_h/1000)^2/4)*SQRT(2*9.81*(O1853/100-fi_h/2/1000))*1000)),"",IF(O1853&lt;fi_h/20,0,(OFFSET('Base de dados'!$A$5,IF(O1853&lt;20,1,IF(O1853&gt;1000,10,MATCH(O1853,Cargas,1))),Coluna_fih,1,1))*(PI()*(fi_h/1000)^2/4)*SQRT(2*9.81*(O1853/100-fi_h/2/1000))*1000))</f>
        <v>57.555953236377313</v>
      </c>
      <c r="Q1853" s="19">
        <f ca="1">IF(O1853="","",IF(Tipo_Vertedor="Retangular",IF(O1853&lt;=cota_s*100,0,IF(Tipo_Vertedor="Retangular",Cd_sr*Lef_sr*((O1853/100-cota_s)^(3/2))*1000)),IF(O1853&lt;=cota_s*100+fi_s/20,0,(OFFSET('Base de dados'!$A$4,IF(O1853&lt;20,1,IF(O1853&gt;1000,10,MATCH(O1853,Cargas,1))),Coluna_fis,1,1))*(PI()*(fi_s/1000)^2/4)*(2*9.81*(O1853/100-cota_s-fi_s/2/1000))^0.5*1000)))</f>
        <v>8883.0050565395959</v>
      </c>
      <c r="R1853" s="19">
        <f t="shared" ca="1" si="230"/>
        <v>8940.5610097759727</v>
      </c>
      <c r="S1853" s="19">
        <f t="shared" ca="1" si="231"/>
        <v>11324.594218419492</v>
      </c>
    </row>
    <row r="1854" spans="13:19">
      <c r="M1854" s="81">
        <f t="shared" ca="1" si="228"/>
        <v>20280.314831527903</v>
      </c>
      <c r="N1854" s="19">
        <f t="shared" si="229"/>
        <v>339.94412964195584</v>
      </c>
      <c r="O1854" s="17">
        <f t="shared" si="227"/>
        <v>463.25</v>
      </c>
      <c r="P1854" s="19">
        <f ca="1">IF(ISERROR(IF(O1854&lt;fi_h/20,0,(OFFSET('Base de dados'!$A$5,IF(O1854&lt;20,1,IF(O1854&gt;1000,10,MATCH(O1854,Cargas,1))),Coluna_fih,1,1))*(1+0.13*0.25)*(PI()*(fi_h/1000)^2/4)*SQRT(2*9.81*(O1854/100-fi_h/2/1000))*1000)),"",IF(O1854&lt;fi_h/20,0,(OFFSET('Base de dados'!$A$5,IF(O1854&lt;20,1,IF(O1854&gt;1000,10,MATCH(O1854,Cargas,1))),Coluna_fih,1,1))*(PI()*(fi_h/1000)^2/4)*SQRT(2*9.81*(O1854/100-fi_h/2/1000))*1000))</f>
        <v>57.57168157131678</v>
      </c>
      <c r="Q1854" s="19">
        <f ca="1">IF(O1854="","",IF(Tipo_Vertedor="Retangular",IF(O1854&lt;=cota_s*100,0,IF(Tipo_Vertedor="Retangular",Cd_sr*Lef_sr*((O1854/100-cota_s)^(3/2))*1000)),IF(O1854&lt;=cota_s*100+fi_s/20,0,(OFFSET('Base de dados'!$A$4,IF(O1854&lt;20,1,IF(O1854&gt;1000,10,MATCH(O1854,Cargas,1))),Coluna_fis,1,1))*(PI()*(fi_s/1000)^2/4)*(2*9.81*(O1854/100-cota_s-fi_s/2/1000))^0.5*1000)))</f>
        <v>8891.2721618913911</v>
      </c>
      <c r="R1854" s="19">
        <f t="shared" ca="1" si="230"/>
        <v>8948.8438434627078</v>
      </c>
      <c r="S1854" s="19">
        <f t="shared" ca="1" si="231"/>
        <v>11331.470988065195</v>
      </c>
    </row>
    <row r="1855" spans="13:19">
      <c r="M1855" s="81">
        <f t="shared" ca="1" si="228"/>
        <v>20295.477455941407</v>
      </c>
      <c r="N1855" s="19">
        <f t="shared" si="229"/>
        <v>340.15044660124352</v>
      </c>
      <c r="O1855" s="17">
        <f t="shared" si="227"/>
        <v>463.5</v>
      </c>
      <c r="P1855" s="19">
        <f ca="1">IF(ISERROR(IF(O1855&lt;fi_h/20,0,(OFFSET('Base de dados'!$A$5,IF(O1855&lt;20,1,IF(O1855&gt;1000,10,MATCH(O1855,Cargas,1))),Coluna_fih,1,1))*(1+0.13*0.25)*(PI()*(fi_h/1000)^2/4)*SQRT(2*9.81*(O1855/100-fi_h/2/1000))*1000)),"",IF(O1855&lt;fi_h/20,0,(OFFSET('Base de dados'!$A$5,IF(O1855&lt;20,1,IF(O1855&gt;1000,10,MATCH(O1855,Cargas,1))),Coluna_fih,1,1))*(PI()*(fi_h/1000)^2/4)*SQRT(2*9.81*(O1855/100-fi_h/2/1000))*1000))</f>
        <v>57.587405610516413</v>
      </c>
      <c r="Q1855" s="19">
        <f ca="1">IF(O1855="","",IF(Tipo_Vertedor="Retangular",IF(O1855&lt;=cota_s*100,0,IF(Tipo_Vertedor="Retangular",Cd_sr*Lef_sr*((O1855/100-cota_s)^(3/2))*1000)),IF(O1855&lt;=cota_s*100+fi_s/20,0,(OFFSET('Base de dados'!$A$4,IF(O1855&lt;20,1,IF(O1855&gt;1000,10,MATCH(O1855,Cargas,1))),Coluna_fis,1,1))*(PI()*(fi_s/1000)^2/4)*(2*9.81*(O1855/100-cota_s-fi_s/2/1000))^0.5*1000)))</f>
        <v>8899.5418302894395</v>
      </c>
      <c r="R1855" s="19">
        <f t="shared" ca="1" si="230"/>
        <v>8957.1292358999563</v>
      </c>
      <c r="S1855" s="19">
        <f t="shared" ca="1" si="231"/>
        <v>11338.348220041451</v>
      </c>
    </row>
    <row r="1856" spans="13:19">
      <c r="M1856" s="81">
        <f t="shared" ca="1" si="228"/>
        <v>20310.64310042706</v>
      </c>
      <c r="N1856" s="19">
        <f t="shared" si="229"/>
        <v>340.35677742389856</v>
      </c>
      <c r="O1856" s="17">
        <f t="shared" si="227"/>
        <v>463.75</v>
      </c>
      <c r="P1856" s="19">
        <f ca="1">IF(ISERROR(IF(O1856&lt;fi_h/20,0,(OFFSET('Base de dados'!$A$5,IF(O1856&lt;20,1,IF(O1856&gt;1000,10,MATCH(O1856,Cargas,1))),Coluna_fih,1,1))*(1+0.13*0.25)*(PI()*(fi_h/1000)^2/4)*SQRT(2*9.81*(O1856/100-fi_h/2/1000))*1000)),"",IF(O1856&lt;fi_h/20,0,(OFFSET('Base de dados'!$A$5,IF(O1856&lt;20,1,IF(O1856&gt;1000,10,MATCH(O1856,Cargas,1))),Coluna_fih,1,1))*(PI()*(fi_h/1000)^2/4)*SQRT(2*9.81*(O1856/100-fi_h/2/1000))*1000))</f>
        <v>57.603125357494108</v>
      </c>
      <c r="Q1856" s="19">
        <f ca="1">IF(O1856="","",IF(Tipo_Vertedor="Retangular",IF(O1856&lt;=cota_s*100,0,IF(Tipo_Vertedor="Retangular",Cd_sr*Lef_sr*((O1856/100-cota_s)^(3/2))*1000)),IF(O1856&lt;=cota_s*100+fi_s/20,0,(OFFSET('Base de dados'!$A$4,IF(O1856&lt;20,1,IF(O1856&gt;1000,10,MATCH(O1856,Cargas,1))),Coluna_fis,1,1))*(PI()*(fi_s/1000)^2/4)*(2*9.81*(O1856/100-cota_s-fi_s/2/1000))^0.5*1000)))</f>
        <v>8907.8140609396123</v>
      </c>
      <c r="R1856" s="19">
        <f t="shared" ca="1" si="230"/>
        <v>8965.417186297107</v>
      </c>
      <c r="S1856" s="19">
        <f t="shared" ca="1" si="231"/>
        <v>11345.225914129953</v>
      </c>
    </row>
    <row r="1857" spans="13:19">
      <c r="M1857" s="81">
        <f t="shared" ca="1" si="228"/>
        <v>20325.811763976886</v>
      </c>
      <c r="N1857" s="19">
        <f t="shared" si="229"/>
        <v>340.56312210337825</v>
      </c>
      <c r="O1857" s="17">
        <f t="shared" si="227"/>
        <v>464</v>
      </c>
      <c r="P1857" s="19">
        <f ca="1">IF(ISERROR(IF(O1857&lt;fi_h/20,0,(OFFSET('Base de dados'!$A$5,IF(O1857&lt;20,1,IF(O1857&gt;1000,10,MATCH(O1857,Cargas,1))),Coluna_fih,1,1))*(1+0.13*0.25)*(PI()*(fi_h/1000)^2/4)*SQRT(2*9.81*(O1857/100-fi_h/2/1000))*1000)),"",IF(O1857&lt;fi_h/20,0,(OFFSET('Base de dados'!$A$5,IF(O1857&lt;20,1,IF(O1857&gt;1000,10,MATCH(O1857,Cargas,1))),Coluna_fih,1,1))*(PI()*(fi_h/1000)^2/4)*SQRT(2*9.81*(O1857/100-fi_h/2/1000))*1000))</f>
        <v>57.618840815762894</v>
      </c>
      <c r="Q1857" s="19">
        <f ca="1">IF(O1857="","",IF(Tipo_Vertedor="Retangular",IF(O1857&lt;=cota_s*100,0,IF(Tipo_Vertedor="Retangular",Cd_sr*Lef_sr*((O1857/100-cota_s)^(3/2))*1000)),IF(O1857&lt;=cota_s*100+fi_s/20,0,(OFFSET('Base de dados'!$A$4,IF(O1857&lt;20,1,IF(O1857&gt;1000,10,MATCH(O1857,Cargas,1))),Coluna_fis,1,1))*(PI()*(fi_s/1000)^2/4)*(2*9.81*(O1857/100-cota_s-fi_s/2/1000))^0.5*1000)))</f>
        <v>8916.0888530485154</v>
      </c>
      <c r="R1857" s="19">
        <f t="shared" ca="1" si="230"/>
        <v>8973.7076938642786</v>
      </c>
      <c r="S1857" s="19">
        <f t="shared" ca="1" si="231"/>
        <v>11352.104070112608</v>
      </c>
    </row>
    <row r="1858" spans="13:19">
      <c r="M1858" s="81">
        <f t="shared" ca="1" si="228"/>
        <v>20340.983445583886</v>
      </c>
      <c r="N1858" s="19">
        <f t="shared" si="229"/>
        <v>340.76948063314654</v>
      </c>
      <c r="O1858" s="17">
        <f t="shared" si="227"/>
        <v>464.25</v>
      </c>
      <c r="P1858" s="19">
        <f ca="1">IF(ISERROR(IF(O1858&lt;fi_h/20,0,(OFFSET('Base de dados'!$A$5,IF(O1858&lt;20,1,IF(O1858&gt;1000,10,MATCH(O1858,Cargas,1))),Coluna_fih,1,1))*(1+0.13*0.25)*(PI()*(fi_h/1000)^2/4)*SQRT(2*9.81*(O1858/100-fi_h/2/1000))*1000)),"",IF(O1858&lt;fi_h/20,0,(OFFSET('Base de dados'!$A$5,IF(O1858&lt;20,1,IF(O1858&gt;1000,10,MATCH(O1858,Cargas,1))),Coluna_fih,1,1))*(PI()*(fi_h/1000)^2/4)*SQRT(2*9.81*(O1858/100-fi_h/2/1000))*1000))</f>
        <v>57.634551988831028</v>
      </c>
      <c r="Q1858" s="19">
        <f ca="1">IF(O1858="","",IF(Tipo_Vertedor="Retangular",IF(O1858&lt;=cota_s*100,0,IF(Tipo_Vertedor="Retangular",Cd_sr*Lef_sr*((O1858/100-cota_s)^(3/2))*1000)),IF(O1858&lt;=cota_s*100+fi_s/20,0,(OFFSET('Base de dados'!$A$4,IF(O1858&lt;20,1,IF(O1858&gt;1000,10,MATCH(O1858,Cargas,1))),Coluna_fis,1,1))*(PI()*(fi_s/1000)^2/4)*(2*9.81*(O1858/100-cota_s-fi_s/2/1000))^0.5*1000)))</f>
        <v>8924.3662058235041</v>
      </c>
      <c r="R1858" s="19">
        <f t="shared" ca="1" si="230"/>
        <v>8982.000757812335</v>
      </c>
      <c r="S1858" s="19">
        <f t="shared" ca="1" si="231"/>
        <v>11358.982687771551</v>
      </c>
    </row>
    <row r="1859" spans="13:19">
      <c r="M1859" s="81">
        <f t="shared" ca="1" si="228"/>
        <v>20356.15814424197</v>
      </c>
      <c r="N1859" s="19">
        <f t="shared" si="229"/>
        <v>340.97585300667356</v>
      </c>
      <c r="O1859" s="17">
        <f t="shared" si="227"/>
        <v>464.5</v>
      </c>
      <c r="P1859" s="19">
        <f ca="1">IF(ISERROR(IF(O1859&lt;fi_h/20,0,(OFFSET('Base de dados'!$A$5,IF(O1859&lt;20,1,IF(O1859&gt;1000,10,MATCH(O1859,Cargas,1))),Coluna_fih,1,1))*(1+0.13*0.25)*(PI()*(fi_h/1000)^2/4)*SQRT(2*9.81*(O1859/100-fi_h/2/1000))*1000)),"",IF(O1859&lt;fi_h/20,0,(OFFSET('Base de dados'!$A$5,IF(O1859&lt;20,1,IF(O1859&gt;1000,10,MATCH(O1859,Cargas,1))),Coluna_fih,1,1))*(PI()*(fi_h/1000)^2/4)*SQRT(2*9.81*(O1859/100-fi_h/2/1000))*1000))</f>
        <v>57.650258880201996</v>
      </c>
      <c r="Q1859" s="19">
        <f ca="1">IF(O1859="","",IF(Tipo_Vertedor="Retangular",IF(O1859&lt;=cota_s*100,0,IF(Tipo_Vertedor="Retangular",Cd_sr*Lef_sr*((O1859/100-cota_s)^(3/2))*1000)),IF(O1859&lt;=cota_s*100+fi_s/20,0,(OFFSET('Base de dados'!$A$4,IF(O1859&lt;20,1,IF(O1859&gt;1000,10,MATCH(O1859,Cargas,1))),Coluna_fis,1,1))*(PI()*(fi_s/1000)^2/4)*(2*9.81*(O1859/100-cota_s-fi_s/2/1000))^0.5*1000)))</f>
        <v>8932.6461184726486</v>
      </c>
      <c r="R1859" s="19">
        <f t="shared" ca="1" si="230"/>
        <v>8990.29637735285</v>
      </c>
      <c r="S1859" s="19">
        <f t="shared" ca="1" si="231"/>
        <v>11365.861766889118</v>
      </c>
    </row>
    <row r="1860" spans="13:19">
      <c r="M1860" s="81">
        <f t="shared" ca="1" si="228"/>
        <v>20371.335858946055</v>
      </c>
      <c r="N1860" s="19">
        <f t="shared" si="229"/>
        <v>341.18223921743686</v>
      </c>
      <c r="O1860" s="17">
        <f t="shared" si="227"/>
        <v>464.75</v>
      </c>
      <c r="P1860" s="19">
        <f ca="1">IF(ISERROR(IF(O1860&lt;fi_h/20,0,(OFFSET('Base de dados'!$A$5,IF(O1860&lt;20,1,IF(O1860&gt;1000,10,MATCH(O1860,Cargas,1))),Coluna_fih,1,1))*(1+0.13*0.25)*(PI()*(fi_h/1000)^2/4)*SQRT(2*9.81*(O1860/100-fi_h/2/1000))*1000)),"",IF(O1860&lt;fi_h/20,0,(OFFSET('Base de dados'!$A$5,IF(O1860&lt;20,1,IF(O1860&gt;1000,10,MATCH(O1860,Cargas,1))),Coluna_fih,1,1))*(PI()*(fi_h/1000)^2/4)*SQRT(2*9.81*(O1860/100-fi_h/2/1000))*1000))</f>
        <v>57.665961493374517</v>
      </c>
      <c r="Q1860" s="19">
        <f ca="1">IF(O1860="","",IF(Tipo_Vertedor="Retangular",IF(O1860&lt;=cota_s*100,0,IF(Tipo_Vertedor="Retangular",Cd_sr*Lef_sr*((O1860/100-cota_s)^(3/2))*1000)),IF(O1860&lt;=cota_s*100+fi_s/20,0,(OFFSET('Base de dados'!$A$4,IF(O1860&lt;20,1,IF(O1860&gt;1000,10,MATCH(O1860,Cargas,1))),Coluna_fis,1,1))*(PI()*(fi_s/1000)^2/4)*(2*9.81*(O1860/100-cota_s-fi_s/2/1000))^0.5*1000)))</f>
        <v>8940.9285902047832</v>
      </c>
      <c r="R1860" s="19">
        <f t="shared" ca="1" si="230"/>
        <v>8998.5945516981574</v>
      </c>
      <c r="S1860" s="19">
        <f t="shared" ca="1" si="231"/>
        <v>11372.741307247896</v>
      </c>
    </row>
    <row r="1861" spans="13:19">
      <c r="M1861" s="81">
        <f t="shared" ca="1" si="228"/>
        <v>20386.516588691942</v>
      </c>
      <c r="N1861" s="19">
        <f t="shared" si="229"/>
        <v>341.38863925891991</v>
      </c>
      <c r="O1861" s="17">
        <f t="shared" si="227"/>
        <v>465</v>
      </c>
      <c r="P1861" s="19">
        <f ca="1">IF(ISERROR(IF(O1861&lt;fi_h/20,0,(OFFSET('Base de dados'!$A$5,IF(O1861&lt;20,1,IF(O1861&gt;1000,10,MATCH(O1861,Cargas,1))),Coluna_fih,1,1))*(1+0.13*0.25)*(PI()*(fi_h/1000)^2/4)*SQRT(2*9.81*(O1861/100-fi_h/2/1000))*1000)),"",IF(O1861&lt;fi_h/20,0,(OFFSET('Base de dados'!$A$5,IF(O1861&lt;20,1,IF(O1861&gt;1000,10,MATCH(O1861,Cargas,1))),Coluna_fih,1,1))*(PI()*(fi_h/1000)^2/4)*SQRT(2*9.81*(O1861/100-fi_h/2/1000))*1000))</f>
        <v>57.681659831842538</v>
      </c>
      <c r="Q1861" s="19">
        <f ca="1">IF(O1861="","",IF(Tipo_Vertedor="Retangular",IF(O1861&lt;=cota_s*100,0,IF(Tipo_Vertedor="Retangular",Cd_sr*Lef_sr*((O1861/100-cota_s)^(3/2))*1000)),IF(O1861&lt;=cota_s*100+fi_s/20,0,(OFFSET('Base de dados'!$A$4,IF(O1861&lt;20,1,IF(O1861&gt;1000,10,MATCH(O1861,Cargas,1))),Coluna_fis,1,1))*(PI()*(fi_s/1000)^2/4)*(2*9.81*(O1861/100-cota_s-fi_s/2/1000))^0.5*1000)))</f>
        <v>8949.2136202294387</v>
      </c>
      <c r="R1861" s="19">
        <f t="shared" ca="1" si="230"/>
        <v>9006.8952800612806</v>
      </c>
      <c r="S1861" s="19">
        <f t="shared" ca="1" si="231"/>
        <v>11379.621308630663</v>
      </c>
    </row>
    <row r="1862" spans="13:19">
      <c r="M1862" s="81">
        <f t="shared" ca="1" si="228"/>
        <v>20401.700332476426</v>
      </c>
      <c r="N1862" s="19">
        <f t="shared" si="229"/>
        <v>341.59505312461283</v>
      </c>
      <c r="O1862" s="17">
        <f t="shared" si="227"/>
        <v>465.25</v>
      </c>
      <c r="P1862" s="19">
        <f ca="1">IF(ISERROR(IF(O1862&lt;fi_h/20,0,(OFFSET('Base de dados'!$A$5,IF(O1862&lt;20,1,IF(O1862&gt;1000,10,MATCH(O1862,Cargas,1))),Coluna_fih,1,1))*(1+0.13*0.25)*(PI()*(fi_h/1000)^2/4)*SQRT(2*9.81*(O1862/100-fi_h/2/1000))*1000)),"",IF(O1862&lt;fi_h/20,0,(OFFSET('Base de dados'!$A$5,IF(O1862&lt;20,1,IF(O1862&gt;1000,10,MATCH(O1862,Cargas,1))),Coluna_fih,1,1))*(PI()*(fi_h/1000)^2/4)*SQRT(2*9.81*(O1862/100-fi_h/2/1000))*1000))</f>
        <v>57.697353899095219</v>
      </c>
      <c r="Q1862" s="19">
        <f ca="1">IF(O1862="","",IF(Tipo_Vertedor="Retangular",IF(O1862&lt;=cota_s*100,0,IF(Tipo_Vertedor="Retangular",Cd_sr*Lef_sr*((O1862/100-cota_s)^(3/2))*1000)),IF(O1862&lt;=cota_s*100+fi_s/20,0,(OFFSET('Base de dados'!$A$4,IF(O1862&lt;20,1,IF(O1862&gt;1000,10,MATCH(O1862,Cargas,1))),Coluna_fis,1,1))*(PI()*(fi_s/1000)^2/4)*(2*9.81*(O1862/100-cota_s-fi_s/2/1000))^0.5*1000)))</f>
        <v>8957.5012077569027</v>
      </c>
      <c r="R1862" s="19">
        <f t="shared" ca="1" si="230"/>
        <v>9015.1985616559978</v>
      </c>
      <c r="S1862" s="19">
        <f t="shared" ca="1" si="231"/>
        <v>11386.501770820429</v>
      </c>
    </row>
    <row r="1863" spans="13:19">
      <c r="M1863" s="81">
        <f t="shared" ca="1" si="228"/>
        <v>20416.887089297234</v>
      </c>
      <c r="N1863" s="19">
        <f t="shared" si="229"/>
        <v>341.80148080801257</v>
      </c>
      <c r="O1863" s="17">
        <f t="shared" si="227"/>
        <v>465.5</v>
      </c>
      <c r="P1863" s="19">
        <f ca="1">IF(ISERROR(IF(O1863&lt;fi_h/20,0,(OFFSET('Base de dados'!$A$5,IF(O1863&lt;20,1,IF(O1863&gt;1000,10,MATCH(O1863,Cargas,1))),Coluna_fih,1,1))*(1+0.13*0.25)*(PI()*(fi_h/1000)^2/4)*SQRT(2*9.81*(O1863/100-fi_h/2/1000))*1000)),"",IF(O1863&lt;fi_h/20,0,(OFFSET('Base de dados'!$A$5,IF(O1863&lt;20,1,IF(O1863&gt;1000,10,MATCH(O1863,Cargas,1))),Coluna_fih,1,1))*(PI()*(fi_h/1000)^2/4)*SQRT(2*9.81*(O1863/100-fi_h/2/1000))*1000))</f>
        <v>57.713043698617049</v>
      </c>
      <c r="Q1863" s="19">
        <f ca="1">IF(O1863="","",IF(Tipo_Vertedor="Retangular",IF(O1863&lt;=cota_s*100,0,IF(Tipo_Vertedor="Retangular",Cd_sr*Lef_sr*((O1863/100-cota_s)^(3/2))*1000)),IF(O1863&lt;=cota_s*100+fi_s/20,0,(OFFSET('Base de dados'!$A$4,IF(O1863&lt;20,1,IF(O1863&gt;1000,10,MATCH(O1863,Cargas,1))),Coluna_fis,1,1))*(PI()*(fi_s/1000)^2/4)*(2*9.81*(O1863/100-cota_s-fi_s/2/1000))^0.5*1000)))</f>
        <v>8965.7913519981939</v>
      </c>
      <c r="R1863" s="19">
        <f t="shared" ca="1" si="230"/>
        <v>9023.5043956968111</v>
      </c>
      <c r="S1863" s="19">
        <f t="shared" ca="1" si="231"/>
        <v>11393.382693600421</v>
      </c>
    </row>
    <row r="1864" spans="13:19">
      <c r="M1864" s="81">
        <f t="shared" ca="1" si="228"/>
        <v>20432.076858153003</v>
      </c>
      <c r="N1864" s="19">
        <f t="shared" si="229"/>
        <v>342.00792230262221</v>
      </c>
      <c r="O1864" s="17">
        <f t="shared" si="227"/>
        <v>465.75</v>
      </c>
      <c r="P1864" s="19">
        <f ca="1">IF(ISERROR(IF(O1864&lt;fi_h/20,0,(OFFSET('Base de dados'!$A$5,IF(O1864&lt;20,1,IF(O1864&gt;1000,10,MATCH(O1864,Cargas,1))),Coluna_fih,1,1))*(1+0.13*0.25)*(PI()*(fi_h/1000)^2/4)*SQRT(2*9.81*(O1864/100-fi_h/2/1000))*1000)),"",IF(O1864&lt;fi_h/20,0,(OFFSET('Base de dados'!$A$5,IF(O1864&lt;20,1,IF(O1864&gt;1000,10,MATCH(O1864,Cargas,1))),Coluna_fih,1,1))*(PI()*(fi_h/1000)^2/4)*SQRT(2*9.81*(O1864/100-fi_h/2/1000))*1000))</f>
        <v>57.728729233887741</v>
      </c>
      <c r="Q1864" s="19">
        <f ca="1">IF(O1864="","",IF(Tipo_Vertedor="Retangular",IF(O1864&lt;=cota_s*100,0,IF(Tipo_Vertedor="Retangular",Cd_sr*Lef_sr*((O1864/100-cota_s)^(3/2))*1000)),IF(O1864&lt;=cota_s*100+fi_s/20,0,(OFFSET('Base de dados'!$A$4,IF(O1864&lt;20,1,IF(O1864&gt;1000,10,MATCH(O1864,Cargas,1))),Coluna_fis,1,1))*(PI()*(fi_s/1000)^2/4)*(2*9.81*(O1864/100-cota_s-fi_s/2/1000))^0.5*1000)))</f>
        <v>8974.0840521650407</v>
      </c>
      <c r="R1864" s="19">
        <f t="shared" ca="1" si="230"/>
        <v>9031.8127813989286</v>
      </c>
      <c r="S1864" s="19">
        <f t="shared" ca="1" si="231"/>
        <v>11400.264076754074</v>
      </c>
    </row>
    <row r="1865" spans="13:19">
      <c r="M1865" s="81">
        <f t="shared" ca="1" si="228"/>
        <v>20447.269638043384</v>
      </c>
      <c r="N1865" s="19">
        <f t="shared" si="229"/>
        <v>342.21437760195209</v>
      </c>
      <c r="O1865" s="17">
        <f t="shared" si="227"/>
        <v>466</v>
      </c>
      <c r="P1865" s="19">
        <f ca="1">IF(ISERROR(IF(O1865&lt;fi_h/20,0,(OFFSET('Base de dados'!$A$5,IF(O1865&lt;20,1,IF(O1865&gt;1000,10,MATCH(O1865,Cargas,1))),Coluna_fih,1,1))*(1+0.13*0.25)*(PI()*(fi_h/1000)^2/4)*SQRT(2*9.81*(O1865/100-fi_h/2/1000))*1000)),"",IF(O1865&lt;fi_h/20,0,(OFFSET('Base de dados'!$A$5,IF(O1865&lt;20,1,IF(O1865&gt;1000,10,MATCH(O1865,Cargas,1))),Coluna_fih,1,1))*(PI()*(fi_h/1000)^2/4)*SQRT(2*9.81*(O1865/100-fi_h/2/1000))*1000))</f>
        <v>57.744410508382266</v>
      </c>
      <c r="Q1865" s="19">
        <f ca="1">IF(O1865="","",IF(Tipo_Vertedor="Retangular",IF(O1865&lt;=cota_s*100,0,IF(Tipo_Vertedor="Retangular",Cd_sr*Lef_sr*((O1865/100-cota_s)^(3/2))*1000)),IF(O1865&lt;=cota_s*100+fi_s/20,0,(OFFSET('Base de dados'!$A$4,IF(O1865&lt;20,1,IF(O1865&gt;1000,10,MATCH(O1865,Cargas,1))),Coluna_fis,1,1))*(PI()*(fi_s/1000)^2/4)*(2*9.81*(O1865/100-cota_s-fi_s/2/1000))^0.5*1000)))</f>
        <v>8982.3793074699315</v>
      </c>
      <c r="R1865" s="19">
        <f t="shared" ca="1" si="230"/>
        <v>9040.1237179783129</v>
      </c>
      <c r="S1865" s="19">
        <f t="shared" ca="1" si="231"/>
        <v>11407.14592006507</v>
      </c>
    </row>
    <row r="1866" spans="13:19">
      <c r="M1866" s="81">
        <f t="shared" ca="1" si="228"/>
        <v>20462.465427968898</v>
      </c>
      <c r="N1866" s="19">
        <f t="shared" si="229"/>
        <v>342.42084669951817</v>
      </c>
      <c r="O1866" s="17">
        <f t="shared" si="227"/>
        <v>466.25</v>
      </c>
      <c r="P1866" s="19">
        <f ca="1">IF(ISERROR(IF(O1866&lt;fi_h/20,0,(OFFSET('Base de dados'!$A$5,IF(O1866&lt;20,1,IF(O1866&gt;1000,10,MATCH(O1866,Cargas,1))),Coluna_fih,1,1))*(1+0.13*0.25)*(PI()*(fi_h/1000)^2/4)*SQRT(2*9.81*(O1866/100-fi_h/2/1000))*1000)),"",IF(O1866&lt;fi_h/20,0,(OFFSET('Base de dados'!$A$5,IF(O1866&lt;20,1,IF(O1866&gt;1000,10,MATCH(O1866,Cargas,1))),Coluna_fih,1,1))*(PI()*(fi_h/1000)^2/4)*SQRT(2*9.81*(O1866/100-fi_h/2/1000))*1000))</f>
        <v>57.760087525570896</v>
      </c>
      <c r="Q1866" s="19">
        <f ca="1">IF(O1866="","",IF(Tipo_Vertedor="Retangular",IF(O1866&lt;=cota_s*100,0,IF(Tipo_Vertedor="Retangular",Cd_sr*Lef_sr*((O1866/100-cota_s)^(3/2))*1000)),IF(O1866&lt;=cota_s*100+fi_s/20,0,(OFFSET('Base de dados'!$A$4,IF(O1866&lt;20,1,IF(O1866&gt;1000,10,MATCH(O1866,Cargas,1))),Coluna_fis,1,1))*(PI()*(fi_s/1000)^2/4)*(2*9.81*(O1866/100-cota_s-fi_s/2/1000))^0.5*1000)))</f>
        <v>8990.6771171260552</v>
      </c>
      <c r="R1866" s="19">
        <f t="shared" ca="1" si="230"/>
        <v>9048.4372046516255</v>
      </c>
      <c r="S1866" s="19">
        <f t="shared" ca="1" si="231"/>
        <v>11414.028223317271</v>
      </c>
    </row>
    <row r="1867" spans="13:19">
      <c r="M1867" s="81">
        <f t="shared" ca="1" si="228"/>
        <v>20477.664226931047</v>
      </c>
      <c r="N1867" s="19">
        <f t="shared" si="229"/>
        <v>342.62732958884362</v>
      </c>
      <c r="O1867" s="17">
        <f t="shared" si="227"/>
        <v>466.5</v>
      </c>
      <c r="P1867" s="19">
        <f ca="1">IF(ISERROR(IF(O1867&lt;fi_h/20,0,(OFFSET('Base de dados'!$A$5,IF(O1867&lt;20,1,IF(O1867&gt;1000,10,MATCH(O1867,Cargas,1))),Coluna_fih,1,1))*(1+0.13*0.25)*(PI()*(fi_h/1000)^2/4)*SQRT(2*9.81*(O1867/100-fi_h/2/1000))*1000)),"",IF(O1867&lt;fi_h/20,0,(OFFSET('Base de dados'!$A$5,IF(O1867&lt;20,1,IF(O1867&gt;1000,10,MATCH(O1867,Cargas,1))),Coluna_fih,1,1))*(PI()*(fi_h/1000)^2/4)*SQRT(2*9.81*(O1867/100-fi_h/2/1000))*1000))</f>
        <v>57.775760288919201</v>
      </c>
      <c r="Q1867" s="19">
        <f ca="1">IF(O1867="","",IF(Tipo_Vertedor="Retangular",IF(O1867&lt;=cota_s*100,0,IF(Tipo_Vertedor="Retangular",Cd_sr*Lef_sr*((O1867/100-cota_s)^(3/2))*1000)),IF(O1867&lt;=cota_s*100+fi_s/20,0,(OFFSET('Base de dados'!$A$4,IF(O1867&lt;20,1,IF(O1867&gt;1000,10,MATCH(O1867,Cargas,1))),Coluna_fis,1,1))*(PI()*(fi_s/1000)^2/4)*(2*9.81*(O1867/100-cota_s-fi_s/2/1000))^0.5*1000)))</f>
        <v>8998.977480347341</v>
      </c>
      <c r="R1867" s="19">
        <f t="shared" ca="1" si="230"/>
        <v>9056.7532406362607</v>
      </c>
      <c r="S1867" s="19">
        <f t="shared" ca="1" si="231"/>
        <v>11420.910986294788</v>
      </c>
    </row>
    <row r="1868" spans="13:19">
      <c r="M1868" s="81">
        <f t="shared" ca="1" si="228"/>
        <v>20492.866033932245</v>
      </c>
      <c r="N1868" s="19">
        <f t="shared" si="229"/>
        <v>342.83382626345787</v>
      </c>
      <c r="O1868" s="17">
        <f t="shared" si="227"/>
        <v>466.75</v>
      </c>
      <c r="P1868" s="19">
        <f ca="1">IF(ISERROR(IF(O1868&lt;fi_h/20,0,(OFFSET('Base de dados'!$A$5,IF(O1868&lt;20,1,IF(O1868&gt;1000,10,MATCH(O1868,Cargas,1))),Coluna_fih,1,1))*(1+0.13*0.25)*(PI()*(fi_h/1000)^2/4)*SQRT(2*9.81*(O1868/100-fi_h/2/1000))*1000)),"",IF(O1868&lt;fi_h/20,0,(OFFSET('Base de dados'!$A$5,IF(O1868&lt;20,1,IF(O1868&gt;1000,10,MATCH(O1868,Cargas,1))),Coluna_fih,1,1))*(PI()*(fi_h/1000)^2/4)*SQRT(2*9.81*(O1868/100-fi_h/2/1000))*1000))</f>
        <v>57.791428801888053</v>
      </c>
      <c r="Q1868" s="19">
        <f ca="1">IF(O1868="","",IF(Tipo_Vertedor="Retangular",IF(O1868&lt;=cota_s*100,0,IF(Tipo_Vertedor="Retangular",Cd_sr*Lef_sr*((O1868/100-cota_s)^(3/2))*1000)),IF(O1868&lt;=cota_s*100+fi_s/20,0,(OFFSET('Base de dados'!$A$4,IF(O1868&lt;20,1,IF(O1868&gt;1000,10,MATCH(O1868,Cargas,1))),Coluna_fis,1,1))*(PI()*(fi_s/1000)^2/4)*(2*9.81*(O1868/100-cota_s-fi_s/2/1000))^0.5*1000)))</f>
        <v>9007.2803963484293</v>
      </c>
      <c r="R1868" s="19">
        <f t="shared" ca="1" si="230"/>
        <v>9065.0718251503167</v>
      </c>
      <c r="S1868" s="19">
        <f t="shared" ca="1" si="231"/>
        <v>11427.79420878193</v>
      </c>
    </row>
    <row r="1869" spans="13:19">
      <c r="M1869" s="81">
        <f t="shared" ca="1" si="228"/>
        <v>20508.070847975858</v>
      </c>
      <c r="N1869" s="19">
        <f t="shared" si="229"/>
        <v>343.04033671689666</v>
      </c>
      <c r="O1869" s="17">
        <f t="shared" si="227"/>
        <v>467</v>
      </c>
      <c r="P1869" s="19">
        <f ca="1">IF(ISERROR(IF(O1869&lt;fi_h/20,0,(OFFSET('Base de dados'!$A$5,IF(O1869&lt;20,1,IF(O1869&gt;1000,10,MATCH(O1869,Cargas,1))),Coluna_fih,1,1))*(1+0.13*0.25)*(PI()*(fi_h/1000)^2/4)*SQRT(2*9.81*(O1869/100-fi_h/2/1000))*1000)),"",IF(O1869&lt;fi_h/20,0,(OFFSET('Base de dados'!$A$5,IF(O1869&lt;20,1,IF(O1869&gt;1000,10,MATCH(O1869,Cargas,1))),Coluna_fih,1,1))*(PI()*(fi_h/1000)^2/4)*SQRT(2*9.81*(O1869/100-fi_h/2/1000))*1000))</f>
        <v>57.807093067933621</v>
      </c>
      <c r="Q1869" s="19">
        <f ca="1">IF(O1869="","",IF(Tipo_Vertedor="Retangular",IF(O1869&lt;=cota_s*100,0,IF(Tipo_Vertedor="Retangular",Cd_sr*Lef_sr*((O1869/100-cota_s)^(3/2))*1000)),IF(O1869&lt;=cota_s*100+fi_s/20,0,(OFFSET('Base de dados'!$A$4,IF(O1869&lt;20,1,IF(O1869&gt;1000,10,MATCH(O1869,Cargas,1))),Coluna_fis,1,1))*(PI()*(fi_s/1000)^2/4)*(2*9.81*(O1869/100-cota_s-fi_s/2/1000))^0.5*1000)))</f>
        <v>9015.5858643447027</v>
      </c>
      <c r="R1869" s="19">
        <f t="shared" ca="1" si="230"/>
        <v>9073.392957412636</v>
      </c>
      <c r="S1869" s="19">
        <f t="shared" ca="1" si="231"/>
        <v>11434.677890563222</v>
      </c>
    </row>
    <row r="1870" spans="13:19">
      <c r="M1870" s="81">
        <f t="shared" ca="1" si="228"/>
        <v>20523.278668066188</v>
      </c>
      <c r="N1870" s="19">
        <f t="shared" si="229"/>
        <v>343.24686094270277</v>
      </c>
      <c r="O1870" s="17">
        <f t="shared" si="227"/>
        <v>467.25</v>
      </c>
      <c r="P1870" s="19">
        <f ca="1">IF(ISERROR(IF(O1870&lt;fi_h/20,0,(OFFSET('Base de dados'!$A$5,IF(O1870&lt;20,1,IF(O1870&gt;1000,10,MATCH(O1870,Cargas,1))),Coluna_fih,1,1))*(1+0.13*0.25)*(PI()*(fi_h/1000)^2/4)*SQRT(2*9.81*(O1870/100-fi_h/2/1000))*1000)),"",IF(O1870&lt;fi_h/20,0,(OFFSET('Base de dados'!$A$5,IF(O1870&lt;20,1,IF(O1870&gt;1000,10,MATCH(O1870,Cargas,1))),Coluna_fih,1,1))*(PI()*(fi_h/1000)^2/4)*SQRT(2*9.81*(O1870/100-fi_h/2/1000))*1000))</f>
        <v>57.822753090507398</v>
      </c>
      <c r="Q1870" s="19">
        <f ca="1">IF(O1870="","",IF(Tipo_Vertedor="Retangular",IF(O1870&lt;=cota_s*100,0,IF(Tipo_Vertedor="Retangular",Cd_sr*Lef_sr*((O1870/100-cota_s)^(3/2))*1000)),IF(O1870&lt;=cota_s*100+fi_s/20,0,(OFFSET('Base de dados'!$A$4,IF(O1870&lt;20,1,IF(O1870&gt;1000,10,MATCH(O1870,Cargas,1))),Coluna_fis,1,1))*(PI()*(fi_s/1000)^2/4)*(2*9.81*(O1870/100-cota_s-fi_s/2/1000))^0.5*1000)))</f>
        <v>9023.8938835522567</v>
      </c>
      <c r="R1870" s="19">
        <f t="shared" ca="1" si="230"/>
        <v>9081.7166366427646</v>
      </c>
      <c r="S1870" s="19">
        <f t="shared" ca="1" si="231"/>
        <v>11441.562031423424</v>
      </c>
    </row>
    <row r="1871" spans="13:19">
      <c r="M1871" s="81">
        <f t="shared" ca="1" si="228"/>
        <v>20538.489493208464</v>
      </c>
      <c r="N1871" s="19">
        <f t="shared" si="229"/>
        <v>343.45339893442474</v>
      </c>
      <c r="O1871" s="17">
        <f t="shared" si="227"/>
        <v>467.5</v>
      </c>
      <c r="P1871" s="19">
        <f ca="1">IF(ISERROR(IF(O1871&lt;fi_h/20,0,(OFFSET('Base de dados'!$A$5,IF(O1871&lt;20,1,IF(O1871&gt;1000,10,MATCH(O1871,Cargas,1))),Coluna_fih,1,1))*(1+0.13*0.25)*(PI()*(fi_h/1000)^2/4)*SQRT(2*9.81*(O1871/100-fi_h/2/1000))*1000)),"",IF(O1871&lt;fi_h/20,0,(OFFSET('Base de dados'!$A$5,IF(O1871&lt;20,1,IF(O1871&gt;1000,10,MATCH(O1871,Cargas,1))),Coluna_fih,1,1))*(PI()*(fi_h/1000)^2/4)*SQRT(2*9.81*(O1871/100-fi_h/2/1000))*1000))</f>
        <v>57.838408873056188</v>
      </c>
      <c r="Q1871" s="19">
        <f ca="1">IF(O1871="","",IF(Tipo_Vertedor="Retangular",IF(O1871&lt;=cota_s*100,0,IF(Tipo_Vertedor="Retangular",Cd_sr*Lef_sr*((O1871/100-cota_s)^(3/2))*1000)),IF(O1871&lt;=cota_s*100+fi_s/20,0,(OFFSET('Base de dados'!$A$4,IF(O1871&lt;20,1,IF(O1871&gt;1000,10,MATCH(O1871,Cargas,1))),Coluna_fis,1,1))*(PI()*(fi_s/1000)^2/4)*(2*9.81*(O1871/100-cota_s-fi_s/2/1000))^0.5*1000)))</f>
        <v>9032.2044531879146</v>
      </c>
      <c r="R1871" s="19">
        <f t="shared" ca="1" si="230"/>
        <v>9090.0428620609709</v>
      </c>
      <c r="S1871" s="19">
        <f t="shared" ca="1" si="231"/>
        <v>11448.446631147492</v>
      </c>
    </row>
    <row r="1872" spans="13:19">
      <c r="M1872" s="81">
        <f t="shared" ca="1" si="228"/>
        <v>20553.703322408837</v>
      </c>
      <c r="N1872" s="19">
        <f t="shared" si="229"/>
        <v>343.65995068561824</v>
      </c>
      <c r="O1872" s="17">
        <f t="shared" si="227"/>
        <v>467.75</v>
      </c>
      <c r="P1872" s="19">
        <f ca="1">IF(ISERROR(IF(O1872&lt;fi_h/20,0,(OFFSET('Base de dados'!$A$5,IF(O1872&lt;20,1,IF(O1872&gt;1000,10,MATCH(O1872,Cargas,1))),Coluna_fih,1,1))*(1+0.13*0.25)*(PI()*(fi_h/1000)^2/4)*SQRT(2*9.81*(O1872/100-fi_h/2/1000))*1000)),"",IF(O1872&lt;fi_h/20,0,(OFFSET('Base de dados'!$A$5,IF(O1872&lt;20,1,IF(O1872&gt;1000,10,MATCH(O1872,Cargas,1))),Coluna_fih,1,1))*(PI()*(fi_h/1000)^2/4)*SQRT(2*9.81*(O1872/100-fi_h/2/1000))*1000))</f>
        <v>57.854060419022183</v>
      </c>
      <c r="Q1872" s="19">
        <f ca="1">IF(O1872="","",IF(Tipo_Vertedor="Retangular",IF(O1872&lt;=cota_s*100,0,IF(Tipo_Vertedor="Retangular",Cd_sr*Lef_sr*((O1872/100-cota_s)^(3/2))*1000)),IF(O1872&lt;=cota_s*100+fi_s/20,0,(OFFSET('Base de dados'!$A$4,IF(O1872&lt;20,1,IF(O1872&gt;1000,10,MATCH(O1872,Cargas,1))),Coluna_fis,1,1))*(PI()*(fi_s/1000)^2/4)*(2*9.81*(O1872/100-cota_s-fi_s/2/1000))^0.5*1000)))</f>
        <v>9040.5175724692072</v>
      </c>
      <c r="R1872" s="19">
        <f t="shared" ca="1" si="230"/>
        <v>9098.3716328882292</v>
      </c>
      <c r="S1872" s="19">
        <f t="shared" ca="1" si="231"/>
        <v>11455.331689520606</v>
      </c>
    </row>
    <row r="1873" spans="13:19">
      <c r="M1873" s="81">
        <f t="shared" ca="1" si="228"/>
        <v>20568.920154674401</v>
      </c>
      <c r="N1873" s="19">
        <f t="shared" si="229"/>
        <v>343.8665161898449</v>
      </c>
      <c r="O1873" s="17">
        <f t="shared" si="227"/>
        <v>468</v>
      </c>
      <c r="P1873" s="19">
        <f ca="1">IF(ISERROR(IF(O1873&lt;fi_h/20,0,(OFFSET('Base de dados'!$A$5,IF(O1873&lt;20,1,IF(O1873&gt;1000,10,MATCH(O1873,Cargas,1))),Coluna_fih,1,1))*(1+0.13*0.25)*(PI()*(fi_h/1000)^2/4)*SQRT(2*9.81*(O1873/100-fi_h/2/1000))*1000)),"",IF(O1873&lt;fi_h/20,0,(OFFSET('Base de dados'!$A$5,IF(O1873&lt;20,1,IF(O1873&gt;1000,10,MATCH(O1873,Cargas,1))),Coluna_fih,1,1))*(PI()*(fi_h/1000)^2/4)*SQRT(2*9.81*(O1873/100-fi_h/2/1000))*1000))</f>
        <v>57.869707731842837</v>
      </c>
      <c r="Q1873" s="19">
        <f ca="1">IF(O1873="","",IF(Tipo_Vertedor="Retangular",IF(O1873&lt;=cota_s*100,0,IF(Tipo_Vertedor="Retangular",Cd_sr*Lef_sr*((O1873/100-cota_s)^(3/2))*1000)),IF(O1873&lt;=cota_s*100+fi_s/20,0,(OFFSET('Base de dados'!$A$4,IF(O1873&lt;20,1,IF(O1873&gt;1000,10,MATCH(O1873,Cargas,1))),Coluna_fis,1,1))*(PI()*(fi_s/1000)^2/4)*(2*9.81*(O1873/100-cota_s-fi_s/2/1000))^0.5*1000)))</f>
        <v>9048.8332406143945</v>
      </c>
      <c r="R1873" s="19">
        <f t="shared" ca="1" si="230"/>
        <v>9106.7029483462375</v>
      </c>
      <c r="S1873" s="19">
        <f t="shared" ca="1" si="231"/>
        <v>11462.217206328165</v>
      </c>
    </row>
    <row r="1874" spans="13:19">
      <c r="M1874" s="81">
        <f t="shared" ca="1" si="228"/>
        <v>20584.139989013191</v>
      </c>
      <c r="N1874" s="19">
        <f t="shared" si="229"/>
        <v>344.07309544067323</v>
      </c>
      <c r="O1874" s="17">
        <f t="shared" si="227"/>
        <v>468.25</v>
      </c>
      <c r="P1874" s="19">
        <f ca="1">IF(ISERROR(IF(O1874&lt;fi_h/20,0,(OFFSET('Base de dados'!$A$5,IF(O1874&lt;20,1,IF(O1874&gt;1000,10,MATCH(O1874,Cargas,1))),Coluna_fih,1,1))*(1+0.13*0.25)*(PI()*(fi_h/1000)^2/4)*SQRT(2*9.81*(O1874/100-fi_h/2/1000))*1000)),"",IF(O1874&lt;fi_h/20,0,(OFFSET('Base de dados'!$A$5,IF(O1874&lt;20,1,IF(O1874&gt;1000,10,MATCH(O1874,Cargas,1))),Coluna_fih,1,1))*(PI()*(fi_h/1000)^2/4)*SQRT(2*9.81*(O1874/100-fi_h/2/1000))*1000))</f>
        <v>57.885350814951053</v>
      </c>
      <c r="Q1874" s="19">
        <f ca="1">IF(O1874="","",IF(Tipo_Vertedor="Retangular",IF(O1874&lt;=cota_s*100,0,IF(Tipo_Vertedor="Retangular",Cd_sr*Lef_sr*((O1874/100-cota_s)^(3/2))*1000)),IF(O1874&lt;=cota_s*100+fi_s/20,0,(OFFSET('Base de dados'!$A$4,IF(O1874&lt;20,1,IF(O1874&gt;1000,10,MATCH(O1874,Cargas,1))),Coluna_fis,1,1))*(PI()*(fi_s/1000)^2/4)*(2*9.81*(O1874/100-cota_s-fi_s/2/1000))^0.5*1000)))</f>
        <v>9057.1514568424645</v>
      </c>
      <c r="R1874" s="19">
        <f t="shared" ca="1" si="230"/>
        <v>9115.0368076574159</v>
      </c>
      <c r="S1874" s="19">
        <f t="shared" ca="1" si="231"/>
        <v>11469.103181355775</v>
      </c>
    </row>
    <row r="1875" spans="13:19">
      <c r="M1875" s="81">
        <f t="shared" ca="1" si="228"/>
        <v>20599.362824434138</v>
      </c>
      <c r="N1875" s="19">
        <f t="shared" si="229"/>
        <v>344.27968843167776</v>
      </c>
      <c r="O1875" s="17">
        <f t="shared" ref="O1875:O1938" si="232">IF(ISERROR(IF(O1874+passo_altura&gt;h_max_puls*100,"",O1874+passo_altura)),"",IF(O1874+passo_altura&gt;h_max_puls*100,"",O1874+passo_altura))</f>
        <v>468.5</v>
      </c>
      <c r="P1875" s="19">
        <f ca="1">IF(ISERROR(IF(O1875&lt;fi_h/20,0,(OFFSET('Base de dados'!$A$5,IF(O1875&lt;20,1,IF(O1875&gt;1000,10,MATCH(O1875,Cargas,1))),Coluna_fih,1,1))*(1+0.13*0.25)*(PI()*(fi_h/1000)^2/4)*SQRT(2*9.81*(O1875/100-fi_h/2/1000))*1000)),"",IF(O1875&lt;fi_h/20,0,(OFFSET('Base de dados'!$A$5,IF(O1875&lt;20,1,IF(O1875&gt;1000,10,MATCH(O1875,Cargas,1))),Coluna_fih,1,1))*(PI()*(fi_h/1000)^2/4)*SQRT(2*9.81*(O1875/100-fi_h/2/1000))*1000))</f>
        <v>57.900989671775015</v>
      </c>
      <c r="Q1875" s="19">
        <f ca="1">IF(O1875="","",IF(Tipo_Vertedor="Retangular",IF(O1875&lt;=cota_s*100,0,IF(Tipo_Vertedor="Retangular",Cd_sr*Lef_sr*((O1875/100-cota_s)^(3/2))*1000)),IF(O1875&lt;=cota_s*100+fi_s/20,0,(OFFSET('Base de dados'!$A$4,IF(O1875&lt;20,1,IF(O1875&gt;1000,10,MATCH(O1875,Cargas,1))),Coluna_fis,1,1))*(PI()*(fi_s/1000)^2/4)*(2*9.81*(O1875/100-cota_s-fi_s/2/1000))^0.5*1000)))</f>
        <v>9065.4722203731071</v>
      </c>
      <c r="R1875" s="19">
        <f t="shared" ca="1" si="230"/>
        <v>9123.3732100448815</v>
      </c>
      <c r="S1875" s="19">
        <f t="shared" ca="1" si="231"/>
        <v>11475.989614389258</v>
      </c>
    </row>
    <row r="1876" spans="13:19">
      <c r="M1876" s="81">
        <f t="shared" ca="1" si="228"/>
        <v>20614.588659947134</v>
      </c>
      <c r="N1876" s="19">
        <f t="shared" si="229"/>
        <v>344.48629515643972</v>
      </c>
      <c r="O1876" s="17">
        <f t="shared" si="232"/>
        <v>468.75</v>
      </c>
      <c r="P1876" s="19">
        <f ca="1">IF(ISERROR(IF(O1876&lt;fi_h/20,0,(OFFSET('Base de dados'!$A$5,IF(O1876&lt;20,1,IF(O1876&gt;1000,10,MATCH(O1876,Cargas,1))),Coluna_fih,1,1))*(1+0.13*0.25)*(PI()*(fi_h/1000)^2/4)*SQRT(2*9.81*(O1876/100-fi_h/2/1000))*1000)),"",IF(O1876&lt;fi_h/20,0,(OFFSET('Base de dados'!$A$5,IF(O1876&lt;20,1,IF(O1876&gt;1000,10,MATCH(O1876,Cargas,1))),Coluna_fih,1,1))*(PI()*(fi_h/1000)^2/4)*SQRT(2*9.81*(O1876/100-fi_h/2/1000))*1000))</f>
        <v>57.916624305738338</v>
      </c>
      <c r="Q1876" s="19">
        <f ca="1">IF(O1876="","",IF(Tipo_Vertedor="Retangular",IF(O1876&lt;=cota_s*100,0,IF(Tipo_Vertedor="Retangular",Cd_sr*Lef_sr*((O1876/100-cota_s)^(3/2))*1000)),IF(O1876&lt;=cota_s*100+fi_s/20,0,(OFFSET('Base de dados'!$A$4,IF(O1876&lt;20,1,IF(O1876&gt;1000,10,MATCH(O1876,Cargas,1))),Coluna_fis,1,1))*(PI()*(fi_s/1000)^2/4)*(2*9.81*(O1876/100-cota_s-fi_s/2/1000))^0.5*1000)))</f>
        <v>9073.7955304267398</v>
      </c>
      <c r="R1876" s="19">
        <f t="shared" ca="1" si="230"/>
        <v>9131.7121547324787</v>
      </c>
      <c r="S1876" s="19">
        <f t="shared" ca="1" si="231"/>
        <v>11482.876505214657</v>
      </c>
    </row>
    <row r="1877" spans="13:19">
      <c r="M1877" s="81">
        <f t="shared" ca="1" si="228"/>
        <v>20629.817494562969</v>
      </c>
      <c r="N1877" s="19">
        <f t="shared" si="229"/>
        <v>344.69291560854685</v>
      </c>
      <c r="O1877" s="17">
        <f t="shared" si="232"/>
        <v>469</v>
      </c>
      <c r="P1877" s="19">
        <f ca="1">IF(ISERROR(IF(O1877&lt;fi_h/20,0,(OFFSET('Base de dados'!$A$5,IF(O1877&lt;20,1,IF(O1877&gt;1000,10,MATCH(O1877,Cargas,1))),Coluna_fih,1,1))*(1+0.13*0.25)*(PI()*(fi_h/1000)^2/4)*SQRT(2*9.81*(O1877/100-fi_h/2/1000))*1000)),"",IF(O1877&lt;fi_h/20,0,(OFFSET('Base de dados'!$A$5,IF(O1877&lt;20,1,IF(O1877&gt;1000,10,MATCH(O1877,Cargas,1))),Coluna_fih,1,1))*(PI()*(fi_h/1000)^2/4)*SQRT(2*9.81*(O1877/100-fi_h/2/1000))*1000))</f>
        <v>57.932254720259962</v>
      </c>
      <c r="Q1877" s="19">
        <f ca="1">IF(O1877="","",IF(Tipo_Vertedor="Retangular",IF(O1877&lt;=cota_s*100,0,IF(Tipo_Vertedor="Retangular",Cd_sr*Lef_sr*((O1877/100-cota_s)^(3/2))*1000)),IF(O1877&lt;=cota_s*100+fi_s/20,0,(OFFSET('Base de dados'!$A$4,IF(O1877&lt;20,1,IF(O1877&gt;1000,10,MATCH(O1877,Cargas,1))),Coluna_fis,1,1))*(PI()*(fi_s/1000)^2/4)*(2*9.81*(O1877/100-cota_s-fi_s/2/1000))^0.5*1000)))</f>
        <v>9082.1213862244804</v>
      </c>
      <c r="R1877" s="19">
        <f t="shared" ca="1" si="230"/>
        <v>9140.0536409447395</v>
      </c>
      <c r="S1877" s="19">
        <f t="shared" ca="1" si="231"/>
        <v>11489.763853618229</v>
      </c>
    </row>
    <row r="1878" spans="13:19">
      <c r="M1878" s="81">
        <f t="shared" ca="1" si="228"/>
        <v>20645.04932729336</v>
      </c>
      <c r="N1878" s="19">
        <f t="shared" si="229"/>
        <v>344.8995497815929</v>
      </c>
      <c r="O1878" s="17">
        <f t="shared" si="232"/>
        <v>469.25</v>
      </c>
      <c r="P1878" s="19">
        <f ca="1">IF(ISERROR(IF(O1878&lt;fi_h/20,0,(OFFSET('Base de dados'!$A$5,IF(O1878&lt;20,1,IF(O1878&gt;1000,10,MATCH(O1878,Cargas,1))),Coluna_fih,1,1))*(1+0.13*0.25)*(PI()*(fi_h/1000)^2/4)*SQRT(2*9.81*(O1878/100-fi_h/2/1000))*1000)),"",IF(O1878&lt;fi_h/20,0,(OFFSET('Base de dados'!$A$5,IF(O1878&lt;20,1,IF(O1878&gt;1000,10,MATCH(O1878,Cargas,1))),Coluna_fih,1,1))*(PI()*(fi_h/1000)^2/4)*SQRT(2*9.81*(O1878/100-fi_h/2/1000))*1000))</f>
        <v>57.947880918754279</v>
      </c>
      <c r="Q1878" s="19">
        <f ca="1">IF(O1878="","",IF(Tipo_Vertedor="Retangular",IF(O1878&lt;=cota_s*100,0,IF(Tipo_Vertedor="Retangular",Cd_sr*Lef_sr*((O1878/100-cota_s)^(3/2))*1000)),IF(O1878&lt;=cota_s*100+fi_s/20,0,(OFFSET('Base de dados'!$A$4,IF(O1878&lt;20,1,IF(O1878&gt;1000,10,MATCH(O1878,Cargas,1))),Coluna_fis,1,1))*(PI()*(fi_s/1000)^2/4)*(2*9.81*(O1878/100-cota_s-fi_s/2/1000))^0.5*1000)))</f>
        <v>9090.4497869881725</v>
      </c>
      <c r="R1878" s="19">
        <f t="shared" ca="1" si="230"/>
        <v>9148.3976679069274</v>
      </c>
      <c r="S1878" s="19">
        <f t="shared" ca="1" si="231"/>
        <v>11496.651659386431</v>
      </c>
    </row>
    <row r="1879" spans="13:19">
      <c r="M1879" s="81">
        <f t="shared" ref="M1879:M1942" ca="1" si="233">IF(O1879="","",2*N1879*1000/(Passo*60)+R1879)</f>
        <v>20660.28415715096</v>
      </c>
      <c r="N1879" s="19">
        <f t="shared" ref="N1879:N1942" si="234">IF(O1879="","",b_0*(O1879/100)^c_0)</f>
        <v>345.1061976691783</v>
      </c>
      <c r="O1879" s="17">
        <f t="shared" si="232"/>
        <v>469.5</v>
      </c>
      <c r="P1879" s="19">
        <f ca="1">IF(ISERROR(IF(O1879&lt;fi_h/20,0,(OFFSET('Base de dados'!$A$5,IF(O1879&lt;20,1,IF(O1879&gt;1000,10,MATCH(O1879,Cargas,1))),Coluna_fih,1,1))*(1+0.13*0.25)*(PI()*(fi_h/1000)^2/4)*SQRT(2*9.81*(O1879/100-fi_h/2/1000))*1000)),"",IF(O1879&lt;fi_h/20,0,(OFFSET('Base de dados'!$A$5,IF(O1879&lt;20,1,IF(O1879&gt;1000,10,MATCH(O1879,Cargas,1))),Coluna_fih,1,1))*(PI()*(fi_h/1000)^2/4)*SQRT(2*9.81*(O1879/100-fi_h/2/1000))*1000))</f>
        <v>57.963502904631028</v>
      </c>
      <c r="Q1879" s="19">
        <f ca="1">IF(O1879="","",IF(Tipo_Vertedor="Retangular",IF(O1879&lt;=cota_s*100,0,IF(Tipo_Vertedor="Retangular",Cd_sr*Lef_sr*((O1879/100-cota_s)^(3/2))*1000)),IF(O1879&lt;=cota_s*100+fi_s/20,0,(OFFSET('Base de dados'!$A$4,IF(O1879&lt;20,1,IF(O1879&gt;1000,10,MATCH(O1879,Cargas,1))),Coluna_fis,1,1))*(PI()*(fi_s/1000)^2/4)*(2*9.81*(O1879/100-cota_s-fi_s/2/1000))^0.5*1000)))</f>
        <v>9098.7807319403855</v>
      </c>
      <c r="R1879" s="19">
        <f t="shared" ref="R1879:R1942" ca="1" si="235">IF(O1879="","",Q1879+P1879)</f>
        <v>9156.7442348450168</v>
      </c>
      <c r="S1879" s="19">
        <f t="shared" ref="S1879:S1942" ca="1" si="236">IF(M1879="","",2*N1879*1000/(Passo*60))</f>
        <v>11503.539922305943</v>
      </c>
    </row>
    <row r="1880" spans="13:19">
      <c r="M1880" s="81">
        <f t="shared" ca="1" si="233"/>
        <v>20675.52198314932</v>
      </c>
      <c r="N1880" s="19">
        <f t="shared" si="234"/>
        <v>345.31285926490995</v>
      </c>
      <c r="O1880" s="17">
        <f t="shared" si="232"/>
        <v>469.75</v>
      </c>
      <c r="P1880" s="19">
        <f ca="1">IF(ISERROR(IF(O1880&lt;fi_h/20,0,(OFFSET('Base de dados'!$A$5,IF(O1880&lt;20,1,IF(O1880&gt;1000,10,MATCH(O1880,Cargas,1))),Coluna_fih,1,1))*(1+0.13*0.25)*(PI()*(fi_h/1000)^2/4)*SQRT(2*9.81*(O1880/100-fi_h/2/1000))*1000)),"",IF(O1880&lt;fi_h/20,0,(OFFSET('Base de dados'!$A$5,IF(O1880&lt;20,1,IF(O1880&gt;1000,10,MATCH(O1880,Cargas,1))),Coluna_fih,1,1))*(PI()*(fi_h/1000)^2/4)*SQRT(2*9.81*(O1880/100-fi_h/2/1000))*1000))</f>
        <v>57.979120681295363</v>
      </c>
      <c r="Q1880" s="19">
        <f ca="1">IF(O1880="","",IF(Tipo_Vertedor="Retangular",IF(O1880&lt;=cota_s*100,0,IF(Tipo_Vertedor="Retangular",Cd_sr*Lef_sr*((O1880/100-cota_s)^(3/2))*1000)),IF(O1880&lt;=cota_s*100+fi_s/20,0,(OFFSET('Base de dados'!$A$4,IF(O1880&lt;20,1,IF(O1880&gt;1000,10,MATCH(O1880,Cargas,1))),Coluna_fis,1,1))*(PI()*(fi_s/1000)^2/4)*(2*9.81*(O1880/100-cota_s-fi_s/2/1000))^0.5*1000)))</f>
        <v>9107.1142203043601</v>
      </c>
      <c r="R1880" s="19">
        <f t="shared" ca="1" si="235"/>
        <v>9165.0933409856552</v>
      </c>
      <c r="S1880" s="19">
        <f t="shared" ca="1" si="236"/>
        <v>11510.428642163664</v>
      </c>
    </row>
    <row r="1881" spans="13:19">
      <c r="M1881" s="81">
        <f t="shared" ca="1" si="233"/>
        <v>20690.762804302954</v>
      </c>
      <c r="N1881" s="19">
        <f t="shared" si="234"/>
        <v>345.51953456240102</v>
      </c>
      <c r="O1881" s="17">
        <f t="shared" si="232"/>
        <v>470</v>
      </c>
      <c r="P1881" s="19">
        <f ca="1">IF(ISERROR(IF(O1881&lt;fi_h/20,0,(OFFSET('Base de dados'!$A$5,IF(O1881&lt;20,1,IF(O1881&gt;1000,10,MATCH(O1881,Cargas,1))),Coluna_fih,1,1))*(1+0.13*0.25)*(PI()*(fi_h/1000)^2/4)*SQRT(2*9.81*(O1881/100-fi_h/2/1000))*1000)),"",IF(O1881&lt;fi_h/20,0,(OFFSET('Base de dados'!$A$5,IF(O1881&lt;20,1,IF(O1881&gt;1000,10,MATCH(O1881,Cargas,1))),Coluna_fih,1,1))*(PI()*(fi_h/1000)^2/4)*SQRT(2*9.81*(O1881/100-fi_h/2/1000))*1000))</f>
        <v>57.994734252147886</v>
      </c>
      <c r="Q1881" s="19">
        <f ca="1">IF(O1881="","",IF(Tipo_Vertedor="Retangular",IF(O1881&lt;=cota_s*100,0,IF(Tipo_Vertedor="Retangular",Cd_sr*Lef_sr*((O1881/100-cota_s)^(3/2))*1000)),IF(O1881&lt;=cota_s*100+fi_s/20,0,(OFFSET('Base de dados'!$A$4,IF(O1881&lt;20,1,IF(O1881&gt;1000,10,MATCH(O1881,Cargas,1))),Coluna_fis,1,1))*(PI()*(fi_s/1000)^2/4)*(2*9.81*(O1881/100-cota_s-fi_s/2/1000))^0.5*1000)))</f>
        <v>9115.4502513041043</v>
      </c>
      <c r="R1881" s="19">
        <f t="shared" ca="1" si="235"/>
        <v>9173.4449855562525</v>
      </c>
      <c r="S1881" s="19">
        <f t="shared" ca="1" si="236"/>
        <v>11517.3178187467</v>
      </c>
    </row>
    <row r="1882" spans="13:19">
      <c r="M1882" s="81">
        <f t="shared" ca="1" si="233"/>
        <v>20706.006619627238</v>
      </c>
      <c r="N1882" s="19">
        <f t="shared" si="234"/>
        <v>345.72622355527091</v>
      </c>
      <c r="O1882" s="17">
        <f t="shared" si="232"/>
        <v>470.25</v>
      </c>
      <c r="P1882" s="19">
        <f ca="1">IF(ISERROR(IF(O1882&lt;fi_h/20,0,(OFFSET('Base de dados'!$A$5,IF(O1882&lt;20,1,IF(O1882&gt;1000,10,MATCH(O1882,Cargas,1))),Coluna_fih,1,1))*(1+0.13*0.25)*(PI()*(fi_h/1000)^2/4)*SQRT(2*9.81*(O1882/100-fi_h/2/1000))*1000)),"",IF(O1882&lt;fi_h/20,0,(OFFSET('Base de dados'!$A$5,IF(O1882&lt;20,1,IF(O1882&gt;1000,10,MATCH(O1882,Cargas,1))),Coluna_fih,1,1))*(PI()*(fi_h/1000)^2/4)*SQRT(2*9.81*(O1882/100-fi_h/2/1000))*1000))</f>
        <v>58.010343620584578</v>
      </c>
      <c r="Q1882" s="19">
        <f ca="1">IF(O1882="","",IF(Tipo_Vertedor="Retangular",IF(O1882&lt;=cota_s*100,0,IF(Tipo_Vertedor="Retangular",Cd_sr*Lef_sr*((O1882/100-cota_s)^(3/2))*1000)),IF(O1882&lt;=cota_s*100+fi_s/20,0,(OFFSET('Base de dados'!$A$4,IF(O1882&lt;20,1,IF(O1882&gt;1000,10,MATCH(O1882,Cargas,1))),Coluna_fis,1,1))*(PI()*(fi_s/1000)^2/4)*(2*9.81*(O1882/100-cota_s-fi_s/2/1000))^0.5*1000)))</f>
        <v>9123.7888241642868</v>
      </c>
      <c r="R1882" s="19">
        <f t="shared" ca="1" si="235"/>
        <v>9181.7991677848713</v>
      </c>
      <c r="S1882" s="19">
        <f t="shared" ca="1" si="236"/>
        <v>11524.207451842365</v>
      </c>
    </row>
    <row r="1883" spans="13:19">
      <c r="M1883" s="81">
        <f t="shared" ca="1" si="233"/>
        <v>20721.253428138494</v>
      </c>
      <c r="N1883" s="19">
        <f t="shared" si="234"/>
        <v>345.93292623714564</v>
      </c>
      <c r="O1883" s="17">
        <f t="shared" si="232"/>
        <v>470.5</v>
      </c>
      <c r="P1883" s="19">
        <f ca="1">IF(ISERROR(IF(O1883&lt;fi_h/20,0,(OFFSET('Base de dados'!$A$5,IF(O1883&lt;20,1,IF(O1883&gt;1000,10,MATCH(O1883,Cargas,1))),Coluna_fih,1,1))*(1+0.13*0.25)*(PI()*(fi_h/1000)^2/4)*SQRT(2*9.81*(O1883/100-fi_h/2/1000))*1000)),"",IF(O1883&lt;fi_h/20,0,(OFFSET('Base de dados'!$A$5,IF(O1883&lt;20,1,IF(O1883&gt;1000,10,MATCH(O1883,Cargas,1))),Coluna_fih,1,1))*(PI()*(fi_h/1000)^2/4)*SQRT(2*9.81*(O1883/100-fi_h/2/1000))*1000))</f>
        <v>58.025948789996882</v>
      </c>
      <c r="Q1883" s="19">
        <f ca="1">IF(O1883="","",IF(Tipo_Vertedor="Retangular",IF(O1883&lt;=cota_s*100,0,IF(Tipo_Vertedor="Retangular",Cd_sr*Lef_sr*((O1883/100-cota_s)^(3/2))*1000)),IF(O1883&lt;=cota_s*100+fi_s/20,0,(OFFSET('Base de dados'!$A$4,IF(O1883&lt;20,1,IF(O1883&gt;1000,10,MATCH(O1883,Cargas,1))),Coluna_fis,1,1))*(PI()*(fi_s/1000)^2/4)*(2*9.81*(O1883/100-cota_s-fi_s/2/1000))^0.5*1000)))</f>
        <v>9132.129938110309</v>
      </c>
      <c r="R1883" s="19">
        <f t="shared" ca="1" si="235"/>
        <v>9190.1558869003056</v>
      </c>
      <c r="S1883" s="19">
        <f t="shared" ca="1" si="236"/>
        <v>11531.097541238187</v>
      </c>
    </row>
    <row r="1884" spans="13:19">
      <c r="M1884" s="81">
        <f t="shared" ca="1" si="233"/>
        <v>20736.503228853951</v>
      </c>
      <c r="N1884" s="19">
        <f t="shared" si="234"/>
        <v>346.13964260165739</v>
      </c>
      <c r="O1884" s="17">
        <f t="shared" si="232"/>
        <v>470.75</v>
      </c>
      <c r="P1884" s="19">
        <f ca="1">IF(ISERROR(IF(O1884&lt;fi_h/20,0,(OFFSET('Base de dados'!$A$5,IF(O1884&lt;20,1,IF(O1884&gt;1000,10,MATCH(O1884,Cargas,1))),Coluna_fih,1,1))*(1+0.13*0.25)*(PI()*(fi_h/1000)^2/4)*SQRT(2*9.81*(O1884/100-fi_h/2/1000))*1000)),"",IF(O1884&lt;fi_h/20,0,(OFFSET('Base de dados'!$A$5,IF(O1884&lt;20,1,IF(O1884&gt;1000,10,MATCH(O1884,Cargas,1))),Coluna_fih,1,1))*(PI()*(fi_h/1000)^2/4)*SQRT(2*9.81*(O1884/100-fi_h/2/1000))*1000))</f>
        <v>58.041549763771677</v>
      </c>
      <c r="Q1884" s="19">
        <f ca="1">IF(O1884="","",IF(Tipo_Vertedor="Retangular",IF(O1884&lt;=cota_s*100,0,IF(Tipo_Vertedor="Retangular",Cd_sr*Lef_sr*((O1884/100-cota_s)^(3/2))*1000)),IF(O1884&lt;=cota_s*100+fi_s/20,0,(OFFSET('Base de dados'!$A$4,IF(O1884&lt;20,1,IF(O1884&gt;1000,10,MATCH(O1884,Cargas,1))),Coluna_fis,1,1))*(PI()*(fi_s/1000)^2/4)*(2*9.81*(O1884/100-cota_s-fi_s/2/1000))^0.5*1000)))</f>
        <v>9140.4735923682674</v>
      </c>
      <c r="R1884" s="19">
        <f t="shared" ca="1" si="235"/>
        <v>9198.5151421320388</v>
      </c>
      <c r="S1884" s="19">
        <f t="shared" ca="1" si="236"/>
        <v>11537.988086721913</v>
      </c>
    </row>
    <row r="1885" spans="13:19">
      <c r="M1885" s="81">
        <f t="shared" ca="1" si="233"/>
        <v>20751.756020791778</v>
      </c>
      <c r="N1885" s="19">
        <f t="shared" si="234"/>
        <v>346.34637264244486</v>
      </c>
      <c r="O1885" s="17">
        <f t="shared" si="232"/>
        <v>471</v>
      </c>
      <c r="P1885" s="19">
        <f ca="1">IF(ISERROR(IF(O1885&lt;fi_h/20,0,(OFFSET('Base de dados'!$A$5,IF(O1885&lt;20,1,IF(O1885&gt;1000,10,MATCH(O1885,Cargas,1))),Coluna_fih,1,1))*(1+0.13*0.25)*(PI()*(fi_h/1000)^2/4)*SQRT(2*9.81*(O1885/100-fi_h/2/1000))*1000)),"",IF(O1885&lt;fi_h/20,0,(OFFSET('Base de dados'!$A$5,IF(O1885&lt;20,1,IF(O1885&gt;1000,10,MATCH(O1885,Cargas,1))),Coluna_fih,1,1))*(PI()*(fi_h/1000)^2/4)*SQRT(2*9.81*(O1885/100-fi_h/2/1000))*1000))</f>
        <v>58.057146545291275</v>
      </c>
      <c r="Q1885" s="19">
        <f ca="1">IF(O1885="","",IF(Tipo_Vertedor="Retangular",IF(O1885&lt;=cota_s*100,0,IF(Tipo_Vertedor="Retangular",Cd_sr*Lef_sr*((O1885/100-cota_s)^(3/2))*1000)),IF(O1885&lt;=cota_s*100+fi_s/20,0,(OFFSET('Base de dados'!$A$4,IF(O1885&lt;20,1,IF(O1885&gt;1000,10,MATCH(O1885,Cargas,1))),Coluna_fis,1,1))*(PI()*(fi_s/1000)^2/4)*(2*9.81*(O1885/100-cota_s-fi_s/2/1000))^0.5*1000)))</f>
        <v>9148.8197861649896</v>
      </c>
      <c r="R1885" s="19">
        <f t="shared" ca="1" si="235"/>
        <v>9206.87693271028</v>
      </c>
      <c r="S1885" s="19">
        <f t="shared" ca="1" si="236"/>
        <v>11544.879088081496</v>
      </c>
    </row>
    <row r="1886" spans="13:19">
      <c r="M1886" s="81">
        <f t="shared" ca="1" si="233"/>
        <v>20767.01180297101</v>
      </c>
      <c r="N1886" s="19">
        <f t="shared" si="234"/>
        <v>346.5531163531528</v>
      </c>
      <c r="O1886" s="17">
        <f t="shared" si="232"/>
        <v>471.25</v>
      </c>
      <c r="P1886" s="19">
        <f ca="1">IF(ISERROR(IF(O1886&lt;fi_h/20,0,(OFFSET('Base de dados'!$A$5,IF(O1886&lt;20,1,IF(O1886&gt;1000,10,MATCH(O1886,Cargas,1))),Coluna_fih,1,1))*(1+0.13*0.25)*(PI()*(fi_h/1000)^2/4)*SQRT(2*9.81*(O1886/100-fi_h/2/1000))*1000)),"",IF(O1886&lt;fi_h/20,0,(OFFSET('Base de dados'!$A$5,IF(O1886&lt;20,1,IF(O1886&gt;1000,10,MATCH(O1886,Cargas,1))),Coluna_fih,1,1))*(PI()*(fi_h/1000)^2/4)*SQRT(2*9.81*(O1886/100-fi_h/2/1000))*1000))</f>
        <v>58.072739137933475</v>
      </c>
      <c r="Q1886" s="19">
        <f ca="1">IF(O1886="","",IF(Tipo_Vertedor="Retangular",IF(O1886&lt;=cota_s*100,0,IF(Tipo_Vertedor="Retangular",Cd_sr*Lef_sr*((O1886/100-cota_s)^(3/2))*1000)),IF(O1886&lt;=cota_s*100+fi_s/20,0,(OFFSET('Base de dados'!$A$4,IF(O1886&lt;20,1,IF(O1886&gt;1000,10,MATCH(O1886,Cargas,1))),Coluna_fis,1,1))*(PI()*(fi_s/1000)^2/4)*(2*9.81*(O1886/100-cota_s-fi_s/2/1000))^0.5*1000)))</f>
        <v>9157.1685187279836</v>
      </c>
      <c r="R1886" s="19">
        <f t="shared" ca="1" si="235"/>
        <v>9215.2412578659169</v>
      </c>
      <c r="S1886" s="19">
        <f t="shared" ca="1" si="236"/>
        <v>11551.770545105093</v>
      </c>
    </row>
    <row r="1887" spans="13:19">
      <c r="M1887" s="81">
        <f t="shared" ca="1" si="233"/>
        <v>20782.270574411628</v>
      </c>
      <c r="N1887" s="19">
        <f t="shared" si="234"/>
        <v>346.7598737274327</v>
      </c>
      <c r="O1887" s="17">
        <f t="shared" si="232"/>
        <v>471.5</v>
      </c>
      <c r="P1887" s="19">
        <f ca="1">IF(ISERROR(IF(O1887&lt;fi_h/20,0,(OFFSET('Base de dados'!$A$5,IF(O1887&lt;20,1,IF(O1887&gt;1000,10,MATCH(O1887,Cargas,1))),Coluna_fih,1,1))*(1+0.13*0.25)*(PI()*(fi_h/1000)^2/4)*SQRT(2*9.81*(O1887/100-fi_h/2/1000))*1000)),"",IF(O1887&lt;fi_h/20,0,(OFFSET('Base de dados'!$A$5,IF(O1887&lt;20,1,IF(O1887&gt;1000,10,MATCH(O1887,Cargas,1))),Coluna_fih,1,1))*(PI()*(fi_h/1000)^2/4)*SQRT(2*9.81*(O1887/100-fi_h/2/1000))*1000))</f>
        <v>58.0883275450715</v>
      </c>
      <c r="Q1887" s="19">
        <f ca="1">IF(O1887="","",IF(Tipo_Vertedor="Retangular",IF(O1887&lt;=cota_s*100,0,IF(Tipo_Vertedor="Retangular",Cd_sr*Lef_sr*((O1887/100-cota_s)^(3/2))*1000)),IF(O1887&lt;=cota_s*100+fi_s/20,0,(OFFSET('Base de dados'!$A$4,IF(O1887&lt;20,1,IF(O1887&gt;1000,10,MATCH(O1887,Cargas,1))),Coluna_fis,1,1))*(PI()*(fi_s/1000)^2/4)*(2*9.81*(O1887/100-cota_s-fi_s/2/1000))^0.5*1000)))</f>
        <v>9165.5197892854667</v>
      </c>
      <c r="R1887" s="19">
        <f t="shared" ca="1" si="235"/>
        <v>9223.6081168305391</v>
      </c>
      <c r="S1887" s="19">
        <f t="shared" ca="1" si="236"/>
        <v>11558.662457581089</v>
      </c>
    </row>
    <row r="1888" spans="13:19">
      <c r="M1888" s="81">
        <f t="shared" ca="1" si="233"/>
        <v>20797.532334134507</v>
      </c>
      <c r="N1888" s="19">
        <f t="shared" si="234"/>
        <v>346.96664475894192</v>
      </c>
      <c r="O1888" s="17">
        <f t="shared" si="232"/>
        <v>471.75</v>
      </c>
      <c r="P1888" s="19">
        <f ca="1">IF(ISERROR(IF(O1888&lt;fi_h/20,0,(OFFSET('Base de dados'!$A$5,IF(O1888&lt;20,1,IF(O1888&gt;1000,10,MATCH(O1888,Cargas,1))),Coluna_fih,1,1))*(1+0.13*0.25)*(PI()*(fi_h/1000)^2/4)*SQRT(2*9.81*(O1888/100-fi_h/2/1000))*1000)),"",IF(O1888&lt;fi_h/20,0,(OFFSET('Base de dados'!$A$5,IF(O1888&lt;20,1,IF(O1888&gt;1000,10,MATCH(O1888,Cargas,1))),Coluna_fih,1,1))*(PI()*(fi_h/1000)^2/4)*SQRT(2*9.81*(O1888/100-fi_h/2/1000))*1000))</f>
        <v>58.103911770074106</v>
      </c>
      <c r="Q1888" s="19">
        <f ca="1">IF(O1888="","",IF(Tipo_Vertedor="Retangular",IF(O1888&lt;=cota_s*100,0,IF(Tipo_Vertedor="Retangular",Cd_sr*Lef_sr*((O1888/100-cota_s)^(3/2))*1000)),IF(O1888&lt;=cota_s*100+fi_s/20,0,(OFFSET('Base de dados'!$A$4,IF(O1888&lt;20,1,IF(O1888&gt;1000,10,MATCH(O1888,Cargas,1))),Coluna_fis,1,1))*(PI()*(fi_s/1000)^2/4)*(2*9.81*(O1888/100-cota_s-fi_s/2/1000))^0.5*1000)))</f>
        <v>9173.8735970663711</v>
      </c>
      <c r="R1888" s="19">
        <f t="shared" ca="1" si="235"/>
        <v>9231.9775088364458</v>
      </c>
      <c r="S1888" s="19">
        <f t="shared" ca="1" si="236"/>
        <v>11565.554825298062</v>
      </c>
    </row>
    <row r="1889" spans="13:19">
      <c r="M1889" s="81">
        <f t="shared" ca="1" si="233"/>
        <v>20812.797081161432</v>
      </c>
      <c r="N1889" s="19">
        <f t="shared" si="234"/>
        <v>347.17342944134424</v>
      </c>
      <c r="O1889" s="17">
        <f t="shared" si="232"/>
        <v>472</v>
      </c>
      <c r="P1889" s="19">
        <f ca="1">IF(ISERROR(IF(O1889&lt;fi_h/20,0,(OFFSET('Base de dados'!$A$5,IF(O1889&lt;20,1,IF(O1889&gt;1000,10,MATCH(O1889,Cargas,1))),Coluna_fih,1,1))*(1+0.13*0.25)*(PI()*(fi_h/1000)^2/4)*SQRT(2*9.81*(O1889/100-fi_h/2/1000))*1000)),"",IF(O1889&lt;fi_h/20,0,(OFFSET('Base de dados'!$A$5,IF(O1889&lt;20,1,IF(O1889&gt;1000,10,MATCH(O1889,Cargas,1))),Coluna_fih,1,1))*(PI()*(fi_h/1000)^2/4)*SQRT(2*9.81*(O1889/100-fi_h/2/1000))*1000))</f>
        <v>58.119491816305469</v>
      </c>
      <c r="Q1889" s="19">
        <f ca="1">IF(O1889="","",IF(Tipo_Vertedor="Retangular",IF(O1889&lt;=cota_s*100,0,IF(Tipo_Vertedor="Retangular",Cd_sr*Lef_sr*((O1889/100-cota_s)^(3/2))*1000)),IF(O1889&lt;=cota_s*100+fi_s/20,0,(OFFSET('Base de dados'!$A$4,IF(O1889&lt;20,1,IF(O1889&gt;1000,10,MATCH(O1889,Cargas,1))),Coluna_fis,1,1))*(PI()*(fi_s/1000)^2/4)*(2*9.81*(O1889/100-cota_s-fi_s/2/1000))^0.5*1000)))</f>
        <v>9182.2299413003184</v>
      </c>
      <c r="R1889" s="19">
        <f t="shared" ca="1" si="235"/>
        <v>9240.3494331166239</v>
      </c>
      <c r="S1889" s="19">
        <f t="shared" ca="1" si="236"/>
        <v>11572.447648044808</v>
      </c>
    </row>
    <row r="1890" spans="13:19">
      <c r="M1890" s="81">
        <f t="shared" ca="1" si="233"/>
        <v>20828.064814515106</v>
      </c>
      <c r="N1890" s="19">
        <f t="shared" si="234"/>
        <v>347.38022776831031</v>
      </c>
      <c r="O1890" s="17">
        <f t="shared" si="232"/>
        <v>472.25</v>
      </c>
      <c r="P1890" s="19">
        <f ca="1">IF(ISERROR(IF(O1890&lt;fi_h/20,0,(OFFSET('Base de dados'!$A$5,IF(O1890&lt;20,1,IF(O1890&gt;1000,10,MATCH(O1890,Cargas,1))),Coluna_fih,1,1))*(1+0.13*0.25)*(PI()*(fi_h/1000)^2/4)*SQRT(2*9.81*(O1890/100-fi_h/2/1000))*1000)),"",IF(O1890&lt;fi_h/20,0,(OFFSET('Base de dados'!$A$5,IF(O1890&lt;20,1,IF(O1890&gt;1000,10,MATCH(O1890,Cargas,1))),Coluna_fih,1,1))*(PI()*(fi_h/1000)^2/4)*SQRT(2*9.81*(O1890/100-fi_h/2/1000))*1000))</f>
        <v>58.135067687125314</v>
      </c>
      <c r="Q1890" s="19">
        <f ca="1">IF(O1890="","",IF(Tipo_Vertedor="Retangular",IF(O1890&lt;=cota_s*100,0,IF(Tipo_Vertedor="Retangular",Cd_sr*Lef_sr*((O1890/100-cota_s)^(3/2))*1000)),IF(O1890&lt;=cota_s*100+fi_s/20,0,(OFFSET('Base de dados'!$A$4,IF(O1890&lt;20,1,IF(O1890&gt;1000,10,MATCH(O1890,Cargas,1))),Coluna_fis,1,1))*(PI()*(fi_s/1000)^2/4)*(2*9.81*(O1890/100-cota_s-fi_s/2/1000))^0.5*1000)))</f>
        <v>9190.588821217636</v>
      </c>
      <c r="R1890" s="19">
        <f t="shared" ca="1" si="235"/>
        <v>9248.7238889047621</v>
      </c>
      <c r="S1890" s="19">
        <f t="shared" ca="1" si="236"/>
        <v>11579.340925610342</v>
      </c>
    </row>
    <row r="1891" spans="13:19">
      <c r="M1891" s="81">
        <f t="shared" ca="1" si="233"/>
        <v>20843.335533219106</v>
      </c>
      <c r="N1891" s="19">
        <f t="shared" si="234"/>
        <v>347.58703973351595</v>
      </c>
      <c r="O1891" s="17">
        <f t="shared" si="232"/>
        <v>472.5</v>
      </c>
      <c r="P1891" s="19">
        <f ca="1">IF(ISERROR(IF(O1891&lt;fi_h/20,0,(OFFSET('Base de dados'!$A$5,IF(O1891&lt;20,1,IF(O1891&gt;1000,10,MATCH(O1891,Cargas,1))),Coluna_fih,1,1))*(1+0.13*0.25)*(PI()*(fi_h/1000)^2/4)*SQRT(2*9.81*(O1891/100-fi_h/2/1000))*1000)),"",IF(O1891&lt;fi_h/20,0,(OFFSET('Base de dados'!$A$5,IF(O1891&lt;20,1,IF(O1891&gt;1000,10,MATCH(O1891,Cargas,1))),Coluna_fih,1,1))*(PI()*(fi_h/1000)^2/4)*SQRT(2*9.81*(O1891/100-fi_h/2/1000))*1000))</f>
        <v>58.150639385888816</v>
      </c>
      <c r="Q1891" s="19">
        <f ca="1">IF(O1891="","",IF(Tipo_Vertedor="Retangular",IF(O1891&lt;=cota_s*100,0,IF(Tipo_Vertedor="Retangular",Cd_sr*Lef_sr*((O1891/100-cota_s)^(3/2))*1000)),IF(O1891&lt;=cota_s*100+fi_s/20,0,(OFFSET('Base de dados'!$A$4,IF(O1891&lt;20,1,IF(O1891&gt;1000,10,MATCH(O1891,Cargas,1))),Coluna_fis,1,1))*(PI()*(fi_s/1000)^2/4)*(2*9.81*(O1891/100-cota_s-fi_s/2/1000))^0.5*1000)))</f>
        <v>9198.9502360493534</v>
      </c>
      <c r="R1891" s="19">
        <f t="shared" ca="1" si="235"/>
        <v>9257.1008754352424</v>
      </c>
      <c r="S1891" s="19">
        <f t="shared" ca="1" si="236"/>
        <v>11586.234657783865</v>
      </c>
    </row>
    <row r="1892" spans="13:19">
      <c r="M1892" s="81">
        <f t="shared" ca="1" si="233"/>
        <v>20858.609236297958</v>
      </c>
      <c r="N1892" s="19">
        <f t="shared" si="234"/>
        <v>347.79386533064417</v>
      </c>
      <c r="O1892" s="17">
        <f t="shared" si="232"/>
        <v>472.75</v>
      </c>
      <c r="P1892" s="19">
        <f ca="1">IF(ISERROR(IF(O1892&lt;fi_h/20,0,(OFFSET('Base de dados'!$A$5,IF(O1892&lt;20,1,IF(O1892&gt;1000,10,MATCH(O1892,Cargas,1))),Coluna_fih,1,1))*(1+0.13*0.25)*(PI()*(fi_h/1000)^2/4)*SQRT(2*9.81*(O1892/100-fi_h/2/1000))*1000)),"",IF(O1892&lt;fi_h/20,0,(OFFSET('Base de dados'!$A$5,IF(O1892&lt;20,1,IF(O1892&gt;1000,10,MATCH(O1892,Cargas,1))),Coluna_fih,1,1))*(PI()*(fi_h/1000)^2/4)*SQRT(2*9.81*(O1892/100-fi_h/2/1000))*1000))</f>
        <v>58.166206915946717</v>
      </c>
      <c r="Q1892" s="19">
        <f ca="1">IF(O1892="","",IF(Tipo_Vertedor="Retangular",IF(O1892&lt;=cota_s*100,0,IF(Tipo_Vertedor="Retangular",Cd_sr*Lef_sr*((O1892/100-cota_s)^(3/2))*1000)),IF(O1892&lt;=cota_s*100+fi_s/20,0,(OFFSET('Base de dados'!$A$4,IF(O1892&lt;20,1,IF(O1892&gt;1000,10,MATCH(O1892,Cargas,1))),Coluna_fis,1,1))*(PI()*(fi_s/1000)^2/4)*(2*9.81*(O1892/100-cota_s-fi_s/2/1000))^0.5*1000)))</f>
        <v>9207.3141850272059</v>
      </c>
      <c r="R1892" s="19">
        <f t="shared" ca="1" si="235"/>
        <v>9265.4803919431524</v>
      </c>
      <c r="S1892" s="19">
        <f t="shared" ca="1" si="236"/>
        <v>11593.128844354806</v>
      </c>
    </row>
    <row r="1893" spans="13:19">
      <c r="M1893" s="81">
        <f t="shared" ca="1" si="233"/>
        <v>20873.885922777066</v>
      </c>
      <c r="N1893" s="19">
        <f t="shared" si="234"/>
        <v>348.00070455338414</v>
      </c>
      <c r="O1893" s="17">
        <f t="shared" si="232"/>
        <v>473</v>
      </c>
      <c r="P1893" s="19">
        <f ca="1">IF(ISERROR(IF(O1893&lt;fi_h/20,0,(OFFSET('Base de dados'!$A$5,IF(O1893&lt;20,1,IF(O1893&gt;1000,10,MATCH(O1893,Cargas,1))),Coluna_fih,1,1))*(1+0.13*0.25)*(PI()*(fi_h/1000)^2/4)*SQRT(2*9.81*(O1893/100-fi_h/2/1000))*1000)),"",IF(O1893&lt;fi_h/20,0,(OFFSET('Base de dados'!$A$5,IF(O1893&lt;20,1,IF(O1893&gt;1000,10,MATCH(O1893,Cargas,1))),Coluna_fih,1,1))*(PI()*(fi_h/1000)^2/4)*SQRT(2*9.81*(O1893/100-fi_h/2/1000))*1000))</f>
        <v>58.181770280645217</v>
      </c>
      <c r="Q1893" s="19">
        <f ca="1">IF(O1893="","",IF(Tipo_Vertedor="Retangular",IF(O1893&lt;=cota_s*100,0,IF(Tipo_Vertedor="Retangular",Cd_sr*Lef_sr*((O1893/100-cota_s)^(3/2))*1000)),IF(O1893&lt;=cota_s*100+fi_s/20,0,(OFFSET('Base de dados'!$A$4,IF(O1893&lt;20,1,IF(O1893&gt;1000,10,MATCH(O1893,Cargas,1))),Coluna_fis,1,1))*(PI()*(fi_s/1000)^2/4)*(2*9.81*(O1893/100-cota_s-fi_s/2/1000))^0.5*1000)))</f>
        <v>9215.6806673836127</v>
      </c>
      <c r="R1893" s="19">
        <f t="shared" ca="1" si="235"/>
        <v>9273.8624376642583</v>
      </c>
      <c r="S1893" s="19">
        <f t="shared" ca="1" si="236"/>
        <v>11600.023485112806</v>
      </c>
    </row>
    <row r="1894" spans="13:19">
      <c r="M1894" s="81">
        <f t="shared" ca="1" si="233"/>
        <v>20889.165591682711</v>
      </c>
      <c r="N1894" s="19">
        <f t="shared" si="234"/>
        <v>348.20755739543074</v>
      </c>
      <c r="O1894" s="17">
        <f t="shared" si="232"/>
        <v>473.25</v>
      </c>
      <c r="P1894" s="19">
        <f ca="1">IF(ISERROR(IF(O1894&lt;fi_h/20,0,(OFFSET('Base de dados'!$A$5,IF(O1894&lt;20,1,IF(O1894&gt;1000,10,MATCH(O1894,Cargas,1))),Coluna_fih,1,1))*(1+0.13*0.25)*(PI()*(fi_h/1000)^2/4)*SQRT(2*9.81*(O1894/100-fi_h/2/1000))*1000)),"",IF(O1894&lt;fi_h/20,0,(OFFSET('Base de dados'!$A$5,IF(O1894&lt;20,1,IF(O1894&gt;1000,10,MATCH(O1894,Cargas,1))),Coluna_fih,1,1))*(PI()*(fi_h/1000)^2/4)*SQRT(2*9.81*(O1894/100-fi_h/2/1000))*1000))</f>
        <v>58.197329483326072</v>
      </c>
      <c r="Q1894" s="19">
        <f ca="1">IF(O1894="","",IF(Tipo_Vertedor="Retangular",IF(O1894&lt;=cota_s*100,0,IF(Tipo_Vertedor="Retangular",Cd_sr*Lef_sr*((O1894/100-cota_s)^(3/2))*1000)),IF(O1894&lt;=cota_s*100+fi_s/20,0,(OFFSET('Base de dados'!$A$4,IF(O1894&lt;20,1,IF(O1894&gt;1000,10,MATCH(O1894,Cargas,1))),Coluna_fis,1,1))*(PI()*(fi_s/1000)^2/4)*(2*9.81*(O1894/100-cota_s-fi_s/2/1000))^0.5*1000)))</f>
        <v>9224.0496823516933</v>
      </c>
      <c r="R1894" s="19">
        <f t="shared" ca="1" si="235"/>
        <v>9282.2470118350193</v>
      </c>
      <c r="S1894" s="19">
        <f t="shared" ca="1" si="236"/>
        <v>11606.918579847692</v>
      </c>
    </row>
    <row r="1895" spans="13:19">
      <c r="M1895" s="81">
        <f t="shared" ca="1" si="233"/>
        <v>20904.448242042126</v>
      </c>
      <c r="N1895" s="19">
        <f t="shared" si="234"/>
        <v>348.41442385048583</v>
      </c>
      <c r="O1895" s="17">
        <f t="shared" si="232"/>
        <v>473.5</v>
      </c>
      <c r="P1895" s="19">
        <f ca="1">IF(ISERROR(IF(O1895&lt;fi_h/20,0,(OFFSET('Base de dados'!$A$5,IF(O1895&lt;20,1,IF(O1895&gt;1000,10,MATCH(O1895,Cargas,1))),Coluna_fih,1,1))*(1+0.13*0.25)*(PI()*(fi_h/1000)^2/4)*SQRT(2*9.81*(O1895/100-fi_h/2/1000))*1000)),"",IF(O1895&lt;fi_h/20,0,(OFFSET('Base de dados'!$A$5,IF(O1895&lt;20,1,IF(O1895&gt;1000,10,MATCH(O1895,Cargas,1))),Coluna_fih,1,1))*(PI()*(fi_h/1000)^2/4)*SQRT(2*9.81*(O1895/100-fi_h/2/1000))*1000))</f>
        <v>58.212884527326565</v>
      </c>
      <c r="Q1895" s="19">
        <f ca="1">IF(O1895="","",IF(Tipo_Vertedor="Retangular",IF(O1895&lt;=cota_s*100,0,IF(Tipo_Vertedor="Retangular",Cd_sr*Lef_sr*((O1895/100-cota_s)^(3/2))*1000)),IF(O1895&lt;=cota_s*100+fi_s/20,0,(OFFSET('Base de dados'!$A$4,IF(O1895&lt;20,1,IF(O1895&gt;1000,10,MATCH(O1895,Cargas,1))),Coluna_fis,1,1))*(PI()*(fi_s/1000)^2/4)*(2*9.81*(O1895/100-cota_s-fi_s/2/1000))^0.5*1000)))</f>
        <v>9232.421229165273</v>
      </c>
      <c r="R1895" s="19">
        <f t="shared" ca="1" si="235"/>
        <v>9290.6341136926003</v>
      </c>
      <c r="S1895" s="19">
        <f t="shared" ca="1" si="236"/>
        <v>11613.814128349528</v>
      </c>
    </row>
    <row r="1896" spans="13:19">
      <c r="M1896" s="81">
        <f t="shared" ca="1" si="233"/>
        <v>20919.733872883389</v>
      </c>
      <c r="N1896" s="19">
        <f t="shared" si="234"/>
        <v>348.62130391225674</v>
      </c>
      <c r="O1896" s="17">
        <f t="shared" si="232"/>
        <v>473.75</v>
      </c>
      <c r="P1896" s="19">
        <f ca="1">IF(ISERROR(IF(O1896&lt;fi_h/20,0,(OFFSET('Base de dados'!$A$5,IF(O1896&lt;20,1,IF(O1896&gt;1000,10,MATCH(O1896,Cargas,1))),Coluna_fih,1,1))*(1+0.13*0.25)*(PI()*(fi_h/1000)^2/4)*SQRT(2*9.81*(O1896/100-fi_h/2/1000))*1000)),"",IF(O1896&lt;fi_h/20,0,(OFFSET('Base de dados'!$A$5,IF(O1896&lt;20,1,IF(O1896&gt;1000,10,MATCH(O1896,Cargas,1))),Coluna_fih,1,1))*(PI()*(fi_h/1000)^2/4)*SQRT(2*9.81*(O1896/100-fi_h/2/1000))*1000))</f>
        <v>58.228435415979533</v>
      </c>
      <c r="Q1896" s="19">
        <f ca="1">IF(O1896="","",IF(Tipo_Vertedor="Retangular",IF(O1896&lt;=cota_s*100,0,IF(Tipo_Vertedor="Retangular",Cd_sr*Lef_sr*((O1896/100-cota_s)^(3/2))*1000)),IF(O1896&lt;=cota_s*100+fi_s/20,0,(OFFSET('Base de dados'!$A$4,IF(O1896&lt;20,1,IF(O1896&gt;1000,10,MATCH(O1896,Cargas,1))),Coluna_fis,1,1))*(PI()*(fi_s/1000)^2/4)*(2*9.81*(O1896/100-cota_s-fi_s/2/1000))^0.5*1000)))</f>
        <v>9240.7953070588519</v>
      </c>
      <c r="R1896" s="19">
        <f t="shared" ca="1" si="235"/>
        <v>9299.023742474832</v>
      </c>
      <c r="S1896" s="19">
        <f t="shared" ca="1" si="236"/>
        <v>11620.710130408557</v>
      </c>
    </row>
    <row r="1897" spans="13:19">
      <c r="M1897" s="81">
        <f t="shared" ca="1" si="233"/>
        <v>20935.022483235531</v>
      </c>
      <c r="N1897" s="19">
        <f t="shared" si="234"/>
        <v>348.82819757445776</v>
      </c>
      <c r="O1897" s="17">
        <f t="shared" si="232"/>
        <v>474</v>
      </c>
      <c r="P1897" s="19">
        <f ca="1">IF(ISERROR(IF(O1897&lt;fi_h/20,0,(OFFSET('Base de dados'!$A$5,IF(O1897&lt;20,1,IF(O1897&gt;1000,10,MATCH(O1897,Cargas,1))),Coluna_fih,1,1))*(1+0.13*0.25)*(PI()*(fi_h/1000)^2/4)*SQRT(2*9.81*(O1897/100-fi_h/2/1000))*1000)),"",IF(O1897&lt;fi_h/20,0,(OFFSET('Base de dados'!$A$5,IF(O1897&lt;20,1,IF(O1897&gt;1000,10,MATCH(O1897,Cargas,1))),Coluna_fih,1,1))*(PI()*(fi_h/1000)^2/4)*SQRT(2*9.81*(O1897/100-fi_h/2/1000))*1000))</f>
        <v>58.243982152613349</v>
      </c>
      <c r="Q1897" s="19">
        <f ca="1">IF(O1897="","",IF(Tipo_Vertedor="Retangular",IF(O1897&lt;=cota_s*100,0,IF(Tipo_Vertedor="Retangular",Cd_sr*Lef_sr*((O1897/100-cota_s)^(3/2))*1000)),IF(O1897&lt;=cota_s*100+fi_s/20,0,(OFFSET('Base de dados'!$A$4,IF(O1897&lt;20,1,IF(O1897&gt;1000,10,MATCH(O1897,Cargas,1))),Coluna_fis,1,1))*(PI()*(fi_s/1000)^2/4)*(2*9.81*(O1897/100-cota_s-fi_s/2/1000))^0.5*1000)))</f>
        <v>9249.1719152676578</v>
      </c>
      <c r="R1897" s="19">
        <f t="shared" ca="1" si="235"/>
        <v>9307.415897420271</v>
      </c>
      <c r="S1897" s="19">
        <f t="shared" ca="1" si="236"/>
        <v>11627.606585815258</v>
      </c>
    </row>
    <row r="1898" spans="13:19">
      <c r="M1898" s="81">
        <f t="shared" ca="1" si="233"/>
        <v>20950.314072128425</v>
      </c>
      <c r="N1898" s="19">
        <f t="shared" si="234"/>
        <v>349.03510483080885</v>
      </c>
      <c r="O1898" s="17">
        <f t="shared" si="232"/>
        <v>474.25</v>
      </c>
      <c r="P1898" s="19">
        <f ca="1">IF(ISERROR(IF(O1898&lt;fi_h/20,0,(OFFSET('Base de dados'!$A$5,IF(O1898&lt;20,1,IF(O1898&gt;1000,10,MATCH(O1898,Cargas,1))),Coluna_fih,1,1))*(1+0.13*0.25)*(PI()*(fi_h/1000)^2/4)*SQRT(2*9.81*(O1898/100-fi_h/2/1000))*1000)),"",IF(O1898&lt;fi_h/20,0,(OFFSET('Base de dados'!$A$5,IF(O1898&lt;20,1,IF(O1898&gt;1000,10,MATCH(O1898,Cargas,1))),Coluna_fih,1,1))*(PI()*(fi_h/1000)^2/4)*SQRT(2*9.81*(O1898/100-fi_h/2/1000))*1000))</f>
        <v>58.25952474055196</v>
      </c>
      <c r="Q1898" s="19">
        <f ca="1">IF(O1898="","",IF(Tipo_Vertedor="Retangular",IF(O1898&lt;=cota_s*100,0,IF(Tipo_Vertedor="Retangular",Cd_sr*Lef_sr*((O1898/100-cota_s)^(3/2))*1000)),IF(O1898&lt;=cota_s*100+fi_s/20,0,(OFFSET('Base de dados'!$A$4,IF(O1898&lt;20,1,IF(O1898&gt;1000,10,MATCH(O1898,Cargas,1))),Coluna_fis,1,1))*(PI()*(fi_s/1000)^2/4)*(2*9.81*(O1898/100-cota_s-fi_s/2/1000))^0.5*1000)))</f>
        <v>9257.5510530275806</v>
      </c>
      <c r="R1898" s="19">
        <f t="shared" ca="1" si="235"/>
        <v>9315.8105777681321</v>
      </c>
      <c r="S1898" s="19">
        <f t="shared" ca="1" si="236"/>
        <v>11634.503494360293</v>
      </c>
    </row>
    <row r="1899" spans="13:19">
      <c r="M1899" s="81">
        <f t="shared" ca="1" si="233"/>
        <v>20965.608638592876</v>
      </c>
      <c r="N1899" s="19">
        <f t="shared" si="234"/>
        <v>349.24202567503647</v>
      </c>
      <c r="O1899" s="17">
        <f t="shared" si="232"/>
        <v>474.5</v>
      </c>
      <c r="P1899" s="19">
        <f ca="1">IF(ISERROR(IF(O1899&lt;fi_h/20,0,(OFFSET('Base de dados'!$A$5,IF(O1899&lt;20,1,IF(O1899&gt;1000,10,MATCH(O1899,Cargas,1))),Coluna_fih,1,1))*(1+0.13*0.25)*(PI()*(fi_h/1000)^2/4)*SQRT(2*9.81*(O1899/100-fi_h/2/1000))*1000)),"",IF(O1899&lt;fi_h/20,0,(OFFSET('Base de dados'!$A$5,IF(O1899&lt;20,1,IF(O1899&gt;1000,10,MATCH(O1899,Cargas,1))),Coluna_fih,1,1))*(PI()*(fi_h/1000)^2/4)*SQRT(2*9.81*(O1899/100-fi_h/2/1000))*1000))</f>
        <v>58.275063183114867</v>
      </c>
      <c r="Q1899" s="19">
        <f ca="1">IF(O1899="","",IF(Tipo_Vertedor="Retangular",IF(O1899&lt;=cota_s*100,0,IF(Tipo_Vertedor="Retangular",Cd_sr*Lef_sr*((O1899/100-cota_s)^(3/2))*1000)),IF(O1899&lt;=cota_s*100+fi_s/20,0,(OFFSET('Base de dados'!$A$4,IF(O1899&lt;20,1,IF(O1899&gt;1000,10,MATCH(O1899,Cargas,1))),Coluna_fis,1,1))*(PI()*(fi_s/1000)^2/4)*(2*9.81*(O1899/100-cota_s-fi_s/2/1000))^0.5*1000)))</f>
        <v>9265.9327195752121</v>
      </c>
      <c r="R1899" s="19">
        <f t="shared" ca="1" si="235"/>
        <v>9324.2077827583271</v>
      </c>
      <c r="S1899" s="19">
        <f t="shared" ca="1" si="236"/>
        <v>11641.400855834549</v>
      </c>
    </row>
    <row r="1900" spans="13:19">
      <c r="M1900" s="81">
        <f t="shared" ca="1" si="233"/>
        <v>20980.906181660568</v>
      </c>
      <c r="N1900" s="19">
        <f t="shared" si="234"/>
        <v>349.44896010087319</v>
      </c>
      <c r="O1900" s="17">
        <f t="shared" si="232"/>
        <v>474.75</v>
      </c>
      <c r="P1900" s="19">
        <f ca="1">IF(ISERROR(IF(O1900&lt;fi_h/20,0,(OFFSET('Base de dados'!$A$5,IF(O1900&lt;20,1,IF(O1900&gt;1000,10,MATCH(O1900,Cargas,1))),Coluna_fih,1,1))*(1+0.13*0.25)*(PI()*(fi_h/1000)^2/4)*SQRT(2*9.81*(O1900/100-fi_h/2/1000))*1000)),"",IF(O1900&lt;fi_h/20,0,(OFFSET('Base de dados'!$A$5,IF(O1900&lt;20,1,IF(O1900&gt;1000,10,MATCH(O1900,Cargas,1))),Coluna_fih,1,1))*(PI()*(fi_h/1000)^2/4)*SQRT(2*9.81*(O1900/100-fi_h/2/1000))*1000))</f>
        <v>58.290597483617134</v>
      </c>
      <c r="Q1900" s="19">
        <f ca="1">IF(O1900="","",IF(Tipo_Vertedor="Retangular",IF(O1900&lt;=cota_s*100,0,IF(Tipo_Vertedor="Retangular",Cd_sr*Lef_sr*((O1900/100-cota_s)^(3/2))*1000)),IF(O1900&lt;=cota_s*100+fi_s/20,0,(OFFSET('Base de dados'!$A$4,IF(O1900&lt;20,1,IF(O1900&gt;1000,10,MATCH(O1900,Cargas,1))),Coluna_fis,1,1))*(PI()*(fi_s/1000)^2/4)*(2*9.81*(O1900/100-cota_s-fi_s/2/1000))^0.5*1000)))</f>
        <v>9274.3169141478429</v>
      </c>
      <c r="R1900" s="19">
        <f t="shared" ca="1" si="235"/>
        <v>9332.6075116314605</v>
      </c>
      <c r="S1900" s="19">
        <f t="shared" ca="1" si="236"/>
        <v>11648.298670029106</v>
      </c>
    </row>
    <row r="1901" spans="13:19">
      <c r="M1901" s="81">
        <f t="shared" ca="1" si="233"/>
        <v>20996.206700364066</v>
      </c>
      <c r="N1901" s="19">
        <f t="shared" si="234"/>
        <v>349.65590810205788</v>
      </c>
      <c r="O1901" s="17">
        <f t="shared" si="232"/>
        <v>475</v>
      </c>
      <c r="P1901" s="19">
        <f ca="1">IF(ISERROR(IF(O1901&lt;fi_h/20,0,(OFFSET('Base de dados'!$A$5,IF(O1901&lt;20,1,IF(O1901&gt;1000,10,MATCH(O1901,Cargas,1))),Coluna_fih,1,1))*(1+0.13*0.25)*(PI()*(fi_h/1000)^2/4)*SQRT(2*9.81*(O1901/100-fi_h/2/1000))*1000)),"",IF(O1901&lt;fi_h/20,0,(OFFSET('Base de dados'!$A$5,IF(O1901&lt;20,1,IF(O1901&gt;1000,10,MATCH(O1901,Cargas,1))),Coluna_fih,1,1))*(PI()*(fi_h/1000)^2/4)*SQRT(2*9.81*(O1901/100-fi_h/2/1000))*1000))</f>
        <v>58.306127645369443</v>
      </c>
      <c r="Q1901" s="19">
        <f ca="1">IF(O1901="","",IF(Tipo_Vertedor="Retangular",IF(O1901&lt;=cota_s*100,0,IF(Tipo_Vertedor="Retangular",Cd_sr*Lef_sr*((O1901/100-cota_s)^(3/2))*1000)),IF(O1901&lt;=cota_s*100+fi_s/20,0,(OFFSET('Base de dados'!$A$4,IF(O1901&lt;20,1,IF(O1901&gt;1000,10,MATCH(O1901,Cargas,1))),Coluna_fis,1,1))*(PI()*(fi_s/1000)^2/4)*(2*9.81*(O1901/100-cota_s-fi_s/2/1000))^0.5*1000)))</f>
        <v>9282.7036359834328</v>
      </c>
      <c r="R1901" s="19">
        <f t="shared" ca="1" si="235"/>
        <v>9341.0097636288028</v>
      </c>
      <c r="S1901" s="19">
        <f t="shared" ca="1" si="236"/>
        <v>11655.196936735263</v>
      </c>
    </row>
    <row r="1902" spans="13:19">
      <c r="M1902" s="81">
        <f t="shared" ca="1" si="233"/>
        <v>21011.510193736838</v>
      </c>
      <c r="N1902" s="19">
        <f t="shared" si="234"/>
        <v>349.86286967233536</v>
      </c>
      <c r="O1902" s="17">
        <f t="shared" si="232"/>
        <v>475.25</v>
      </c>
      <c r="P1902" s="19">
        <f ca="1">IF(ISERROR(IF(O1902&lt;fi_h/20,0,(OFFSET('Base de dados'!$A$5,IF(O1902&lt;20,1,IF(O1902&gt;1000,10,MATCH(O1902,Cargas,1))),Coluna_fih,1,1))*(1+0.13*0.25)*(PI()*(fi_h/1000)^2/4)*SQRT(2*9.81*(O1902/100-fi_h/2/1000))*1000)),"",IF(O1902&lt;fi_h/20,0,(OFFSET('Base de dados'!$A$5,IF(O1902&lt;20,1,IF(O1902&gt;1000,10,MATCH(O1902,Cargas,1))),Coluna_fih,1,1))*(PI()*(fi_h/1000)^2/4)*SQRT(2*9.81*(O1902/100-fi_h/2/1000))*1000))</f>
        <v>58.32165367167805</v>
      </c>
      <c r="Q1902" s="19">
        <f ca="1">IF(O1902="","",IF(Tipo_Vertedor="Retangular",IF(O1902&lt;=cota_s*100,0,IF(Tipo_Vertedor="Retangular",Cd_sr*Lef_sr*((O1902/100-cota_s)^(3/2))*1000)),IF(O1902&lt;=cota_s*100+fi_s/20,0,(OFFSET('Base de dados'!$A$4,IF(O1902&lt;20,1,IF(O1902&gt;1000,10,MATCH(O1902,Cargas,1))),Coluna_fis,1,1))*(PI()*(fi_s/1000)^2/4)*(2*9.81*(O1902/100-cota_s-fi_s/2/1000))^0.5*1000)))</f>
        <v>9291.0928843206511</v>
      </c>
      <c r="R1902" s="19">
        <f t="shared" ca="1" si="235"/>
        <v>9349.4145379923284</v>
      </c>
      <c r="S1902" s="19">
        <f t="shared" ca="1" si="236"/>
        <v>11662.095655744512</v>
      </c>
    </row>
    <row r="1903" spans="13:19">
      <c r="M1903" s="81">
        <f t="shared" ca="1" si="233"/>
        <v>21026.816660813245</v>
      </c>
      <c r="N1903" s="19">
        <f t="shared" si="234"/>
        <v>350.06984480545663</v>
      </c>
      <c r="O1903" s="17">
        <f t="shared" si="232"/>
        <v>475.5</v>
      </c>
      <c r="P1903" s="19">
        <f ca="1">IF(ISERROR(IF(O1903&lt;fi_h/20,0,(OFFSET('Base de dados'!$A$5,IF(O1903&lt;20,1,IF(O1903&gt;1000,10,MATCH(O1903,Cargas,1))),Coluna_fih,1,1))*(1+0.13*0.25)*(PI()*(fi_h/1000)^2/4)*SQRT(2*9.81*(O1903/100-fi_h/2/1000))*1000)),"",IF(O1903&lt;fi_h/20,0,(OFFSET('Base de dados'!$A$5,IF(O1903&lt;20,1,IF(O1903&gt;1000,10,MATCH(O1903,Cargas,1))),Coluna_fih,1,1))*(PI()*(fi_h/1000)^2/4)*SQRT(2*9.81*(O1903/100-fi_h/2/1000))*1000))</f>
        <v>58.337175565844809</v>
      </c>
      <c r="Q1903" s="19">
        <f ca="1">IF(O1903="","",IF(Tipo_Vertedor="Retangular",IF(O1903&lt;=cota_s*100,0,IF(Tipo_Vertedor="Retangular",Cd_sr*Lef_sr*((O1903/100-cota_s)^(3/2))*1000)),IF(O1903&lt;=cota_s*100+fi_s/20,0,(OFFSET('Base de dados'!$A$4,IF(O1903&lt;20,1,IF(O1903&gt;1000,10,MATCH(O1903,Cargas,1))),Coluna_fis,1,1))*(PI()*(fi_s/1000)^2/4)*(2*9.81*(O1903/100-cota_s-fi_s/2/1000))^0.5*1000)))</f>
        <v>9299.4846583988474</v>
      </c>
      <c r="R1903" s="19">
        <f t="shared" ca="1" si="235"/>
        <v>9357.8218339646919</v>
      </c>
      <c r="S1903" s="19">
        <f t="shared" ca="1" si="236"/>
        <v>11668.994826848555</v>
      </c>
    </row>
    <row r="1904" spans="13:19">
      <c r="M1904" s="81">
        <f t="shared" ca="1" si="233"/>
        <v>21042.126100628535</v>
      </c>
      <c r="N1904" s="19">
        <f t="shared" si="234"/>
        <v>350.27683349517929</v>
      </c>
      <c r="O1904" s="17">
        <f t="shared" si="232"/>
        <v>475.75</v>
      </c>
      <c r="P1904" s="19">
        <f ca="1">IF(ISERROR(IF(O1904&lt;fi_h/20,0,(OFFSET('Base de dados'!$A$5,IF(O1904&lt;20,1,IF(O1904&gt;1000,10,MATCH(O1904,Cargas,1))),Coluna_fih,1,1))*(1+0.13*0.25)*(PI()*(fi_h/1000)^2/4)*SQRT(2*9.81*(O1904/100-fi_h/2/1000))*1000)),"",IF(O1904&lt;fi_h/20,0,(OFFSET('Base de dados'!$A$5,IF(O1904&lt;20,1,IF(O1904&gt;1000,10,MATCH(O1904,Cargas,1))),Coluna_fih,1,1))*(PI()*(fi_h/1000)^2/4)*SQRT(2*9.81*(O1904/100-fi_h/2/1000))*1000))</f>
        <v>58.352693331167181</v>
      </c>
      <c r="Q1904" s="19">
        <f ca="1">IF(O1904="","",IF(Tipo_Vertedor="Retangular",IF(O1904&lt;=cota_s*100,0,IF(Tipo_Vertedor="Retangular",Cd_sr*Lef_sr*((O1904/100-cota_s)^(3/2))*1000)),IF(O1904&lt;=cota_s*100+fi_s/20,0,(OFFSET('Base de dados'!$A$4,IF(O1904&lt;20,1,IF(O1904&gt;1000,10,MATCH(O1904,Cargas,1))),Coluna_fis,1,1))*(PI()*(fi_s/1000)^2/4)*(2*9.81*(O1904/100-cota_s-fi_s/2/1000))^0.5*1000)))</f>
        <v>9307.8789574580551</v>
      </c>
      <c r="R1904" s="19">
        <f t="shared" ca="1" si="235"/>
        <v>9366.2316507892228</v>
      </c>
      <c r="S1904" s="19">
        <f t="shared" ca="1" si="236"/>
        <v>11675.89444983931</v>
      </c>
    </row>
    <row r="1905" spans="13:19">
      <c r="M1905" s="81">
        <f t="shared" ca="1" si="233"/>
        <v>21057.438512218818</v>
      </c>
      <c r="N1905" s="19">
        <f t="shared" si="234"/>
        <v>350.48383573526644</v>
      </c>
      <c r="O1905" s="17">
        <f t="shared" si="232"/>
        <v>476</v>
      </c>
      <c r="P1905" s="19">
        <f ca="1">IF(ISERROR(IF(O1905&lt;fi_h/20,0,(OFFSET('Base de dados'!$A$5,IF(O1905&lt;20,1,IF(O1905&gt;1000,10,MATCH(O1905,Cargas,1))),Coluna_fih,1,1))*(1+0.13*0.25)*(PI()*(fi_h/1000)^2/4)*SQRT(2*9.81*(O1905/100-fi_h/2/1000))*1000)),"",IF(O1905&lt;fi_h/20,0,(OFFSET('Base de dados'!$A$5,IF(O1905&lt;20,1,IF(O1905&gt;1000,10,MATCH(O1905,Cargas,1))),Coluna_fih,1,1))*(PI()*(fi_h/1000)^2/4)*SQRT(2*9.81*(O1905/100-fi_h/2/1000))*1000))</f>
        <v>58.36820697093826</v>
      </c>
      <c r="Q1905" s="19">
        <f ca="1">IF(O1905="","",IF(Tipo_Vertedor="Retangular",IF(O1905&lt;=cota_s*100,0,IF(Tipo_Vertedor="Retangular",Cd_sr*Lef_sr*((O1905/100-cota_s)^(3/2))*1000)),IF(O1905&lt;=cota_s*100+fi_s/20,0,(OFFSET('Base de dados'!$A$4,IF(O1905&lt;20,1,IF(O1905&gt;1000,10,MATCH(O1905,Cargas,1))),Coluna_fis,1,1))*(PI()*(fi_s/1000)^2/4)*(2*9.81*(O1905/100-cota_s-fi_s/2/1000))^0.5*1000)))</f>
        <v>9316.2757807389989</v>
      </c>
      <c r="R1905" s="19">
        <f t="shared" ca="1" si="235"/>
        <v>9374.6439877099365</v>
      </c>
      <c r="S1905" s="19">
        <f t="shared" ca="1" si="236"/>
        <v>11682.794524508881</v>
      </c>
    </row>
    <row r="1906" spans="13:19">
      <c r="M1906" s="81">
        <f t="shared" ca="1" si="233"/>
        <v>21072.753894621121</v>
      </c>
      <c r="N1906" s="19">
        <f t="shared" si="234"/>
        <v>350.69085151948792</v>
      </c>
      <c r="O1906" s="17">
        <f t="shared" si="232"/>
        <v>476.25</v>
      </c>
      <c r="P1906" s="19">
        <f ca="1">IF(ISERROR(IF(O1906&lt;fi_h/20,0,(OFFSET('Base de dados'!$A$5,IF(O1906&lt;20,1,IF(O1906&gt;1000,10,MATCH(O1906,Cargas,1))),Coluna_fih,1,1))*(1+0.13*0.25)*(PI()*(fi_h/1000)^2/4)*SQRT(2*9.81*(O1906/100-fi_h/2/1000))*1000)),"",IF(O1906&lt;fi_h/20,0,(OFFSET('Base de dados'!$A$5,IF(O1906&lt;20,1,IF(O1906&gt;1000,10,MATCH(O1906,Cargas,1))),Coluna_fih,1,1))*(PI()*(fi_h/1000)^2/4)*SQRT(2*9.81*(O1906/100-fi_h/2/1000))*1000))</f>
        <v>58.383716488446751</v>
      </c>
      <c r="Q1906" s="19">
        <f ca="1">IF(O1906="","",IF(Tipo_Vertedor="Retangular",IF(O1906&lt;=cota_s*100,0,IF(Tipo_Vertedor="Retangular",Cd_sr*Lef_sr*((O1906/100-cota_s)^(3/2))*1000)),IF(O1906&lt;=cota_s*100+fi_s/20,0,(OFFSET('Base de dados'!$A$4,IF(O1906&lt;20,1,IF(O1906&gt;1000,10,MATCH(O1906,Cargas,1))),Coluna_fis,1,1))*(PI()*(fi_s/1000)^2/4)*(2*9.81*(O1906/100-cota_s-fi_s/2/1000))^0.5*1000)))</f>
        <v>9324.6751274830767</v>
      </c>
      <c r="R1906" s="19">
        <f t="shared" ca="1" si="235"/>
        <v>9383.0588439715229</v>
      </c>
      <c r="S1906" s="19">
        <f t="shared" ca="1" si="236"/>
        <v>11689.695050649598</v>
      </c>
    </row>
    <row r="1907" spans="13:19">
      <c r="M1907" s="81">
        <f t="shared" ca="1" si="233"/>
        <v>21088.072246873351</v>
      </c>
      <c r="N1907" s="19">
        <f t="shared" si="234"/>
        <v>350.89788084161938</v>
      </c>
      <c r="O1907" s="17">
        <f t="shared" si="232"/>
        <v>476.5</v>
      </c>
      <c r="P1907" s="19">
        <f ca="1">IF(ISERROR(IF(O1907&lt;fi_h/20,0,(OFFSET('Base de dados'!$A$5,IF(O1907&lt;20,1,IF(O1907&gt;1000,10,MATCH(O1907,Cargas,1))),Coluna_fih,1,1))*(1+0.13*0.25)*(PI()*(fi_h/1000)^2/4)*SQRT(2*9.81*(O1907/100-fi_h/2/1000))*1000)),"",IF(O1907&lt;fi_h/20,0,(OFFSET('Base de dados'!$A$5,IF(O1907&lt;20,1,IF(O1907&gt;1000,10,MATCH(O1907,Cargas,1))),Coluna_fih,1,1))*(PI()*(fi_h/1000)^2/4)*SQRT(2*9.81*(O1907/100-fi_h/2/1000))*1000))</f>
        <v>58.399221886976996</v>
      </c>
      <c r="Q1907" s="19">
        <f ca="1">IF(O1907="","",IF(Tipo_Vertedor="Retangular",IF(O1907&lt;=cota_s*100,0,IF(Tipo_Vertedor="Retangular",Cd_sr*Lef_sr*((O1907/100-cota_s)^(3/2))*1000)),IF(O1907&lt;=cota_s*100+fi_s/20,0,(OFFSET('Base de dados'!$A$4,IF(O1907&lt;20,1,IF(O1907&gt;1000,10,MATCH(O1907,Cargas,1))),Coluna_fis,1,1))*(PI()*(fi_s/1000)^2/4)*(2*9.81*(O1907/100-cota_s-fi_s/2/1000))^0.5*1000)))</f>
        <v>9333.0769969323919</v>
      </c>
      <c r="R1907" s="19">
        <f t="shared" ca="1" si="235"/>
        <v>9391.476218819369</v>
      </c>
      <c r="S1907" s="19">
        <f t="shared" ca="1" si="236"/>
        <v>11696.59602805398</v>
      </c>
    </row>
    <row r="1908" spans="13:19">
      <c r="M1908" s="81">
        <f t="shared" ca="1" si="233"/>
        <v>21103.39356801426</v>
      </c>
      <c r="N1908" s="19">
        <f t="shared" si="234"/>
        <v>351.10492369544261</v>
      </c>
      <c r="O1908" s="17">
        <f t="shared" si="232"/>
        <v>476.75</v>
      </c>
      <c r="P1908" s="19">
        <f ca="1">IF(ISERROR(IF(O1908&lt;fi_h/20,0,(OFFSET('Base de dados'!$A$5,IF(O1908&lt;20,1,IF(O1908&gt;1000,10,MATCH(O1908,Cargas,1))),Coluna_fih,1,1))*(1+0.13*0.25)*(PI()*(fi_h/1000)^2/4)*SQRT(2*9.81*(O1908/100-fi_h/2/1000))*1000)),"",IF(O1908&lt;fi_h/20,0,(OFFSET('Base de dados'!$A$5,IF(O1908&lt;20,1,IF(O1908&gt;1000,10,MATCH(O1908,Cargas,1))),Coluna_fih,1,1))*(PI()*(fi_h/1000)^2/4)*SQRT(2*9.81*(O1908/100-fi_h/2/1000))*1000))</f>
        <v>58.414723169808958</v>
      </c>
      <c r="Q1908" s="19">
        <f ca="1">IF(O1908="","",IF(Tipo_Vertedor="Retangular",IF(O1908&lt;=cota_s*100,0,IF(Tipo_Vertedor="Retangular",Cd_sr*Lef_sr*((O1908/100-cota_s)^(3/2))*1000)),IF(O1908&lt;=cota_s*100+fi_s/20,0,(OFFSET('Base de dados'!$A$4,IF(O1908&lt;20,1,IF(O1908&gt;1000,10,MATCH(O1908,Cargas,1))),Coluna_fis,1,1))*(PI()*(fi_s/1000)^2/4)*(2*9.81*(O1908/100-cota_s-fi_s/2/1000))^0.5*1000)))</f>
        <v>9341.4813883296993</v>
      </c>
      <c r="R1908" s="19">
        <f t="shared" ca="1" si="235"/>
        <v>9399.8961114995091</v>
      </c>
      <c r="S1908" s="19">
        <f t="shared" ca="1" si="236"/>
        <v>11703.497456514753</v>
      </c>
    </row>
    <row r="1909" spans="13:19">
      <c r="M1909" s="81">
        <f t="shared" ca="1" si="233"/>
        <v>21118.717857083531</v>
      </c>
      <c r="N1909" s="19">
        <f t="shared" si="234"/>
        <v>351.31198007474546</v>
      </c>
      <c r="O1909" s="17">
        <f t="shared" si="232"/>
        <v>477</v>
      </c>
      <c r="P1909" s="19">
        <f ca="1">IF(ISERROR(IF(O1909&lt;fi_h/20,0,(OFFSET('Base de dados'!$A$5,IF(O1909&lt;20,1,IF(O1909&gt;1000,10,MATCH(O1909,Cargas,1))),Coluna_fih,1,1))*(1+0.13*0.25)*(PI()*(fi_h/1000)^2/4)*SQRT(2*9.81*(O1909/100-fi_h/2/1000))*1000)),"",IF(O1909&lt;fi_h/20,0,(OFFSET('Base de dados'!$A$5,IF(O1909&lt;20,1,IF(O1909&gt;1000,10,MATCH(O1909,Cargas,1))),Coluna_fih,1,1))*(PI()*(fi_h/1000)^2/4)*SQRT(2*9.81*(O1909/100-fi_h/2/1000))*1000))</f>
        <v>58.430220340218277</v>
      </c>
      <c r="Q1909" s="19">
        <f ca="1">IF(O1909="","",IF(Tipo_Vertedor="Retangular",IF(O1909&lt;=cota_s*100,0,IF(Tipo_Vertedor="Retangular",Cd_sr*Lef_sr*((O1909/100-cota_s)^(3/2))*1000)),IF(O1909&lt;=cota_s*100+fi_s/20,0,(OFFSET('Base de dados'!$A$4,IF(O1909&lt;20,1,IF(O1909&gt;1000,10,MATCH(O1909,Cargas,1))),Coluna_fis,1,1))*(PI()*(fi_s/1000)^2/4)*(2*9.81*(O1909/100-cota_s-fi_s/2/1000))^0.5*1000)))</f>
        <v>9349.8883009184647</v>
      </c>
      <c r="R1909" s="19">
        <f t="shared" ca="1" si="235"/>
        <v>9408.3185212586832</v>
      </c>
      <c r="S1909" s="19">
        <f t="shared" ca="1" si="236"/>
        <v>11710.39933582485</v>
      </c>
    </row>
    <row r="1910" spans="13:19">
      <c r="M1910" s="81">
        <f t="shared" ca="1" si="233"/>
        <v>21134.045113121705</v>
      </c>
      <c r="N1910" s="19">
        <f t="shared" si="234"/>
        <v>351.51904997332224</v>
      </c>
      <c r="O1910" s="17">
        <f t="shared" si="232"/>
        <v>477.25</v>
      </c>
      <c r="P1910" s="19">
        <f ca="1">IF(ISERROR(IF(O1910&lt;fi_h/20,0,(OFFSET('Base de dados'!$A$5,IF(O1910&lt;20,1,IF(O1910&gt;1000,10,MATCH(O1910,Cargas,1))),Coluna_fih,1,1))*(1+0.13*0.25)*(PI()*(fi_h/1000)^2/4)*SQRT(2*9.81*(O1910/100-fi_h/2/1000))*1000)),"",IF(O1910&lt;fi_h/20,0,(OFFSET('Base de dados'!$A$5,IF(O1910&lt;20,1,IF(O1910&gt;1000,10,MATCH(O1910,Cargas,1))),Coluna_fih,1,1))*(PI()*(fi_h/1000)^2/4)*SQRT(2*9.81*(O1910/100-fi_h/2/1000))*1000))</f>
        <v>58.445713401476262</v>
      </c>
      <c r="Q1910" s="19">
        <f ca="1">IF(O1910="","",IF(Tipo_Vertedor="Retangular",IF(O1910&lt;=cota_s*100,0,IF(Tipo_Vertedor="Retangular",Cd_sr*Lef_sr*((O1910/100-cota_s)^(3/2))*1000)),IF(O1910&lt;=cota_s*100+fi_s/20,0,(OFFSET('Base de dados'!$A$4,IF(O1910&lt;20,1,IF(O1910&gt;1000,10,MATCH(O1910,Cargas,1))),Coluna_fis,1,1))*(PI()*(fi_s/1000)^2/4)*(2*9.81*(O1910/100-cota_s-fi_s/2/1000))^0.5*1000)))</f>
        <v>9358.2977339428235</v>
      </c>
      <c r="R1910" s="19">
        <f t="shared" ca="1" si="235"/>
        <v>9416.7434473442991</v>
      </c>
      <c r="S1910" s="19">
        <f t="shared" ca="1" si="236"/>
        <v>11717.301665777408</v>
      </c>
    </row>
    <row r="1911" spans="13:19">
      <c r="M1911" s="81">
        <f t="shared" ca="1" si="233"/>
        <v>21149.375335170193</v>
      </c>
      <c r="N1911" s="19">
        <f t="shared" si="234"/>
        <v>351.72613338497291</v>
      </c>
      <c r="O1911" s="17">
        <f t="shared" si="232"/>
        <v>477.5</v>
      </c>
      <c r="P1911" s="19">
        <f ca="1">IF(ISERROR(IF(O1911&lt;fi_h/20,0,(OFFSET('Base de dados'!$A$5,IF(O1911&lt;20,1,IF(O1911&gt;1000,10,MATCH(O1911,Cargas,1))),Coluna_fih,1,1))*(1+0.13*0.25)*(PI()*(fi_h/1000)^2/4)*SQRT(2*9.81*(O1911/100-fi_h/2/1000))*1000)),"",IF(O1911&lt;fi_h/20,0,(OFFSET('Base de dados'!$A$5,IF(O1911&lt;20,1,IF(O1911&gt;1000,10,MATCH(O1911,Cargas,1))),Coluna_fih,1,1))*(PI()*(fi_h/1000)^2/4)*SQRT(2*9.81*(O1911/100-fi_h/2/1000))*1000))</f>
        <v>58.461202356849832</v>
      </c>
      <c r="Q1911" s="19">
        <f ca="1">IF(O1911="","",IF(Tipo_Vertedor="Retangular",IF(O1911&lt;=cota_s*100,0,IF(Tipo_Vertedor="Retangular",Cd_sr*Lef_sr*((O1911/100-cota_s)^(3/2))*1000)),IF(O1911&lt;=cota_s*100+fi_s/20,0,(OFFSET('Base de dados'!$A$4,IF(O1911&lt;20,1,IF(O1911&gt;1000,10,MATCH(O1911,Cargas,1))),Coluna_fis,1,1))*(PI()*(fi_s/1000)^2/4)*(2*9.81*(O1911/100-cota_s-fi_s/2/1000))^0.5*1000)))</f>
        <v>9366.7096866475786</v>
      </c>
      <c r="R1911" s="19">
        <f t="shared" ca="1" si="235"/>
        <v>9425.1708890044283</v>
      </c>
      <c r="S1911" s="19">
        <f t="shared" ca="1" si="236"/>
        <v>11724.204446165764</v>
      </c>
    </row>
    <row r="1912" spans="13:19">
      <c r="M1912" s="81">
        <f t="shared" ca="1" si="233"/>
        <v>21164.708522271285</v>
      </c>
      <c r="N1912" s="19">
        <f t="shared" si="234"/>
        <v>351.93323030350376</v>
      </c>
      <c r="O1912" s="17">
        <f t="shared" si="232"/>
        <v>477.75</v>
      </c>
      <c r="P1912" s="19">
        <f ca="1">IF(ISERROR(IF(O1912&lt;fi_h/20,0,(OFFSET('Base de dados'!$A$5,IF(O1912&lt;20,1,IF(O1912&gt;1000,10,MATCH(O1912,Cargas,1))),Coluna_fih,1,1))*(1+0.13*0.25)*(PI()*(fi_h/1000)^2/4)*SQRT(2*9.81*(O1912/100-fi_h/2/1000))*1000)),"",IF(O1912&lt;fi_h/20,0,(OFFSET('Base de dados'!$A$5,IF(O1912&lt;20,1,IF(O1912&gt;1000,10,MATCH(O1912,Cargas,1))),Coluna_fih,1,1))*(PI()*(fi_h/1000)^2/4)*SQRT(2*9.81*(O1912/100-fi_h/2/1000))*1000))</f>
        <v>58.476687209601629</v>
      </c>
      <c r="Q1912" s="19">
        <f ca="1">IF(O1912="","",IF(Tipo_Vertedor="Retangular",IF(O1912&lt;=cota_s*100,0,IF(Tipo_Vertedor="Retangular",Cd_sr*Lef_sr*((O1912/100-cota_s)^(3/2))*1000)),IF(O1912&lt;=cota_s*100+fi_s/20,0,(OFFSET('Base de dados'!$A$4,IF(O1912&lt;20,1,IF(O1912&gt;1000,10,MATCH(O1912,Cargas,1))),Coluna_fis,1,1))*(PI()*(fi_s/1000)^2/4)*(2*9.81*(O1912/100-cota_s-fi_s/2/1000))^0.5*1000)))</f>
        <v>9375.1241582782259</v>
      </c>
      <c r="R1912" s="19">
        <f t="shared" ca="1" si="235"/>
        <v>9433.6008454878283</v>
      </c>
      <c r="S1912" s="19">
        <f t="shared" ca="1" si="236"/>
        <v>11731.107676783458</v>
      </c>
    </row>
    <row r="1913" spans="13:19">
      <c r="M1913" s="81">
        <f t="shared" ca="1" si="233"/>
        <v>21180.044673468161</v>
      </c>
      <c r="N1913" s="19">
        <f t="shared" si="234"/>
        <v>352.1403407227271</v>
      </c>
      <c r="O1913" s="17">
        <f t="shared" si="232"/>
        <v>478</v>
      </c>
      <c r="P1913" s="19">
        <f ca="1">IF(ISERROR(IF(O1913&lt;fi_h/20,0,(OFFSET('Base de dados'!$A$5,IF(O1913&lt;20,1,IF(O1913&gt;1000,10,MATCH(O1913,Cargas,1))),Coluna_fih,1,1))*(1+0.13*0.25)*(PI()*(fi_h/1000)^2/4)*SQRT(2*9.81*(O1913/100-fi_h/2/1000))*1000)),"",IF(O1913&lt;fi_h/20,0,(OFFSET('Base de dados'!$A$5,IF(O1913&lt;20,1,IF(O1913&gt;1000,10,MATCH(O1913,Cargas,1))),Coluna_fih,1,1))*(PI()*(fi_h/1000)^2/4)*SQRT(2*9.81*(O1913/100-fi_h/2/1000))*1000))</f>
        <v>58.492167962989967</v>
      </c>
      <c r="Q1913" s="19">
        <f ca="1">IF(O1913="","",IF(Tipo_Vertedor="Retangular",IF(O1913&lt;=cota_s*100,0,IF(Tipo_Vertedor="Retangular",Cd_sr*Lef_sr*((O1913/100-cota_s)^(3/2))*1000)),IF(O1913&lt;=cota_s*100+fi_s/20,0,(OFFSET('Base de dados'!$A$4,IF(O1913&lt;20,1,IF(O1913&gt;1000,10,MATCH(O1913,Cargas,1))),Coluna_fis,1,1))*(PI()*(fi_s/1000)^2/4)*(2*9.81*(O1913/100-cota_s-fi_s/2/1000))^0.5*1000)))</f>
        <v>9383.5411480809325</v>
      </c>
      <c r="R1913" s="19">
        <f t="shared" ca="1" si="235"/>
        <v>9442.0333160439222</v>
      </c>
      <c r="S1913" s="19">
        <f t="shared" ca="1" si="236"/>
        <v>11738.011357424237</v>
      </c>
    </row>
    <row r="1914" spans="13:19">
      <c r="M1914" s="81">
        <f t="shared" ca="1" si="233"/>
        <v>21195.383787804865</v>
      </c>
      <c r="N1914" s="19">
        <f t="shared" si="234"/>
        <v>352.34746463646127</v>
      </c>
      <c r="O1914" s="17">
        <f t="shared" si="232"/>
        <v>478.25</v>
      </c>
      <c r="P1914" s="19">
        <f ca="1">IF(ISERROR(IF(O1914&lt;fi_h/20,0,(OFFSET('Base de dados'!$A$5,IF(O1914&lt;20,1,IF(O1914&gt;1000,10,MATCH(O1914,Cargas,1))),Coluna_fih,1,1))*(1+0.13*0.25)*(PI()*(fi_h/1000)^2/4)*SQRT(2*9.81*(O1914/100-fi_h/2/1000))*1000)),"",IF(O1914&lt;fi_h/20,0,(OFFSET('Base de dados'!$A$5,IF(O1914&lt;20,1,IF(O1914&gt;1000,10,MATCH(O1914,Cargas,1))),Coluna_fih,1,1))*(PI()*(fi_h/1000)^2/4)*SQRT(2*9.81*(O1914/100-fi_h/2/1000))*1000))</f>
        <v>58.507644620268835</v>
      </c>
      <c r="Q1914" s="19">
        <f ca="1">IF(O1914="","",IF(Tipo_Vertedor="Retangular",IF(O1914&lt;=cota_s*100,0,IF(Tipo_Vertedor="Retangular",Cd_sr*Lef_sr*((O1914/100-cota_s)^(3/2))*1000)),IF(O1914&lt;=cota_s*100+fi_s/20,0,(OFFSET('Base de dados'!$A$4,IF(O1914&lt;20,1,IF(O1914&gt;1000,10,MATCH(O1914,Cargas,1))),Coluna_fis,1,1))*(PI()*(fi_s/1000)^2/4)*(2*9.81*(O1914/100-cota_s-fi_s/2/1000))^0.5*1000)))</f>
        <v>9391.9606553025515</v>
      </c>
      <c r="R1914" s="19">
        <f t="shared" ca="1" si="235"/>
        <v>9450.4682999228207</v>
      </c>
      <c r="S1914" s="19">
        <f t="shared" ca="1" si="236"/>
        <v>11744.915487882043</v>
      </c>
    </row>
    <row r="1915" spans="13:19">
      <c r="M1915" s="81">
        <f t="shared" ca="1" si="233"/>
        <v>21210.725864326312</v>
      </c>
      <c r="N1915" s="19">
        <f t="shared" si="234"/>
        <v>352.5546020385309</v>
      </c>
      <c r="O1915" s="17">
        <f t="shared" si="232"/>
        <v>478.5</v>
      </c>
      <c r="P1915" s="19">
        <f ca="1">IF(ISERROR(IF(O1915&lt;fi_h/20,0,(OFFSET('Base de dados'!$A$5,IF(O1915&lt;20,1,IF(O1915&gt;1000,10,MATCH(O1915,Cargas,1))),Coluna_fih,1,1))*(1+0.13*0.25)*(PI()*(fi_h/1000)^2/4)*SQRT(2*9.81*(O1915/100-fi_h/2/1000))*1000)),"",IF(O1915&lt;fi_h/20,0,(OFFSET('Base de dados'!$A$5,IF(O1915&lt;20,1,IF(O1915&gt;1000,10,MATCH(O1915,Cargas,1))),Coluna_fih,1,1))*(PI()*(fi_h/1000)^2/4)*SQRT(2*9.81*(O1915/100-fi_h/2/1000))*1000))</f>
        <v>58.523117184687941</v>
      </c>
      <c r="Q1915" s="19">
        <f ca="1">IF(O1915="","",IF(Tipo_Vertedor="Retangular",IF(O1915&lt;=cota_s*100,0,IF(Tipo_Vertedor="Retangular",Cd_sr*Lef_sr*((O1915/100-cota_s)^(3/2))*1000)),IF(O1915&lt;=cota_s*100+fi_s/20,0,(OFFSET('Base de dados'!$A$4,IF(O1915&lt;20,1,IF(O1915&gt;1000,10,MATCH(O1915,Cargas,1))),Coluna_fis,1,1))*(PI()*(fi_s/1000)^2/4)*(2*9.81*(O1915/100-cota_s-fi_s/2/1000))^0.5*1000)))</f>
        <v>9400.382679190594</v>
      </c>
      <c r="R1915" s="19">
        <f t="shared" ca="1" si="235"/>
        <v>9458.9057963752821</v>
      </c>
      <c r="S1915" s="19">
        <f t="shared" ca="1" si="236"/>
        <v>11751.82006795103</v>
      </c>
    </row>
    <row r="1916" spans="13:19">
      <c r="M1916" s="81">
        <f t="shared" ca="1" si="233"/>
        <v>21226.070902078296</v>
      </c>
      <c r="N1916" s="19">
        <f t="shared" si="234"/>
        <v>352.76175292276628</v>
      </c>
      <c r="O1916" s="17">
        <f t="shared" si="232"/>
        <v>478.75</v>
      </c>
      <c r="P1916" s="19">
        <f ca="1">IF(ISERROR(IF(O1916&lt;fi_h/20,0,(OFFSET('Base de dados'!$A$5,IF(O1916&lt;20,1,IF(O1916&gt;1000,10,MATCH(O1916,Cargas,1))),Coluna_fih,1,1))*(1+0.13*0.25)*(PI()*(fi_h/1000)^2/4)*SQRT(2*9.81*(O1916/100-fi_h/2/1000))*1000)),"",IF(O1916&lt;fi_h/20,0,(OFFSET('Base de dados'!$A$5,IF(O1916&lt;20,1,IF(O1916&gt;1000,10,MATCH(O1916,Cargas,1))),Coluna_fih,1,1))*(PI()*(fi_h/1000)^2/4)*SQRT(2*9.81*(O1916/100-fi_h/2/1000))*1000))</f>
        <v>58.538585659492654</v>
      </c>
      <c r="Q1916" s="19">
        <f ca="1">IF(O1916="","",IF(Tipo_Vertedor="Retangular",IF(O1916&lt;=cota_s*100,0,IF(Tipo_Vertedor="Retangular",Cd_sr*Lef_sr*((O1916/100-cota_s)^(3/2))*1000)),IF(O1916&lt;=cota_s*100+fi_s/20,0,(OFFSET('Base de dados'!$A$4,IF(O1916&lt;20,1,IF(O1916&gt;1000,10,MATCH(O1916,Cargas,1))),Coluna_fis,1,1))*(PI()*(fi_s/1000)^2/4)*(2*9.81*(O1916/100-cota_s-fi_s/2/1000))^0.5*1000)))</f>
        <v>9408.8072189932609</v>
      </c>
      <c r="R1916" s="19">
        <f t="shared" ca="1" si="235"/>
        <v>9467.3458046527539</v>
      </c>
      <c r="S1916" s="19">
        <f t="shared" ca="1" si="236"/>
        <v>11758.725097425542</v>
      </c>
    </row>
    <row r="1917" spans="13:19">
      <c r="M1917" s="81">
        <f t="shared" ca="1" si="233"/>
        <v>21241.418900107485</v>
      </c>
      <c r="N1917" s="19">
        <f t="shared" si="234"/>
        <v>352.96891728300415</v>
      </c>
      <c r="O1917" s="17">
        <f t="shared" si="232"/>
        <v>479</v>
      </c>
      <c r="P1917" s="19">
        <f ca="1">IF(ISERROR(IF(O1917&lt;fi_h/20,0,(OFFSET('Base de dados'!$A$5,IF(O1917&lt;20,1,IF(O1917&gt;1000,10,MATCH(O1917,Cargas,1))),Coluna_fih,1,1))*(1+0.13*0.25)*(PI()*(fi_h/1000)^2/4)*SQRT(2*9.81*(O1917/100-fi_h/2/1000))*1000)),"",IF(O1917&lt;fi_h/20,0,(OFFSET('Base de dados'!$A$5,IF(O1917&lt;20,1,IF(O1917&gt;1000,10,MATCH(O1917,Cargas,1))),Coluna_fih,1,1))*(PI()*(fi_h/1000)^2/4)*SQRT(2*9.81*(O1917/100-fi_h/2/1000))*1000))</f>
        <v>58.554050047924115</v>
      </c>
      <c r="Q1917" s="19">
        <f ca="1">IF(O1917="","",IF(Tipo_Vertedor="Retangular",IF(O1917&lt;=cota_s*100,0,IF(Tipo_Vertedor="Retangular",Cd_sr*Lef_sr*((O1917/100-cota_s)^(3/2))*1000)),IF(O1917&lt;=cota_s*100+fi_s/20,0,(OFFSET('Base de dados'!$A$4,IF(O1917&lt;20,1,IF(O1917&gt;1000,10,MATCH(O1917,Cargas,1))),Coluna_fis,1,1))*(PI()*(fi_s/1000)^2/4)*(2*9.81*(O1917/100-cota_s-fi_s/2/1000))^0.5*1000)))</f>
        <v>9417.2342739594224</v>
      </c>
      <c r="R1917" s="19">
        <f t="shared" ca="1" si="235"/>
        <v>9475.7883240073461</v>
      </c>
      <c r="S1917" s="19">
        <f t="shared" ca="1" si="236"/>
        <v>11765.630576100139</v>
      </c>
    </row>
    <row r="1918" spans="13:19">
      <c r="M1918" s="81">
        <f t="shared" ca="1" si="233"/>
        <v>21256.769857461404</v>
      </c>
      <c r="N1918" s="19">
        <f t="shared" si="234"/>
        <v>353.17609511308706</v>
      </c>
      <c r="O1918" s="17">
        <f t="shared" si="232"/>
        <v>479.25</v>
      </c>
      <c r="P1918" s="19">
        <f ca="1">IF(ISERROR(IF(O1918&lt;fi_h/20,0,(OFFSET('Base de dados'!$A$5,IF(O1918&lt;20,1,IF(O1918&gt;1000,10,MATCH(O1918,Cargas,1))),Coluna_fih,1,1))*(1+0.13*0.25)*(PI()*(fi_h/1000)^2/4)*SQRT(2*9.81*(O1918/100-fi_h/2/1000))*1000)),"",IF(O1918&lt;fi_h/20,0,(OFFSET('Base de dados'!$A$5,IF(O1918&lt;20,1,IF(O1918&gt;1000,10,MATCH(O1918,Cargas,1))),Coluna_fih,1,1))*(PI()*(fi_h/1000)^2/4)*SQRT(2*9.81*(O1918/100-fi_h/2/1000))*1000))</f>
        <v>58.569510353219151</v>
      </c>
      <c r="Q1918" s="19">
        <f ca="1">IF(O1918="","",IF(Tipo_Vertedor="Retangular",IF(O1918&lt;=cota_s*100,0,IF(Tipo_Vertedor="Retangular",Cd_sr*Lef_sr*((O1918/100-cota_s)^(3/2))*1000)),IF(O1918&lt;=cota_s*100+fi_s/20,0,(OFFSET('Base de dados'!$A$4,IF(O1918&lt;20,1,IF(O1918&gt;1000,10,MATCH(O1918,Cargas,1))),Coluna_fis,1,1))*(PI()*(fi_s/1000)^2/4)*(2*9.81*(O1918/100-cota_s-fi_s/2/1000))^0.5*1000)))</f>
        <v>9425.6638433386161</v>
      </c>
      <c r="R1918" s="19">
        <f t="shared" ca="1" si="235"/>
        <v>9484.2333536918359</v>
      </c>
      <c r="S1918" s="19">
        <f t="shared" ca="1" si="236"/>
        <v>11772.536503769568</v>
      </c>
    </row>
    <row r="1919" spans="13:19">
      <c r="M1919" s="81">
        <f t="shared" ca="1" si="233"/>
        <v>21272.123773188439</v>
      </c>
      <c r="N1919" s="19">
        <f t="shared" si="234"/>
        <v>353.38328640686331</v>
      </c>
      <c r="O1919" s="17">
        <f t="shared" si="232"/>
        <v>479.5</v>
      </c>
      <c r="P1919" s="19">
        <f ca="1">IF(ISERROR(IF(O1919&lt;fi_h/20,0,(OFFSET('Base de dados'!$A$5,IF(O1919&lt;20,1,IF(O1919&gt;1000,10,MATCH(O1919,Cargas,1))),Coluna_fih,1,1))*(1+0.13*0.25)*(PI()*(fi_h/1000)^2/4)*SQRT(2*9.81*(O1919/100-fi_h/2/1000))*1000)),"",IF(O1919&lt;fi_h/20,0,(OFFSET('Base de dados'!$A$5,IF(O1919&lt;20,1,IF(O1919&gt;1000,10,MATCH(O1919,Cargas,1))),Coluna_fih,1,1))*(PI()*(fi_h/1000)^2/4)*SQRT(2*9.81*(O1919/100-fi_h/2/1000))*1000))</f>
        <v>58.584966578610313</v>
      </c>
      <c r="Q1919" s="19">
        <f ca="1">IF(O1919="","",IF(Tipo_Vertedor="Retangular",IF(O1919&lt;=cota_s*100,0,IF(Tipo_Vertedor="Retangular",Cd_sr*Lef_sr*((O1919/100-cota_s)^(3/2))*1000)),IF(O1919&lt;=cota_s*100+fi_s/20,0,(OFFSET('Base de dados'!$A$4,IF(O1919&lt;20,1,IF(O1919&gt;1000,10,MATCH(O1919,Cargas,1))),Coluna_fis,1,1))*(PI()*(fi_s/1000)^2/4)*(2*9.81*(O1919/100-cota_s-fi_s/2/1000))^0.5*1000)))</f>
        <v>9434.095926381051</v>
      </c>
      <c r="R1919" s="19">
        <f t="shared" ca="1" si="235"/>
        <v>9492.6808929596609</v>
      </c>
      <c r="S1919" s="19">
        <f t="shared" ca="1" si="236"/>
        <v>11779.442880228777</v>
      </c>
    </row>
    <row r="1920" spans="13:19">
      <c r="M1920" s="81">
        <f t="shared" ca="1" si="233"/>
        <v>21287.480646337874</v>
      </c>
      <c r="N1920" s="19">
        <f t="shared" si="234"/>
        <v>353.59049115818789</v>
      </c>
      <c r="O1920" s="17">
        <f t="shared" si="232"/>
        <v>479.75</v>
      </c>
      <c r="P1920" s="19">
        <f ca="1">IF(ISERROR(IF(O1920&lt;fi_h/20,0,(OFFSET('Base de dados'!$A$5,IF(O1920&lt;20,1,IF(O1920&gt;1000,10,MATCH(O1920,Cargas,1))),Coluna_fih,1,1))*(1+0.13*0.25)*(PI()*(fi_h/1000)^2/4)*SQRT(2*9.81*(O1920/100-fi_h/2/1000))*1000)),"",IF(O1920&lt;fi_h/20,0,(OFFSET('Base de dados'!$A$5,IF(O1920&lt;20,1,IF(O1920&gt;1000,10,MATCH(O1920,Cargas,1))),Coluna_fih,1,1))*(PI()*(fi_h/1000)^2/4)*SQRT(2*9.81*(O1920/100-fi_h/2/1000))*1000))</f>
        <v>58.60041872732593</v>
      </c>
      <c r="Q1920" s="19">
        <f ca="1">IF(O1920="","",IF(Tipo_Vertedor="Retangular",IF(O1920&lt;=cota_s*100,0,IF(Tipo_Vertedor="Retangular",Cd_sr*Lef_sr*((O1920/100-cota_s)^(3/2))*1000)),IF(O1920&lt;=cota_s*100+fi_s/20,0,(OFFSET('Base de dados'!$A$4,IF(O1920&lt;20,1,IF(O1920&gt;1000,10,MATCH(O1920,Cargas,1))),Coluna_fis,1,1))*(PI()*(fi_s/1000)^2/4)*(2*9.81*(O1920/100-cota_s-fi_s/2/1000))^0.5*1000)))</f>
        <v>9442.5305223376163</v>
      </c>
      <c r="R1920" s="19">
        <f t="shared" ca="1" si="235"/>
        <v>9501.1309410649428</v>
      </c>
      <c r="S1920" s="19">
        <f t="shared" ca="1" si="236"/>
        <v>11786.349705272931</v>
      </c>
    </row>
    <row r="1921" spans="13:19">
      <c r="M1921" s="81">
        <f t="shared" ca="1" si="233"/>
        <v>21302.84047595982</v>
      </c>
      <c r="N1921" s="19">
        <f t="shared" si="234"/>
        <v>353.79770936092126</v>
      </c>
      <c r="O1921" s="17">
        <f t="shared" si="232"/>
        <v>480</v>
      </c>
      <c r="P1921" s="19">
        <f ca="1">IF(ISERROR(IF(O1921&lt;fi_h/20,0,(OFFSET('Base de dados'!$A$5,IF(O1921&lt;20,1,IF(O1921&gt;1000,10,MATCH(O1921,Cargas,1))),Coluna_fih,1,1))*(1+0.13*0.25)*(PI()*(fi_h/1000)^2/4)*SQRT(2*9.81*(O1921/100-fi_h/2/1000))*1000)),"",IF(O1921&lt;fi_h/20,0,(OFFSET('Base de dados'!$A$5,IF(O1921&lt;20,1,IF(O1921&gt;1000,10,MATCH(O1921,Cargas,1))),Coluna_fih,1,1))*(PI()*(fi_h/1000)^2/4)*SQRT(2*9.81*(O1921/100-fi_h/2/1000))*1000))</f>
        <v>58.615866802590013</v>
      </c>
      <c r="Q1921" s="19">
        <f ca="1">IF(O1921="","",IF(Tipo_Vertedor="Retangular",IF(O1921&lt;=cota_s*100,0,IF(Tipo_Vertedor="Retangular",Cd_sr*Lef_sr*((O1921/100-cota_s)^(3/2))*1000)),IF(O1921&lt;=cota_s*100+fi_s/20,0,(OFFSET('Base de dados'!$A$4,IF(O1921&lt;20,1,IF(O1921&gt;1000,10,MATCH(O1921,Cargas,1))),Coluna_fis,1,1))*(PI()*(fi_s/1000)^2/4)*(2*9.81*(O1921/100-cota_s-fi_s/2/1000))^0.5*1000)))</f>
        <v>9450.9676304598579</v>
      </c>
      <c r="R1921" s="19">
        <f t="shared" ca="1" si="235"/>
        <v>9509.5834972624471</v>
      </c>
      <c r="S1921" s="19">
        <f t="shared" ca="1" si="236"/>
        <v>11793.256978697375</v>
      </c>
    </row>
    <row r="1922" spans="13:19">
      <c r="M1922" s="81">
        <f t="shared" ca="1" si="233"/>
        <v>21318.203261105296</v>
      </c>
      <c r="N1922" s="19">
        <f t="shared" si="234"/>
        <v>354.00494100893002</v>
      </c>
      <c r="O1922" s="17">
        <f t="shared" si="232"/>
        <v>480.25</v>
      </c>
      <c r="P1922" s="19">
        <f ca="1">IF(ISERROR(IF(O1922&lt;fi_h/20,0,(OFFSET('Base de dados'!$A$5,IF(O1922&lt;20,1,IF(O1922&gt;1000,10,MATCH(O1922,Cargas,1))),Coluna_fih,1,1))*(1+0.13*0.25)*(PI()*(fi_h/1000)^2/4)*SQRT(2*9.81*(O1922/100-fi_h/2/1000))*1000)),"",IF(O1922&lt;fi_h/20,0,(OFFSET('Base de dados'!$A$5,IF(O1922&lt;20,1,IF(O1922&gt;1000,10,MATCH(O1922,Cargas,1))),Coluna_fih,1,1))*(PI()*(fi_h/1000)^2/4)*SQRT(2*9.81*(O1922/100-fi_h/2/1000))*1000))</f>
        <v>58.631310807622384</v>
      </c>
      <c r="Q1922" s="19">
        <f ca="1">IF(O1922="","",IF(Tipo_Vertedor="Retangular",IF(O1922&lt;=cota_s*100,0,IF(Tipo_Vertedor="Retangular",Cd_sr*Lef_sr*((O1922/100-cota_s)^(3/2))*1000)),IF(O1922&lt;=cota_s*100+fi_s/20,0,(OFFSET('Base de dados'!$A$4,IF(O1922&lt;20,1,IF(O1922&gt;1000,10,MATCH(O1922,Cargas,1))),Coluna_fis,1,1))*(PI()*(fi_s/1000)^2/4)*(2*9.81*(O1922/100-cota_s-fi_s/2/1000))^0.5*1000)))</f>
        <v>9459.4072500000057</v>
      </c>
      <c r="R1922" s="19">
        <f t="shared" ca="1" si="235"/>
        <v>9518.0385608076285</v>
      </c>
      <c r="S1922" s="19">
        <f t="shared" ca="1" si="236"/>
        <v>11800.164700297668</v>
      </c>
    </row>
    <row r="1923" spans="13:19">
      <c r="M1923" s="81">
        <f t="shared" ca="1" si="233"/>
        <v>21333.569000826137</v>
      </c>
      <c r="N1923" s="19">
        <f t="shared" si="234"/>
        <v>354.21218609608695</v>
      </c>
      <c r="O1923" s="17">
        <f t="shared" si="232"/>
        <v>480.5</v>
      </c>
      <c r="P1923" s="19">
        <f ca="1">IF(ISERROR(IF(O1923&lt;fi_h/20,0,(OFFSET('Base de dados'!$A$5,IF(O1923&lt;20,1,IF(O1923&gt;1000,10,MATCH(O1923,Cargas,1))),Coluna_fih,1,1))*(1+0.13*0.25)*(PI()*(fi_h/1000)^2/4)*SQRT(2*9.81*(O1923/100-fi_h/2/1000))*1000)),"",IF(O1923&lt;fi_h/20,0,(OFFSET('Base de dados'!$A$5,IF(O1923&lt;20,1,IF(O1923&gt;1000,10,MATCH(O1923,Cargas,1))),Coluna_fih,1,1))*(PI()*(fi_h/1000)^2/4)*SQRT(2*9.81*(O1923/100-fi_h/2/1000))*1000))</f>
        <v>58.646750745638577</v>
      </c>
      <c r="Q1923" s="19">
        <f ca="1">IF(O1923="","",IF(Tipo_Vertedor="Retangular",IF(O1923&lt;=cota_s*100,0,IF(Tipo_Vertedor="Retangular",Cd_sr*Lef_sr*((O1923/100-cota_s)^(3/2))*1000)),IF(O1923&lt;=cota_s*100+fi_s/20,0,(OFFSET('Base de dados'!$A$4,IF(O1923&lt;20,1,IF(O1923&gt;1000,10,MATCH(O1923,Cargas,1))),Coluna_fis,1,1))*(PI()*(fi_s/1000)^2/4)*(2*9.81*(O1923/100-cota_s-fi_s/2/1000))^0.5*1000)))</f>
        <v>9467.8493802109315</v>
      </c>
      <c r="R1923" s="19">
        <f t="shared" ca="1" si="235"/>
        <v>9526.4961309565697</v>
      </c>
      <c r="S1923" s="19">
        <f t="shared" ca="1" si="236"/>
        <v>11807.072869869566</v>
      </c>
    </row>
    <row r="1924" spans="13:19">
      <c r="M1924" s="81">
        <f t="shared" ca="1" si="233"/>
        <v>21348.937694175063</v>
      </c>
      <c r="N1924" s="19">
        <f t="shared" si="234"/>
        <v>354.41944461627037</v>
      </c>
      <c r="O1924" s="17">
        <f t="shared" si="232"/>
        <v>480.75</v>
      </c>
      <c r="P1924" s="19">
        <f ca="1">IF(ISERROR(IF(O1924&lt;fi_h/20,0,(OFFSET('Base de dados'!$A$5,IF(O1924&lt;20,1,IF(O1924&gt;1000,10,MATCH(O1924,Cargas,1))),Coluna_fih,1,1))*(1+0.13*0.25)*(PI()*(fi_h/1000)^2/4)*SQRT(2*9.81*(O1924/100-fi_h/2/1000))*1000)),"",IF(O1924&lt;fi_h/20,0,(OFFSET('Base de dados'!$A$5,IF(O1924&lt;20,1,IF(O1924&gt;1000,10,MATCH(O1924,Cargas,1))),Coluna_fih,1,1))*(PI()*(fi_h/1000)^2/4)*SQRT(2*9.81*(O1924/100-fi_h/2/1000))*1000))</f>
        <v>58.662186619849955</v>
      </c>
      <c r="Q1924" s="19">
        <f ca="1">IF(O1924="","",IF(Tipo_Vertedor="Retangular",IF(O1924&lt;=cota_s*100,0,IF(Tipo_Vertedor="Retangular",Cd_sr*Lef_sr*((O1924/100-cota_s)^(3/2))*1000)),IF(O1924&lt;=cota_s*100+fi_s/20,0,(OFFSET('Base de dados'!$A$4,IF(O1924&lt;20,1,IF(O1924&gt;1000,10,MATCH(O1924,Cargas,1))),Coluna_fis,1,1))*(PI()*(fi_s/1000)^2/4)*(2*9.81*(O1924/100-cota_s-fi_s/2/1000))^0.5*1000)))</f>
        <v>9476.2940203462022</v>
      </c>
      <c r="R1924" s="19">
        <f t="shared" ca="1" si="235"/>
        <v>9534.9562069660515</v>
      </c>
      <c r="S1924" s="19">
        <f t="shared" ca="1" si="236"/>
        <v>11813.981487209012</v>
      </c>
    </row>
    <row r="1925" spans="13:19">
      <c r="M1925" s="81">
        <f t="shared" ca="1" si="233"/>
        <v>21364.309340205662</v>
      </c>
      <c r="N1925" s="19">
        <f t="shared" si="234"/>
        <v>354.62671656336494</v>
      </c>
      <c r="O1925" s="17">
        <f t="shared" si="232"/>
        <v>481</v>
      </c>
      <c r="P1925" s="19">
        <f ca="1">IF(ISERROR(IF(O1925&lt;fi_h/20,0,(OFFSET('Base de dados'!$A$5,IF(O1925&lt;20,1,IF(O1925&gt;1000,10,MATCH(O1925,Cargas,1))),Coluna_fih,1,1))*(1+0.13*0.25)*(PI()*(fi_h/1000)^2/4)*SQRT(2*9.81*(O1925/100-fi_h/2/1000))*1000)),"",IF(O1925&lt;fi_h/20,0,(OFFSET('Base de dados'!$A$5,IF(O1925&lt;20,1,IF(O1925&gt;1000,10,MATCH(O1925,Cargas,1))),Coluna_fih,1,1))*(PI()*(fi_h/1000)^2/4)*SQRT(2*9.81*(O1925/100-fi_h/2/1000))*1000))</f>
        <v>58.677618433463586</v>
      </c>
      <c r="Q1925" s="19">
        <f ca="1">IF(O1925="","",IF(Tipo_Vertedor="Retangular",IF(O1925&lt;=cota_s*100,0,IF(Tipo_Vertedor="Retangular",Cd_sr*Lef_sr*((O1925/100-cota_s)^(3/2))*1000)),IF(O1925&lt;=cota_s*100+fi_s/20,0,(OFFSET('Base de dados'!$A$4,IF(O1925&lt;20,1,IF(O1925&gt;1000,10,MATCH(O1925,Cargas,1))),Coluna_fis,1,1))*(PI()*(fi_s/1000)^2/4)*(2*9.81*(O1925/100-cota_s-fi_s/2/1000))^0.5*1000)))</f>
        <v>9484.7411696600338</v>
      </c>
      <c r="R1925" s="19">
        <f t="shared" ca="1" si="235"/>
        <v>9543.4187880934969</v>
      </c>
      <c r="S1925" s="19">
        <f t="shared" ca="1" si="236"/>
        <v>11820.890552112165</v>
      </c>
    </row>
    <row r="1926" spans="13:19">
      <c r="M1926" s="81">
        <f t="shared" ca="1" si="233"/>
        <v>21379.683937972368</v>
      </c>
      <c r="N1926" s="19">
        <f t="shared" si="234"/>
        <v>354.8340019312613</v>
      </c>
      <c r="O1926" s="17">
        <f t="shared" si="232"/>
        <v>481.25</v>
      </c>
      <c r="P1926" s="19">
        <f ca="1">IF(ISERROR(IF(O1926&lt;fi_h/20,0,(OFFSET('Base de dados'!$A$5,IF(O1926&lt;20,1,IF(O1926&gt;1000,10,MATCH(O1926,Cargas,1))),Coluna_fih,1,1))*(1+0.13*0.25)*(PI()*(fi_h/1000)^2/4)*SQRT(2*9.81*(O1926/100-fi_h/2/1000))*1000)),"",IF(O1926&lt;fi_h/20,0,(OFFSET('Base de dados'!$A$5,IF(O1926&lt;20,1,IF(O1926&gt;1000,10,MATCH(O1926,Cargas,1))),Coluna_fih,1,1))*(PI()*(fi_h/1000)^2/4)*SQRT(2*9.81*(O1926/100-fi_h/2/1000))*1000))</f>
        <v>58.69304618968237</v>
      </c>
      <c r="Q1926" s="19">
        <f ca="1">IF(O1926="","",IF(Tipo_Vertedor="Retangular",IF(O1926&lt;=cota_s*100,0,IF(Tipo_Vertedor="Retangular",Cd_sr*Lef_sr*((O1926/100-cota_s)^(3/2))*1000)),IF(O1926&lt;=cota_s*100+fi_s/20,0,(OFFSET('Base de dados'!$A$4,IF(O1926&lt;20,1,IF(O1926&gt;1000,10,MATCH(O1926,Cargas,1))),Coluna_fis,1,1))*(PI()*(fi_s/1000)^2/4)*(2*9.81*(O1926/100-cota_s-fi_s/2/1000))^0.5*1000)))</f>
        <v>9493.1908274073121</v>
      </c>
      <c r="R1926" s="19">
        <f t="shared" ca="1" si="235"/>
        <v>9551.8838735969948</v>
      </c>
      <c r="S1926" s="19">
        <f t="shared" ca="1" si="236"/>
        <v>11827.800064375375</v>
      </c>
    </row>
    <row r="1927" spans="13:19">
      <c r="M1927" s="81">
        <f t="shared" ca="1" si="233"/>
        <v>21395.061486530481</v>
      </c>
      <c r="N1927" s="19">
        <f t="shared" si="234"/>
        <v>355.04130071385589</v>
      </c>
      <c r="O1927" s="17">
        <f t="shared" si="232"/>
        <v>481.5</v>
      </c>
      <c r="P1927" s="19">
        <f ca="1">IF(ISERROR(IF(O1927&lt;fi_h/20,0,(OFFSET('Base de dados'!$A$5,IF(O1927&lt;20,1,IF(O1927&gt;1000,10,MATCH(O1927,Cargas,1))),Coluna_fih,1,1))*(1+0.13*0.25)*(PI()*(fi_h/1000)^2/4)*SQRT(2*9.81*(O1927/100-fi_h/2/1000))*1000)),"",IF(O1927&lt;fi_h/20,0,(OFFSET('Base de dados'!$A$5,IF(O1927&lt;20,1,IF(O1927&gt;1000,10,MATCH(O1927,Cargas,1))),Coluna_fih,1,1))*(PI()*(fi_h/1000)^2/4)*SQRT(2*9.81*(O1927/100-fi_h/2/1000))*1000))</f>
        <v>58.708469891705001</v>
      </c>
      <c r="Q1927" s="19">
        <f ca="1">IF(O1927="","",IF(Tipo_Vertedor="Retangular",IF(O1927&lt;=cota_s*100,0,IF(Tipo_Vertedor="Retangular",Cd_sr*Lef_sr*((O1927/100-cota_s)^(3/2))*1000)),IF(O1927&lt;=cota_s*100+fi_s/20,0,(OFFSET('Base de dados'!$A$4,IF(O1927&lt;20,1,IF(O1927&gt;1000,10,MATCH(O1927,Cargas,1))),Coluna_fis,1,1))*(PI()*(fi_s/1000)^2/4)*(2*9.81*(O1927/100-cota_s-fi_s/2/1000))^0.5*1000)))</f>
        <v>9501.6429928435809</v>
      </c>
      <c r="R1927" s="19">
        <f t="shared" ca="1" si="235"/>
        <v>9560.3514627352852</v>
      </c>
      <c r="S1927" s="19">
        <f t="shared" ca="1" si="236"/>
        <v>11834.710023795196</v>
      </c>
    </row>
    <row r="1928" spans="13:19">
      <c r="M1928" s="81">
        <f t="shared" ca="1" si="233"/>
        <v>21410.44198493614</v>
      </c>
      <c r="N1928" s="19">
        <f t="shared" si="234"/>
        <v>355.248612905051</v>
      </c>
      <c r="O1928" s="17">
        <f t="shared" si="232"/>
        <v>481.75</v>
      </c>
      <c r="P1928" s="19">
        <f ca="1">IF(ISERROR(IF(O1928&lt;fi_h/20,0,(OFFSET('Base de dados'!$A$5,IF(O1928&lt;20,1,IF(O1928&gt;1000,10,MATCH(O1928,Cargas,1))),Coluna_fih,1,1))*(1+0.13*0.25)*(PI()*(fi_h/1000)^2/4)*SQRT(2*9.81*(O1928/100-fi_h/2/1000))*1000)),"",IF(O1928&lt;fi_h/20,0,(OFFSET('Base de dados'!$A$5,IF(O1928&lt;20,1,IF(O1928&gt;1000,10,MATCH(O1928,Cargas,1))),Coluna_fih,1,1))*(PI()*(fi_h/1000)^2/4)*SQRT(2*9.81*(O1928/100-fi_h/2/1000))*1000))</f>
        <v>58.723889542725921</v>
      </c>
      <c r="Q1928" s="19">
        <f ca="1">IF(O1928="","",IF(Tipo_Vertedor="Retangular",IF(O1928&lt;=cota_s*100,0,IF(Tipo_Vertedor="Retangular",Cd_sr*Lef_sr*((O1928/100-cota_s)^(3/2))*1000)),IF(O1928&lt;=cota_s*100+fi_s/20,0,(OFFSET('Base de dados'!$A$4,IF(O1928&lt;20,1,IF(O1928&gt;1000,10,MATCH(O1928,Cargas,1))),Coluna_fis,1,1))*(PI()*(fi_s/1000)^2/4)*(2*9.81*(O1928/100-cota_s-fi_s/2/1000))^0.5*1000)))</f>
        <v>9510.0976652250483</v>
      </c>
      <c r="R1928" s="19">
        <f t="shared" ca="1" si="235"/>
        <v>9568.8215547677737</v>
      </c>
      <c r="S1928" s="19">
        <f t="shared" ca="1" si="236"/>
        <v>11841.620430168367</v>
      </c>
    </row>
    <row r="1929" spans="13:19">
      <c r="M1929" s="81">
        <f t="shared" ca="1" si="233"/>
        <v>21425.825432246369</v>
      </c>
      <c r="N1929" s="19">
        <f t="shared" si="234"/>
        <v>355.45593849875507</v>
      </c>
      <c r="O1929" s="17">
        <f t="shared" si="232"/>
        <v>482</v>
      </c>
      <c r="P1929" s="19">
        <f ca="1">IF(ISERROR(IF(O1929&lt;fi_h/20,0,(OFFSET('Base de dados'!$A$5,IF(O1929&lt;20,1,IF(O1929&gt;1000,10,MATCH(O1929,Cargas,1))),Coluna_fih,1,1))*(1+0.13*0.25)*(PI()*(fi_h/1000)^2/4)*SQRT(2*9.81*(O1929/100-fi_h/2/1000))*1000)),"",IF(O1929&lt;fi_h/20,0,(OFFSET('Base de dados'!$A$5,IF(O1929&lt;20,1,IF(O1929&gt;1000,10,MATCH(O1929,Cargas,1))),Coluna_fih,1,1))*(PI()*(fi_h/1000)^2/4)*SQRT(2*9.81*(O1929/100-fi_h/2/1000))*1000))</f>
        <v>58.73930514593544</v>
      </c>
      <c r="Q1929" s="19">
        <f ca="1">IF(O1929="","",IF(Tipo_Vertedor="Retangular",IF(O1929&lt;=cota_s*100,0,IF(Tipo_Vertedor="Retangular",Cd_sr*Lef_sr*((O1929/100-cota_s)^(3/2))*1000)),IF(O1929&lt;=cota_s*100+fi_s/20,0,(OFFSET('Base de dados'!$A$4,IF(O1929&lt;20,1,IF(O1929&gt;1000,10,MATCH(O1929,Cargas,1))),Coluna_fis,1,1))*(PI()*(fi_s/1000)^2/4)*(2*9.81*(O1929/100-cota_s-fi_s/2/1000))^0.5*1000)))</f>
        <v>9518.5548438085953</v>
      </c>
      <c r="R1929" s="19">
        <f t="shared" ca="1" si="235"/>
        <v>9577.2941489545301</v>
      </c>
      <c r="S1929" s="19">
        <f t="shared" ca="1" si="236"/>
        <v>11848.531283291837</v>
      </c>
    </row>
    <row r="1930" spans="13:19">
      <c r="M1930" s="81">
        <f t="shared" ca="1" si="233"/>
        <v>21441.211827519001</v>
      </c>
      <c r="N1930" s="19">
        <f t="shared" si="234"/>
        <v>355.66327748888222</v>
      </c>
      <c r="O1930" s="17">
        <f t="shared" si="232"/>
        <v>482.25</v>
      </c>
      <c r="P1930" s="19">
        <f ca="1">IF(ISERROR(IF(O1930&lt;fi_h/20,0,(OFFSET('Base de dados'!$A$5,IF(O1930&lt;20,1,IF(O1930&gt;1000,10,MATCH(O1930,Cargas,1))),Coluna_fih,1,1))*(1+0.13*0.25)*(PI()*(fi_h/1000)^2/4)*SQRT(2*9.81*(O1930/100-fi_h/2/1000))*1000)),"",IF(O1930&lt;fi_h/20,0,(OFFSET('Base de dados'!$A$5,IF(O1930&lt;20,1,IF(O1930&gt;1000,10,MATCH(O1930,Cargas,1))),Coluna_fih,1,1))*(PI()*(fi_h/1000)^2/4)*SQRT(2*9.81*(O1930/100-fi_h/2/1000))*1000))</f>
        <v>58.754716704519652</v>
      </c>
      <c r="Q1930" s="19">
        <f ca="1">IF(O1930="","",IF(Tipo_Vertedor="Retangular",IF(O1930&lt;=cota_s*100,0,IF(Tipo_Vertedor="Retangular",Cd_sr*Lef_sr*((O1930/100-cota_s)^(3/2))*1000)),IF(O1930&lt;=cota_s*100+fi_s/20,0,(OFFSET('Base de dados'!$A$4,IF(O1930&lt;20,1,IF(O1930&gt;1000,10,MATCH(O1930,Cargas,1))),Coluna_fis,1,1))*(PI()*(fi_s/1000)^2/4)*(2*9.81*(O1930/100-cota_s-fi_s/2/1000))^0.5*1000)))</f>
        <v>9527.0145278517411</v>
      </c>
      <c r="R1930" s="19">
        <f t="shared" ca="1" si="235"/>
        <v>9585.7692445562607</v>
      </c>
      <c r="S1930" s="19">
        <f t="shared" ca="1" si="236"/>
        <v>11855.44258296274</v>
      </c>
    </row>
    <row r="1931" spans="13:19">
      <c r="M1931" s="81">
        <f t="shared" ca="1" si="233"/>
        <v>21456.601169812777</v>
      </c>
      <c r="N1931" s="19">
        <f t="shared" si="234"/>
        <v>355.87062986935297</v>
      </c>
      <c r="O1931" s="17">
        <f t="shared" si="232"/>
        <v>482.5</v>
      </c>
      <c r="P1931" s="19">
        <f ca="1">IF(ISERROR(IF(O1931&lt;fi_h/20,0,(OFFSET('Base de dados'!$A$5,IF(O1931&lt;20,1,IF(O1931&gt;1000,10,MATCH(O1931,Cargas,1))),Coluna_fih,1,1))*(1+0.13*0.25)*(PI()*(fi_h/1000)^2/4)*SQRT(2*9.81*(O1931/100-fi_h/2/1000))*1000)),"",IF(O1931&lt;fi_h/20,0,(OFFSET('Base de dados'!$A$5,IF(O1931&lt;20,1,IF(O1931&gt;1000,10,MATCH(O1931,Cargas,1))),Coluna_fih,1,1))*(PI()*(fi_h/1000)^2/4)*SQRT(2*9.81*(O1931/100-fi_h/2/1000))*1000))</f>
        <v>58.770124221660481</v>
      </c>
      <c r="Q1931" s="19">
        <f ca="1">IF(O1931="","",IF(Tipo_Vertedor="Retangular",IF(O1931&lt;=cota_s*100,0,IF(Tipo_Vertedor="Retangular",Cd_sr*Lef_sr*((O1931/100-cota_s)^(3/2))*1000)),IF(O1931&lt;=cota_s*100+fi_s/20,0,(OFFSET('Base de dados'!$A$4,IF(O1931&lt;20,1,IF(O1931&gt;1000,10,MATCH(O1931,Cargas,1))),Coluna_fis,1,1))*(PI()*(fi_s/1000)^2/4)*(2*9.81*(O1931/100-cota_s-fi_s/2/1000))^0.5*1000)))</f>
        <v>9535.4767166126821</v>
      </c>
      <c r="R1931" s="19">
        <f t="shared" ca="1" si="235"/>
        <v>9594.2468408343429</v>
      </c>
      <c r="S1931" s="19">
        <f t="shared" ca="1" si="236"/>
        <v>11862.354328978432</v>
      </c>
    </row>
    <row r="1932" spans="13:19">
      <c r="M1932" s="81">
        <f t="shared" ca="1" si="233"/>
        <v>21471.993458187237</v>
      </c>
      <c r="N1932" s="19">
        <f t="shared" si="234"/>
        <v>356.07799563409299</v>
      </c>
      <c r="O1932" s="17">
        <f t="shared" si="232"/>
        <v>482.75</v>
      </c>
      <c r="P1932" s="19">
        <f ca="1">IF(ISERROR(IF(O1932&lt;fi_h/20,0,(OFFSET('Base de dados'!$A$5,IF(O1932&lt;20,1,IF(O1932&gt;1000,10,MATCH(O1932,Cargas,1))),Coluna_fih,1,1))*(1+0.13*0.25)*(PI()*(fi_h/1000)^2/4)*SQRT(2*9.81*(O1932/100-fi_h/2/1000))*1000)),"",IF(O1932&lt;fi_h/20,0,(OFFSET('Base de dados'!$A$5,IF(O1932&lt;20,1,IF(O1932&gt;1000,10,MATCH(O1932,Cargas,1))),Coluna_fih,1,1))*(PI()*(fi_h/1000)^2/4)*SQRT(2*9.81*(O1932/100-fi_h/2/1000))*1000))</f>
        <v>58.785527700535667</v>
      </c>
      <c r="Q1932" s="19">
        <f ca="1">IF(O1932="","",IF(Tipo_Vertedor="Retangular",IF(O1932&lt;=cota_s*100,0,IF(Tipo_Vertedor="Retangular",Cd_sr*Lef_sr*((O1932/100-cota_s)^(3/2))*1000)),IF(O1932&lt;=cota_s*100+fi_s/20,0,(OFFSET('Base de dados'!$A$4,IF(O1932&lt;20,1,IF(O1932&gt;1000,10,MATCH(O1932,Cargas,1))),Coluna_fis,1,1))*(PI()*(fi_s/1000)^2/4)*(2*9.81*(O1932/100-cota_s-fi_s/2/1000))^0.5*1000)))</f>
        <v>9543.9414093502655</v>
      </c>
      <c r="R1932" s="19">
        <f t="shared" ca="1" si="235"/>
        <v>9602.726937050802</v>
      </c>
      <c r="S1932" s="19">
        <f t="shared" ca="1" si="236"/>
        <v>11869.266521136433</v>
      </c>
    </row>
    <row r="1933" spans="13:19">
      <c r="M1933" s="81">
        <f t="shared" ca="1" si="233"/>
        <v>21487.388691702807</v>
      </c>
      <c r="N1933" s="19">
        <f t="shared" si="234"/>
        <v>356.28537477703469</v>
      </c>
      <c r="O1933" s="17">
        <f t="shared" si="232"/>
        <v>483</v>
      </c>
      <c r="P1933" s="19">
        <f ca="1">IF(ISERROR(IF(O1933&lt;fi_h/20,0,(OFFSET('Base de dados'!$A$5,IF(O1933&lt;20,1,IF(O1933&gt;1000,10,MATCH(O1933,Cargas,1))),Coluna_fih,1,1))*(1+0.13*0.25)*(PI()*(fi_h/1000)^2/4)*SQRT(2*9.81*(O1933/100-fi_h/2/1000))*1000)),"",IF(O1933&lt;fi_h/20,0,(OFFSET('Base de dados'!$A$5,IF(O1933&lt;20,1,IF(O1933&gt;1000,10,MATCH(O1933,Cargas,1))),Coluna_fih,1,1))*(PI()*(fi_h/1000)^2/4)*SQRT(2*9.81*(O1933/100-fi_h/2/1000))*1000))</f>
        <v>58.80092714431882</v>
      </c>
      <c r="Q1933" s="19">
        <f ca="1">IF(O1933="","",IF(Tipo_Vertedor="Retangular",IF(O1933&lt;=cota_s*100,0,IF(Tipo_Vertedor="Retangular",Cd_sr*Lef_sr*((O1933/100-cota_s)^(3/2))*1000)),IF(O1933&lt;=cota_s*100+fi_s/20,0,(OFFSET('Base de dados'!$A$4,IF(O1933&lt;20,1,IF(O1933&gt;1000,10,MATCH(O1933,Cargas,1))),Coluna_fis,1,1))*(PI()*(fi_s/1000)^2/4)*(2*9.81*(O1933/100-cota_s-fi_s/2/1000))^0.5*1000)))</f>
        <v>9552.4086053240007</v>
      </c>
      <c r="R1933" s="19">
        <f t="shared" ca="1" si="235"/>
        <v>9611.2095324683196</v>
      </c>
      <c r="S1933" s="19">
        <f t="shared" ca="1" si="236"/>
        <v>11876.179159234489</v>
      </c>
    </row>
    <row r="1934" spans="13:19">
      <c r="M1934" s="81">
        <f t="shared" ca="1" si="233"/>
        <v>21502.78686942075</v>
      </c>
      <c r="N1934" s="19">
        <f t="shared" si="234"/>
        <v>356.49276729211567</v>
      </c>
      <c r="O1934" s="17">
        <f t="shared" si="232"/>
        <v>483.25</v>
      </c>
      <c r="P1934" s="19">
        <f ca="1">IF(ISERROR(IF(O1934&lt;fi_h/20,0,(OFFSET('Base de dados'!$A$5,IF(O1934&lt;20,1,IF(O1934&gt;1000,10,MATCH(O1934,Cargas,1))),Coluna_fih,1,1))*(1+0.13*0.25)*(PI()*(fi_h/1000)^2/4)*SQRT(2*9.81*(O1934/100-fi_h/2/1000))*1000)),"",IF(O1934&lt;fi_h/20,0,(OFFSET('Base de dados'!$A$5,IF(O1934&lt;20,1,IF(O1934&gt;1000,10,MATCH(O1934,Cargas,1))),Coluna_fih,1,1))*(PI()*(fi_h/1000)^2/4)*SQRT(2*9.81*(O1934/100-fi_h/2/1000))*1000))</f>
        <v>58.816322556179358</v>
      </c>
      <c r="Q1934" s="19">
        <f ca="1">IF(O1934="","",IF(Tipo_Vertedor="Retangular",IF(O1934&lt;=cota_s*100,0,IF(Tipo_Vertedor="Retangular",Cd_sr*Lef_sr*((O1934/100-cota_s)^(3/2))*1000)),IF(O1934&lt;=cota_s*100+fi_s/20,0,(OFFSET('Base de dados'!$A$4,IF(O1934&lt;20,1,IF(O1934&gt;1000,10,MATCH(O1934,Cargas,1))),Coluna_fis,1,1))*(PI()*(fi_s/1000)^2/4)*(2*9.81*(O1934/100-cota_s-fi_s/2/1000))^0.5*1000)))</f>
        <v>9560.8783037940502</v>
      </c>
      <c r="R1934" s="19">
        <f t="shared" ca="1" si="235"/>
        <v>9619.6946263502305</v>
      </c>
      <c r="S1934" s="19">
        <f t="shared" ca="1" si="236"/>
        <v>11883.092243070521</v>
      </c>
    </row>
    <row r="1935" spans="13:19">
      <c r="M1935" s="81">
        <f t="shared" ca="1" si="233"/>
        <v>21518.187990403188</v>
      </c>
      <c r="N1935" s="19">
        <f t="shared" si="234"/>
        <v>356.70017317327995</v>
      </c>
      <c r="O1935" s="17">
        <f t="shared" si="232"/>
        <v>483.5</v>
      </c>
      <c r="P1935" s="19">
        <f ca="1">IF(ISERROR(IF(O1935&lt;fi_h/20,0,(OFFSET('Base de dados'!$A$5,IF(O1935&lt;20,1,IF(O1935&gt;1000,10,MATCH(O1935,Cargas,1))),Coluna_fih,1,1))*(1+0.13*0.25)*(PI()*(fi_h/1000)^2/4)*SQRT(2*9.81*(O1935/100-fi_h/2/1000))*1000)),"",IF(O1935&lt;fi_h/20,0,(OFFSET('Base de dados'!$A$5,IF(O1935&lt;20,1,IF(O1935&gt;1000,10,MATCH(O1935,Cargas,1))),Coluna_fih,1,1))*(PI()*(fi_h/1000)^2/4)*SQRT(2*9.81*(O1935/100-fi_h/2/1000))*1000))</f>
        <v>58.831713939282579</v>
      </c>
      <c r="Q1935" s="19">
        <f ca="1">IF(O1935="","",IF(Tipo_Vertedor="Retangular",IF(O1935&lt;=cota_s*100,0,IF(Tipo_Vertedor="Retangular",Cd_sr*Lef_sr*((O1935/100-cota_s)^(3/2))*1000)),IF(O1935&lt;=cota_s*100+fi_s/20,0,(OFFSET('Base de dados'!$A$4,IF(O1935&lt;20,1,IF(O1935&gt;1000,10,MATCH(O1935,Cargas,1))),Coluna_fis,1,1))*(PI()*(fi_s/1000)^2/4)*(2*9.81*(O1935/100-cota_s-fi_s/2/1000))^0.5*1000)))</f>
        <v>9569.3505040212403</v>
      </c>
      <c r="R1935" s="19">
        <f t="shared" ca="1" si="235"/>
        <v>9628.1822179605224</v>
      </c>
      <c r="S1935" s="19">
        <f t="shared" ca="1" si="236"/>
        <v>11890.005772442666</v>
      </c>
    </row>
    <row r="1936" spans="13:19">
      <c r="M1936" s="81">
        <f t="shared" ca="1" si="233"/>
        <v>21533.592053713051</v>
      </c>
      <c r="N1936" s="19">
        <f t="shared" si="234"/>
        <v>356.90759241447694</v>
      </c>
      <c r="O1936" s="17">
        <f t="shared" si="232"/>
        <v>483.75</v>
      </c>
      <c r="P1936" s="19">
        <f ca="1">IF(ISERROR(IF(O1936&lt;fi_h/20,0,(OFFSET('Base de dados'!$A$5,IF(O1936&lt;20,1,IF(O1936&gt;1000,10,MATCH(O1936,Cargas,1))),Coluna_fih,1,1))*(1+0.13*0.25)*(PI()*(fi_h/1000)^2/4)*SQRT(2*9.81*(O1936/100-fi_h/2/1000))*1000)),"",IF(O1936&lt;fi_h/20,0,(OFFSET('Base de dados'!$A$5,IF(O1936&lt;20,1,IF(O1936&gt;1000,10,MATCH(O1936,Cargas,1))),Coluna_fih,1,1))*(PI()*(fi_h/1000)^2/4)*SQRT(2*9.81*(O1936/100-fi_h/2/1000))*1000))</f>
        <v>58.847101296789624</v>
      </c>
      <c r="Q1936" s="19">
        <f ca="1">IF(O1936="","",IF(Tipo_Vertedor="Retangular",IF(O1936&lt;=cota_s*100,0,IF(Tipo_Vertedor="Retangular",Cd_sr*Lef_sr*((O1936/100-cota_s)^(3/2))*1000)),IF(O1936&lt;=cota_s*100+fi_s/20,0,(OFFSET('Base de dados'!$A$4,IF(O1936&lt;20,1,IF(O1936&gt;1000,10,MATCH(O1936,Cargas,1))),Coluna_fis,1,1))*(PI()*(fi_s/1000)^2/4)*(2*9.81*(O1936/100-cota_s-fi_s/2/1000))^0.5*1000)))</f>
        <v>9577.8252052670323</v>
      </c>
      <c r="R1936" s="19">
        <f t="shared" ca="1" si="235"/>
        <v>9636.6723065638216</v>
      </c>
      <c r="S1936" s="19">
        <f t="shared" ca="1" si="236"/>
        <v>11896.91974714923</v>
      </c>
    </row>
    <row r="1937" spans="13:19">
      <c r="M1937" s="81">
        <f t="shared" ca="1" si="233"/>
        <v>21548.999058414156</v>
      </c>
      <c r="N1937" s="19">
        <f t="shared" si="234"/>
        <v>357.11502500966219</v>
      </c>
      <c r="O1937" s="17">
        <f t="shared" si="232"/>
        <v>484</v>
      </c>
      <c r="P1937" s="19">
        <f ca="1">IF(ISERROR(IF(O1937&lt;fi_h/20,0,(OFFSET('Base de dados'!$A$5,IF(O1937&lt;20,1,IF(O1937&gt;1000,10,MATCH(O1937,Cargas,1))),Coluna_fih,1,1))*(1+0.13*0.25)*(PI()*(fi_h/1000)^2/4)*SQRT(2*9.81*(O1937/100-fi_h/2/1000))*1000)),"",IF(O1937&lt;fi_h/20,0,(OFFSET('Base de dados'!$A$5,IF(O1937&lt;20,1,IF(O1937&gt;1000,10,MATCH(O1937,Cargas,1))),Coluna_fih,1,1))*(PI()*(fi_h/1000)^2/4)*SQRT(2*9.81*(O1937/100-fi_h/2/1000))*1000))</f>
        <v>58.862484631857512</v>
      </c>
      <c r="Q1937" s="19">
        <f ca="1">IF(O1937="","",IF(Tipo_Vertedor="Retangular",IF(O1937&lt;=cota_s*100,0,IF(Tipo_Vertedor="Retangular",Cd_sr*Lef_sr*((O1937/100-cota_s)^(3/2))*1000)),IF(O1937&lt;=cota_s*100+fi_s/20,0,(OFFSET('Base de dados'!$A$4,IF(O1937&lt;20,1,IF(O1937&gt;1000,10,MATCH(O1937,Cargas,1))),Coluna_fis,1,1))*(PI()*(fi_s/1000)^2/4)*(2*9.81*(O1937/100-cota_s-fi_s/2/1000))^0.5*1000)))</f>
        <v>9586.3024067935585</v>
      </c>
      <c r="R1937" s="19">
        <f t="shared" ca="1" si="235"/>
        <v>9645.1648914254165</v>
      </c>
      <c r="S1937" s="19">
        <f t="shared" ca="1" si="236"/>
        <v>11903.83416698874</v>
      </c>
    </row>
    <row r="1938" spans="13:19">
      <c r="M1938" s="81">
        <f t="shared" ca="1" si="233"/>
        <v>21564.409003571149</v>
      </c>
      <c r="N1938" s="19">
        <f t="shared" si="234"/>
        <v>357.32247095279718</v>
      </c>
      <c r="O1938" s="17">
        <f t="shared" si="232"/>
        <v>484.25</v>
      </c>
      <c r="P1938" s="19">
        <f ca="1">IF(ISERROR(IF(O1938&lt;fi_h/20,0,(OFFSET('Base de dados'!$A$5,IF(O1938&lt;20,1,IF(O1938&gt;1000,10,MATCH(O1938,Cargas,1))),Coluna_fih,1,1))*(1+0.13*0.25)*(PI()*(fi_h/1000)^2/4)*SQRT(2*9.81*(O1938/100-fi_h/2/1000))*1000)),"",IF(O1938&lt;fi_h/20,0,(OFFSET('Base de dados'!$A$5,IF(O1938&lt;20,1,IF(O1938&gt;1000,10,MATCH(O1938,Cargas,1))),Coluna_fih,1,1))*(PI()*(fi_h/1000)^2/4)*SQRT(2*9.81*(O1938/100-fi_h/2/1000))*1000))</f>
        <v>58.877863947639142</v>
      </c>
      <c r="Q1938" s="19">
        <f ca="1">IF(O1938="","",IF(Tipo_Vertedor="Retangular",IF(O1938&lt;=cota_s*100,0,IF(Tipo_Vertedor="Retangular",Cd_sr*Lef_sr*((O1938/100-cota_s)^(3/2))*1000)),IF(O1938&lt;=cota_s*100+fi_s/20,0,(OFFSET('Base de dados'!$A$4,IF(O1938&lt;20,1,IF(O1938&gt;1000,10,MATCH(O1938,Cargas,1))),Coluna_fis,1,1))*(PI()*(fi_s/1000)^2/4)*(2*9.81*(O1938/100-cota_s-fi_s/2/1000))^0.5*1000)))</f>
        <v>9594.7821078636043</v>
      </c>
      <c r="R1938" s="19">
        <f t="shared" ca="1" si="235"/>
        <v>9653.6599718112429</v>
      </c>
      <c r="S1938" s="19">
        <f t="shared" ca="1" si="236"/>
        <v>11910.749031759906</v>
      </c>
    </row>
    <row r="1939" spans="13:19">
      <c r="M1939" s="81">
        <f t="shared" ca="1" si="233"/>
        <v>21579.821888249517</v>
      </c>
      <c r="N1939" s="19">
        <f t="shared" si="234"/>
        <v>357.52993023784893</v>
      </c>
      <c r="O1939" s="17">
        <f t="shared" ref="O1939:O2002" si="237">IF(ISERROR(IF(O1938+passo_altura&gt;h_max_puls*100,"",O1938+passo_altura)),"",IF(O1938+passo_altura&gt;h_max_puls*100,"",O1938+passo_altura))</f>
        <v>484.5</v>
      </c>
      <c r="P1939" s="19">
        <f ca="1">IF(ISERROR(IF(O1939&lt;fi_h/20,0,(OFFSET('Base de dados'!$A$5,IF(O1939&lt;20,1,IF(O1939&gt;1000,10,MATCH(O1939,Cargas,1))),Coluna_fih,1,1))*(1+0.13*0.25)*(PI()*(fi_h/1000)^2/4)*SQRT(2*9.81*(O1939/100-fi_h/2/1000))*1000)),"",IF(O1939&lt;fi_h/20,0,(OFFSET('Base de dados'!$A$5,IF(O1939&lt;20,1,IF(O1939&gt;1000,10,MATCH(O1939,Cargas,1))),Coluna_fih,1,1))*(PI()*(fi_h/1000)^2/4)*SQRT(2*9.81*(O1939/100-fi_h/2/1000))*1000))</f>
        <v>58.893239247283276</v>
      </c>
      <c r="Q1939" s="19">
        <f ca="1">IF(O1939="","",IF(Tipo_Vertedor="Retangular",IF(O1939&lt;=cota_s*100,0,IF(Tipo_Vertedor="Retangular",Cd_sr*Lef_sr*((O1939/100-cota_s)^(3/2))*1000)),IF(O1939&lt;=cota_s*100+fi_s/20,0,(OFFSET('Base de dados'!$A$4,IF(O1939&lt;20,1,IF(O1939&gt;1000,10,MATCH(O1939,Cargas,1))),Coluna_fis,1,1))*(PI()*(fi_s/1000)^2/4)*(2*9.81*(O1939/100-cota_s-fi_s/2/1000))^0.5*1000)))</f>
        <v>9603.264307740601</v>
      </c>
      <c r="R1939" s="19">
        <f t="shared" ca="1" si="235"/>
        <v>9662.1575469878844</v>
      </c>
      <c r="S1939" s="19">
        <f t="shared" ca="1" si="236"/>
        <v>11917.664341261632</v>
      </c>
    </row>
    <row r="1940" spans="13:19">
      <c r="M1940" s="81">
        <f t="shared" ca="1" si="233"/>
        <v>21595.237711515583</v>
      </c>
      <c r="N1940" s="19">
        <f t="shared" si="234"/>
        <v>357.7374028587908</v>
      </c>
      <c r="O1940" s="17">
        <f t="shared" si="237"/>
        <v>484.75</v>
      </c>
      <c r="P1940" s="19">
        <f ca="1">IF(ISERROR(IF(O1940&lt;fi_h/20,0,(OFFSET('Base de dados'!$A$5,IF(O1940&lt;20,1,IF(O1940&gt;1000,10,MATCH(O1940,Cargas,1))),Coluna_fih,1,1))*(1+0.13*0.25)*(PI()*(fi_h/1000)^2/4)*SQRT(2*9.81*(O1940/100-fi_h/2/1000))*1000)),"",IF(O1940&lt;fi_h/20,0,(OFFSET('Base de dados'!$A$5,IF(O1940&lt;20,1,IF(O1940&gt;1000,10,MATCH(O1940,Cargas,1))),Coluna_fih,1,1))*(PI()*(fi_h/1000)^2/4)*SQRT(2*9.81*(O1940/100-fi_h/2/1000))*1000))</f>
        <v>58.908610533934599</v>
      </c>
      <c r="Q1940" s="19">
        <f ca="1">IF(O1940="","",IF(Tipo_Vertedor="Retangular",IF(O1940&lt;=cota_s*100,0,IF(Tipo_Vertedor="Retangular",Cd_sr*Lef_sr*((O1940/100-cota_s)^(3/2))*1000)),IF(O1940&lt;=cota_s*100+fi_s/20,0,(OFFSET('Base de dados'!$A$4,IF(O1940&lt;20,1,IF(O1940&gt;1000,10,MATCH(O1940,Cargas,1))),Coluna_fis,1,1))*(PI()*(fi_s/1000)^2/4)*(2*9.81*(O1940/100-cota_s-fi_s/2/1000))^0.5*1000)))</f>
        <v>9611.7490056886218</v>
      </c>
      <c r="R1940" s="19">
        <f t="shared" ca="1" si="235"/>
        <v>9670.6576162225556</v>
      </c>
      <c r="S1940" s="19">
        <f t="shared" ca="1" si="236"/>
        <v>11924.580095293028</v>
      </c>
    </row>
    <row r="1941" spans="13:19">
      <c r="M1941" s="81">
        <f t="shared" ca="1" si="233"/>
        <v>21610.65647243652</v>
      </c>
      <c r="N1941" s="19">
        <f t="shared" si="234"/>
        <v>357.94488880960137</v>
      </c>
      <c r="O1941" s="17">
        <f t="shared" si="237"/>
        <v>485</v>
      </c>
      <c r="P1941" s="19">
        <f ca="1">IF(ISERROR(IF(O1941&lt;fi_h/20,0,(OFFSET('Base de dados'!$A$5,IF(O1941&lt;20,1,IF(O1941&gt;1000,10,MATCH(O1941,Cargas,1))),Coluna_fih,1,1))*(1+0.13*0.25)*(PI()*(fi_h/1000)^2/4)*SQRT(2*9.81*(O1941/100-fi_h/2/1000))*1000)),"",IF(O1941&lt;fi_h/20,0,(OFFSET('Base de dados'!$A$5,IF(O1941&lt;20,1,IF(O1941&gt;1000,10,MATCH(O1941,Cargas,1))),Coluna_fih,1,1))*(PI()*(fi_h/1000)^2/4)*SQRT(2*9.81*(O1941/100-fi_h/2/1000))*1000))</f>
        <v>58.92397781073366</v>
      </c>
      <c r="Q1941" s="19">
        <f ca="1">IF(O1941="","",IF(Tipo_Vertedor="Retangular",IF(O1941&lt;=cota_s*100,0,IF(Tipo_Vertedor="Retangular",Cd_sr*Lef_sr*((O1941/100-cota_s)^(3/2))*1000)),IF(O1941&lt;=cota_s*100+fi_s/20,0,(OFFSET('Base de dados'!$A$4,IF(O1941&lt;20,1,IF(O1941&gt;1000,10,MATCH(O1941,Cargas,1))),Coluna_fis,1,1))*(PI()*(fi_s/1000)^2/4)*(2*9.81*(O1941/100-cota_s-fi_s/2/1000))^0.5*1000)))</f>
        <v>9620.2362009724075</v>
      </c>
      <c r="R1941" s="19">
        <f t="shared" ca="1" si="235"/>
        <v>9679.1601787831405</v>
      </c>
      <c r="S1941" s="19">
        <f t="shared" ca="1" si="236"/>
        <v>11931.496293653379</v>
      </c>
    </row>
    <row r="1942" spans="13:19">
      <c r="M1942" s="81">
        <f t="shared" ca="1" si="233"/>
        <v>21626.078170080335</v>
      </c>
      <c r="N1942" s="19">
        <f t="shared" si="234"/>
        <v>358.15238808426551</v>
      </c>
      <c r="O1942" s="17">
        <f t="shared" si="237"/>
        <v>485.25</v>
      </c>
      <c r="P1942" s="19">
        <f ca="1">IF(ISERROR(IF(O1942&lt;fi_h/20,0,(OFFSET('Base de dados'!$A$5,IF(O1942&lt;20,1,IF(O1942&gt;1000,10,MATCH(O1942,Cargas,1))),Coluna_fih,1,1))*(1+0.13*0.25)*(PI()*(fi_h/1000)^2/4)*SQRT(2*9.81*(O1942/100-fi_h/2/1000))*1000)),"",IF(O1942&lt;fi_h/20,0,(OFFSET('Base de dados'!$A$5,IF(O1942&lt;20,1,IF(O1942&gt;1000,10,MATCH(O1942,Cargas,1))),Coluna_fih,1,1))*(PI()*(fi_h/1000)^2/4)*SQRT(2*9.81*(O1942/100-fi_h/2/1000))*1000))</f>
        <v>58.939341080816945</v>
      </c>
      <c r="Q1942" s="19">
        <f ca="1">IF(O1942="","",IF(Tipo_Vertedor="Retangular",IF(O1942&lt;=cota_s*100,0,IF(Tipo_Vertedor="Retangular",Cd_sr*Lef_sr*((O1942/100-cota_s)^(3/2))*1000)),IF(O1942&lt;=cota_s*100+fi_s/20,0,(OFFSET('Base de dados'!$A$4,IF(O1942&lt;20,1,IF(O1942&gt;1000,10,MATCH(O1942,Cargas,1))),Coluna_fis,1,1))*(PI()*(fi_s/1000)^2/4)*(2*9.81*(O1942/100-cota_s-fi_s/2/1000))^0.5*1000)))</f>
        <v>9628.7258928573356</v>
      </c>
      <c r="R1942" s="19">
        <f t="shared" ca="1" si="235"/>
        <v>9687.6652339381526</v>
      </c>
      <c r="S1942" s="19">
        <f t="shared" ca="1" si="236"/>
        <v>11938.412936142184</v>
      </c>
    </row>
    <row r="1943" spans="13:19">
      <c r="M1943" s="81">
        <f t="shared" ref="M1943:M2006" ca="1" si="238">IF(O1943="","",2*N1943*1000/(Passo*60)+R1943)</f>
        <v>21641.502803515876</v>
      </c>
      <c r="N1943" s="19">
        <f t="shared" ref="N1943:N2006" si="239">IF(O1943="","",b_0*(O1943/100)^c_0)</f>
        <v>358.35990067677358</v>
      </c>
      <c r="O1943" s="17">
        <f t="shared" si="237"/>
        <v>485.5</v>
      </c>
      <c r="P1943" s="19">
        <f ca="1">IF(ISERROR(IF(O1943&lt;fi_h/20,0,(OFFSET('Base de dados'!$A$5,IF(O1943&lt;20,1,IF(O1943&gt;1000,10,MATCH(O1943,Cargas,1))),Coluna_fih,1,1))*(1+0.13*0.25)*(PI()*(fi_h/1000)^2/4)*SQRT(2*9.81*(O1943/100-fi_h/2/1000))*1000)),"",IF(O1943&lt;fi_h/20,0,(OFFSET('Base de dados'!$A$5,IF(O1943&lt;20,1,IF(O1943&gt;1000,10,MATCH(O1943,Cargas,1))),Coluna_fih,1,1))*(PI()*(fi_h/1000)^2/4)*SQRT(2*9.81*(O1943/100-fi_h/2/1000))*1000))</f>
        <v>58.95470034731683</v>
      </c>
      <c r="Q1943" s="19">
        <f ca="1">IF(O1943="","",IF(Tipo_Vertedor="Retangular",IF(O1943&lt;=cota_s*100,0,IF(Tipo_Vertedor="Retangular",Cd_sr*Lef_sr*((O1943/100-cota_s)^(3/2))*1000)),IF(O1943&lt;=cota_s*100+fi_s/20,0,(OFFSET('Base de dados'!$A$4,IF(O1943&lt;20,1,IF(O1943&gt;1000,10,MATCH(O1943,Cargas,1))),Coluna_fis,1,1))*(PI()*(fi_s/1000)^2/4)*(2*9.81*(O1943/100-cota_s-fi_s/2/1000))^0.5*1000)))</f>
        <v>9637.218080609442</v>
      </c>
      <c r="R1943" s="19">
        <f t="shared" ref="R1943:R2006" ca="1" si="240">IF(O1943="","",Q1943+P1943)</f>
        <v>9696.1727809567583</v>
      </c>
      <c r="S1943" s="19">
        <f t="shared" ref="S1943:S2006" ca="1" si="241">IF(M1943="","",2*N1943*1000/(Passo*60))</f>
        <v>11945.330022559119</v>
      </c>
    </row>
    <row r="1944" spans="13:19">
      <c r="M1944" s="81">
        <f t="shared" ca="1" si="238"/>
        <v>21656.930371812825</v>
      </c>
      <c r="N1944" s="19">
        <f t="shared" si="239"/>
        <v>358.56742658112205</v>
      </c>
      <c r="O1944" s="17">
        <f t="shared" si="237"/>
        <v>485.75</v>
      </c>
      <c r="P1944" s="19">
        <f ca="1">IF(ISERROR(IF(O1944&lt;fi_h/20,0,(OFFSET('Base de dados'!$A$5,IF(O1944&lt;20,1,IF(O1944&gt;1000,10,MATCH(O1944,Cargas,1))),Coluna_fih,1,1))*(1+0.13*0.25)*(PI()*(fi_h/1000)^2/4)*SQRT(2*9.81*(O1944/100-fi_h/2/1000))*1000)),"",IF(O1944&lt;fi_h/20,0,(OFFSET('Base de dados'!$A$5,IF(O1944&lt;20,1,IF(O1944&gt;1000,10,MATCH(O1944,Cargas,1))),Coluna_fih,1,1))*(PI()*(fi_h/1000)^2/4)*SQRT(2*9.81*(O1944/100-fi_h/2/1000))*1000))</f>
        <v>58.970055613361616</v>
      </c>
      <c r="Q1944" s="19">
        <f ca="1">IF(O1944="","",IF(Tipo_Vertedor="Retangular",IF(O1944&lt;=cota_s*100,0,IF(Tipo_Vertedor="Retangular",Cd_sr*Lef_sr*((O1944/100-cota_s)^(3/2))*1000)),IF(O1944&lt;=cota_s*100+fi_s/20,0,(OFFSET('Base de dados'!$A$4,IF(O1944&lt;20,1,IF(O1944&gt;1000,10,MATCH(O1944,Cargas,1))),Coluna_fis,1,1))*(PI()*(fi_s/1000)^2/4)*(2*9.81*(O1944/100-cota_s-fi_s/2/1000))^0.5*1000)))</f>
        <v>9645.7127634953958</v>
      </c>
      <c r="R1944" s="19">
        <f t="shared" ca="1" si="240"/>
        <v>9704.682819108757</v>
      </c>
      <c r="S1944" s="19">
        <f t="shared" ca="1" si="241"/>
        <v>11952.247552704068</v>
      </c>
    </row>
    <row r="1945" spans="13:19">
      <c r="M1945" s="81">
        <f t="shared" ca="1" si="238"/>
        <v>21672.360874041697</v>
      </c>
      <c r="N1945" s="19">
        <f t="shared" si="239"/>
        <v>358.77496579131298</v>
      </c>
      <c r="O1945" s="17">
        <f t="shared" si="237"/>
        <v>486</v>
      </c>
      <c r="P1945" s="19">
        <f ca="1">IF(ISERROR(IF(O1945&lt;fi_h/20,0,(OFFSET('Base de dados'!$A$5,IF(O1945&lt;20,1,IF(O1945&gt;1000,10,MATCH(O1945,Cargas,1))),Coluna_fih,1,1))*(1+0.13*0.25)*(PI()*(fi_h/1000)^2/4)*SQRT(2*9.81*(O1945/100-fi_h/2/1000))*1000)),"",IF(O1945&lt;fi_h/20,0,(OFFSET('Base de dados'!$A$5,IF(O1945&lt;20,1,IF(O1945&gt;1000,10,MATCH(O1945,Cargas,1))),Coluna_fih,1,1))*(PI()*(fi_h/1000)^2/4)*SQRT(2*9.81*(O1945/100-fi_h/2/1000))*1000))</f>
        <v>58.985406882075551</v>
      </c>
      <c r="Q1945" s="19">
        <f ca="1">IF(O1945="","",IF(Tipo_Vertedor="Retangular",IF(O1945&lt;=cota_s*100,0,IF(Tipo_Vertedor="Retangular",Cd_sr*Lef_sr*((O1945/100-cota_s)^(3/2))*1000)),IF(O1945&lt;=cota_s*100+fi_s/20,0,(OFFSET('Base de dados'!$A$4,IF(O1945&lt;20,1,IF(O1945&gt;1000,10,MATCH(O1945,Cargas,1))),Coluna_fis,1,1))*(PI()*(fi_s/1000)^2/4)*(2*9.81*(O1945/100-cota_s-fi_s/2/1000))^0.5*1000)))</f>
        <v>9654.2099407825244</v>
      </c>
      <c r="R1945" s="19">
        <f t="shared" ca="1" si="240"/>
        <v>9713.1953476645995</v>
      </c>
      <c r="S1945" s="19">
        <f t="shared" ca="1" si="241"/>
        <v>11959.165526377099</v>
      </c>
    </row>
    <row r="1946" spans="13:19">
      <c r="M1946" s="81">
        <f t="shared" ca="1" si="238"/>
        <v>21687.794309273835</v>
      </c>
      <c r="N1946" s="19">
        <f t="shared" si="239"/>
        <v>358.98251830135416</v>
      </c>
      <c r="O1946" s="17">
        <f t="shared" si="237"/>
        <v>486.25</v>
      </c>
      <c r="P1946" s="19">
        <f ca="1">IF(ISERROR(IF(O1946&lt;fi_h/20,0,(OFFSET('Base de dados'!$A$5,IF(O1946&lt;20,1,IF(O1946&gt;1000,10,MATCH(O1946,Cargas,1))),Coluna_fih,1,1))*(1+0.13*0.25)*(PI()*(fi_h/1000)^2/4)*SQRT(2*9.81*(O1946/100-fi_h/2/1000))*1000)),"",IF(O1946&lt;fi_h/20,0,(OFFSET('Base de dados'!$A$5,IF(O1946&lt;20,1,IF(O1946&gt;1000,10,MATCH(O1946,Cargas,1))),Coluna_fih,1,1))*(PI()*(fi_h/1000)^2/4)*SQRT(2*9.81*(O1946/100-fi_h/2/1000))*1000))</f>
        <v>59.000754156578779</v>
      </c>
      <c r="Q1946" s="19">
        <f ca="1">IF(O1946="","",IF(Tipo_Vertedor="Retangular",IF(O1946&lt;=cota_s*100,0,IF(Tipo_Vertedor="Retangular",Cd_sr*Lef_sr*((O1946/100-cota_s)^(3/2))*1000)),IF(O1946&lt;=cota_s*100+fi_s/20,0,(OFFSET('Base de dados'!$A$4,IF(O1946&lt;20,1,IF(O1946&gt;1000,10,MATCH(O1946,Cargas,1))),Coluna_fis,1,1))*(PI()*(fi_s/1000)^2/4)*(2*9.81*(O1946/100-cota_s-fi_s/2/1000))^0.5*1000)))</f>
        <v>9662.7096117387864</v>
      </c>
      <c r="R1946" s="19">
        <f t="shared" ca="1" si="240"/>
        <v>9721.7103658953656</v>
      </c>
      <c r="S1946" s="19">
        <f t="shared" ca="1" si="241"/>
        <v>11966.083943378471</v>
      </c>
    </row>
    <row r="1947" spans="13:19">
      <c r="M1947" s="81">
        <f t="shared" ca="1" si="238"/>
        <v>21703.230676581436</v>
      </c>
      <c r="N1947" s="19">
        <f t="shared" si="239"/>
        <v>359.19008410525947</v>
      </c>
      <c r="O1947" s="17">
        <f t="shared" si="237"/>
        <v>486.5</v>
      </c>
      <c r="P1947" s="19">
        <f ca="1">IF(ISERROR(IF(O1947&lt;fi_h/20,0,(OFFSET('Base de dados'!$A$5,IF(O1947&lt;20,1,IF(O1947&gt;1000,10,MATCH(O1947,Cargas,1))),Coluna_fih,1,1))*(1+0.13*0.25)*(PI()*(fi_h/1000)^2/4)*SQRT(2*9.81*(O1947/100-fi_h/2/1000))*1000)),"",IF(O1947&lt;fi_h/20,0,(OFFSET('Base de dados'!$A$5,IF(O1947&lt;20,1,IF(O1947&gt;1000,10,MATCH(O1947,Cargas,1))),Coluna_fih,1,1))*(PI()*(fi_h/1000)^2/4)*SQRT(2*9.81*(O1947/100-fi_h/2/1000))*1000))</f>
        <v>59.016097439987441</v>
      </c>
      <c r="Q1947" s="19">
        <f ca="1">IF(O1947="","",IF(Tipo_Vertedor="Retangular",IF(O1947&lt;=cota_s*100,0,IF(Tipo_Vertedor="Retangular",Cd_sr*Lef_sr*((O1947/100-cota_s)^(3/2))*1000)),IF(O1947&lt;=cota_s*100+fi_s/20,0,(OFFSET('Base de dados'!$A$4,IF(O1947&lt;20,1,IF(O1947&gt;1000,10,MATCH(O1947,Cargas,1))),Coluna_fis,1,1))*(PI()*(fi_s/1000)^2/4)*(2*9.81*(O1947/100-cota_s-fi_s/2/1000))^0.5*1000)))</f>
        <v>9671.2117756327971</v>
      </c>
      <c r="R1947" s="19">
        <f t="shared" ca="1" si="240"/>
        <v>9730.2278730727849</v>
      </c>
      <c r="S1947" s="19">
        <f t="shared" ca="1" si="241"/>
        <v>11973.002803508649</v>
      </c>
    </row>
    <row r="1948" spans="13:19">
      <c r="M1948" s="81">
        <f t="shared" ca="1" si="238"/>
        <v>21718.669975037505</v>
      </c>
      <c r="N1948" s="19">
        <f t="shared" si="239"/>
        <v>359.39766319704808</v>
      </c>
      <c r="O1948" s="17">
        <f t="shared" si="237"/>
        <v>486.75</v>
      </c>
      <c r="P1948" s="19">
        <f ca="1">IF(ISERROR(IF(O1948&lt;fi_h/20,0,(OFFSET('Base de dados'!$A$5,IF(O1948&lt;20,1,IF(O1948&gt;1000,10,MATCH(O1948,Cargas,1))),Coluna_fih,1,1))*(1+0.13*0.25)*(PI()*(fi_h/1000)^2/4)*SQRT(2*9.81*(O1948/100-fi_h/2/1000))*1000)),"",IF(O1948&lt;fi_h/20,0,(OFFSET('Base de dados'!$A$5,IF(O1948&lt;20,1,IF(O1948&gt;1000,10,MATCH(O1948,Cargas,1))),Coluna_fih,1,1))*(PI()*(fi_h/1000)^2/4)*SQRT(2*9.81*(O1948/100-fi_h/2/1000))*1000))</f>
        <v>59.031436735413564</v>
      </c>
      <c r="Q1948" s="19">
        <f ca="1">IF(O1948="","",IF(Tipo_Vertedor="Retangular",IF(O1948&lt;=cota_s*100,0,IF(Tipo_Vertedor="Retangular",Cd_sr*Lef_sr*((O1948/100-cota_s)^(3/2))*1000)),IF(O1948&lt;=cota_s*100+fi_s/20,0,(OFFSET('Base de dados'!$A$4,IF(O1948&lt;20,1,IF(O1948&gt;1000,10,MATCH(O1948,Cargas,1))),Coluna_fis,1,1))*(PI()*(fi_s/1000)^2/4)*(2*9.81*(O1948/100-cota_s-fi_s/2/1000))^0.5*1000)))</f>
        <v>9679.7164317338229</v>
      </c>
      <c r="R1948" s="19">
        <f t="shared" ca="1" si="240"/>
        <v>9738.747868469236</v>
      </c>
      <c r="S1948" s="19">
        <f t="shared" ca="1" si="241"/>
        <v>11979.922106568269</v>
      </c>
    </row>
    <row r="1949" spans="13:19">
      <c r="M1949" s="81">
        <f t="shared" ca="1" si="238"/>
        <v>21734.112203715897</v>
      </c>
      <c r="N1949" s="19">
        <f t="shared" si="239"/>
        <v>359.60525557074561</v>
      </c>
      <c r="O1949" s="17">
        <f t="shared" si="237"/>
        <v>487</v>
      </c>
      <c r="P1949" s="19">
        <f ca="1">IF(ISERROR(IF(O1949&lt;fi_h/20,0,(OFFSET('Base de dados'!$A$5,IF(O1949&lt;20,1,IF(O1949&gt;1000,10,MATCH(O1949,Cargas,1))),Coluna_fih,1,1))*(1+0.13*0.25)*(PI()*(fi_h/1000)^2/4)*SQRT(2*9.81*(O1949/100-fi_h/2/1000))*1000)),"",IF(O1949&lt;fi_h/20,0,(OFFSET('Base de dados'!$A$5,IF(O1949&lt;20,1,IF(O1949&gt;1000,10,MATCH(O1949,Cargas,1))),Coluna_fih,1,1))*(PI()*(fi_h/1000)^2/4)*SQRT(2*9.81*(O1949/100-fi_h/2/1000))*1000))</f>
        <v>59.046772045965191</v>
      </c>
      <c r="Q1949" s="19">
        <f ca="1">IF(O1949="","",IF(Tipo_Vertedor="Retangular",IF(O1949&lt;=cota_s*100,0,IF(Tipo_Vertedor="Retangular",Cd_sr*Lef_sr*((O1949/100-cota_s)^(3/2))*1000)),IF(O1949&lt;=cota_s*100+fi_s/20,0,(OFFSET('Base de dados'!$A$4,IF(O1949&lt;20,1,IF(O1949&gt;1000,10,MATCH(O1949,Cargas,1))),Coluna_fis,1,1))*(PI()*(fi_s/1000)^2/4)*(2*9.81*(O1949/100-cota_s-fi_s/2/1000))^0.5*1000)))</f>
        <v>9688.2235793117434</v>
      </c>
      <c r="R1949" s="19">
        <f t="shared" ca="1" si="240"/>
        <v>9747.2703513577089</v>
      </c>
      <c r="S1949" s="19">
        <f t="shared" ca="1" si="241"/>
        <v>11986.841852358188</v>
      </c>
    </row>
    <row r="1950" spans="13:19">
      <c r="M1950" s="81">
        <f t="shared" ca="1" si="238"/>
        <v>21749.557361691273</v>
      </c>
      <c r="N1950" s="19">
        <f t="shared" si="239"/>
        <v>359.81286122038256</v>
      </c>
      <c r="O1950" s="17">
        <f t="shared" si="237"/>
        <v>487.25</v>
      </c>
      <c r="P1950" s="19">
        <f ca="1">IF(ISERROR(IF(O1950&lt;fi_h/20,0,(OFFSET('Base de dados'!$A$5,IF(O1950&lt;20,1,IF(O1950&gt;1000,10,MATCH(O1950,Cargas,1))),Coluna_fih,1,1))*(1+0.13*0.25)*(PI()*(fi_h/1000)^2/4)*SQRT(2*9.81*(O1950/100-fi_h/2/1000))*1000)),"",IF(O1950&lt;fi_h/20,0,(OFFSET('Base de dados'!$A$5,IF(O1950&lt;20,1,IF(O1950&gt;1000,10,MATCH(O1950,Cargas,1))),Coluna_fih,1,1))*(PI()*(fi_h/1000)^2/4)*SQRT(2*9.81*(O1950/100-fi_h/2/1000))*1000))</f>
        <v>59.062103374746322</v>
      </c>
      <c r="Q1950" s="19">
        <f ca="1">IF(O1950="","",IF(Tipo_Vertedor="Retangular",IF(O1950&lt;=cota_s*100,0,IF(Tipo_Vertedor="Retangular",Cd_sr*Lef_sr*((O1950/100-cota_s)^(3/2))*1000)),IF(O1950&lt;=cota_s*100+fi_s/20,0,(OFFSET('Base de dados'!$A$4,IF(O1950&lt;20,1,IF(O1950&gt;1000,10,MATCH(O1950,Cargas,1))),Coluna_fis,1,1))*(PI()*(fi_s/1000)^2/4)*(2*9.81*(O1950/100-cota_s-fi_s/2/1000))^0.5*1000)))</f>
        <v>9696.7332176371056</v>
      </c>
      <c r="R1950" s="19">
        <f t="shared" ca="1" si="240"/>
        <v>9755.7953210118521</v>
      </c>
      <c r="S1950" s="19">
        <f t="shared" ca="1" si="241"/>
        <v>11993.762040679419</v>
      </c>
    </row>
    <row r="1951" spans="13:19">
      <c r="M1951" s="81">
        <f t="shared" ca="1" si="238"/>
        <v>21765.005448039141</v>
      </c>
      <c r="N1951" s="19">
        <f t="shared" si="239"/>
        <v>360.02048013999593</v>
      </c>
      <c r="O1951" s="17">
        <f t="shared" si="237"/>
        <v>487.5</v>
      </c>
      <c r="P1951" s="19">
        <f ca="1">IF(ISERROR(IF(O1951&lt;fi_h/20,0,(OFFSET('Base de dados'!$A$5,IF(O1951&lt;20,1,IF(O1951&gt;1000,10,MATCH(O1951,Cargas,1))),Coluna_fih,1,1))*(1+0.13*0.25)*(PI()*(fi_h/1000)^2/4)*SQRT(2*9.81*(O1951/100-fi_h/2/1000))*1000)),"",IF(O1951&lt;fi_h/20,0,(OFFSET('Base de dados'!$A$5,IF(O1951&lt;20,1,IF(O1951&gt;1000,10,MATCH(O1951,Cargas,1))),Coluna_fih,1,1))*(PI()*(fi_h/1000)^2/4)*SQRT(2*9.81*(O1951/100-fi_h/2/1000))*1000))</f>
        <v>59.077430724856875</v>
      </c>
      <c r="Q1951" s="19">
        <f ca="1">IF(O1951="","",IF(Tipo_Vertedor="Retangular",IF(O1951&lt;=cota_s*100,0,IF(Tipo_Vertedor="Retangular",Cd_sr*Lef_sr*((O1951/100-cota_s)^(3/2))*1000)),IF(O1951&lt;=cota_s*100+fi_s/20,0,(OFFSET('Base de dados'!$A$4,IF(O1951&lt;20,1,IF(O1951&gt;1000,10,MATCH(O1951,Cargas,1))),Coluna_fis,1,1))*(PI()*(fi_s/1000)^2/4)*(2*9.81*(O1951/100-cota_s-fi_s/2/1000))^0.5*1000)))</f>
        <v>9705.2453459810858</v>
      </c>
      <c r="R1951" s="19">
        <f t="shared" ca="1" si="240"/>
        <v>9764.3227767059434</v>
      </c>
      <c r="S1951" s="19">
        <f t="shared" ca="1" si="241"/>
        <v>12000.682671333198</v>
      </c>
    </row>
    <row r="1952" spans="13:19">
      <c r="M1952" s="81">
        <f t="shared" ca="1" si="238"/>
        <v>21780.456461835827</v>
      </c>
      <c r="N1952" s="19">
        <f t="shared" si="239"/>
        <v>360.22811232362795</v>
      </c>
      <c r="O1952" s="17">
        <f t="shared" si="237"/>
        <v>487.75</v>
      </c>
      <c r="P1952" s="19">
        <f ca="1">IF(ISERROR(IF(O1952&lt;fi_h/20,0,(OFFSET('Base de dados'!$A$5,IF(O1952&lt;20,1,IF(O1952&gt;1000,10,MATCH(O1952,Cargas,1))),Coluna_fih,1,1))*(1+0.13*0.25)*(PI()*(fi_h/1000)^2/4)*SQRT(2*9.81*(O1952/100-fi_h/2/1000))*1000)),"",IF(O1952&lt;fi_h/20,0,(OFFSET('Base de dados'!$A$5,IF(O1952&lt;20,1,IF(O1952&gt;1000,10,MATCH(O1952,Cargas,1))),Coluna_fih,1,1))*(PI()*(fi_h/1000)^2/4)*SQRT(2*9.81*(O1952/100-fi_h/2/1000))*1000))</f>
        <v>59.092754099392813</v>
      </c>
      <c r="Q1952" s="19">
        <f ca="1">IF(O1952="","",IF(Tipo_Vertedor="Retangular",IF(O1952&lt;=cota_s*100,0,IF(Tipo_Vertedor="Retangular",Cd_sr*Lef_sr*((O1952/100-cota_s)^(3/2))*1000)),IF(O1952&lt;=cota_s*100+fi_s/20,0,(OFFSET('Base de dados'!$A$4,IF(O1952&lt;20,1,IF(O1952&gt;1000,10,MATCH(O1952,Cargas,1))),Coluna_fis,1,1))*(PI()*(fi_s/1000)^2/4)*(2*9.81*(O1952/100-cota_s-fi_s/2/1000))^0.5*1000)))</f>
        <v>9713.7599636155046</v>
      </c>
      <c r="R1952" s="19">
        <f t="shared" ca="1" si="240"/>
        <v>9772.8527177148972</v>
      </c>
      <c r="S1952" s="19">
        <f t="shared" ca="1" si="241"/>
        <v>12007.603744120932</v>
      </c>
    </row>
    <row r="1953" spans="13:19">
      <c r="M1953" s="81">
        <f t="shared" ca="1" si="238"/>
        <v>21795.910402158486</v>
      </c>
      <c r="N1953" s="19">
        <f t="shared" si="239"/>
        <v>360.43575776532697</v>
      </c>
      <c r="O1953" s="17">
        <f t="shared" si="237"/>
        <v>488</v>
      </c>
      <c r="P1953" s="19">
        <f ca="1">IF(ISERROR(IF(O1953&lt;fi_h/20,0,(OFFSET('Base de dados'!$A$5,IF(O1953&lt;20,1,IF(O1953&gt;1000,10,MATCH(O1953,Cargas,1))),Coluna_fih,1,1))*(1+0.13*0.25)*(PI()*(fi_h/1000)^2/4)*SQRT(2*9.81*(O1953/100-fi_h/2/1000))*1000)),"",IF(O1953&lt;fi_h/20,0,(OFFSET('Base de dados'!$A$5,IF(O1953&lt;20,1,IF(O1953&gt;1000,10,MATCH(O1953,Cargas,1))),Coluna_fih,1,1))*(PI()*(fi_h/1000)^2/4)*SQRT(2*9.81*(O1953/100-fi_h/2/1000))*1000))</f>
        <v>59.108073501446057</v>
      </c>
      <c r="Q1953" s="19">
        <f ca="1">IF(O1953="","",IF(Tipo_Vertedor="Retangular",IF(O1953&lt;=cota_s*100,0,IF(Tipo_Vertedor="Retangular",Cd_sr*Lef_sr*((O1953/100-cota_s)^(3/2))*1000)),IF(O1953&lt;=cota_s*100+fi_s/20,0,(OFFSET('Base de dados'!$A$4,IF(O1953&lt;20,1,IF(O1953&gt;1000,10,MATCH(O1953,Cargas,1))),Coluna_fis,1,1))*(PI()*(fi_s/1000)^2/4)*(2*9.81*(O1953/100-cota_s-fi_s/2/1000))^0.5*1000)))</f>
        <v>9722.2770698128115</v>
      </c>
      <c r="R1953" s="19">
        <f t="shared" ca="1" si="240"/>
        <v>9781.3851433142572</v>
      </c>
      <c r="S1953" s="19">
        <f t="shared" ca="1" si="241"/>
        <v>12014.525258844231</v>
      </c>
    </row>
    <row r="1954" spans="13:19">
      <c r="M1954" s="81">
        <f t="shared" ca="1" si="238"/>
        <v>21811.367268085112</v>
      </c>
      <c r="N1954" s="19">
        <f t="shared" si="239"/>
        <v>360.64341645914686</v>
      </c>
      <c r="O1954" s="17">
        <f t="shared" si="237"/>
        <v>488.25</v>
      </c>
      <c r="P1954" s="19">
        <f ca="1">IF(ISERROR(IF(O1954&lt;fi_h/20,0,(OFFSET('Base de dados'!$A$5,IF(O1954&lt;20,1,IF(O1954&gt;1000,10,MATCH(O1954,Cargas,1))),Coluna_fih,1,1))*(1+0.13*0.25)*(PI()*(fi_h/1000)^2/4)*SQRT(2*9.81*(O1954/100-fi_h/2/1000))*1000)),"",IF(O1954&lt;fi_h/20,0,(OFFSET('Base de dados'!$A$5,IF(O1954&lt;20,1,IF(O1954&gt;1000,10,MATCH(O1954,Cargas,1))),Coluna_fih,1,1))*(PI()*(fi_h/1000)^2/4)*SQRT(2*9.81*(O1954/100-fi_h/2/1000))*1000))</f>
        <v>59.123388934104511</v>
      </c>
      <c r="Q1954" s="19">
        <f ca="1">IF(O1954="","",IF(Tipo_Vertedor="Retangular",IF(O1954&lt;=cota_s*100,0,IF(Tipo_Vertedor="Retangular",Cd_sr*Lef_sr*((O1954/100-cota_s)^(3/2))*1000)),IF(O1954&lt;=cota_s*100+fi_s/20,0,(OFFSET('Base de dados'!$A$4,IF(O1954&lt;20,1,IF(O1954&gt;1000,10,MATCH(O1954,Cargas,1))),Coluna_fis,1,1))*(PI()*(fi_s/1000)^2/4)*(2*9.81*(O1954/100-cota_s-fi_s/2/1000))^0.5*1000)))</f>
        <v>9730.796663846113</v>
      </c>
      <c r="R1954" s="19">
        <f t="shared" ca="1" si="240"/>
        <v>9789.9200527802168</v>
      </c>
      <c r="S1954" s="19">
        <f t="shared" ca="1" si="241"/>
        <v>12021.447215304896</v>
      </c>
    </row>
    <row r="1955" spans="13:19">
      <c r="M1955" s="81">
        <f t="shared" ca="1" si="238"/>
        <v>21826.827058694475</v>
      </c>
      <c r="N1955" s="19">
        <f t="shared" si="239"/>
        <v>360.85108839914705</v>
      </c>
      <c r="O1955" s="17">
        <f t="shared" si="237"/>
        <v>488.5</v>
      </c>
      <c r="P1955" s="19">
        <f ca="1">IF(ISERROR(IF(O1955&lt;fi_h/20,0,(OFFSET('Base de dados'!$A$5,IF(O1955&lt;20,1,IF(O1955&gt;1000,10,MATCH(O1955,Cargas,1))),Coluna_fih,1,1))*(1+0.13*0.25)*(PI()*(fi_h/1000)^2/4)*SQRT(2*9.81*(O1955/100-fi_h/2/1000))*1000)),"",IF(O1955&lt;fi_h/20,0,(OFFSET('Base de dados'!$A$5,IF(O1955&lt;20,1,IF(O1955&gt;1000,10,MATCH(O1955,Cargas,1))),Coluna_fih,1,1))*(PI()*(fi_h/1000)^2/4)*SQRT(2*9.81*(O1955/100-fi_h/2/1000))*1000))</f>
        <v>59.138700400452109</v>
      </c>
      <c r="Q1955" s="19">
        <f ca="1">IF(O1955="","",IF(Tipo_Vertedor="Retangular",IF(O1955&lt;=cota_s*100,0,IF(Tipo_Vertedor="Retangular",Cd_sr*Lef_sr*((O1955/100-cota_s)^(3/2))*1000)),IF(O1955&lt;=cota_s*100+fi_s/20,0,(OFFSET('Base de dados'!$A$4,IF(O1955&lt;20,1,IF(O1955&gt;1000,10,MATCH(O1955,Cargas,1))),Coluna_fis,1,1))*(PI()*(fi_s/1000)^2/4)*(2*9.81*(O1955/100-cota_s-fi_s/2/1000))^0.5*1000)))</f>
        <v>9739.3187449891211</v>
      </c>
      <c r="R1955" s="19">
        <f t="shared" ca="1" si="240"/>
        <v>9798.457445389573</v>
      </c>
      <c r="S1955" s="19">
        <f t="shared" ca="1" si="241"/>
        <v>12028.369613304902</v>
      </c>
    </row>
    <row r="1956" spans="13:19">
      <c r="M1956" s="81">
        <f t="shared" ca="1" si="238"/>
        <v>21842.28977306623</v>
      </c>
      <c r="N1956" s="19">
        <f t="shared" si="239"/>
        <v>361.05877357939306</v>
      </c>
      <c r="O1956" s="17">
        <f t="shared" si="237"/>
        <v>488.75</v>
      </c>
      <c r="P1956" s="19">
        <f ca="1">IF(ISERROR(IF(O1956&lt;fi_h/20,0,(OFFSET('Base de dados'!$A$5,IF(O1956&lt;20,1,IF(O1956&gt;1000,10,MATCH(O1956,Cargas,1))),Coluna_fih,1,1))*(1+0.13*0.25)*(PI()*(fi_h/1000)^2/4)*SQRT(2*9.81*(O1956/100-fi_h/2/1000))*1000)),"",IF(O1956&lt;fi_h/20,0,(OFFSET('Base de dados'!$A$5,IF(O1956&lt;20,1,IF(O1956&gt;1000,10,MATCH(O1956,Cargas,1))),Coluna_fih,1,1))*(PI()*(fi_h/1000)^2/4)*SQRT(2*9.81*(O1956/100-fi_h/2/1000))*1000))</f>
        <v>59.154007903568782</v>
      </c>
      <c r="Q1956" s="19">
        <f ca="1">IF(O1956="","",IF(Tipo_Vertedor="Retangular",IF(O1956&lt;=cota_s*100,0,IF(Tipo_Vertedor="Retangular",Cd_sr*Lef_sr*((O1956/100-cota_s)^(3/2))*1000)),IF(O1956&lt;=cota_s*100+fi_s/20,0,(OFFSET('Base de dados'!$A$4,IF(O1956&lt;20,1,IF(O1956&gt;1000,10,MATCH(O1956,Cargas,1))),Coluna_fis,1,1))*(PI()*(fi_s/1000)^2/4)*(2*9.81*(O1956/100-cota_s-fi_s/2/1000))^0.5*1000)))</f>
        <v>9747.8433125162264</v>
      </c>
      <c r="R1956" s="19">
        <f t="shared" ca="1" si="240"/>
        <v>9806.9973204197959</v>
      </c>
      <c r="S1956" s="19">
        <f t="shared" ca="1" si="241"/>
        <v>12035.292452646436</v>
      </c>
    </row>
    <row r="1957" spans="13:19">
      <c r="M1957" s="81">
        <f t="shared" ca="1" si="238"/>
        <v>21857.755410280777</v>
      </c>
      <c r="N1957" s="19">
        <f t="shared" si="239"/>
        <v>361.26647199395552</v>
      </c>
      <c r="O1957" s="17">
        <f t="shared" si="237"/>
        <v>489</v>
      </c>
      <c r="P1957" s="19">
        <f ca="1">IF(ISERROR(IF(O1957&lt;fi_h/20,0,(OFFSET('Base de dados'!$A$5,IF(O1957&lt;20,1,IF(O1957&gt;1000,10,MATCH(O1957,Cargas,1))),Coluna_fih,1,1))*(1+0.13*0.25)*(PI()*(fi_h/1000)^2/4)*SQRT(2*9.81*(O1957/100-fi_h/2/1000))*1000)),"",IF(O1957&lt;fi_h/20,0,(OFFSET('Base de dados'!$A$5,IF(O1957&lt;20,1,IF(O1957&gt;1000,10,MATCH(O1957,Cargas,1))),Coluna_fih,1,1))*(PI()*(fi_h/1000)^2/4)*SQRT(2*9.81*(O1957/100-fi_h/2/1000))*1000))</f>
        <v>59.169311446530457</v>
      </c>
      <c r="Q1957" s="19">
        <f ca="1">IF(O1957="","",IF(Tipo_Vertedor="Retangular",IF(O1957&lt;=cota_s*100,0,IF(Tipo_Vertedor="Retangular",Cd_sr*Lef_sr*((O1957/100-cota_s)^(3/2))*1000)),IF(O1957&lt;=cota_s*100+fi_s/20,0,(OFFSET('Base de dados'!$A$4,IF(O1957&lt;20,1,IF(O1957&gt;1000,10,MATCH(O1957,Cargas,1))),Coluna_fis,1,1))*(PI()*(fi_s/1000)^2/4)*(2*9.81*(O1957/100-cota_s-fi_s/2/1000))^0.5*1000)))</f>
        <v>9756.370365702398</v>
      </c>
      <c r="R1957" s="19">
        <f t="shared" ca="1" si="240"/>
        <v>9815.5396771489286</v>
      </c>
      <c r="S1957" s="19">
        <f t="shared" ca="1" si="241"/>
        <v>12042.21573313185</v>
      </c>
    </row>
    <row r="1958" spans="13:19">
      <c r="M1958" s="81">
        <f t="shared" ca="1" si="238"/>
        <v>21873.223969419432</v>
      </c>
      <c r="N1958" s="19">
        <f t="shared" si="239"/>
        <v>361.4741836369115</v>
      </c>
      <c r="O1958" s="17">
        <f t="shared" si="237"/>
        <v>489.25</v>
      </c>
      <c r="P1958" s="19">
        <f ca="1">IF(ISERROR(IF(O1958&lt;fi_h/20,0,(OFFSET('Base de dados'!$A$5,IF(O1958&lt;20,1,IF(O1958&gt;1000,10,MATCH(O1958,Cargas,1))),Coluna_fih,1,1))*(1+0.13*0.25)*(PI()*(fi_h/1000)^2/4)*SQRT(2*9.81*(O1958/100-fi_h/2/1000))*1000)),"",IF(O1958&lt;fi_h/20,0,(OFFSET('Base de dados'!$A$5,IF(O1958&lt;20,1,IF(O1958&gt;1000,10,MATCH(O1958,Cargas,1))),Coluna_fih,1,1))*(PI()*(fi_h/1000)^2/4)*SQRT(2*9.81*(O1958/100-fi_h/2/1000))*1000))</f>
        <v>59.18461103240913</v>
      </c>
      <c r="Q1958" s="19">
        <f ca="1">IF(O1958="","",IF(Tipo_Vertedor="Retangular",IF(O1958&lt;=cota_s*100,0,IF(Tipo_Vertedor="Retangular",Cd_sr*Lef_sr*((O1958/100-cota_s)^(3/2))*1000)),IF(O1958&lt;=cota_s*100+fi_s/20,0,(OFFSET('Base de dados'!$A$4,IF(O1958&lt;20,1,IF(O1958&gt;1000,10,MATCH(O1958,Cargas,1))),Coluna_fis,1,1))*(PI()*(fi_s/1000)^2/4)*(2*9.81*(O1958/100-cota_s-fi_s/2/1000))^0.5*1000)))</f>
        <v>9764.8999038233051</v>
      </c>
      <c r="R1958" s="19">
        <f t="shared" ca="1" si="240"/>
        <v>9824.0845148557146</v>
      </c>
      <c r="S1958" s="19">
        <f t="shared" ca="1" si="241"/>
        <v>12049.139454563718</v>
      </c>
    </row>
    <row r="1959" spans="13:19">
      <c r="M1959" s="81">
        <f t="shared" ca="1" si="238"/>
        <v>21888.695449564231</v>
      </c>
      <c r="N1959" s="19">
        <f t="shared" si="239"/>
        <v>361.68190850234316</v>
      </c>
      <c r="O1959" s="17">
        <f t="shared" si="237"/>
        <v>489.5</v>
      </c>
      <c r="P1959" s="19">
        <f ca="1">IF(ISERROR(IF(O1959&lt;fi_h/20,0,(OFFSET('Base de dados'!$A$5,IF(O1959&lt;20,1,IF(O1959&gt;1000,10,MATCH(O1959,Cargas,1))),Coluna_fih,1,1))*(1+0.13*0.25)*(PI()*(fi_h/1000)^2/4)*SQRT(2*9.81*(O1959/100-fi_h/2/1000))*1000)),"",IF(O1959&lt;fi_h/20,0,(OFFSET('Base de dados'!$A$5,IF(O1959&lt;20,1,IF(O1959&gt;1000,10,MATCH(O1959,Cargas,1))),Coluna_fih,1,1))*(PI()*(fi_h/1000)^2/4)*SQRT(2*9.81*(O1959/100-fi_h/2/1000))*1000))</f>
        <v>59.19990666427276</v>
      </c>
      <c r="Q1959" s="19">
        <f ca="1">IF(O1959="","",IF(Tipo_Vertedor="Retangular",IF(O1959&lt;=cota_s*100,0,IF(Tipo_Vertedor="Retangular",Cd_sr*Lef_sr*((O1959/100-cota_s)^(3/2))*1000)),IF(O1959&lt;=cota_s*100+fi_s/20,0,(OFFSET('Base de dados'!$A$4,IF(O1959&lt;20,1,IF(O1959&gt;1000,10,MATCH(O1959,Cargas,1))),Coluna_fis,1,1))*(PI()*(fi_s/1000)^2/4)*(2*9.81*(O1959/100-cota_s-fi_s/2/1000))^0.5*1000)))</f>
        <v>9773.4319261551864</v>
      </c>
      <c r="R1959" s="19">
        <f t="shared" ca="1" si="240"/>
        <v>9832.6318328194593</v>
      </c>
      <c r="S1959" s="19">
        <f t="shared" ca="1" si="241"/>
        <v>12056.063616744772</v>
      </c>
    </row>
    <row r="1960" spans="13:19">
      <c r="M1960" s="81">
        <f t="shared" ca="1" si="238"/>
        <v>21904.169849798098</v>
      </c>
      <c r="N1960" s="19">
        <f t="shared" si="239"/>
        <v>361.88964658433849</v>
      </c>
      <c r="O1960" s="17">
        <f t="shared" si="237"/>
        <v>489.75</v>
      </c>
      <c r="P1960" s="19">
        <f ca="1">IF(ISERROR(IF(O1960&lt;fi_h/20,0,(OFFSET('Base de dados'!$A$5,IF(O1960&lt;20,1,IF(O1960&gt;1000,10,MATCH(O1960,Cargas,1))),Coluna_fih,1,1))*(1+0.13*0.25)*(PI()*(fi_h/1000)^2/4)*SQRT(2*9.81*(O1960/100-fi_h/2/1000))*1000)),"",IF(O1960&lt;fi_h/20,0,(OFFSET('Base de dados'!$A$5,IF(O1960&lt;20,1,IF(O1960&gt;1000,10,MATCH(O1960,Cargas,1))),Coluna_fih,1,1))*(PI()*(fi_h/1000)^2/4)*SQRT(2*9.81*(O1960/100-fi_h/2/1000))*1000))</f>
        <v>59.215198345185421</v>
      </c>
      <c r="Q1960" s="19">
        <f ca="1">IF(O1960="","",IF(Tipo_Vertedor="Retangular",IF(O1960&lt;=cota_s*100,0,IF(Tipo_Vertedor="Retangular",Cd_sr*Lef_sr*((O1960/100-cota_s)^(3/2))*1000)),IF(O1960&lt;=cota_s*100+fi_s/20,0,(OFFSET('Base de dados'!$A$4,IF(O1960&lt;20,1,IF(O1960&gt;1000,10,MATCH(O1960,Cargas,1))),Coluna_fis,1,1))*(PI()*(fi_s/1000)^2/4)*(2*9.81*(O1960/100-cota_s-fi_s/2/1000))^0.5*1000)))</f>
        <v>9781.9664319749609</v>
      </c>
      <c r="R1960" s="19">
        <f t="shared" ca="1" si="240"/>
        <v>9841.1816303201467</v>
      </c>
      <c r="S1960" s="19">
        <f t="shared" ca="1" si="241"/>
        <v>12062.988219477951</v>
      </c>
    </row>
    <row r="1961" spans="13:19">
      <c r="M1961" s="81">
        <f t="shared" ca="1" si="238"/>
        <v>21919.647169204742</v>
      </c>
      <c r="N1961" s="19">
        <f t="shared" si="239"/>
        <v>362.09739787699141</v>
      </c>
      <c r="O1961" s="17">
        <f t="shared" si="237"/>
        <v>490</v>
      </c>
      <c r="P1961" s="19">
        <f ca="1">IF(ISERROR(IF(O1961&lt;fi_h/20,0,(OFFSET('Base de dados'!$A$5,IF(O1961&lt;20,1,IF(O1961&gt;1000,10,MATCH(O1961,Cargas,1))),Coluna_fih,1,1))*(1+0.13*0.25)*(PI()*(fi_h/1000)^2/4)*SQRT(2*9.81*(O1961/100-fi_h/2/1000))*1000)),"",IF(O1961&lt;fi_h/20,0,(OFFSET('Base de dados'!$A$5,IF(O1961&lt;20,1,IF(O1961&gt;1000,10,MATCH(O1961,Cargas,1))),Coluna_fih,1,1))*(PI()*(fi_h/1000)^2/4)*SQRT(2*9.81*(O1961/100-fi_h/2/1000))*1000))</f>
        <v>59.230486078207171</v>
      </c>
      <c r="Q1961" s="19">
        <f ca="1">IF(O1961="","",IF(Tipo_Vertedor="Retangular",IF(O1961&lt;=cota_s*100,0,IF(Tipo_Vertedor="Retangular",Cd_sr*Lef_sr*((O1961/100-cota_s)^(3/2))*1000)),IF(O1961&lt;=cota_s*100+fi_s/20,0,(OFFSET('Base de dados'!$A$4,IF(O1961&lt;20,1,IF(O1961&gt;1000,10,MATCH(O1961,Cargas,1))),Coluna_fis,1,1))*(PI()*(fi_s/1000)^2/4)*(2*9.81*(O1961/100-cota_s-fi_s/2/1000))^0.5*1000)))</f>
        <v>9790.5034205601532</v>
      </c>
      <c r="R1961" s="19">
        <f t="shared" ca="1" si="240"/>
        <v>9849.7339066383611</v>
      </c>
      <c r="S1961" s="19">
        <f t="shared" ca="1" si="241"/>
        <v>12069.913262566381</v>
      </c>
    </row>
    <row r="1962" spans="13:19">
      <c r="M1962" s="81">
        <f t="shared" ca="1" si="238"/>
        <v>21935.127406868669</v>
      </c>
      <c r="N1962" s="19">
        <f t="shared" si="239"/>
        <v>362.30516237440077</v>
      </c>
      <c r="O1962" s="17">
        <f t="shared" si="237"/>
        <v>490.25</v>
      </c>
      <c r="P1962" s="19">
        <f ca="1">IF(ISERROR(IF(O1962&lt;fi_h/20,0,(OFFSET('Base de dados'!$A$5,IF(O1962&lt;20,1,IF(O1962&gt;1000,10,MATCH(O1962,Cargas,1))),Coluna_fih,1,1))*(1+0.13*0.25)*(PI()*(fi_h/1000)^2/4)*SQRT(2*9.81*(O1962/100-fi_h/2/1000))*1000)),"",IF(O1962&lt;fi_h/20,0,(OFFSET('Base de dados'!$A$5,IF(O1962&lt;20,1,IF(O1962&gt;1000,10,MATCH(O1962,Cargas,1))),Coluna_fih,1,1))*(PI()*(fi_h/1000)^2/4)*SQRT(2*9.81*(O1962/100-fi_h/2/1000))*1000))</f>
        <v>59.245769866394141</v>
      </c>
      <c r="Q1962" s="19">
        <f ca="1">IF(O1962="","",IF(Tipo_Vertedor="Retangular",IF(O1962&lt;=cota_s*100,0,IF(Tipo_Vertedor="Retangular",Cd_sr*Lef_sr*((O1962/100-cota_s)^(3/2))*1000)),IF(O1962&lt;=cota_s*100+fi_s/20,0,(OFFSET('Base de dados'!$A$4,IF(O1962&lt;20,1,IF(O1962&gt;1000,10,MATCH(O1962,Cargas,1))),Coluna_fis,1,1))*(PI()*(fi_s/1000)^2/4)*(2*9.81*(O1962/100-cota_s-fi_s/2/1000))^0.5*1000)))</f>
        <v>9799.0428911889176</v>
      </c>
      <c r="R1962" s="19">
        <f t="shared" ca="1" si="240"/>
        <v>9858.2886610553123</v>
      </c>
      <c r="S1962" s="19">
        <f t="shared" ca="1" si="241"/>
        <v>12076.838745813358</v>
      </c>
    </row>
    <row r="1963" spans="13:19">
      <c r="M1963" s="81">
        <f t="shared" ca="1" si="238"/>
        <v>21950.610561875255</v>
      </c>
      <c r="N1963" s="19">
        <f t="shared" si="239"/>
        <v>362.51294007067207</v>
      </c>
      <c r="O1963" s="17">
        <f t="shared" si="237"/>
        <v>490.5</v>
      </c>
      <c r="P1963" s="19">
        <f ca="1">IF(ISERROR(IF(O1963&lt;fi_h/20,0,(OFFSET('Base de dados'!$A$5,IF(O1963&lt;20,1,IF(O1963&gt;1000,10,MATCH(O1963,Cargas,1))),Coluna_fih,1,1))*(1+0.13*0.25)*(PI()*(fi_h/1000)^2/4)*SQRT(2*9.81*(O1963/100-fi_h/2/1000))*1000)),"",IF(O1963&lt;fi_h/20,0,(OFFSET('Base de dados'!$A$5,IF(O1963&lt;20,1,IF(O1963&gt;1000,10,MATCH(O1963,Cargas,1))),Coluna_fih,1,1))*(PI()*(fi_h/1000)^2/4)*SQRT(2*9.81*(O1963/100-fi_h/2/1000))*1000))</f>
        <v>59.261049712798524</v>
      </c>
      <c r="Q1963" s="19">
        <f ca="1">IF(O1963="","",IF(Tipo_Vertedor="Retangular",IF(O1963&lt;=cota_s*100,0,IF(Tipo_Vertedor="Retangular",Cd_sr*Lef_sr*((O1963/100-cota_s)^(3/2))*1000)),IF(O1963&lt;=cota_s*100+fi_s/20,0,(OFFSET('Base de dados'!$A$4,IF(O1963&lt;20,1,IF(O1963&gt;1000,10,MATCH(O1963,Cargas,1))),Coluna_fis,1,1))*(PI()*(fi_s/1000)^2/4)*(2*9.81*(O1963/100-cota_s-fi_s/2/1000))^0.5*1000)))</f>
        <v>9807.5848431400536</v>
      </c>
      <c r="R1963" s="19">
        <f t="shared" ca="1" si="240"/>
        <v>9866.8458928528526</v>
      </c>
      <c r="S1963" s="19">
        <f t="shared" ca="1" si="241"/>
        <v>12083.764669022403</v>
      </c>
    </row>
    <row r="1964" spans="13:19">
      <c r="M1964" s="81">
        <f t="shared" ca="1" si="238"/>
        <v>21966.09663331063</v>
      </c>
      <c r="N1964" s="19">
        <f t="shared" si="239"/>
        <v>362.72073095991556</v>
      </c>
      <c r="O1964" s="17">
        <f t="shared" si="237"/>
        <v>490.75</v>
      </c>
      <c r="P1964" s="19">
        <f ca="1">IF(ISERROR(IF(O1964&lt;fi_h/20,0,(OFFSET('Base de dados'!$A$5,IF(O1964&lt;20,1,IF(O1964&gt;1000,10,MATCH(O1964,Cargas,1))),Coluna_fih,1,1))*(1+0.13*0.25)*(PI()*(fi_h/1000)^2/4)*SQRT(2*9.81*(O1964/100-fi_h/2/1000))*1000)),"",IF(O1964&lt;fi_h/20,0,(OFFSET('Base de dados'!$A$5,IF(O1964&lt;20,1,IF(O1964&gt;1000,10,MATCH(O1964,Cargas,1))),Coluna_fih,1,1))*(PI()*(fi_h/1000)^2/4)*SQRT(2*9.81*(O1964/100-fi_h/2/1000))*1000))</f>
        <v>59.276325620468597</v>
      </c>
      <c r="Q1964" s="19">
        <f ca="1">IF(O1964="","",IF(Tipo_Vertedor="Retangular",IF(O1964&lt;=cota_s*100,0,IF(Tipo_Vertedor="Retangular",Cd_sr*Lef_sr*((O1964/100-cota_s)^(3/2))*1000)),IF(O1964&lt;=cota_s*100+fi_s/20,0,(OFFSET('Base de dados'!$A$4,IF(O1964&lt;20,1,IF(O1964&gt;1000,10,MATCH(O1964,Cargas,1))),Coluna_fis,1,1))*(PI()*(fi_s/1000)^2/4)*(2*9.81*(O1964/100-cota_s-fi_s/2/1000))^0.5*1000)))</f>
        <v>9816.1292756929761</v>
      </c>
      <c r="R1964" s="19">
        <f t="shared" ca="1" si="240"/>
        <v>9875.405601313445</v>
      </c>
      <c r="S1964" s="19">
        <f t="shared" ca="1" si="241"/>
        <v>12090.691031997185</v>
      </c>
    </row>
    <row r="1965" spans="13:19">
      <c r="M1965" s="81">
        <f t="shared" ca="1" si="238"/>
        <v>21981.585620261765</v>
      </c>
      <c r="N1965" s="19">
        <f t="shared" si="239"/>
        <v>362.92853503624758</v>
      </c>
      <c r="O1965" s="17">
        <f t="shared" si="237"/>
        <v>491</v>
      </c>
      <c r="P1965" s="19">
        <f ca="1">IF(ISERROR(IF(O1965&lt;fi_h/20,0,(OFFSET('Base de dados'!$A$5,IF(O1965&lt;20,1,IF(O1965&gt;1000,10,MATCH(O1965,Cargas,1))),Coluna_fih,1,1))*(1+0.13*0.25)*(PI()*(fi_h/1000)^2/4)*SQRT(2*9.81*(O1965/100-fi_h/2/1000))*1000)),"",IF(O1965&lt;fi_h/20,0,(OFFSET('Base de dados'!$A$5,IF(O1965&lt;20,1,IF(O1965&gt;1000,10,MATCH(O1965,Cargas,1))),Coluna_fih,1,1))*(PI()*(fi_h/1000)^2/4)*SQRT(2*9.81*(O1965/100-fi_h/2/1000))*1000))</f>
        <v>59.291597592448667</v>
      </c>
      <c r="Q1965" s="19">
        <f ca="1">IF(O1965="","",IF(Tipo_Vertedor="Retangular",IF(O1965&lt;=cota_s*100,0,IF(Tipo_Vertedor="Retangular",Cd_sr*Lef_sr*((O1965/100-cota_s)^(3/2))*1000)),IF(O1965&lt;=cota_s*100+fi_s/20,0,(OFFSET('Base de dados'!$A$4,IF(O1965&lt;20,1,IF(O1965&gt;1000,10,MATCH(O1965,Cargas,1))),Coluna_fis,1,1))*(PI()*(fi_s/1000)^2/4)*(2*9.81*(O1965/100-cota_s-fi_s/2/1000))^0.5*1000)))</f>
        <v>9824.6761881277307</v>
      </c>
      <c r="R1965" s="19">
        <f t="shared" ca="1" si="240"/>
        <v>9883.9677857201787</v>
      </c>
      <c r="S1965" s="19">
        <f t="shared" ca="1" si="241"/>
        <v>12097.617834541586</v>
      </c>
    </row>
    <row r="1966" spans="13:19">
      <c r="M1966" s="81">
        <f t="shared" ca="1" si="238"/>
        <v>21997.077521816434</v>
      </c>
      <c r="N1966" s="19">
        <f t="shared" si="239"/>
        <v>363.13635229378997</v>
      </c>
      <c r="O1966" s="17">
        <f t="shared" si="237"/>
        <v>491.25</v>
      </c>
      <c r="P1966" s="19">
        <f ca="1">IF(ISERROR(IF(O1966&lt;fi_h/20,0,(OFFSET('Base de dados'!$A$5,IF(O1966&lt;20,1,IF(O1966&gt;1000,10,MATCH(O1966,Cargas,1))),Coluna_fih,1,1))*(1+0.13*0.25)*(PI()*(fi_h/1000)^2/4)*SQRT(2*9.81*(O1966/100-fi_h/2/1000))*1000)),"",IF(O1966&lt;fi_h/20,0,(OFFSET('Base de dados'!$A$5,IF(O1966&lt;20,1,IF(O1966&gt;1000,10,MATCH(O1966,Cargas,1))),Coluna_fih,1,1))*(PI()*(fi_h/1000)^2/4)*SQRT(2*9.81*(O1966/100-fi_h/2/1000))*1000))</f>
        <v>59.306865631779154</v>
      </c>
      <c r="Q1966" s="19">
        <f ca="1">IF(O1966="","",IF(Tipo_Vertedor="Retangular",IF(O1966&lt;=cota_s*100,0,IF(Tipo_Vertedor="Retangular",Cd_sr*Lef_sr*((O1966/100-cota_s)^(3/2))*1000)),IF(O1966&lt;=cota_s*100+fi_s/20,0,(OFFSET('Base de dados'!$A$4,IF(O1966&lt;20,1,IF(O1966&gt;1000,10,MATCH(O1966,Cargas,1))),Coluna_fis,1,1))*(PI()*(fi_s/1000)^2/4)*(2*9.81*(O1966/100-cota_s-fi_s/2/1000))^0.5*1000)))</f>
        <v>9833.2255797249873</v>
      </c>
      <c r="R1966" s="19">
        <f t="shared" ca="1" si="240"/>
        <v>9892.5324453567664</v>
      </c>
      <c r="S1966" s="19">
        <f t="shared" ca="1" si="241"/>
        <v>12104.545076459666</v>
      </c>
    </row>
    <row r="1967" spans="13:19">
      <c r="M1967" s="81">
        <f t="shared" ca="1" si="238"/>
        <v>22012.572337063226</v>
      </c>
      <c r="N1967" s="19">
        <f t="shared" si="239"/>
        <v>363.34418272667028</v>
      </c>
      <c r="O1967" s="17">
        <f t="shared" si="237"/>
        <v>491.5</v>
      </c>
      <c r="P1967" s="19">
        <f ca="1">IF(ISERROR(IF(O1967&lt;fi_h/20,0,(OFFSET('Base de dados'!$A$5,IF(O1967&lt;20,1,IF(O1967&gt;1000,10,MATCH(O1967,Cargas,1))),Coluna_fih,1,1))*(1+0.13*0.25)*(PI()*(fi_h/1000)^2/4)*SQRT(2*9.81*(O1967/100-fi_h/2/1000))*1000)),"",IF(O1967&lt;fi_h/20,0,(OFFSET('Base de dados'!$A$5,IF(O1967&lt;20,1,IF(O1967&gt;1000,10,MATCH(O1967,Cargas,1))),Coluna_fih,1,1))*(PI()*(fi_h/1000)^2/4)*SQRT(2*9.81*(O1967/100-fi_h/2/1000))*1000))</f>
        <v>59.32212974149656</v>
      </c>
      <c r="Q1967" s="19">
        <f ca="1">IF(O1967="","",IF(Tipo_Vertedor="Retangular",IF(O1967&lt;=cota_s*100,0,IF(Tipo_Vertedor="Retangular",Cd_sr*Lef_sr*((O1967/100-cota_s)^(3/2))*1000)),IF(O1967&lt;=cota_s*100+fi_s/20,0,(OFFSET('Base de dados'!$A$4,IF(O1967&lt;20,1,IF(O1967&gt;1000,10,MATCH(O1967,Cargas,1))),Coluna_fis,1,1))*(PI()*(fi_s/1000)^2/4)*(2*9.81*(O1967/100-cota_s-fi_s/2/1000))^0.5*1000)))</f>
        <v>9841.7774497660521</v>
      </c>
      <c r="R1967" s="19">
        <f t="shared" ca="1" si="240"/>
        <v>9901.0995795075487</v>
      </c>
      <c r="S1967" s="19">
        <f t="shared" ca="1" si="241"/>
        <v>12111.472757555677</v>
      </c>
    </row>
    <row r="1968" spans="13:19">
      <c r="M1968" s="81">
        <f t="shared" ca="1" si="238"/>
        <v>22028.070065091524</v>
      </c>
      <c r="N1968" s="19">
        <f t="shared" si="239"/>
        <v>363.55202632902149</v>
      </c>
      <c r="O1968" s="17">
        <f t="shared" si="237"/>
        <v>491.75</v>
      </c>
      <c r="P1968" s="19">
        <f ca="1">IF(ISERROR(IF(O1968&lt;fi_h/20,0,(OFFSET('Base de dados'!$A$5,IF(O1968&lt;20,1,IF(O1968&gt;1000,10,MATCH(O1968,Cargas,1))),Coluna_fih,1,1))*(1+0.13*0.25)*(PI()*(fi_h/1000)^2/4)*SQRT(2*9.81*(O1968/100-fi_h/2/1000))*1000)),"",IF(O1968&lt;fi_h/20,0,(OFFSET('Base de dados'!$A$5,IF(O1968&lt;20,1,IF(O1968&gt;1000,10,MATCH(O1968,Cargas,1))),Coluna_fih,1,1))*(PI()*(fi_h/1000)^2/4)*SQRT(2*9.81*(O1968/100-fi_h/2/1000))*1000))</f>
        <v>59.337389924633463</v>
      </c>
      <c r="Q1968" s="19">
        <f ca="1">IF(O1968="","",IF(Tipo_Vertedor="Retangular",IF(O1968&lt;=cota_s*100,0,IF(Tipo_Vertedor="Retangular",Cd_sr*Lef_sr*((O1968/100-cota_s)^(3/2))*1000)),IF(O1968&lt;=cota_s*100+fi_s/20,0,(OFFSET('Base de dados'!$A$4,IF(O1968&lt;20,1,IF(O1968&gt;1000,10,MATCH(O1968,Cargas,1))),Coluna_fis,1,1))*(PI()*(fi_s/1000)^2/4)*(2*9.81*(O1968/100-cota_s-fi_s/2/1000))^0.5*1000)))</f>
        <v>9850.3317975328409</v>
      </c>
      <c r="R1968" s="19">
        <f t="shared" ca="1" si="240"/>
        <v>9909.6691874574735</v>
      </c>
      <c r="S1968" s="19">
        <f t="shared" ca="1" si="241"/>
        <v>12118.400877634051</v>
      </c>
    </row>
    <row r="1969" spans="13:19">
      <c r="M1969" s="81">
        <f t="shared" ca="1" si="238"/>
        <v>22043.570704991522</v>
      </c>
      <c r="N1969" s="19">
        <f t="shared" si="239"/>
        <v>363.75988309498223</v>
      </c>
      <c r="O1969" s="17">
        <f t="shared" si="237"/>
        <v>492</v>
      </c>
      <c r="P1969" s="19">
        <f ca="1">IF(ISERROR(IF(O1969&lt;fi_h/20,0,(OFFSET('Base de dados'!$A$5,IF(O1969&lt;20,1,IF(O1969&gt;1000,10,MATCH(O1969,Cargas,1))),Coluna_fih,1,1))*(1+0.13*0.25)*(PI()*(fi_h/1000)^2/4)*SQRT(2*9.81*(O1969/100-fi_h/2/1000))*1000)),"",IF(O1969&lt;fi_h/20,0,(OFFSET('Base de dados'!$A$5,IF(O1969&lt;20,1,IF(O1969&gt;1000,10,MATCH(O1969,Cargas,1))),Coluna_fih,1,1))*(PI()*(fi_h/1000)^2/4)*SQRT(2*9.81*(O1969/100-fi_h/2/1000))*1000))</f>
        <v>59.352646184218578</v>
      </c>
      <c r="Q1969" s="19">
        <f ca="1">IF(O1969="","",IF(Tipo_Vertedor="Retangular",IF(O1969&lt;=cota_s*100,0,IF(Tipo_Vertedor="Retangular",Cd_sr*Lef_sr*((O1969/100-cota_s)^(3/2))*1000)),IF(O1969&lt;=cota_s*100+fi_s/20,0,(OFFSET('Base de dados'!$A$4,IF(O1969&lt;20,1,IF(O1969&gt;1000,10,MATCH(O1969,Cargas,1))),Coluna_fis,1,1))*(PI()*(fi_s/1000)^2/4)*(2*9.81*(O1969/100-cota_s-fi_s/2/1000))^0.5*1000)))</f>
        <v>9858.8886223078916</v>
      </c>
      <c r="R1969" s="19">
        <f t="shared" ca="1" si="240"/>
        <v>9918.241268492111</v>
      </c>
      <c r="S1969" s="19">
        <f t="shared" ca="1" si="241"/>
        <v>12125.329436499409</v>
      </c>
    </row>
    <row r="1970" spans="13:19">
      <c r="M1970" s="81">
        <f t="shared" ca="1" si="238"/>
        <v>22059.074255854233</v>
      </c>
      <c r="N1970" s="19">
        <f t="shared" si="239"/>
        <v>363.9677530186969</v>
      </c>
      <c r="O1970" s="17">
        <f t="shared" si="237"/>
        <v>492.25</v>
      </c>
      <c r="P1970" s="19">
        <f ca="1">IF(ISERROR(IF(O1970&lt;fi_h/20,0,(OFFSET('Base de dados'!$A$5,IF(O1970&lt;20,1,IF(O1970&gt;1000,10,MATCH(O1970,Cargas,1))),Coluna_fih,1,1))*(1+0.13*0.25)*(PI()*(fi_h/1000)^2/4)*SQRT(2*9.81*(O1970/100-fi_h/2/1000))*1000)),"",IF(O1970&lt;fi_h/20,0,(OFFSET('Base de dados'!$A$5,IF(O1970&lt;20,1,IF(O1970&gt;1000,10,MATCH(O1970,Cargas,1))),Coluna_fih,1,1))*(PI()*(fi_h/1000)^2/4)*SQRT(2*9.81*(O1970/100-fi_h/2/1000))*1000))</f>
        <v>59.367898523276693</v>
      </c>
      <c r="Q1970" s="19">
        <f ca="1">IF(O1970="","",IF(Tipo_Vertedor="Retangular",IF(O1970&lt;=cota_s*100,0,IF(Tipo_Vertedor="Retangular",Cd_sr*Lef_sr*((O1970/100-cota_s)^(3/2))*1000)),IF(O1970&lt;=cota_s*100+fi_s/20,0,(OFFSET('Base de dados'!$A$4,IF(O1970&lt;20,1,IF(O1970&gt;1000,10,MATCH(O1970,Cargas,1))),Coluna_fis,1,1))*(PI()*(fi_s/1000)^2/4)*(2*9.81*(O1970/100-cota_s-fi_s/2/1000))^0.5*1000)))</f>
        <v>9867.4479233743932</v>
      </c>
      <c r="R1970" s="19">
        <f t="shared" ca="1" si="240"/>
        <v>9926.8158218976696</v>
      </c>
      <c r="S1970" s="19">
        <f t="shared" ca="1" si="241"/>
        <v>12132.258433956564</v>
      </c>
    </row>
    <row r="1971" spans="13:19">
      <c r="M1971" s="81">
        <f t="shared" ca="1" si="238"/>
        <v>22074.580716771452</v>
      </c>
      <c r="N1971" s="19">
        <f t="shared" si="239"/>
        <v>364.17563609431505</v>
      </c>
      <c r="O1971" s="17">
        <f t="shared" si="237"/>
        <v>492.5</v>
      </c>
      <c r="P1971" s="19">
        <f ca="1">IF(ISERROR(IF(O1971&lt;fi_h/20,0,(OFFSET('Base de dados'!$A$5,IF(O1971&lt;20,1,IF(O1971&gt;1000,10,MATCH(O1971,Cargas,1))),Coluna_fih,1,1))*(1+0.13*0.25)*(PI()*(fi_h/1000)^2/4)*SQRT(2*9.81*(O1971/100-fi_h/2/1000))*1000)),"",IF(O1971&lt;fi_h/20,0,(OFFSET('Base de dados'!$A$5,IF(O1971&lt;20,1,IF(O1971&gt;1000,10,MATCH(O1971,Cargas,1))),Coluna_fih,1,1))*(PI()*(fi_h/1000)^2/4)*SQRT(2*9.81*(O1971/100-fi_h/2/1000))*1000))</f>
        <v>59.383146944828738</v>
      </c>
      <c r="Q1971" s="19">
        <f ca="1">IF(O1971="","",IF(Tipo_Vertedor="Retangular",IF(O1971&lt;=cota_s*100,0,IF(Tipo_Vertedor="Retangular",Cd_sr*Lef_sr*((O1971/100-cota_s)^(3/2))*1000)),IF(O1971&lt;=cota_s*100+fi_s/20,0,(OFFSET('Base de dados'!$A$4,IF(O1971&lt;20,1,IF(O1971&gt;1000,10,MATCH(O1971,Cargas,1))),Coluna_fis,1,1))*(PI()*(fi_s/1000)^2/4)*(2*9.81*(O1971/100-cota_s-fi_s/2/1000))^0.5*1000)))</f>
        <v>9876.0097000161222</v>
      </c>
      <c r="R1971" s="19">
        <f t="shared" ca="1" si="240"/>
        <v>9935.3928469609509</v>
      </c>
      <c r="S1971" s="19">
        <f t="shared" ca="1" si="241"/>
        <v>12139.187869810501</v>
      </c>
    </row>
    <row r="1972" spans="13:19">
      <c r="M1972" s="81">
        <f t="shared" ca="1" si="238"/>
        <v>22090.090086835804</v>
      </c>
      <c r="N1972" s="19">
        <f t="shared" si="239"/>
        <v>364.3835323159924</v>
      </c>
      <c r="O1972" s="17">
        <f t="shared" si="237"/>
        <v>492.75</v>
      </c>
      <c r="P1972" s="19">
        <f ca="1">IF(ISERROR(IF(O1972&lt;fi_h/20,0,(OFFSET('Base de dados'!$A$5,IF(O1972&lt;20,1,IF(O1972&gt;1000,10,MATCH(O1972,Cargas,1))),Coluna_fih,1,1))*(1+0.13*0.25)*(PI()*(fi_h/1000)^2/4)*SQRT(2*9.81*(O1972/100-fi_h/2/1000))*1000)),"",IF(O1972&lt;fi_h/20,0,(OFFSET('Base de dados'!$A$5,IF(O1972&lt;20,1,IF(O1972&gt;1000,10,MATCH(O1972,Cargas,1))),Coluna_fih,1,1))*(PI()*(fi_h/1000)^2/4)*SQRT(2*9.81*(O1972/100-fi_h/2/1000))*1000))</f>
        <v>59.39839145189174</v>
      </c>
      <c r="Q1972" s="19">
        <f ca="1">IF(O1972="","",IF(Tipo_Vertedor="Retangular",IF(O1972&lt;=cota_s*100,0,IF(Tipo_Vertedor="Retangular",Cd_sr*Lef_sr*((O1972/100-cota_s)^(3/2))*1000)),IF(O1972&lt;=cota_s*100+fi_s/20,0,(OFFSET('Base de dados'!$A$4,IF(O1972&lt;20,1,IF(O1972&gt;1000,10,MATCH(O1972,Cargas,1))),Coluna_fis,1,1))*(PI()*(fi_s/1000)^2/4)*(2*9.81*(O1972/100-cota_s-fi_s/2/1000))^0.5*1000)))</f>
        <v>9884.5739515174992</v>
      </c>
      <c r="R1972" s="19">
        <f t="shared" ca="1" si="240"/>
        <v>9943.9723429693913</v>
      </c>
      <c r="S1972" s="19">
        <f t="shared" ca="1" si="241"/>
        <v>12146.117743866413</v>
      </c>
    </row>
    <row r="1973" spans="13:19">
      <c r="M1973" s="81">
        <f t="shared" ca="1" si="238"/>
        <v>22105.602365140679</v>
      </c>
      <c r="N1973" s="19">
        <f t="shared" si="239"/>
        <v>364.59144167788958</v>
      </c>
      <c r="O1973" s="17">
        <f t="shared" si="237"/>
        <v>493</v>
      </c>
      <c r="P1973" s="19">
        <f ca="1">IF(ISERROR(IF(O1973&lt;fi_h/20,0,(OFFSET('Base de dados'!$A$5,IF(O1973&lt;20,1,IF(O1973&gt;1000,10,MATCH(O1973,Cargas,1))),Coluna_fih,1,1))*(1+0.13*0.25)*(PI()*(fi_h/1000)^2/4)*SQRT(2*9.81*(O1973/100-fi_h/2/1000))*1000)),"",IF(O1973&lt;fi_h/20,0,(OFFSET('Base de dados'!$A$5,IF(O1973&lt;20,1,IF(O1973&gt;1000,10,MATCH(O1973,Cargas,1))),Coluna_fih,1,1))*(PI()*(fi_h/1000)^2/4)*SQRT(2*9.81*(O1973/100-fi_h/2/1000))*1000))</f>
        <v>59.41363204747887</v>
      </c>
      <c r="Q1973" s="19">
        <f ca="1">IF(O1973="","",IF(Tipo_Vertedor="Retangular",IF(O1973&lt;=cota_s*100,0,IF(Tipo_Vertedor="Retangular",Cd_sr*Lef_sr*((O1973/100-cota_s)^(3/2))*1000)),IF(O1973&lt;=cota_s*100+fi_s/20,0,(OFFSET('Base de dados'!$A$4,IF(O1973&lt;20,1,IF(O1973&gt;1000,10,MATCH(O1973,Cargas,1))),Coluna_fis,1,1))*(PI()*(fi_s/1000)^2/4)*(2*9.81*(O1973/100-cota_s-fi_s/2/1000))^0.5*1000)))</f>
        <v>9893.1406771635466</v>
      </c>
      <c r="R1973" s="19">
        <f t="shared" ca="1" si="240"/>
        <v>9952.5543092110256</v>
      </c>
      <c r="S1973" s="19">
        <f t="shared" ca="1" si="241"/>
        <v>12153.048055929652</v>
      </c>
    </row>
    <row r="1974" spans="13:19">
      <c r="M1974" s="81">
        <f t="shared" ca="1" si="238"/>
        <v>22121.117550780305</v>
      </c>
      <c r="N1974" s="19">
        <f t="shared" si="239"/>
        <v>364.79936417417332</v>
      </c>
      <c r="O1974" s="17">
        <f t="shared" si="237"/>
        <v>493.25</v>
      </c>
      <c r="P1974" s="19">
        <f ca="1">IF(ISERROR(IF(O1974&lt;fi_h/20,0,(OFFSET('Base de dados'!$A$5,IF(O1974&lt;20,1,IF(O1974&gt;1000,10,MATCH(O1974,Cargas,1))),Coluna_fih,1,1))*(1+0.13*0.25)*(PI()*(fi_h/1000)^2/4)*SQRT(2*9.81*(O1974/100-fi_h/2/1000))*1000)),"",IF(O1974&lt;fi_h/20,0,(OFFSET('Base de dados'!$A$5,IF(O1974&lt;20,1,IF(O1974&gt;1000,10,MATCH(O1974,Cargas,1))),Coluna_fih,1,1))*(PI()*(fi_h/1000)^2/4)*SQRT(2*9.81*(O1974/100-fi_h/2/1000))*1000))</f>
        <v>59.42886873459944</v>
      </c>
      <c r="Q1974" s="19">
        <f ca="1">IF(O1974="","",IF(Tipo_Vertedor="Retangular",IF(O1974&lt;=cota_s*100,0,IF(Tipo_Vertedor="Retangular",Cd_sr*Lef_sr*((O1974/100-cota_s)^(3/2))*1000)),IF(O1974&lt;=cota_s*100+fi_s/20,0,(OFFSET('Base de dados'!$A$4,IF(O1974&lt;20,1,IF(O1974&gt;1000,10,MATCH(O1974,Cargas,1))),Coluna_fis,1,1))*(PI()*(fi_s/1000)^2/4)*(2*9.81*(O1974/100-cota_s-fi_s/2/1000))^0.5*1000)))</f>
        <v>9901.7098762399291</v>
      </c>
      <c r="R1974" s="19">
        <f t="shared" ca="1" si="240"/>
        <v>9961.1387449745289</v>
      </c>
      <c r="S1974" s="19">
        <f t="shared" ca="1" si="241"/>
        <v>12159.978805805778</v>
      </c>
    </row>
    <row r="1975" spans="13:19">
      <c r="M1975" s="81">
        <f t="shared" ca="1" si="238"/>
        <v>22136.635642849687</v>
      </c>
      <c r="N1975" s="19">
        <f t="shared" si="239"/>
        <v>365.00729979901564</v>
      </c>
      <c r="O1975" s="17">
        <f t="shared" si="237"/>
        <v>493.5</v>
      </c>
      <c r="P1975" s="19">
        <f ca="1">IF(ISERROR(IF(O1975&lt;fi_h/20,0,(OFFSET('Base de dados'!$A$5,IF(O1975&lt;20,1,IF(O1975&gt;1000,10,MATCH(O1975,Cargas,1))),Coluna_fih,1,1))*(1+0.13*0.25)*(PI()*(fi_h/1000)^2/4)*SQRT(2*9.81*(O1975/100-fi_h/2/1000))*1000)),"",IF(O1975&lt;fi_h/20,0,(OFFSET('Base de dados'!$A$5,IF(O1975&lt;20,1,IF(O1975&gt;1000,10,MATCH(O1975,Cargas,1))),Coluna_fih,1,1))*(PI()*(fi_h/1000)^2/4)*SQRT(2*9.81*(O1975/100-fi_h/2/1000))*1000))</f>
        <v>59.444101516258911</v>
      </c>
      <c r="Q1975" s="19">
        <f ca="1">IF(O1975="","",IF(Tipo_Vertedor="Retangular",IF(O1975&lt;=cota_s*100,0,IF(Tipo_Vertedor="Retangular",Cd_sr*Lef_sr*((O1975/100-cota_s)^(3/2))*1000)),IF(O1975&lt;=cota_s*100+fi_s/20,0,(OFFSET('Base de dados'!$A$4,IF(O1975&lt;20,1,IF(O1975&gt;1000,10,MATCH(O1975,Cargas,1))),Coluna_fis,1,1))*(PI()*(fi_s/1000)^2/4)*(2*9.81*(O1975/100-cota_s-fi_s/2/1000))^0.5*1000)))</f>
        <v>9910.2815480329082</v>
      </c>
      <c r="R1975" s="19">
        <f t="shared" ca="1" si="240"/>
        <v>9969.7256495491674</v>
      </c>
      <c r="S1975" s="19">
        <f t="shared" ca="1" si="241"/>
        <v>12166.909993300522</v>
      </c>
    </row>
    <row r="1976" spans="13:19">
      <c r="M1976" s="81">
        <f t="shared" ca="1" si="238"/>
        <v>22152.156640444638</v>
      </c>
      <c r="N1976" s="19">
        <f t="shared" si="239"/>
        <v>365.21524854659413</v>
      </c>
      <c r="O1976" s="17">
        <f t="shared" si="237"/>
        <v>493.75</v>
      </c>
      <c r="P1976" s="19">
        <f ca="1">IF(ISERROR(IF(O1976&lt;fi_h/20,0,(OFFSET('Base de dados'!$A$5,IF(O1976&lt;20,1,IF(O1976&gt;1000,10,MATCH(O1976,Cargas,1))),Coluna_fih,1,1))*(1+0.13*0.25)*(PI()*(fi_h/1000)^2/4)*SQRT(2*9.81*(O1976/100-fi_h/2/1000))*1000)),"",IF(O1976&lt;fi_h/20,0,(OFFSET('Base de dados'!$A$5,IF(O1976&lt;20,1,IF(O1976&gt;1000,10,MATCH(O1976,Cargas,1))),Coluna_fih,1,1))*(PI()*(fi_h/1000)^2/4)*SQRT(2*9.81*(O1976/100-fi_h/2/1000))*1000))</f>
        <v>59.459330395458849</v>
      </c>
      <c r="Q1976" s="19">
        <f ca="1">IF(O1976="","",IF(Tipo_Vertedor="Retangular",IF(O1976&lt;=cota_s*100,0,IF(Tipo_Vertedor="Retangular",Cd_sr*Lef_sr*((O1976/100-cota_s)^(3/2))*1000)),IF(O1976&lt;=cota_s*100+fi_s/20,0,(OFFSET('Base de dados'!$A$4,IF(O1976&lt;20,1,IF(O1976&gt;1000,10,MATCH(O1976,Cargas,1))),Coluna_fis,1,1))*(PI()*(fi_s/1000)^2/4)*(2*9.81*(O1976/100-cota_s-fi_s/2/1000))^0.5*1000)))</f>
        <v>9918.8556918293762</v>
      </c>
      <c r="R1976" s="19">
        <f t="shared" ca="1" si="240"/>
        <v>9978.315022224835</v>
      </c>
      <c r="S1976" s="19">
        <f t="shared" ca="1" si="241"/>
        <v>12173.841618219803</v>
      </c>
    </row>
    <row r="1977" spans="13:19">
      <c r="M1977" s="81">
        <f t="shared" ca="1" si="238"/>
        <v>22167.680542661757</v>
      </c>
      <c r="N1977" s="19">
        <f t="shared" si="239"/>
        <v>365.42321041109182</v>
      </c>
      <c r="O1977" s="17">
        <f t="shared" si="237"/>
        <v>494</v>
      </c>
      <c r="P1977" s="19">
        <f ca="1">IF(ISERROR(IF(O1977&lt;fi_h/20,0,(OFFSET('Base de dados'!$A$5,IF(O1977&lt;20,1,IF(O1977&gt;1000,10,MATCH(O1977,Cargas,1))),Coluna_fih,1,1))*(1+0.13*0.25)*(PI()*(fi_h/1000)^2/4)*SQRT(2*9.81*(O1977/100-fi_h/2/1000))*1000)),"",IF(O1977&lt;fi_h/20,0,(OFFSET('Base de dados'!$A$5,IF(O1977&lt;20,1,IF(O1977&gt;1000,10,MATCH(O1977,Cargas,1))),Coluna_fih,1,1))*(PI()*(fi_h/1000)^2/4)*SQRT(2*9.81*(O1977/100-fi_h/2/1000))*1000))</f>
        <v>59.474555375197049</v>
      </c>
      <c r="Q1977" s="19">
        <f ca="1">IF(O1977="","",IF(Tipo_Vertedor="Retangular",IF(O1977&lt;=cota_s*100,0,IF(Tipo_Vertedor="Retangular",Cd_sr*Lef_sr*((O1977/100-cota_s)^(3/2))*1000)),IF(O1977&lt;=cota_s*100+fi_s/20,0,(OFFSET('Base de dados'!$A$4,IF(O1977&lt;20,1,IF(O1977&gt;1000,10,MATCH(O1977,Cargas,1))),Coluna_fis,1,1))*(PI()*(fi_s/1000)^2/4)*(2*9.81*(O1977/100-cota_s-fi_s/2/1000))^0.5*1000)))</f>
        <v>9927.4323069168331</v>
      </c>
      <c r="R1977" s="19">
        <f t="shared" ca="1" si="240"/>
        <v>9986.9068622920295</v>
      </c>
      <c r="S1977" s="19">
        <f t="shared" ca="1" si="241"/>
        <v>12180.773680369726</v>
      </c>
    </row>
    <row r="1978" spans="13:19">
      <c r="M1978" s="81">
        <f t="shared" ca="1" si="238"/>
        <v>22183.207348598444</v>
      </c>
      <c r="N1978" s="19">
        <f t="shared" si="239"/>
        <v>365.63118538669727</v>
      </c>
      <c r="O1978" s="17">
        <f t="shared" si="237"/>
        <v>494.25</v>
      </c>
      <c r="P1978" s="19">
        <f ca="1">IF(ISERROR(IF(O1978&lt;fi_h/20,0,(OFFSET('Base de dados'!$A$5,IF(O1978&lt;20,1,IF(O1978&gt;1000,10,MATCH(O1978,Cargas,1))),Coluna_fih,1,1))*(1+0.13*0.25)*(PI()*(fi_h/1000)^2/4)*SQRT(2*9.81*(O1978/100-fi_h/2/1000))*1000)),"",IF(O1978&lt;fi_h/20,0,(OFFSET('Base de dados'!$A$5,IF(O1978&lt;20,1,IF(O1978&gt;1000,10,MATCH(O1978,Cargas,1))),Coluna_fih,1,1))*(PI()*(fi_h/1000)^2/4)*SQRT(2*9.81*(O1978/100-fi_h/2/1000))*1000))</f>
        <v>59.489776458467418</v>
      </c>
      <c r="Q1978" s="19">
        <f ca="1">IF(O1978="","",IF(Tipo_Vertedor="Retangular",IF(O1978&lt;=cota_s*100,0,IF(Tipo_Vertedor="Retangular",Cd_sr*Lef_sr*((O1978/100-cota_s)^(3/2))*1000)),IF(O1978&lt;=cota_s*100+fi_s/20,0,(OFFSET('Base de dados'!$A$4,IF(O1978&lt;20,1,IF(O1978&gt;1000,10,MATCH(O1978,Cargas,1))),Coluna_fis,1,1))*(PI()*(fi_s/1000)^2/4)*(2*9.81*(O1978/100-cota_s-fi_s/2/1000))^0.5*1000)))</f>
        <v>9936.0113925833975</v>
      </c>
      <c r="R1978" s="19">
        <f t="shared" ca="1" si="240"/>
        <v>9995.5011690418651</v>
      </c>
      <c r="S1978" s="19">
        <f t="shared" ca="1" si="241"/>
        <v>12187.706179556577</v>
      </c>
    </row>
    <row r="1979" spans="13:19">
      <c r="M1979" s="81">
        <f t="shared" ca="1" si="238"/>
        <v>22198.737057352904</v>
      </c>
      <c r="N1979" s="19">
        <f t="shared" si="239"/>
        <v>365.83917346760501</v>
      </c>
      <c r="O1979" s="17">
        <f t="shared" si="237"/>
        <v>494.5</v>
      </c>
      <c r="P1979" s="19">
        <f ca="1">IF(ISERROR(IF(O1979&lt;fi_h/20,0,(OFFSET('Base de dados'!$A$5,IF(O1979&lt;20,1,IF(O1979&gt;1000,10,MATCH(O1979,Cargas,1))),Coluna_fih,1,1))*(1+0.13*0.25)*(PI()*(fi_h/1000)^2/4)*SQRT(2*9.81*(O1979/100-fi_h/2/1000))*1000)),"",IF(O1979&lt;fi_h/20,0,(OFFSET('Base de dados'!$A$5,IF(O1979&lt;20,1,IF(O1979&gt;1000,10,MATCH(O1979,Cargas,1))),Coluna_fih,1,1))*(PI()*(fi_h/1000)^2/4)*SQRT(2*9.81*(O1979/100-fi_h/2/1000))*1000))</f>
        <v>59.504993648260033</v>
      </c>
      <c r="Q1979" s="19">
        <f ca="1">IF(O1979="","",IF(Tipo_Vertedor="Retangular",IF(O1979&lt;=cota_s*100,0,IF(Tipo_Vertedor="Retangular",Cd_sr*Lef_sr*((O1979/100-cota_s)^(3/2))*1000)),IF(O1979&lt;=cota_s*100+fi_s/20,0,(OFFSET('Base de dados'!$A$4,IF(O1979&lt;20,1,IF(O1979&gt;1000,10,MATCH(O1979,Cargas,1))),Coluna_fis,1,1))*(PI()*(fi_s/1000)^2/4)*(2*9.81*(O1979/100-cota_s-fi_s/2/1000))^0.5*1000)))</f>
        <v>9944.59294811781</v>
      </c>
      <c r="R1979" s="19">
        <f t="shared" ca="1" si="240"/>
        <v>10004.097941766069</v>
      </c>
      <c r="S1979" s="19">
        <f t="shared" ca="1" si="241"/>
        <v>12194.639115586835</v>
      </c>
    </row>
    <row r="1980" spans="13:19">
      <c r="M1980" s="81">
        <f t="shared" ca="1" si="238"/>
        <v>22214.269668024128</v>
      </c>
      <c r="N1980" s="19">
        <f t="shared" si="239"/>
        <v>366.04717464801428</v>
      </c>
      <c r="O1980" s="17">
        <f t="shared" si="237"/>
        <v>494.75</v>
      </c>
      <c r="P1980" s="19">
        <f ca="1">IF(ISERROR(IF(O1980&lt;fi_h/20,0,(OFFSET('Base de dados'!$A$5,IF(O1980&lt;20,1,IF(O1980&gt;1000,10,MATCH(O1980,Cargas,1))),Coluna_fih,1,1))*(1+0.13*0.25)*(PI()*(fi_h/1000)^2/4)*SQRT(2*9.81*(O1980/100-fi_h/2/1000))*1000)),"",IF(O1980&lt;fi_h/20,0,(OFFSET('Base de dados'!$A$5,IF(O1980&lt;20,1,IF(O1980&gt;1000,10,MATCH(O1980,Cargas,1))),Coluna_fih,1,1))*(PI()*(fi_h/1000)^2/4)*SQRT(2*9.81*(O1980/100-fi_h/2/1000))*1000))</f>
        <v>59.520206947561171</v>
      </c>
      <c r="Q1980" s="19">
        <f ca="1">IF(O1980="","",IF(Tipo_Vertedor="Retangular",IF(O1980&lt;=cota_s*100,0,IF(Tipo_Vertedor="Retangular",Cd_sr*Lef_sr*((O1980/100-cota_s)^(3/2))*1000)),IF(O1980&lt;=cota_s*100+fi_s/20,0,(OFFSET('Base de dados'!$A$4,IF(O1980&lt;20,1,IF(O1980&gt;1000,10,MATCH(O1980,Cargas,1))),Coluna_fis,1,1))*(PI()*(fi_s/1000)^2/4)*(2*9.81*(O1980/100-cota_s-fi_s/2/1000))^0.5*1000)))</f>
        <v>9953.1769728094241</v>
      </c>
      <c r="R1980" s="19">
        <f t="shared" ca="1" si="240"/>
        <v>10012.697179756986</v>
      </c>
      <c r="S1980" s="19">
        <f t="shared" ca="1" si="241"/>
        <v>12201.572488267144</v>
      </c>
    </row>
    <row r="1981" spans="13:19">
      <c r="M1981" s="81">
        <f t="shared" ca="1" si="238"/>
        <v>22229.80517971189</v>
      </c>
      <c r="N1981" s="19">
        <f t="shared" si="239"/>
        <v>366.25518892213057</v>
      </c>
      <c r="O1981" s="17">
        <f t="shared" si="237"/>
        <v>495</v>
      </c>
      <c r="P1981" s="19">
        <f ca="1">IF(ISERROR(IF(O1981&lt;fi_h/20,0,(OFFSET('Base de dados'!$A$5,IF(O1981&lt;20,1,IF(O1981&gt;1000,10,MATCH(O1981,Cargas,1))),Coluna_fih,1,1))*(1+0.13*0.25)*(PI()*(fi_h/1000)^2/4)*SQRT(2*9.81*(O1981/100-fi_h/2/1000))*1000)),"",IF(O1981&lt;fi_h/20,0,(OFFSET('Base de dados'!$A$5,IF(O1981&lt;20,1,IF(O1981&gt;1000,10,MATCH(O1981,Cargas,1))),Coluna_fih,1,1))*(PI()*(fi_h/1000)^2/4)*SQRT(2*9.81*(O1981/100-fi_h/2/1000))*1000))</f>
        <v>59.535416359353299</v>
      </c>
      <c r="Q1981" s="19">
        <f ca="1">IF(O1981="","",IF(Tipo_Vertedor="Retangular",IF(O1981&lt;=cota_s*100,0,IF(Tipo_Vertedor="Retangular",Cd_sr*Lef_sr*((O1981/100-cota_s)^(3/2))*1000)),IF(O1981&lt;=cota_s*100+fi_s/20,0,(OFFSET('Base de dados'!$A$4,IF(O1981&lt;20,1,IF(O1981&gt;1000,10,MATCH(O1981,Cargas,1))),Coluna_fis,1,1))*(PI()*(fi_s/1000)^2/4)*(2*9.81*(O1981/100-cota_s-fi_s/2/1000))^0.5*1000)))</f>
        <v>9961.7634659481864</v>
      </c>
      <c r="R1981" s="19">
        <f t="shared" ca="1" si="240"/>
        <v>10021.298882307539</v>
      </c>
      <c r="S1981" s="19">
        <f t="shared" ca="1" si="241"/>
        <v>12208.506297404352</v>
      </c>
    </row>
    <row r="1982" spans="13:19">
      <c r="M1982" s="81">
        <f t="shared" ca="1" si="238"/>
        <v>22245.343591516765</v>
      </c>
      <c r="N1982" s="19">
        <f t="shared" si="239"/>
        <v>366.4632162841641</v>
      </c>
      <c r="O1982" s="17">
        <f t="shared" si="237"/>
        <v>495.25</v>
      </c>
      <c r="P1982" s="19">
        <f ca="1">IF(ISERROR(IF(O1982&lt;fi_h/20,0,(OFFSET('Base de dados'!$A$5,IF(O1982&lt;20,1,IF(O1982&gt;1000,10,MATCH(O1982,Cargas,1))),Coluna_fih,1,1))*(1+0.13*0.25)*(PI()*(fi_h/1000)^2/4)*SQRT(2*9.81*(O1982/100-fi_h/2/1000))*1000)),"",IF(O1982&lt;fi_h/20,0,(OFFSET('Base de dados'!$A$5,IF(O1982&lt;20,1,IF(O1982&gt;1000,10,MATCH(O1982,Cargas,1))),Coluna_fih,1,1))*(PI()*(fi_h/1000)^2/4)*SQRT(2*9.81*(O1982/100-fi_h/2/1000))*1000))</f>
        <v>59.550621886615048</v>
      </c>
      <c r="Q1982" s="19">
        <f ca="1">IF(O1982="","",IF(Tipo_Vertedor="Retangular",IF(O1982&lt;=cota_s*100,0,IF(Tipo_Vertedor="Retangular",Cd_sr*Lef_sr*((O1982/100-cota_s)^(3/2))*1000)),IF(O1982&lt;=cota_s*100+fi_s/20,0,(OFFSET('Base de dados'!$A$4,IF(O1982&lt;20,1,IF(O1982&gt;1000,10,MATCH(O1982,Cargas,1))),Coluna_fis,1,1))*(PI()*(fi_s/1000)^2/4)*(2*9.81*(O1982/100-cota_s-fi_s/2/1000))^0.5*1000)))</f>
        <v>9970.3524268246802</v>
      </c>
      <c r="R1982" s="19">
        <f t="shared" ca="1" si="240"/>
        <v>10029.903048711296</v>
      </c>
      <c r="S1982" s="19">
        <f t="shared" ca="1" si="241"/>
        <v>12215.440542805471</v>
      </c>
    </row>
    <row r="1983" spans="13:19">
      <c r="M1983" s="81">
        <f t="shared" ca="1" si="238"/>
        <v>22260.884902540136</v>
      </c>
      <c r="N1983" s="19">
        <f t="shared" si="239"/>
        <v>366.67125672833146</v>
      </c>
      <c r="O1983" s="17">
        <f t="shared" si="237"/>
        <v>495.5</v>
      </c>
      <c r="P1983" s="19">
        <f ca="1">IF(ISERROR(IF(O1983&lt;fi_h/20,0,(OFFSET('Base de dados'!$A$5,IF(O1983&lt;20,1,IF(O1983&gt;1000,10,MATCH(O1983,Cargas,1))),Coluna_fih,1,1))*(1+0.13*0.25)*(PI()*(fi_h/1000)^2/4)*SQRT(2*9.81*(O1983/100-fi_h/2/1000))*1000)),"",IF(O1983&lt;fi_h/20,0,(OFFSET('Base de dados'!$A$5,IF(O1983&lt;20,1,IF(O1983&gt;1000,10,MATCH(O1983,Cargas,1))),Coluna_fih,1,1))*(PI()*(fi_h/1000)^2/4)*SQRT(2*9.81*(O1983/100-fi_h/2/1000))*1000))</f>
        <v>59.565823532321268</v>
      </c>
      <c r="Q1983" s="19">
        <f ca="1">IF(O1983="","",IF(Tipo_Vertedor="Retangular",IF(O1983&lt;=cota_s*100,0,IF(Tipo_Vertedor="Retangular",Cd_sr*Lef_sr*((O1983/100-cota_s)^(3/2))*1000)),IF(O1983&lt;=cota_s*100+fi_s/20,0,(OFFSET('Base de dados'!$A$4,IF(O1983&lt;20,1,IF(O1983&gt;1000,10,MATCH(O1983,Cargas,1))),Coluna_fis,1,1))*(PI()*(fi_s/1000)^2/4)*(2*9.81*(O1983/100-cota_s-fi_s/2/1000))^0.5*1000)))</f>
        <v>9978.9438547300979</v>
      </c>
      <c r="R1983" s="19">
        <f t="shared" ca="1" si="240"/>
        <v>10038.509678262419</v>
      </c>
      <c r="S1983" s="19">
        <f t="shared" ca="1" si="241"/>
        <v>12222.375224277715</v>
      </c>
    </row>
    <row r="1984" spans="13:19">
      <c r="M1984" s="81">
        <f t="shared" ca="1" si="238"/>
        <v>22276.429111884128</v>
      </c>
      <c r="N1984" s="19">
        <f t="shared" si="239"/>
        <v>366.87931024885398</v>
      </c>
      <c r="O1984" s="17">
        <f t="shared" si="237"/>
        <v>495.75</v>
      </c>
      <c r="P1984" s="19">
        <f ca="1">IF(ISERROR(IF(O1984&lt;fi_h/20,0,(OFFSET('Base de dados'!$A$5,IF(O1984&lt;20,1,IF(O1984&gt;1000,10,MATCH(O1984,Cargas,1))),Coluna_fih,1,1))*(1+0.13*0.25)*(PI()*(fi_h/1000)^2/4)*SQRT(2*9.81*(O1984/100-fi_h/2/1000))*1000)),"",IF(O1984&lt;fi_h/20,0,(OFFSET('Base de dados'!$A$5,IF(O1984&lt;20,1,IF(O1984&gt;1000,10,MATCH(O1984,Cargas,1))),Coluna_fih,1,1))*(PI()*(fi_h/1000)^2/4)*SQRT(2*9.81*(O1984/100-fi_h/2/1000))*1000))</f>
        <v>59.581021299443002</v>
      </c>
      <c r="Q1984" s="19">
        <f ca="1">IF(O1984="","",IF(Tipo_Vertedor="Retangular",IF(O1984&lt;=cota_s*100,0,IF(Tipo_Vertedor="Retangular",Cd_sr*Lef_sr*((O1984/100-cota_s)^(3/2))*1000)),IF(O1984&lt;=cota_s*100+fi_s/20,0,(OFFSET('Base de dados'!$A$4,IF(O1984&lt;20,1,IF(O1984&gt;1000,10,MATCH(O1984,Cargas,1))),Coluna_fis,1,1))*(PI()*(fi_s/1000)^2/4)*(2*9.81*(O1984/100-cota_s-fi_s/2/1000))^0.5*1000)))</f>
        <v>9987.5377489562179</v>
      </c>
      <c r="R1984" s="19">
        <f t="shared" ca="1" si="240"/>
        <v>10047.118770255662</v>
      </c>
      <c r="S1984" s="19">
        <f t="shared" ca="1" si="241"/>
        <v>12229.310341628467</v>
      </c>
    </row>
    <row r="1985" spans="13:19">
      <c r="M1985" s="81">
        <f t="shared" ca="1" si="238"/>
        <v>22291.976218651707</v>
      </c>
      <c r="N1985" s="19">
        <f t="shared" si="239"/>
        <v>367.08737683995895</v>
      </c>
      <c r="O1985" s="17">
        <f t="shared" si="237"/>
        <v>496</v>
      </c>
      <c r="P1985" s="19">
        <f ca="1">IF(ISERROR(IF(O1985&lt;fi_h/20,0,(OFFSET('Base de dados'!$A$5,IF(O1985&lt;20,1,IF(O1985&gt;1000,10,MATCH(O1985,Cargas,1))),Coluna_fih,1,1))*(1+0.13*0.25)*(PI()*(fi_h/1000)^2/4)*SQRT(2*9.81*(O1985/100-fi_h/2/1000))*1000)),"",IF(O1985&lt;fi_h/20,0,(OFFSET('Base de dados'!$A$5,IF(O1985&lt;20,1,IF(O1985&gt;1000,10,MATCH(O1985,Cargas,1))),Coluna_fih,1,1))*(PI()*(fi_h/1000)^2/4)*SQRT(2*9.81*(O1985/100-fi_h/2/1000))*1000))</f>
        <v>59.596215190947525</v>
      </c>
      <c r="Q1985" s="19">
        <f ca="1">IF(O1985="","",IF(Tipo_Vertedor="Retangular",IF(O1985&lt;=cota_s*100,0,IF(Tipo_Vertedor="Retangular",Cd_sr*Lef_sr*((O1985/100-cota_s)^(3/2))*1000)),IF(O1985&lt;=cota_s*100+fi_s/20,0,(OFFSET('Base de dados'!$A$4,IF(O1985&lt;20,1,IF(O1985&gt;1000,10,MATCH(O1985,Cargas,1))),Coluna_fis,1,1))*(PI()*(fi_s/1000)^2/4)*(2*9.81*(O1985/100-cota_s-fi_s/2/1000))^0.5*1000)))</f>
        <v>9996.1341087954606</v>
      </c>
      <c r="R1985" s="19">
        <f t="shared" ca="1" si="240"/>
        <v>10055.730323986409</v>
      </c>
      <c r="S1985" s="19">
        <f t="shared" ca="1" si="241"/>
        <v>12236.245894665299</v>
      </c>
    </row>
    <row r="1986" spans="13:19">
      <c r="M1986" s="81">
        <f t="shared" ca="1" si="238"/>
        <v>22307.526221946588</v>
      </c>
      <c r="N1986" s="19">
        <f t="shared" si="239"/>
        <v>367.29545649587857</v>
      </c>
      <c r="O1986" s="17">
        <f t="shared" si="237"/>
        <v>496.25</v>
      </c>
      <c r="P1986" s="19">
        <f ca="1">IF(ISERROR(IF(O1986&lt;fi_h/20,0,(OFFSET('Base de dados'!$A$5,IF(O1986&lt;20,1,IF(O1986&gt;1000,10,MATCH(O1986,Cargas,1))),Coluna_fih,1,1))*(1+0.13*0.25)*(PI()*(fi_h/1000)^2/4)*SQRT(2*9.81*(O1986/100-fi_h/2/1000))*1000)),"",IF(O1986&lt;fi_h/20,0,(OFFSET('Base de dados'!$A$5,IF(O1986&lt;20,1,IF(O1986&gt;1000,10,MATCH(O1986,Cargas,1))),Coluna_fih,1,1))*(PI()*(fi_h/1000)^2/4)*SQRT(2*9.81*(O1986/100-fi_h/2/1000))*1000))</f>
        <v>59.611405209798306</v>
      </c>
      <c r="Q1986" s="19">
        <f ca="1">IF(O1986="","",IF(Tipo_Vertedor="Retangular",IF(O1986&lt;=cota_s*100,0,IF(Tipo_Vertedor="Retangular",Cd_sr*Lef_sr*((O1986/100-cota_s)^(3/2))*1000)),IF(O1986&lt;=cota_s*100+fi_s/20,0,(OFFSET('Base de dados'!$A$4,IF(O1986&lt;20,1,IF(O1986&gt;1000,10,MATCH(O1986,Cargas,1))),Coluna_fis,1,1))*(PI()*(fi_s/1000)^2/4)*(2*9.81*(O1986/100-cota_s-fi_s/2/1000))^0.5*1000)))</f>
        <v>10004.732933540836</v>
      </c>
      <c r="R1986" s="19">
        <f t="shared" ca="1" si="240"/>
        <v>10064.344338750634</v>
      </c>
      <c r="S1986" s="19">
        <f t="shared" ca="1" si="241"/>
        <v>12243.181883195952</v>
      </c>
    </row>
    <row r="1987" spans="13:19">
      <c r="M1987" s="81">
        <f t="shared" ca="1" si="238"/>
        <v>22323.079120873284</v>
      </c>
      <c r="N1987" s="19">
        <f t="shared" si="239"/>
        <v>367.50354921085091</v>
      </c>
      <c r="O1987" s="17">
        <f t="shared" si="237"/>
        <v>496.5</v>
      </c>
      <c r="P1987" s="19">
        <f ca="1">IF(ISERROR(IF(O1987&lt;fi_h/20,0,(OFFSET('Base de dados'!$A$5,IF(O1987&lt;20,1,IF(O1987&gt;1000,10,MATCH(O1987,Cargas,1))),Coluna_fih,1,1))*(1+0.13*0.25)*(PI()*(fi_h/1000)^2/4)*SQRT(2*9.81*(O1987/100-fi_h/2/1000))*1000)),"",IF(O1987&lt;fi_h/20,0,(OFFSET('Base de dados'!$A$5,IF(O1987&lt;20,1,IF(O1987&gt;1000,10,MATCH(O1987,Cargas,1))),Coluna_fih,1,1))*(PI()*(fi_h/1000)^2/4)*SQRT(2*9.81*(O1987/100-fi_h/2/1000))*1000))</f>
        <v>59.626591358955018</v>
      </c>
      <c r="Q1987" s="19">
        <f ca="1">IF(O1987="","",IF(Tipo_Vertedor="Retangular",IF(O1987&lt;=cota_s*100,0,IF(Tipo_Vertedor="Retangular",Cd_sr*Lef_sr*((O1987/100-cota_s)^(3/2))*1000)),IF(O1987&lt;=cota_s*100+fi_s/20,0,(OFFSET('Base de dados'!$A$4,IF(O1987&lt;20,1,IF(O1987&gt;1000,10,MATCH(O1987,Cargas,1))),Coluna_fis,1,1))*(PI()*(fi_s/1000)^2/4)*(2*9.81*(O1987/100-cota_s-fi_s/2/1000))^0.5*1000)))</f>
        <v>10013.334222485963</v>
      </c>
      <c r="R1987" s="19">
        <f t="shared" ca="1" si="240"/>
        <v>10072.960813844918</v>
      </c>
      <c r="S1987" s="19">
        <f t="shared" ca="1" si="241"/>
        <v>12250.118307028364</v>
      </c>
    </row>
    <row r="1988" spans="13:19">
      <c r="M1988" s="81">
        <f t="shared" ca="1" si="238"/>
        <v>22338.634914537095</v>
      </c>
      <c r="N1988" s="19">
        <f t="shared" si="239"/>
        <v>367.71165497911954</v>
      </c>
      <c r="O1988" s="17">
        <f t="shared" si="237"/>
        <v>496.75</v>
      </c>
      <c r="P1988" s="19">
        <f ca="1">IF(ISERROR(IF(O1988&lt;fi_h/20,0,(OFFSET('Base de dados'!$A$5,IF(O1988&lt;20,1,IF(O1988&gt;1000,10,MATCH(O1988,Cargas,1))),Coluna_fih,1,1))*(1+0.13*0.25)*(PI()*(fi_h/1000)^2/4)*SQRT(2*9.81*(O1988/100-fi_h/2/1000))*1000)),"",IF(O1988&lt;fi_h/20,0,(OFFSET('Base de dados'!$A$5,IF(O1988&lt;20,1,IF(O1988&gt;1000,10,MATCH(O1988,Cargas,1))),Coluna_fih,1,1))*(PI()*(fi_h/1000)^2/4)*SQRT(2*9.81*(O1988/100-fi_h/2/1000))*1000))</f>
        <v>59.641773641373653</v>
      </c>
      <c r="Q1988" s="19">
        <f ca="1">IF(O1988="","",IF(Tipo_Vertedor="Retangular",IF(O1988&lt;=cota_s*100,0,IF(Tipo_Vertedor="Retangular",Cd_sr*Lef_sr*((O1988/100-cota_s)^(3/2))*1000)),IF(O1988&lt;=cota_s*100+fi_s/20,0,(OFFSET('Base de dados'!$A$4,IF(O1988&lt;20,1,IF(O1988&gt;1000,10,MATCH(O1988,Cargas,1))),Coluna_fis,1,1))*(PI()*(fi_s/1000)^2/4)*(2*9.81*(O1988/100-cota_s-fi_s/2/1000))^0.5*1000)))</f>
        <v>10021.937974925071</v>
      </c>
      <c r="R1988" s="19">
        <f t="shared" ca="1" si="240"/>
        <v>10081.579748566444</v>
      </c>
      <c r="S1988" s="19">
        <f t="shared" ca="1" si="241"/>
        <v>12257.055165970651</v>
      </c>
    </row>
    <row r="1989" spans="13:19">
      <c r="M1989" s="81">
        <f t="shared" ca="1" si="238"/>
        <v>22354.193602044099</v>
      </c>
      <c r="N1989" s="19">
        <f t="shared" si="239"/>
        <v>367.91977379493306</v>
      </c>
      <c r="O1989" s="17">
        <f t="shared" si="237"/>
        <v>497</v>
      </c>
      <c r="P1989" s="19">
        <f ca="1">IF(ISERROR(IF(O1989&lt;fi_h/20,0,(OFFSET('Base de dados'!$A$5,IF(O1989&lt;20,1,IF(O1989&gt;1000,10,MATCH(O1989,Cargas,1))),Coluna_fih,1,1))*(1+0.13*0.25)*(PI()*(fi_h/1000)^2/4)*SQRT(2*9.81*(O1989/100-fi_h/2/1000))*1000)),"",IF(O1989&lt;fi_h/20,0,(OFFSET('Base de dados'!$A$5,IF(O1989&lt;20,1,IF(O1989&gt;1000,10,MATCH(O1989,Cargas,1))),Coluna_fih,1,1))*(PI()*(fi_h/1000)^2/4)*SQRT(2*9.81*(O1989/100-fi_h/2/1000))*1000))</f>
        <v>59.656952060006354</v>
      </c>
      <c r="Q1989" s="19">
        <f ca="1">IF(O1989="","",IF(Tipo_Vertedor="Retangular",IF(O1989&lt;=cota_s*100,0,IF(Tipo_Vertedor="Retangular",Cd_sr*Lef_sr*((O1989/100-cota_s)^(3/2))*1000)),IF(O1989&lt;=cota_s*100+fi_s/20,0,(OFFSET('Base de dados'!$A$4,IF(O1989&lt;20,1,IF(O1989&gt;1000,10,MATCH(O1989,Cargas,1))),Coluna_fis,1,1))*(PI()*(fi_s/1000)^2/4)*(2*9.81*(O1989/100-cota_s-fi_s/2/1000))^0.5*1000)))</f>
        <v>10030.544190152994</v>
      </c>
      <c r="R1989" s="19">
        <f t="shared" ca="1" si="240"/>
        <v>10090.201142213</v>
      </c>
      <c r="S1989" s="19">
        <f t="shared" ca="1" si="241"/>
        <v>12263.992459831101</v>
      </c>
    </row>
    <row r="1990" spans="13:19">
      <c r="M1990" s="81">
        <f t="shared" ca="1" si="238"/>
        <v>22369.755182501183</v>
      </c>
      <c r="N1990" s="19">
        <f t="shared" si="239"/>
        <v>368.12790565254602</v>
      </c>
      <c r="O1990" s="17">
        <f t="shared" si="237"/>
        <v>497.25</v>
      </c>
      <c r="P1990" s="19">
        <f ca="1">IF(ISERROR(IF(O1990&lt;fi_h/20,0,(OFFSET('Base de dados'!$A$5,IF(O1990&lt;20,1,IF(O1990&gt;1000,10,MATCH(O1990,Cargas,1))),Coluna_fih,1,1))*(1+0.13*0.25)*(PI()*(fi_h/1000)^2/4)*SQRT(2*9.81*(O1990/100-fi_h/2/1000))*1000)),"",IF(O1990&lt;fi_h/20,0,(OFFSET('Base de dados'!$A$5,IF(O1990&lt;20,1,IF(O1990&gt;1000,10,MATCH(O1990,Cargas,1))),Coluna_fih,1,1))*(PI()*(fi_h/1000)^2/4)*SQRT(2*9.81*(O1990/100-fi_h/2/1000))*1000))</f>
        <v>59.672126617801545</v>
      </c>
      <c r="Q1990" s="19">
        <f ca="1">IF(O1990="","",IF(Tipo_Vertedor="Retangular",IF(O1990&lt;=cota_s*100,0,IF(Tipo_Vertedor="Retangular",Cd_sr*Lef_sr*((O1990/100-cota_s)^(3/2))*1000)),IF(O1990&lt;=cota_s*100+fi_s/20,0,(OFFSET('Base de dados'!$A$4,IF(O1990&lt;20,1,IF(O1990&gt;1000,10,MATCH(O1990,Cargas,1))),Coluna_fis,1,1))*(PI()*(fi_s/1000)^2/4)*(2*9.81*(O1990/100-cota_s-fi_s/2/1000))^0.5*1000)))</f>
        <v>10039.15286746518</v>
      </c>
      <c r="R1990" s="19">
        <f t="shared" ca="1" si="240"/>
        <v>10098.824994082981</v>
      </c>
      <c r="S1990" s="19">
        <f t="shared" ca="1" si="241"/>
        <v>12270.9301884182</v>
      </c>
    </row>
    <row r="1991" spans="13:19">
      <c r="M1991" s="81">
        <f t="shared" ca="1" si="238"/>
        <v>22385.319655015963</v>
      </c>
      <c r="N1991" s="19">
        <f t="shared" si="239"/>
        <v>368.33605054621779</v>
      </c>
      <c r="O1991" s="17">
        <f t="shared" si="237"/>
        <v>497.5</v>
      </c>
      <c r="P1991" s="19">
        <f ca="1">IF(ISERROR(IF(O1991&lt;fi_h/20,0,(OFFSET('Base de dados'!$A$5,IF(O1991&lt;20,1,IF(O1991&gt;1000,10,MATCH(O1991,Cargas,1))),Coluna_fih,1,1))*(1+0.13*0.25)*(PI()*(fi_h/1000)^2/4)*SQRT(2*9.81*(O1991/100-fi_h/2/1000))*1000)),"",IF(O1991&lt;fi_h/20,0,(OFFSET('Base de dados'!$A$5,IF(O1991&lt;20,1,IF(O1991&gt;1000,10,MATCH(O1991,Cargas,1))),Coluna_fih,1,1))*(PI()*(fi_h/1000)^2/4)*SQRT(2*9.81*(O1991/100-fi_h/2/1000))*1000))</f>
        <v>59.687297317703894</v>
      </c>
      <c r="Q1991" s="19">
        <f ca="1">IF(O1991="","",IF(Tipo_Vertedor="Retangular",IF(O1991&lt;=cota_s*100,0,IF(Tipo_Vertedor="Retangular",Cd_sr*Lef_sr*((O1991/100-cota_s)^(3/2))*1000)),IF(O1991&lt;=cota_s*100+fi_s/20,0,(OFFSET('Base de dados'!$A$4,IF(O1991&lt;20,1,IF(O1991&gt;1000,10,MATCH(O1991,Cargas,1))),Coluna_fis,1,1))*(PI()*(fi_s/1000)^2/4)*(2*9.81*(O1991/100-cota_s-fi_s/2/1000))^0.5*1000)))</f>
        <v>10047.764006157666</v>
      </c>
      <c r="R1991" s="19">
        <f t="shared" ca="1" si="240"/>
        <v>10107.451303475369</v>
      </c>
      <c r="S1991" s="19">
        <f t="shared" ca="1" si="241"/>
        <v>12277.868351540592</v>
      </c>
    </row>
    <row r="1992" spans="13:19">
      <c r="M1992" s="81">
        <f t="shared" ca="1" si="238"/>
        <v>22400.887018696878</v>
      </c>
      <c r="N1992" s="19">
        <f t="shared" si="239"/>
        <v>368.54420847021379</v>
      </c>
      <c r="O1992" s="17">
        <f t="shared" si="237"/>
        <v>497.75</v>
      </c>
      <c r="P1992" s="19">
        <f ca="1">IF(ISERROR(IF(O1992&lt;fi_h/20,0,(OFFSET('Base de dados'!$A$5,IF(O1992&lt;20,1,IF(O1992&gt;1000,10,MATCH(O1992,Cargas,1))),Coluna_fih,1,1))*(1+0.13*0.25)*(PI()*(fi_h/1000)^2/4)*SQRT(2*9.81*(O1992/100-fi_h/2/1000))*1000)),"",IF(O1992&lt;fi_h/20,0,(OFFSET('Base de dados'!$A$5,IF(O1992&lt;20,1,IF(O1992&gt;1000,10,MATCH(O1992,Cargas,1))),Coluna_fih,1,1))*(PI()*(fi_h/1000)^2/4)*SQRT(2*9.81*(O1992/100-fi_h/2/1000))*1000))</f>
        <v>59.702464162654337</v>
      </c>
      <c r="Q1992" s="19">
        <f ca="1">IF(O1992="","",IF(Tipo_Vertedor="Retangular",IF(O1992&lt;=cota_s*100,0,IF(Tipo_Vertedor="Retangular",Cd_sr*Lef_sr*((O1992/100-cota_s)^(3/2))*1000)),IF(O1992&lt;=cota_s*100+fi_s/20,0,(OFFSET('Base de dados'!$A$4,IF(O1992&lt;20,1,IF(O1992&gt;1000,10,MATCH(O1992,Cargas,1))),Coluna_fis,1,1))*(PI()*(fi_s/1000)^2/4)*(2*9.81*(O1992/100-cota_s-fi_s/2/1000))^0.5*1000)))</f>
        <v>10056.377605527097</v>
      </c>
      <c r="R1992" s="19">
        <f t="shared" ca="1" si="240"/>
        <v>10116.080069689751</v>
      </c>
      <c r="S1992" s="19">
        <f t="shared" ca="1" si="241"/>
        <v>12284.806949007127</v>
      </c>
    </row>
    <row r="1993" spans="13:19">
      <c r="M1993" s="81">
        <f t="shared" ca="1" si="238"/>
        <v>22416.457272653133</v>
      </c>
      <c r="N1993" s="19">
        <f t="shared" si="239"/>
        <v>368.75237941880431</v>
      </c>
      <c r="O1993" s="17">
        <f t="shared" si="237"/>
        <v>498</v>
      </c>
      <c r="P1993" s="19">
        <f ca="1">IF(ISERROR(IF(O1993&lt;fi_h/20,0,(OFFSET('Base de dados'!$A$5,IF(O1993&lt;20,1,IF(O1993&gt;1000,10,MATCH(O1993,Cargas,1))),Coluna_fih,1,1))*(1+0.13*0.25)*(PI()*(fi_h/1000)^2/4)*SQRT(2*9.81*(O1993/100-fi_h/2/1000))*1000)),"",IF(O1993&lt;fi_h/20,0,(OFFSET('Base de dados'!$A$5,IF(O1993&lt;20,1,IF(O1993&gt;1000,10,MATCH(O1993,Cargas,1))),Coluna_fih,1,1))*(PI()*(fi_h/1000)^2/4)*SQRT(2*9.81*(O1993/100-fi_h/2/1000))*1000))</f>
        <v>59.717627155590073</v>
      </c>
      <c r="Q1993" s="19">
        <f ca="1">IF(O1993="","",IF(Tipo_Vertedor="Retangular",IF(O1993&lt;=cota_s*100,0,IF(Tipo_Vertedor="Retangular",Cd_sr*Lef_sr*((O1993/100-cota_s)^(3/2))*1000)),IF(O1993&lt;=cota_s*100+fi_s/20,0,(OFFSET('Base de dados'!$A$4,IF(O1993&lt;20,1,IF(O1993&gt;1000,10,MATCH(O1993,Cargas,1))),Coluna_fis,1,1))*(PI()*(fi_s/1000)^2/4)*(2*9.81*(O1993/100-cota_s-fi_s/2/1000))^0.5*1000)))</f>
        <v>10064.993664870733</v>
      </c>
      <c r="R1993" s="19">
        <f t="shared" ca="1" si="240"/>
        <v>10124.711292026324</v>
      </c>
      <c r="S1993" s="19">
        <f t="shared" ca="1" si="241"/>
        <v>12291.745980626811</v>
      </c>
    </row>
    <row r="1994" spans="13:19">
      <c r="M1994" s="81">
        <f t="shared" ca="1" si="238"/>
        <v>22432.030415994705</v>
      </c>
      <c r="N1994" s="19">
        <f t="shared" si="239"/>
        <v>368.96056338626516</v>
      </c>
      <c r="O1994" s="17">
        <f t="shared" si="237"/>
        <v>498.25</v>
      </c>
      <c r="P1994" s="19">
        <f ca="1">IF(ISERROR(IF(O1994&lt;fi_h/20,0,(OFFSET('Base de dados'!$A$5,IF(O1994&lt;20,1,IF(O1994&gt;1000,10,MATCH(O1994,Cargas,1))),Coluna_fih,1,1))*(1+0.13*0.25)*(PI()*(fi_h/1000)^2/4)*SQRT(2*9.81*(O1994/100-fi_h/2/1000))*1000)),"",IF(O1994&lt;fi_h/20,0,(OFFSET('Base de dados'!$A$5,IF(O1994&lt;20,1,IF(O1994&gt;1000,10,MATCH(O1994,Cargas,1))),Coluna_fih,1,1))*(PI()*(fi_h/1000)^2/4)*SQRT(2*9.81*(O1994/100-fi_h/2/1000))*1000))</f>
        <v>59.732786299444541</v>
      </c>
      <c r="Q1994" s="19">
        <f ca="1">IF(O1994="","",IF(Tipo_Vertedor="Retangular",IF(O1994&lt;=cota_s*100,0,IF(Tipo_Vertedor="Retangular",Cd_sr*Lef_sr*((O1994/100-cota_s)^(3/2))*1000)),IF(O1994&lt;=cota_s*100+fi_s/20,0,(OFFSET('Base de dados'!$A$4,IF(O1994&lt;20,1,IF(O1994&gt;1000,10,MATCH(O1994,Cargas,1))),Coluna_fis,1,1))*(PI()*(fi_s/1000)^2/4)*(2*9.81*(O1994/100-cota_s-fi_s/2/1000))^0.5*1000)))</f>
        <v>10073.612183486421</v>
      </c>
      <c r="R1994" s="19">
        <f t="shared" ca="1" si="240"/>
        <v>10133.344969785865</v>
      </c>
      <c r="S1994" s="19">
        <f t="shared" ca="1" si="241"/>
        <v>12298.685446208839</v>
      </c>
    </row>
    <row r="1995" spans="13:19">
      <c r="M1995" s="81">
        <f t="shared" ca="1" si="238"/>
        <v>22447.606447832368</v>
      </c>
      <c r="N1995" s="19">
        <f t="shared" si="239"/>
        <v>369.16876036687802</v>
      </c>
      <c r="O1995" s="17">
        <f t="shared" si="237"/>
        <v>498.5</v>
      </c>
      <c r="P1995" s="19">
        <f ca="1">IF(ISERROR(IF(O1995&lt;fi_h/20,0,(OFFSET('Base de dados'!$A$5,IF(O1995&lt;20,1,IF(O1995&gt;1000,10,MATCH(O1995,Cargas,1))),Coluna_fih,1,1))*(1+0.13*0.25)*(PI()*(fi_h/1000)^2/4)*SQRT(2*9.81*(O1995/100-fi_h/2/1000))*1000)),"",IF(O1995&lt;fi_h/20,0,(OFFSET('Base de dados'!$A$5,IF(O1995&lt;20,1,IF(O1995&gt;1000,10,MATCH(O1995,Cargas,1))),Coluna_fih,1,1))*(PI()*(fi_h/1000)^2/4)*SQRT(2*9.81*(O1995/100-fi_h/2/1000))*1000))</f>
        <v>59.747941597147545</v>
      </c>
      <c r="Q1995" s="19">
        <f ca="1">IF(O1995="","",IF(Tipo_Vertedor="Retangular",IF(O1995&lt;=cota_s*100,0,IF(Tipo_Vertedor="Retangular",Cd_sr*Lef_sr*((O1995/100-cota_s)^(3/2))*1000)),IF(O1995&lt;=cota_s*100+fi_s/20,0,(OFFSET('Base de dados'!$A$4,IF(O1995&lt;20,1,IF(O1995&gt;1000,10,MATCH(O1995,Cargas,1))),Coluna_fis,1,1))*(PI()*(fi_s/1000)^2/4)*(2*9.81*(O1995/100-cota_s-fi_s/2/1000))^0.5*1000)))</f>
        <v>10082.233160672617</v>
      </c>
      <c r="R1995" s="19">
        <f t="shared" ca="1" si="240"/>
        <v>10141.981102269765</v>
      </c>
      <c r="S1995" s="19">
        <f t="shared" ca="1" si="241"/>
        <v>12305.625345562601</v>
      </c>
    </row>
    <row r="1996" spans="13:19">
      <c r="M1996" s="81">
        <f t="shared" ca="1" si="238"/>
        <v>22463.185367277627</v>
      </c>
      <c r="N1996" s="19">
        <f t="shared" si="239"/>
        <v>369.37697035492909</v>
      </c>
      <c r="O1996" s="17">
        <f t="shared" si="237"/>
        <v>498.75</v>
      </c>
      <c r="P1996" s="19">
        <f ca="1">IF(ISERROR(IF(O1996&lt;fi_h/20,0,(OFFSET('Base de dados'!$A$5,IF(O1996&lt;20,1,IF(O1996&gt;1000,10,MATCH(O1996,Cargas,1))),Coluna_fih,1,1))*(1+0.13*0.25)*(PI()*(fi_h/1000)^2/4)*SQRT(2*9.81*(O1996/100-fi_h/2/1000))*1000)),"",IF(O1996&lt;fi_h/20,0,(OFFSET('Base de dados'!$A$5,IF(O1996&lt;20,1,IF(O1996&gt;1000,10,MATCH(O1996,Cargas,1))),Coluna_fih,1,1))*(PI()*(fi_h/1000)^2/4)*SQRT(2*9.81*(O1996/100-fi_h/2/1000))*1000))</f>
        <v>59.76309305162507</v>
      </c>
      <c r="Q1996" s="19">
        <f ca="1">IF(O1996="","",IF(Tipo_Vertedor="Retangular",IF(O1996&lt;=cota_s*100,0,IF(Tipo_Vertedor="Retangular",Cd_sr*Lef_sr*((O1996/100-cota_s)^(3/2))*1000)),IF(O1996&lt;=cota_s*100+fi_s/20,0,(OFFSET('Base de dados'!$A$4,IF(O1996&lt;20,1,IF(O1996&gt;1000,10,MATCH(O1996,Cargas,1))),Coluna_fis,1,1))*(PI()*(fi_s/1000)^2/4)*(2*9.81*(O1996/100-cota_s-fi_s/2/1000))^0.5*1000)))</f>
        <v>10090.856595728368</v>
      </c>
      <c r="R1996" s="19">
        <f t="shared" ca="1" si="240"/>
        <v>10150.619688779992</v>
      </c>
      <c r="S1996" s="19">
        <f t="shared" ca="1" si="241"/>
        <v>12312.565678497636</v>
      </c>
    </row>
    <row r="1997" spans="13:19">
      <c r="M1997" s="81">
        <f t="shared" ca="1" si="238"/>
        <v>22478.76717344283</v>
      </c>
      <c r="N1997" s="19">
        <f t="shared" si="239"/>
        <v>369.58519334471072</v>
      </c>
      <c r="O1997" s="17">
        <f t="shared" si="237"/>
        <v>499</v>
      </c>
      <c r="P1997" s="19">
        <f ca="1">IF(ISERROR(IF(O1997&lt;fi_h/20,0,(OFFSET('Base de dados'!$A$5,IF(O1997&lt;20,1,IF(O1997&gt;1000,10,MATCH(O1997,Cargas,1))),Coluna_fih,1,1))*(1+0.13*0.25)*(PI()*(fi_h/1000)^2/4)*SQRT(2*9.81*(O1997/100-fi_h/2/1000))*1000)),"",IF(O1997&lt;fi_h/20,0,(OFFSET('Base de dados'!$A$5,IF(O1997&lt;20,1,IF(O1997&gt;1000,10,MATCH(O1997,Cargas,1))),Coluna_fih,1,1))*(PI()*(fi_h/1000)^2/4)*SQRT(2*9.81*(O1997/100-fi_h/2/1000))*1000))</f>
        <v>59.778240665799451</v>
      </c>
      <c r="Q1997" s="19">
        <f ca="1">IF(O1997="","",IF(Tipo_Vertedor="Retangular",IF(O1997&lt;=cota_s*100,0,IF(Tipo_Vertedor="Retangular",Cd_sr*Lef_sr*((O1997/100-cota_s)^(3/2))*1000)),IF(O1997&lt;=cota_s*100+fi_s/20,0,(OFFSET('Base de dados'!$A$4,IF(O1997&lt;20,1,IF(O1997&gt;1000,10,MATCH(O1997,Cargas,1))),Coluna_fis,1,1))*(PI()*(fi_s/1000)^2/4)*(2*9.81*(O1997/100-cota_s-fi_s/2/1000))^0.5*1000)))</f>
        <v>10099.482487953337</v>
      </c>
      <c r="R1997" s="19">
        <f t="shared" ca="1" si="240"/>
        <v>10159.260728619136</v>
      </c>
      <c r="S1997" s="19">
        <f t="shared" ca="1" si="241"/>
        <v>12319.506444823692</v>
      </c>
    </row>
    <row r="1998" spans="13:19">
      <c r="M1998" s="81">
        <f t="shared" ca="1" si="238"/>
        <v>22494.351865441015</v>
      </c>
      <c r="N1998" s="19">
        <f t="shared" si="239"/>
        <v>369.79342933051993</v>
      </c>
      <c r="O1998" s="17">
        <f t="shared" si="237"/>
        <v>499.25</v>
      </c>
      <c r="P1998" s="19">
        <f ca="1">IF(ISERROR(IF(O1998&lt;fi_h/20,0,(OFFSET('Base de dados'!$A$5,IF(O1998&lt;20,1,IF(O1998&gt;1000,10,MATCH(O1998,Cargas,1))),Coluna_fih,1,1))*(1+0.13*0.25)*(PI()*(fi_h/1000)^2/4)*SQRT(2*9.81*(O1998/100-fi_h/2/1000))*1000)),"",IF(O1998&lt;fi_h/20,0,(OFFSET('Base de dados'!$A$5,IF(O1998&lt;20,1,IF(O1998&gt;1000,10,MATCH(O1998,Cargas,1))),Coluna_fih,1,1))*(PI()*(fi_h/1000)^2/4)*SQRT(2*9.81*(O1998/100-fi_h/2/1000))*1000))</f>
        <v>59.793384442589321</v>
      </c>
      <c r="Q1998" s="19">
        <f ca="1">IF(O1998="","",IF(Tipo_Vertedor="Retangular",IF(O1998&lt;=cota_s*100,0,IF(Tipo_Vertedor="Retangular",Cd_sr*Lef_sr*((O1998/100-cota_s)^(3/2))*1000)),IF(O1998&lt;=cota_s*100+fi_s/20,0,(OFFSET('Base de dados'!$A$4,IF(O1998&lt;20,1,IF(O1998&gt;1000,10,MATCH(O1998,Cargas,1))),Coluna_fis,1,1))*(PI()*(fi_s/1000)^2/4)*(2*9.81*(O1998/100-cota_s-fi_s/2/1000))^0.5*1000)))</f>
        <v>10108.110836647758</v>
      </c>
      <c r="R1998" s="19">
        <f t="shared" ca="1" si="240"/>
        <v>10167.904221090348</v>
      </c>
      <c r="S1998" s="19">
        <f t="shared" ca="1" si="241"/>
        <v>12326.447644350665</v>
      </c>
    </row>
    <row r="1999" spans="13:19">
      <c r="M1999" s="81">
        <f t="shared" ca="1" si="238"/>
        <v>22509.939442386072</v>
      </c>
      <c r="N1999" s="19">
        <f t="shared" si="239"/>
        <v>370.00167830665998</v>
      </c>
      <c r="O1999" s="17">
        <f t="shared" si="237"/>
        <v>499.5</v>
      </c>
      <c r="P1999" s="19">
        <f ca="1">IF(ISERROR(IF(O1999&lt;fi_h/20,0,(OFFSET('Base de dados'!$A$5,IF(O1999&lt;20,1,IF(O1999&gt;1000,10,MATCH(O1999,Cargas,1))),Coluna_fih,1,1))*(1+0.13*0.25)*(PI()*(fi_h/1000)^2/4)*SQRT(2*9.81*(O1999/100-fi_h/2/1000))*1000)),"",IF(O1999&lt;fi_h/20,0,(OFFSET('Base de dados'!$A$5,IF(O1999&lt;20,1,IF(O1999&gt;1000,10,MATCH(O1999,Cargas,1))),Coluna_fih,1,1))*(PI()*(fi_h/1000)^2/4)*SQRT(2*9.81*(O1999/100-fi_h/2/1000))*1000))</f>
        <v>59.808524384909596</v>
      </c>
      <c r="Q1999" s="19">
        <f ca="1">IF(O1999="","",IF(Tipo_Vertedor="Retangular",IF(O1999&lt;=cota_s*100,0,IF(Tipo_Vertedor="Retangular",Cd_sr*Lef_sr*((O1999/100-cota_s)^(3/2))*1000)),IF(O1999&lt;=cota_s*100+fi_s/20,0,(OFFSET('Base de dados'!$A$4,IF(O1999&lt;20,1,IF(O1999&gt;1000,10,MATCH(O1999,Cargas,1))),Coluna_fis,1,1))*(PI()*(fi_s/1000)^2/4)*(2*9.81*(O1999/100-cota_s-fi_s/2/1000))^0.5*1000)))</f>
        <v>10116.741641112498</v>
      </c>
      <c r="R1999" s="19">
        <f t="shared" ca="1" si="240"/>
        <v>10176.550165497407</v>
      </c>
      <c r="S1999" s="19">
        <f t="shared" ca="1" si="241"/>
        <v>12333.389276888665</v>
      </c>
    </row>
    <row r="2000" spans="13:19">
      <c r="M2000" s="81">
        <f t="shared" ca="1" si="238"/>
        <v>22525.529903392613</v>
      </c>
      <c r="N2000" s="19">
        <f t="shared" si="239"/>
        <v>370.20994026743864</v>
      </c>
      <c r="O2000" s="17">
        <f t="shared" si="237"/>
        <v>499.75</v>
      </c>
      <c r="P2000" s="19">
        <f ca="1">IF(ISERROR(IF(O2000&lt;fi_h/20,0,(OFFSET('Base de dados'!$A$5,IF(O2000&lt;20,1,IF(O2000&gt;1000,10,MATCH(O2000,Cargas,1))),Coluna_fih,1,1))*(1+0.13*0.25)*(PI()*(fi_h/1000)^2/4)*SQRT(2*9.81*(O2000/100-fi_h/2/1000))*1000)),"",IF(O2000&lt;fi_h/20,0,(OFFSET('Base de dados'!$A$5,IF(O2000&lt;20,1,IF(O2000&gt;1000,10,MATCH(O2000,Cargas,1))),Coluna_fih,1,1))*(PI()*(fi_h/1000)^2/4)*SQRT(2*9.81*(O2000/100-fi_h/2/1000))*1000))</f>
        <v>59.823660495671518</v>
      </c>
      <c r="Q2000" s="19">
        <f ca="1">IF(O2000="","",IF(Tipo_Vertedor="Retangular",IF(O2000&lt;=cota_s*100,0,IF(Tipo_Vertedor="Retangular",Cd_sr*Lef_sr*((O2000/100-cota_s)^(3/2))*1000)),IF(O2000&lt;=cota_s*100+fi_s/20,0,(OFFSET('Base de dados'!$A$4,IF(O2000&lt;20,1,IF(O2000&gt;1000,10,MATCH(O2000,Cargas,1))),Coluna_fis,1,1))*(PI()*(fi_s/1000)^2/4)*(2*9.81*(O2000/100-cota_s-fi_s/2/1000))^0.5*1000)))</f>
        <v>10125.374900648987</v>
      </c>
      <c r="R2000" s="19">
        <f t="shared" ca="1" si="240"/>
        <v>10185.198561144658</v>
      </c>
      <c r="S2000" s="19">
        <f t="shared" ca="1" si="241"/>
        <v>12340.331342247955</v>
      </c>
    </row>
    <row r="2001" spans="13:19">
      <c r="M2001" s="81">
        <f t="shared" ca="1" si="238"/>
        <v>22541.221666643109</v>
      </c>
      <c r="N2001" s="19">
        <f t="shared" si="239"/>
        <v>370.41821520716945</v>
      </c>
      <c r="O2001" s="17">
        <f t="shared" si="237"/>
        <v>500</v>
      </c>
      <c r="P2001" s="19">
        <f ca="1">IF(ISERROR(IF(O2001&lt;fi_h/20,0,(OFFSET('Base de dados'!$A$5,IF(O2001&lt;20,1,IF(O2001&gt;1000,10,MATCH(O2001,Cargas,1))),Coluna_fih,1,1))*(1+0.13*0.25)*(PI()*(fi_h/1000)^2/4)*SQRT(2*9.81*(O2001/100-fi_h/2/1000))*1000)),"",IF(O2001&lt;fi_h/20,0,(OFFSET('Base de dados'!$A$5,IF(O2001&lt;20,1,IF(O2001&gt;1000,10,MATCH(O2001,Cargas,1))),Coluna_fih,1,1))*(PI()*(fi_h/1000)^2/4)*SQRT(2*9.81*(O2001/100-fi_h/2/1000))*1000))</f>
        <v>59.937211844851362</v>
      </c>
      <c r="Q2001" s="19">
        <f ca="1">IF(O2001="","",IF(Tipo_Vertedor="Retangular",IF(O2001&lt;=cota_s*100,0,IF(Tipo_Vertedor="Retangular",Cd_sr*Lef_sr*((O2001/100-cota_s)^(3/2))*1000)),IF(O2001&lt;=cota_s*100+fi_s/20,0,(OFFSET('Base de dados'!$A$4,IF(O2001&lt;20,1,IF(O2001&gt;1000,10,MATCH(O2001,Cargas,1))),Coluna_fis,1,1))*(PI()*(fi_s/1000)^2/4)*(2*9.81*(O2001/100-cota_s-fi_s/2/1000))^0.5*1000)))</f>
        <v>10134.010614559274</v>
      </c>
      <c r="R2001" s="19">
        <f t="shared" ca="1" si="240"/>
        <v>10193.947826404126</v>
      </c>
      <c r="S2001" s="19">
        <f t="shared" ca="1" si="241"/>
        <v>12347.273840238982</v>
      </c>
    </row>
    <row r="2002" spans="13:19">
      <c r="M2002" s="81">
        <f t="shared" ca="1" si="238"/>
        <v>22556.817918001907</v>
      </c>
      <c r="N2002" s="19">
        <f t="shared" si="239"/>
        <v>370.62650312017104</v>
      </c>
      <c r="O2002" s="17">
        <f t="shared" si="237"/>
        <v>500.25</v>
      </c>
      <c r="P2002" s="19">
        <f ca="1">IF(ISERROR(IF(O2002&lt;fi_h/20,0,(OFFSET('Base de dados'!$A$5,IF(O2002&lt;20,1,IF(O2002&gt;1000,10,MATCH(O2002,Cargas,1))),Coluna_fih,1,1))*(1+0.13*0.25)*(PI()*(fi_h/1000)^2/4)*SQRT(2*9.81*(O2002/100-fi_h/2/1000))*1000)),"",IF(O2002&lt;fi_h/20,0,(OFFSET('Base de dados'!$A$5,IF(O2002&lt;20,1,IF(O2002&gt;1000,10,MATCH(O2002,Cargas,1))),Coluna_fih,1,1))*(PI()*(fi_h/1000)^2/4)*SQRT(2*9.81*(O2002/100-fi_h/2/1000))*1000))</f>
        <v>59.952365183545119</v>
      </c>
      <c r="Q2002" s="19">
        <f ca="1">IF(O2002="","",IF(Tipo_Vertedor="Retangular",IF(O2002&lt;=cota_s*100,0,IF(Tipo_Vertedor="Retangular",Cd_sr*Lef_sr*((O2002/100-cota_s)^(3/2))*1000)),IF(O2002&lt;=cota_s*100+fi_s/20,0,(OFFSET('Base de dados'!$A$4,IF(O2002&lt;20,1,IF(O2002&gt;1000,10,MATCH(O2002,Cargas,1))),Coluna_fis,1,1))*(PI()*(fi_s/1000)^2/4)*(2*9.81*(O2002/100-cota_s-fi_s/2/1000))^0.5*1000)))</f>
        <v>10142.648782145998</v>
      </c>
      <c r="R2002" s="19">
        <f t="shared" ca="1" si="240"/>
        <v>10202.601147329542</v>
      </c>
      <c r="S2002" s="19">
        <f t="shared" ca="1" si="241"/>
        <v>12354.216770672367</v>
      </c>
    </row>
    <row r="2003" spans="13:19">
      <c r="M2003" s="81">
        <f t="shared" ca="1" si="238"/>
        <v>22572.417050764401</v>
      </c>
      <c r="N2003" s="19">
        <f t="shared" si="239"/>
        <v>370.83480400076769</v>
      </c>
      <c r="O2003" s="17">
        <f t="shared" ref="O2003:O2066" si="242">IF(ISERROR(IF(O2002+passo_altura&gt;h_max_puls*100,"",O2002+passo_altura)),"",IF(O2002+passo_altura&gt;h_max_puls*100,"",O2002+passo_altura))</f>
        <v>500.5</v>
      </c>
      <c r="P2003" s="19">
        <f ca="1">IF(ISERROR(IF(O2003&lt;fi_h/20,0,(OFFSET('Base de dados'!$A$5,IF(O2003&lt;20,1,IF(O2003&gt;1000,10,MATCH(O2003,Cargas,1))),Coluna_fih,1,1))*(1+0.13*0.25)*(PI()*(fi_h/1000)^2/4)*SQRT(2*9.81*(O2003/100-fi_h/2/1000))*1000)),"",IF(O2003&lt;fi_h/20,0,(OFFSET('Base de dados'!$A$5,IF(O2003&lt;20,1,IF(O2003&gt;1000,10,MATCH(O2003,Cargas,1))),Coluna_fih,1,1))*(PI()*(fi_h/1000)^2/4)*SQRT(2*9.81*(O2003/100-fi_h/2/1000))*1000))</f>
        <v>59.967514693104597</v>
      </c>
      <c r="Q2003" s="19">
        <f ca="1">IF(O2003="","",IF(Tipo_Vertedor="Retangular",IF(O2003&lt;=cota_s*100,0,IF(Tipo_Vertedor="Retangular",Cd_sr*Lef_sr*((O2003/100-cota_s)^(3/2))*1000)),IF(O2003&lt;=cota_s*100+fi_s/20,0,(OFFSET('Base de dados'!$A$4,IF(O2003&lt;20,1,IF(O2003&gt;1000,10,MATCH(O2003,Cargas,1))),Coluna_fis,1,1))*(PI()*(fi_s/1000)^2/4)*(2*9.81*(O2003/100-cota_s-fi_s/2/1000))^0.5*1000)))</f>
        <v>10151.289402712375</v>
      </c>
      <c r="R2003" s="19">
        <f t="shared" ca="1" si="240"/>
        <v>10211.256917405479</v>
      </c>
      <c r="S2003" s="19">
        <f t="shared" ca="1" si="241"/>
        <v>12361.160133358924</v>
      </c>
    </row>
    <row r="2004" spans="13:19">
      <c r="M2004" s="81">
        <f t="shared" ca="1" si="238"/>
        <v>22588.019064048294</v>
      </c>
      <c r="N2004" s="19">
        <f t="shared" si="239"/>
        <v>371.04311784328871</v>
      </c>
      <c r="O2004" s="17">
        <f t="shared" si="242"/>
        <v>500.75</v>
      </c>
      <c r="P2004" s="19">
        <f ca="1">IF(ISERROR(IF(O2004&lt;fi_h/20,0,(OFFSET('Base de dados'!$A$5,IF(O2004&lt;20,1,IF(O2004&gt;1000,10,MATCH(O2004,Cargas,1))),Coluna_fih,1,1))*(1+0.13*0.25)*(PI()*(fi_h/1000)^2/4)*SQRT(2*9.81*(O2004/100-fi_h/2/1000))*1000)),"",IF(O2004&lt;fi_h/20,0,(OFFSET('Base de dados'!$A$5,IF(O2004&lt;20,1,IF(O2004&gt;1000,10,MATCH(O2004,Cargas,1))),Coluna_fih,1,1))*(PI()*(fi_h/1000)^2/4)*SQRT(2*9.81*(O2004/100-fi_h/2/1000))*1000))</f>
        <v>59.982660376431092</v>
      </c>
      <c r="Q2004" s="19">
        <f ca="1">IF(O2004="","",IF(Tipo_Vertedor="Retangular",IF(O2004&lt;=cota_s*100,0,IF(Tipo_Vertedor="Retangular",Cd_sr*Lef_sr*((O2004/100-cota_s)^(3/2))*1000)),IF(O2004&lt;=cota_s*100+fi_s/20,0,(OFFSET('Base de dados'!$A$4,IF(O2004&lt;20,1,IF(O2004&gt;1000,10,MATCH(O2004,Cargas,1))),Coluna_fis,1,1))*(PI()*(fi_s/1000)^2/4)*(2*9.81*(O2004/100-cota_s-fi_s/2/1000))^0.5*1000)))</f>
        <v>10159.93247556224</v>
      </c>
      <c r="R2004" s="19">
        <f t="shared" ca="1" si="240"/>
        <v>10219.915135938671</v>
      </c>
      <c r="S2004" s="19">
        <f t="shared" ca="1" si="241"/>
        <v>12368.103928109624</v>
      </c>
    </row>
    <row r="2005" spans="13:19">
      <c r="M2005" s="81">
        <f t="shared" ca="1" si="238"/>
        <v>22603.623956972049</v>
      </c>
      <c r="N2005" s="19">
        <f t="shared" si="239"/>
        <v>371.2514446420688</v>
      </c>
      <c r="O2005" s="17">
        <f t="shared" si="242"/>
        <v>501</v>
      </c>
      <c r="P2005" s="19">
        <f ca="1">IF(ISERROR(IF(O2005&lt;fi_h/20,0,(OFFSET('Base de dados'!$A$5,IF(O2005&lt;20,1,IF(O2005&gt;1000,10,MATCH(O2005,Cargas,1))),Coluna_fih,1,1))*(1+0.13*0.25)*(PI()*(fi_h/1000)^2/4)*SQRT(2*9.81*(O2005/100-fi_h/2/1000))*1000)),"",IF(O2005&lt;fi_h/20,0,(OFFSET('Base de dados'!$A$5,IF(O2005&lt;20,1,IF(O2005&gt;1000,10,MATCH(O2005,Cargas,1))),Coluna_fih,1,1))*(PI()*(fi_h/1000)^2/4)*SQRT(2*9.81*(O2005/100-fi_h/2/1000))*1000))</f>
        <v>59.997802236422288</v>
      </c>
      <c r="Q2005" s="19">
        <f ca="1">IF(O2005="","",IF(Tipo_Vertedor="Retangular",IF(O2005&lt;=cota_s*100,0,IF(Tipo_Vertedor="Retangular",Cd_sr*Lef_sr*((O2005/100-cota_s)^(3/2))*1000)),IF(O2005&lt;=cota_s*100+fi_s/20,0,(OFFSET('Base de dados'!$A$4,IF(O2005&lt;20,1,IF(O2005&gt;1000,10,MATCH(O2005,Cargas,1))),Coluna_fis,1,1))*(PI()*(fi_s/1000)^2/4)*(2*9.81*(O2005/100-cota_s-fi_s/2/1000))^0.5*1000)))</f>
        <v>10168.578</v>
      </c>
      <c r="R2005" s="19">
        <f t="shared" ca="1" si="240"/>
        <v>10228.575802236423</v>
      </c>
      <c r="S2005" s="19">
        <f t="shared" ca="1" si="241"/>
        <v>12375.048154735627</v>
      </c>
    </row>
    <row r="2006" spans="13:19">
      <c r="M2006" s="81">
        <f t="shared" ca="1" si="238"/>
        <v>22619.231728654919</v>
      </c>
      <c r="N2006" s="19">
        <f t="shared" si="239"/>
        <v>371.45978439144812</v>
      </c>
      <c r="O2006" s="17">
        <f t="shared" si="242"/>
        <v>501.25</v>
      </c>
      <c r="P2006" s="19">
        <f ca="1">IF(ISERROR(IF(O2006&lt;fi_h/20,0,(OFFSET('Base de dados'!$A$5,IF(O2006&lt;20,1,IF(O2006&gt;1000,10,MATCH(O2006,Cargas,1))),Coluna_fih,1,1))*(1+0.13*0.25)*(PI()*(fi_h/1000)^2/4)*SQRT(2*9.81*(O2006/100-fi_h/2/1000))*1000)),"",IF(O2006&lt;fi_h/20,0,(OFFSET('Base de dados'!$A$5,IF(O2006&lt;20,1,IF(O2006&gt;1000,10,MATCH(O2006,Cargas,1))),Coluna_fih,1,1))*(PI()*(fi_h/1000)^2/4)*SQRT(2*9.81*(O2006/100-fi_h/2/1000))*1000))</f>
        <v>60.012940275972163</v>
      </c>
      <c r="Q2006" s="19">
        <f ca="1">IF(O2006="","",IF(Tipo_Vertedor="Retangular",IF(O2006&lt;=cota_s*100,0,IF(Tipo_Vertedor="Retangular",Cd_sr*Lef_sr*((O2006/100-cota_s)^(3/2))*1000)),IF(O2006&lt;=cota_s*100+fi_s/20,0,(OFFSET('Base de dados'!$A$4,IF(O2006&lt;20,1,IF(O2006&gt;1000,10,MATCH(O2006,Cargas,1))),Coluna_fis,1,1))*(PI()*(fi_s/1000)^2/4)*(2*9.81*(O2006/100-cota_s-fi_s/2/1000))^0.5*1000)))</f>
        <v>10177.225975330675</v>
      </c>
      <c r="R2006" s="19">
        <f t="shared" ca="1" si="240"/>
        <v>10237.238915606647</v>
      </c>
      <c r="S2006" s="19">
        <f t="shared" ca="1" si="241"/>
        <v>12381.992813048271</v>
      </c>
    </row>
    <row r="2007" spans="13:19">
      <c r="M2007" s="81">
        <f t="shared" ref="M2007:M2070" ca="1" si="243">IF(O2007="","",2*N2007*1000/(Passo*60)+R2007)</f>
        <v>22634.842378216876</v>
      </c>
      <c r="N2007" s="19">
        <f t="shared" ref="N2007:N2070" si="244">IF(O2007="","",b_0*(O2007/100)^c_0)</f>
        <v>371.66813708577172</v>
      </c>
      <c r="O2007" s="17">
        <f t="shared" si="242"/>
        <v>501.5</v>
      </c>
      <c r="P2007" s="19">
        <f ca="1">IF(ISERROR(IF(O2007&lt;fi_h/20,0,(OFFSET('Base de dados'!$A$5,IF(O2007&lt;20,1,IF(O2007&gt;1000,10,MATCH(O2007,Cargas,1))),Coluna_fih,1,1))*(1+0.13*0.25)*(PI()*(fi_h/1000)^2/4)*SQRT(2*9.81*(O2007/100-fi_h/2/1000))*1000)),"",IF(O2007&lt;fi_h/20,0,(OFFSET('Base de dados'!$A$5,IF(O2007&lt;20,1,IF(O2007&gt;1000,10,MATCH(O2007,Cargas,1))),Coluna_fih,1,1))*(PI()*(fi_h/1000)^2/4)*SQRT(2*9.81*(O2007/100-fi_h/2/1000))*1000))</f>
        <v>60.028074497971062</v>
      </c>
      <c r="Q2007" s="19">
        <f ca="1">IF(O2007="","",IF(Tipo_Vertedor="Retangular",IF(O2007&lt;=cota_s*100,0,IF(Tipo_Vertedor="Retangular",Cd_sr*Lef_sr*((O2007/100-cota_s)^(3/2))*1000)),IF(O2007&lt;=cota_s*100+fi_s/20,0,(OFFSET('Base de dados'!$A$4,IF(O2007&lt;20,1,IF(O2007&gt;1000,10,MATCH(O2007,Cargas,1))),Coluna_fis,1,1))*(PI()*(fi_s/1000)^2/4)*(2*9.81*(O2007/100-cota_s-fi_s/2/1000))^0.5*1000)))</f>
        <v>10185.876400859846</v>
      </c>
      <c r="R2007" s="19">
        <f t="shared" ref="R2007:R2070" ca="1" si="245">IF(O2007="","",Q2007+P2007)</f>
        <v>10245.904475357818</v>
      </c>
      <c r="S2007" s="19">
        <f t="shared" ref="S2007:S2070" ca="1" si="246">IF(M2007="","",2*N2007*1000/(Passo*60))</f>
        <v>12388.937902859057</v>
      </c>
    </row>
    <row r="2008" spans="13:19">
      <c r="M2008" s="81">
        <f t="shared" ca="1" si="243"/>
        <v>22650.455904778697</v>
      </c>
      <c r="N2008" s="19">
        <f t="shared" si="244"/>
        <v>371.87650271939043</v>
      </c>
      <c r="O2008" s="17">
        <f t="shared" si="242"/>
        <v>501.75</v>
      </c>
      <c r="P2008" s="19">
        <f ca="1">IF(ISERROR(IF(O2008&lt;fi_h/20,0,(OFFSET('Base de dados'!$A$5,IF(O2008&lt;20,1,IF(O2008&gt;1000,10,MATCH(O2008,Cargas,1))),Coluna_fih,1,1))*(1+0.13*0.25)*(PI()*(fi_h/1000)^2/4)*SQRT(2*9.81*(O2008/100-fi_h/2/1000))*1000)),"",IF(O2008&lt;fi_h/20,0,(OFFSET('Base de dados'!$A$5,IF(O2008&lt;20,1,IF(O2008&gt;1000,10,MATCH(O2008,Cargas,1))),Coluna_fih,1,1))*(PI()*(fi_h/1000)^2/4)*SQRT(2*9.81*(O2008/100-fi_h/2/1000))*1000))</f>
        <v>60.043204905305693</v>
      </c>
      <c r="Q2008" s="19">
        <f ca="1">IF(O2008="","",IF(Tipo_Vertedor="Retangular",IF(O2008&lt;=cota_s*100,0,IF(Tipo_Vertedor="Retangular",Cd_sr*Lef_sr*((O2008/100-cota_s)^(3/2))*1000)),IF(O2008&lt;=cota_s*100+fi_s/20,0,(OFFSET('Base de dados'!$A$4,IF(O2008&lt;20,1,IF(O2008&gt;1000,10,MATCH(O2008,Cargas,1))),Coluna_fis,1,1))*(PI()*(fi_s/1000)^2/4)*(2*9.81*(O2008/100-cota_s-fi_s/2/1000))^0.5*1000)))</f>
        <v>10194.529275893712</v>
      </c>
      <c r="R2008" s="19">
        <f t="shared" ca="1" si="245"/>
        <v>10254.572480799017</v>
      </c>
      <c r="S2008" s="19">
        <f t="shared" ca="1" si="246"/>
        <v>12395.883423979682</v>
      </c>
    </row>
    <row r="2009" spans="13:19">
      <c r="M2009" s="81">
        <f t="shared" ca="1" si="243"/>
        <v>22666.072307461905</v>
      </c>
      <c r="N2009" s="19">
        <f t="shared" si="244"/>
        <v>372.08488128666005</v>
      </c>
      <c r="O2009" s="17">
        <f t="shared" si="242"/>
        <v>502</v>
      </c>
      <c r="P2009" s="19">
        <f ca="1">IF(ISERROR(IF(O2009&lt;fi_h/20,0,(OFFSET('Base de dados'!$A$5,IF(O2009&lt;20,1,IF(O2009&gt;1000,10,MATCH(O2009,Cargas,1))),Coluna_fih,1,1))*(1+0.13*0.25)*(PI()*(fi_h/1000)^2/4)*SQRT(2*9.81*(O2009/100-fi_h/2/1000))*1000)),"",IF(O2009&lt;fi_h/20,0,(OFFSET('Base de dados'!$A$5,IF(O2009&lt;20,1,IF(O2009&gt;1000,10,MATCH(O2009,Cargas,1))),Coluna_fih,1,1))*(PI()*(fi_h/1000)^2/4)*SQRT(2*9.81*(O2009/100-fi_h/2/1000))*1000))</f>
        <v>60.058331500859126</v>
      </c>
      <c r="Q2009" s="19">
        <f ca="1">IF(O2009="","",IF(Tipo_Vertedor="Retangular",IF(O2009&lt;=cota_s*100,0,IF(Tipo_Vertedor="Retangular",Cd_sr*Lef_sr*((O2009/100-cota_s)^(3/2))*1000)),IF(O2009&lt;=cota_s*100+fi_s/20,0,(OFFSET('Base de dados'!$A$4,IF(O2009&lt;20,1,IF(O2009&gt;1000,10,MATCH(O2009,Cargas,1))),Coluna_fis,1,1))*(PI()*(fi_s/1000)^2/4)*(2*9.81*(O2009/100-cota_s-fi_s/2/1000))^0.5*1000)))</f>
        <v>10203.184599739045</v>
      </c>
      <c r="R2009" s="19">
        <f t="shared" ca="1" si="245"/>
        <v>10263.242931239904</v>
      </c>
      <c r="S2009" s="19">
        <f t="shared" ca="1" si="246"/>
        <v>12402.829376222002</v>
      </c>
    </row>
    <row r="2010" spans="13:19">
      <c r="M2010" s="81">
        <f t="shared" ca="1" si="243"/>
        <v>22681.691585388788</v>
      </c>
      <c r="N2010" s="19">
        <f t="shared" si="244"/>
        <v>372.29327278194194</v>
      </c>
      <c r="O2010" s="17">
        <f t="shared" si="242"/>
        <v>502.25</v>
      </c>
      <c r="P2010" s="19">
        <f ca="1">IF(ISERROR(IF(O2010&lt;fi_h/20,0,(OFFSET('Base de dados'!$A$5,IF(O2010&lt;20,1,IF(O2010&gt;1000,10,MATCH(O2010,Cargas,1))),Coluna_fih,1,1))*(1+0.13*0.25)*(PI()*(fi_h/1000)^2/4)*SQRT(2*9.81*(O2010/100-fi_h/2/1000))*1000)),"",IF(O2010&lt;fi_h/20,0,(OFFSET('Base de dados'!$A$5,IF(O2010&lt;20,1,IF(O2010&gt;1000,10,MATCH(O2010,Cargas,1))),Coluna_fih,1,1))*(PI()*(fi_h/1000)^2/4)*SQRT(2*9.81*(O2010/100-fi_h/2/1000))*1000))</f>
        <v>60.073454287510792</v>
      </c>
      <c r="Q2010" s="19">
        <f ca="1">IF(O2010="","",IF(Tipo_Vertedor="Retangular",IF(O2010&lt;=cota_s*100,0,IF(Tipo_Vertedor="Retangular",Cd_sr*Lef_sr*((O2010/100-cota_s)^(3/2))*1000)),IF(O2010&lt;=cota_s*100+fi_s/20,0,(OFFSET('Base de dados'!$A$4,IF(O2010&lt;20,1,IF(O2010&gt;1000,10,MATCH(O2010,Cargas,1))),Coluna_fis,1,1))*(PI()*(fi_s/1000)^2/4)*(2*9.81*(O2010/100-cota_s-fi_s/2/1000))^0.5*1000)))</f>
        <v>10211.842371703213</v>
      </c>
      <c r="R2010" s="19">
        <f t="shared" ca="1" si="245"/>
        <v>10271.915825990724</v>
      </c>
      <c r="S2010" s="19">
        <f t="shared" ca="1" si="246"/>
        <v>12409.775759398064</v>
      </c>
    </row>
    <row r="2011" spans="13:19">
      <c r="M2011" s="81">
        <f t="shared" ca="1" si="243"/>
        <v>22697.313737682372</v>
      </c>
      <c r="N2011" s="19">
        <f t="shared" si="244"/>
        <v>372.50167719960211</v>
      </c>
      <c r="O2011" s="17">
        <f t="shared" si="242"/>
        <v>502.5</v>
      </c>
      <c r="P2011" s="19">
        <f ca="1">IF(ISERROR(IF(O2011&lt;fi_h/20,0,(OFFSET('Base de dados'!$A$5,IF(O2011&lt;20,1,IF(O2011&gt;1000,10,MATCH(O2011,Cargas,1))),Coluna_fih,1,1))*(1+0.13*0.25)*(PI()*(fi_h/1000)^2/4)*SQRT(2*9.81*(O2011/100-fi_h/2/1000))*1000)),"",IF(O2011&lt;fi_h/20,0,(OFFSET('Base de dados'!$A$5,IF(O2011&lt;20,1,IF(O2011&gt;1000,10,MATCH(O2011,Cargas,1))),Coluna_fih,1,1))*(PI()*(fi_h/1000)^2/4)*SQRT(2*9.81*(O2011/100-fi_h/2/1000))*1000))</f>
        <v>60.088573268136528</v>
      </c>
      <c r="Q2011" s="19">
        <f ca="1">IF(O2011="","",IF(Tipo_Vertedor="Retangular",IF(O2011&lt;=cota_s*100,0,IF(Tipo_Vertedor="Retangular",Cd_sr*Lef_sr*((O2011/100-cota_s)^(3/2))*1000)),IF(O2011&lt;=cota_s*100+fi_s/20,0,(OFFSET('Base de dados'!$A$4,IF(O2011&lt;20,1,IF(O2011&gt;1000,10,MATCH(O2011,Cargas,1))),Coluna_fis,1,1))*(PI()*(fi_s/1000)^2/4)*(2*9.81*(O2011/100-cota_s-fi_s/2/1000))^0.5*1000)))</f>
        <v>10220.502591094166</v>
      </c>
      <c r="R2011" s="19">
        <f t="shared" ca="1" si="245"/>
        <v>10280.591164362302</v>
      </c>
      <c r="S2011" s="19">
        <f t="shared" ca="1" si="246"/>
        <v>12416.72257332007</v>
      </c>
    </row>
    <row r="2012" spans="13:19">
      <c r="M2012" s="81">
        <f t="shared" ca="1" si="243"/>
        <v>22712.938763466471</v>
      </c>
      <c r="N2012" s="19">
        <f t="shared" si="244"/>
        <v>372.71009453401257</v>
      </c>
      <c r="O2012" s="17">
        <f t="shared" si="242"/>
        <v>502.75</v>
      </c>
      <c r="P2012" s="19">
        <f ca="1">IF(ISERROR(IF(O2012&lt;fi_h/20,0,(OFFSET('Base de dados'!$A$5,IF(O2012&lt;20,1,IF(O2012&gt;1000,10,MATCH(O2012,Cargas,1))),Coluna_fih,1,1))*(1+0.13*0.25)*(PI()*(fi_h/1000)^2/4)*SQRT(2*9.81*(O2012/100-fi_h/2/1000))*1000)),"",IF(O2012&lt;fi_h/20,0,(OFFSET('Base de dados'!$A$5,IF(O2012&lt;20,1,IF(O2012&gt;1000,10,MATCH(O2012,Cargas,1))),Coluna_fih,1,1))*(PI()*(fi_h/1000)^2/4)*SQRT(2*9.81*(O2012/100-fi_h/2/1000))*1000))</f>
        <v>60.103688445608512</v>
      </c>
      <c r="Q2012" s="19">
        <f ca="1">IF(O2012="","",IF(Tipo_Vertedor="Retangular",IF(O2012&lt;=cota_s*100,0,IF(Tipo_Vertedor="Retangular",Cd_sr*Lef_sr*((O2012/100-cota_s)^(3/2))*1000)),IF(O2012&lt;=cota_s*100+fi_s/20,0,(OFFSET('Base de dados'!$A$4,IF(O2012&lt;20,1,IF(O2012&gt;1000,10,MATCH(O2012,Cargas,1))),Coluna_fis,1,1))*(PI()*(fi_s/1000)^2/4)*(2*9.81*(O2012/100-cota_s-fi_s/2/1000))^0.5*1000)))</f>
        <v>10229.165257220444</v>
      </c>
      <c r="R2012" s="19">
        <f t="shared" ca="1" si="245"/>
        <v>10289.268945666052</v>
      </c>
      <c r="S2012" s="19">
        <f t="shared" ca="1" si="246"/>
        <v>12423.669817800419</v>
      </c>
    </row>
    <row r="2013" spans="13:19">
      <c r="M2013" s="81">
        <f t="shared" ca="1" si="243"/>
        <v>22728.566661865636</v>
      </c>
      <c r="N2013" s="19">
        <f t="shared" si="244"/>
        <v>372.91852477955013</v>
      </c>
      <c r="O2013" s="17">
        <f t="shared" si="242"/>
        <v>503</v>
      </c>
      <c r="P2013" s="19">
        <f ca="1">IF(ISERROR(IF(O2013&lt;fi_h/20,0,(OFFSET('Base de dados'!$A$5,IF(O2013&lt;20,1,IF(O2013&gt;1000,10,MATCH(O2013,Cargas,1))),Coluna_fih,1,1))*(1+0.13*0.25)*(PI()*(fi_h/1000)^2/4)*SQRT(2*9.81*(O2013/100-fi_h/2/1000))*1000)),"",IF(O2013&lt;fi_h/20,0,(OFFSET('Base de dados'!$A$5,IF(O2013&lt;20,1,IF(O2013&gt;1000,10,MATCH(O2013,Cargas,1))),Coluna_fih,1,1))*(PI()*(fi_h/1000)^2/4)*SQRT(2*9.81*(O2013/100-fi_h/2/1000))*1000))</f>
        <v>60.118799822795332</v>
      </c>
      <c r="Q2013" s="19">
        <f ca="1">IF(O2013="","",IF(Tipo_Vertedor="Retangular",IF(O2013&lt;=cota_s*100,0,IF(Tipo_Vertedor="Retangular",Cd_sr*Lef_sr*((O2013/100-cota_s)^(3/2))*1000)),IF(O2013&lt;=cota_s*100+fi_s/20,0,(OFFSET('Base de dados'!$A$4,IF(O2013&lt;20,1,IF(O2013&gt;1000,10,MATCH(O2013,Cargas,1))),Coluna_fis,1,1))*(PI()*(fi_s/1000)^2/4)*(2*9.81*(O2013/100-cota_s-fi_s/2/1000))^0.5*1000)))</f>
        <v>10237.830369391168</v>
      </c>
      <c r="R2013" s="19">
        <f t="shared" ca="1" si="245"/>
        <v>10297.949169213964</v>
      </c>
      <c r="S2013" s="19">
        <f t="shared" ca="1" si="246"/>
        <v>12430.617492651672</v>
      </c>
    </row>
    <row r="2014" spans="13:19">
      <c r="M2014" s="81">
        <f t="shared" ca="1" si="243"/>
        <v>22744.197432005174</v>
      </c>
      <c r="N2014" s="19">
        <f t="shared" si="244"/>
        <v>373.12696793059689</v>
      </c>
      <c r="O2014" s="17">
        <f t="shared" si="242"/>
        <v>503.25</v>
      </c>
      <c r="P2014" s="19">
        <f ca="1">IF(ISERROR(IF(O2014&lt;fi_h/20,0,(OFFSET('Base de dados'!$A$5,IF(O2014&lt;20,1,IF(O2014&gt;1000,10,MATCH(O2014,Cargas,1))),Coluna_fih,1,1))*(1+0.13*0.25)*(PI()*(fi_h/1000)^2/4)*SQRT(2*9.81*(O2014/100-fi_h/2/1000))*1000)),"",IF(O2014&lt;fi_h/20,0,(OFFSET('Base de dados'!$A$5,IF(O2014&lt;20,1,IF(O2014&gt;1000,10,MATCH(O2014,Cargas,1))),Coluna_fih,1,1))*(PI()*(fi_h/1000)^2/4)*SQRT(2*9.81*(O2014/100-fi_h/2/1000))*1000))</f>
        <v>60.133907402561974</v>
      </c>
      <c r="Q2014" s="19">
        <f ca="1">IF(O2014="","",IF(Tipo_Vertedor="Retangular",IF(O2014&lt;=cota_s*100,0,IF(Tipo_Vertedor="Retangular",Cd_sr*Lef_sr*((O2014/100-cota_s)^(3/2))*1000)),IF(O2014&lt;=cota_s*100+fi_s/20,0,(OFFSET('Base de dados'!$A$4,IF(O2014&lt;20,1,IF(O2014&gt;1000,10,MATCH(O2014,Cargas,1))),Coluna_fis,1,1))*(PI()*(fi_s/1000)^2/4)*(2*9.81*(O2014/100-cota_s-fi_s/2/1000))^0.5*1000)))</f>
        <v>10246.497926916047</v>
      </c>
      <c r="R2014" s="19">
        <f t="shared" ca="1" si="245"/>
        <v>10306.631834318609</v>
      </c>
      <c r="S2014" s="19">
        <f t="shared" ca="1" si="246"/>
        <v>12437.565597686564</v>
      </c>
    </row>
    <row r="2015" spans="13:19">
      <c r="M2015" s="81">
        <f t="shared" ca="1" si="243"/>
        <v>22759.831073011163</v>
      </c>
      <c r="N2015" s="19">
        <f t="shared" si="244"/>
        <v>373.33542398154043</v>
      </c>
      <c r="O2015" s="17">
        <f t="shared" si="242"/>
        <v>503.5</v>
      </c>
      <c r="P2015" s="19">
        <f ca="1">IF(ISERROR(IF(O2015&lt;fi_h/20,0,(OFFSET('Base de dados'!$A$5,IF(O2015&lt;20,1,IF(O2015&gt;1000,10,MATCH(O2015,Cargas,1))),Coluna_fih,1,1))*(1+0.13*0.25)*(PI()*(fi_h/1000)^2/4)*SQRT(2*9.81*(O2015/100-fi_h/2/1000))*1000)),"",IF(O2015&lt;fi_h/20,0,(OFFSET('Base de dados'!$A$5,IF(O2015&lt;20,1,IF(O2015&gt;1000,10,MATCH(O2015,Cargas,1))),Coluna_fih,1,1))*(PI()*(fi_h/1000)^2/4)*SQRT(2*9.81*(O2015/100-fi_h/2/1000))*1000))</f>
        <v>60.14901118776983</v>
      </c>
      <c r="Q2015" s="19">
        <f ca="1">IF(O2015="","",IF(Tipo_Vertedor="Retangular",IF(O2015&lt;=cota_s*100,0,IF(Tipo_Vertedor="Retangular",Cd_sr*Lef_sr*((O2015/100-cota_s)^(3/2))*1000)),IF(O2015&lt;=cota_s*100+fi_s/20,0,(OFFSET('Base de dados'!$A$4,IF(O2015&lt;20,1,IF(O2015&gt;1000,10,MATCH(O2015,Cargas,1))),Coluna_fis,1,1))*(PI()*(fi_s/1000)^2/4)*(2*9.81*(O2015/100-cota_s-fi_s/2/1000))^0.5*1000)))</f>
        <v>10255.167929105381</v>
      </c>
      <c r="R2015" s="19">
        <f t="shared" ca="1" si="245"/>
        <v>10315.316940293151</v>
      </c>
      <c r="S2015" s="19">
        <f t="shared" ca="1" si="246"/>
        <v>12444.514132718014</v>
      </c>
    </row>
    <row r="2016" spans="13:19">
      <c r="M2016" s="81">
        <f t="shared" ca="1" si="243"/>
        <v>22775.467584010425</v>
      </c>
      <c r="N2016" s="19">
        <f t="shared" si="244"/>
        <v>373.54389292677325</v>
      </c>
      <c r="O2016" s="17">
        <f t="shared" si="242"/>
        <v>503.75</v>
      </c>
      <c r="P2016" s="19">
        <f ca="1">IF(ISERROR(IF(O2016&lt;fi_h/20,0,(OFFSET('Base de dados'!$A$5,IF(O2016&lt;20,1,IF(O2016&gt;1000,10,MATCH(O2016,Cargas,1))),Coluna_fih,1,1))*(1+0.13*0.25)*(PI()*(fi_h/1000)^2/4)*SQRT(2*9.81*(O2016/100-fi_h/2/1000))*1000)),"",IF(O2016&lt;fi_h/20,0,(OFFSET('Base de dados'!$A$5,IF(O2016&lt;20,1,IF(O2016&gt;1000,10,MATCH(O2016,Cargas,1))),Coluna_fih,1,1))*(PI()*(fi_h/1000)^2/4)*SQRT(2*9.81*(O2016/100-fi_h/2/1000))*1000))</f>
        <v>60.164111181276681</v>
      </c>
      <c r="Q2016" s="19">
        <f ca="1">IF(O2016="","",IF(Tipo_Vertedor="Retangular",IF(O2016&lt;=cota_s*100,0,IF(Tipo_Vertedor="Retangular",Cd_sr*Lef_sr*((O2016/100-cota_s)^(3/2))*1000)),IF(O2016&lt;=cota_s*100+fi_s/20,0,(OFFSET('Base de dados'!$A$4,IF(O2016&lt;20,1,IF(O2016&gt;1000,10,MATCH(O2016,Cargas,1))),Coluna_fis,1,1))*(PI()*(fi_s/1000)^2/4)*(2*9.81*(O2016/100-cota_s-fi_s/2/1000))^0.5*1000)))</f>
        <v>10263.840375270041</v>
      </c>
      <c r="R2016" s="19">
        <f t="shared" ca="1" si="245"/>
        <v>10324.004486451318</v>
      </c>
      <c r="S2016" s="19">
        <f t="shared" ca="1" si="246"/>
        <v>12451.463097559108</v>
      </c>
    </row>
    <row r="2017" spans="13:19">
      <c r="M2017" s="81">
        <f t="shared" ca="1" si="243"/>
        <v>22791.106964130537</v>
      </c>
      <c r="N2017" s="19">
        <f t="shared" si="244"/>
        <v>373.75237476069321</v>
      </c>
      <c r="O2017" s="17">
        <f t="shared" si="242"/>
        <v>504</v>
      </c>
      <c r="P2017" s="19">
        <f ca="1">IF(ISERROR(IF(O2017&lt;fi_h/20,0,(OFFSET('Base de dados'!$A$5,IF(O2017&lt;20,1,IF(O2017&gt;1000,10,MATCH(O2017,Cargas,1))),Coluna_fih,1,1))*(1+0.13*0.25)*(PI()*(fi_h/1000)^2/4)*SQRT(2*9.81*(O2017/100-fi_h/2/1000))*1000)),"",IF(O2017&lt;fi_h/20,0,(OFFSET('Base de dados'!$A$5,IF(O2017&lt;20,1,IF(O2017&gt;1000,10,MATCH(O2017,Cargas,1))),Coluna_fih,1,1))*(PI()*(fi_h/1000)^2/4)*SQRT(2*9.81*(O2017/100-fi_h/2/1000))*1000))</f>
        <v>60.179207385936749</v>
      </c>
      <c r="Q2017" s="19">
        <f ca="1">IF(O2017="","",IF(Tipo_Vertedor="Retangular",IF(O2017&lt;=cota_s*100,0,IF(Tipo_Vertedor="Retangular",Cd_sr*Lef_sr*((O2017/100-cota_s)^(3/2))*1000)),IF(O2017&lt;=cota_s*100+fi_s/20,0,(OFFSET('Base de dados'!$A$4,IF(O2017&lt;20,1,IF(O2017&gt;1000,10,MATCH(O2017,Cargas,1))),Coluna_fis,1,1))*(PI()*(fi_s/1000)^2/4)*(2*9.81*(O2017/100-cota_s-fi_s/2/1000))^0.5*1000)))</f>
        <v>10272.515264721491</v>
      </c>
      <c r="R2017" s="19">
        <f t="shared" ca="1" si="245"/>
        <v>10332.694472107427</v>
      </c>
      <c r="S2017" s="19">
        <f t="shared" ca="1" si="246"/>
        <v>12458.412492023108</v>
      </c>
    </row>
    <row r="2018" spans="13:19">
      <c r="M2018" s="81">
        <f t="shared" ca="1" si="243"/>
        <v>22806.749212499817</v>
      </c>
      <c r="N2018" s="19">
        <f t="shared" si="244"/>
        <v>373.9608694777034</v>
      </c>
      <c r="O2018" s="17">
        <f t="shared" si="242"/>
        <v>504.25</v>
      </c>
      <c r="P2018" s="19">
        <f ca="1">IF(ISERROR(IF(O2018&lt;fi_h/20,0,(OFFSET('Base de dados'!$A$5,IF(O2018&lt;20,1,IF(O2018&gt;1000,10,MATCH(O2018,Cargas,1))),Coluna_fih,1,1))*(1+0.13*0.25)*(PI()*(fi_h/1000)^2/4)*SQRT(2*9.81*(O2018/100-fi_h/2/1000))*1000)),"",IF(O2018&lt;fi_h/20,0,(OFFSET('Base de dados'!$A$5,IF(O2018&lt;20,1,IF(O2018&gt;1000,10,MATCH(O2018,Cargas,1))),Coluna_fih,1,1))*(PI()*(fi_h/1000)^2/4)*SQRT(2*9.81*(O2018/100-fi_h/2/1000))*1000))</f>
        <v>60.194299804600654</v>
      </c>
      <c r="Q2018" s="19">
        <f ca="1">IF(O2018="","",IF(Tipo_Vertedor="Retangular",IF(O2018&lt;=cota_s*100,0,IF(Tipo_Vertedor="Retangular",Cd_sr*Lef_sr*((O2018/100-cota_s)^(3/2))*1000)),IF(O2018&lt;=cota_s*100+fi_s/20,0,(OFFSET('Base de dados'!$A$4,IF(O2018&lt;20,1,IF(O2018&gt;1000,10,MATCH(O2018,Cargas,1))),Coluna_fis,1,1))*(PI()*(fi_s/1000)^2/4)*(2*9.81*(O2018/100-cota_s-fi_s/2/1000))^0.5*1000)))</f>
        <v>10281.192596771771</v>
      </c>
      <c r="R2018" s="19">
        <f t="shared" ca="1" si="245"/>
        <v>10341.386896576372</v>
      </c>
      <c r="S2018" s="19">
        <f t="shared" ca="1" si="246"/>
        <v>12465.362315923447</v>
      </c>
    </row>
    <row r="2019" spans="13:19">
      <c r="M2019" s="81">
        <f t="shared" ca="1" si="243"/>
        <v>22822.394328247341</v>
      </c>
      <c r="N2019" s="19">
        <f t="shared" si="244"/>
        <v>374.16937707221194</v>
      </c>
      <c r="O2019" s="17">
        <f t="shared" si="242"/>
        <v>504.5</v>
      </c>
      <c r="P2019" s="19">
        <f ca="1">IF(ISERROR(IF(O2019&lt;fi_h/20,0,(OFFSET('Base de dados'!$A$5,IF(O2019&lt;20,1,IF(O2019&gt;1000,10,MATCH(O2019,Cargas,1))),Coluna_fih,1,1))*(1+0.13*0.25)*(PI()*(fi_h/1000)^2/4)*SQRT(2*9.81*(O2019/100-fi_h/2/1000))*1000)),"",IF(O2019&lt;fi_h/20,0,(OFFSET('Base de dados'!$A$5,IF(O2019&lt;20,1,IF(O2019&gt;1000,10,MATCH(O2019,Cargas,1))),Coluna_fih,1,1))*(PI()*(fi_h/1000)^2/4)*SQRT(2*9.81*(O2019/100-fi_h/2/1000))*1000))</f>
        <v>60.209388440115454</v>
      </c>
      <c r="Q2019" s="19">
        <f ca="1">IF(O2019="","",IF(Tipo_Vertedor="Retangular",IF(O2019&lt;=cota_s*100,0,IF(Tipo_Vertedor="Retangular",Cd_sr*Lef_sr*((O2019/100-cota_s)^(3/2))*1000)),IF(O2019&lt;=cota_s*100+fi_s/20,0,(OFFSET('Base de dados'!$A$4,IF(O2019&lt;20,1,IF(O2019&gt;1000,10,MATCH(O2019,Cargas,1))),Coluna_fis,1,1))*(PI()*(fi_s/1000)^2/4)*(2*9.81*(O2019/100-cota_s-fi_s/2/1000))^0.5*1000)))</f>
        <v>10289.872370733494</v>
      </c>
      <c r="R2019" s="19">
        <f t="shared" ca="1" si="245"/>
        <v>10350.081759173609</v>
      </c>
      <c r="S2019" s="19">
        <f t="shared" ca="1" si="246"/>
        <v>12472.312569073731</v>
      </c>
    </row>
    <row r="2020" spans="13:19">
      <c r="M2020" s="81">
        <f t="shared" ca="1" si="243"/>
        <v>22838.042310502951</v>
      </c>
      <c r="N2020" s="19">
        <f t="shared" si="244"/>
        <v>374.37789753863257</v>
      </c>
      <c r="O2020" s="17">
        <f t="shared" si="242"/>
        <v>504.75</v>
      </c>
      <c r="P2020" s="19">
        <f ca="1">IF(ISERROR(IF(O2020&lt;fi_h/20,0,(OFFSET('Base de dados'!$A$5,IF(O2020&lt;20,1,IF(O2020&gt;1000,10,MATCH(O2020,Cargas,1))),Coluna_fih,1,1))*(1+0.13*0.25)*(PI()*(fi_h/1000)^2/4)*SQRT(2*9.81*(O2020/100-fi_h/2/1000))*1000)),"",IF(O2020&lt;fi_h/20,0,(OFFSET('Base de dados'!$A$5,IF(O2020&lt;20,1,IF(O2020&gt;1000,10,MATCH(O2020,Cargas,1))),Coluna_fih,1,1))*(PI()*(fi_h/1000)^2/4)*SQRT(2*9.81*(O2020/100-fi_h/2/1000))*1000))</f>
        <v>60.224473295324643</v>
      </c>
      <c r="Q2020" s="19">
        <f ca="1">IF(O2020="","",IF(Tipo_Vertedor="Retangular",IF(O2020&lt;=cota_s*100,0,IF(Tipo_Vertedor="Retangular",Cd_sr*Lef_sr*((O2020/100-cota_s)^(3/2))*1000)),IF(O2020&lt;=cota_s*100+fi_s/20,0,(OFFSET('Base de dados'!$A$4,IF(O2020&lt;20,1,IF(O2020&gt;1000,10,MATCH(O2020,Cargas,1))),Coluna_fis,1,1))*(PI()*(fi_s/1000)^2/4)*(2*9.81*(O2020/100-cota_s-fi_s/2/1000))^0.5*1000)))</f>
        <v>10298.554585919876</v>
      </c>
      <c r="R2020" s="19">
        <f t="shared" ca="1" si="245"/>
        <v>10358.7790592152</v>
      </c>
      <c r="S2020" s="19">
        <f t="shared" ca="1" si="246"/>
        <v>12479.263251287752</v>
      </c>
    </row>
    <row r="2021" spans="13:19">
      <c r="M2021" s="81">
        <f t="shared" ca="1" si="243"/>
        <v>22853.6931583972</v>
      </c>
      <c r="N2021" s="19">
        <f t="shared" si="244"/>
        <v>374.58643087138364</v>
      </c>
      <c r="O2021" s="17">
        <f t="shared" si="242"/>
        <v>505</v>
      </c>
      <c r="P2021" s="19">
        <f ca="1">IF(ISERROR(IF(O2021&lt;fi_h/20,0,(OFFSET('Base de dados'!$A$5,IF(O2021&lt;20,1,IF(O2021&gt;1000,10,MATCH(O2021,Cargas,1))),Coluna_fih,1,1))*(1+0.13*0.25)*(PI()*(fi_h/1000)^2/4)*SQRT(2*9.81*(O2021/100-fi_h/2/1000))*1000)),"",IF(O2021&lt;fi_h/20,0,(OFFSET('Base de dados'!$A$5,IF(O2021&lt;20,1,IF(O2021&gt;1000,10,MATCH(O2021,Cargas,1))),Coluna_fih,1,1))*(PI()*(fi_h/1000)^2/4)*SQRT(2*9.81*(O2021/100-fi_h/2/1000))*1000))</f>
        <v>60.239554373068138</v>
      </c>
      <c r="Q2021" s="19">
        <f ca="1">IF(O2021="","",IF(Tipo_Vertedor="Retangular",IF(O2021&lt;=cota_s*100,0,IF(Tipo_Vertedor="Retangular",Cd_sr*Lef_sr*((O2021/100-cota_s)^(3/2))*1000)),IF(O2021&lt;=cota_s*100+fi_s/20,0,(OFFSET('Base de dados'!$A$4,IF(O2021&lt;20,1,IF(O2021&gt;1000,10,MATCH(O2021,Cargas,1))),Coluna_fis,1,1))*(PI()*(fi_s/1000)^2/4)*(2*9.81*(O2021/100-cota_s-fi_s/2/1000))^0.5*1000)))</f>
        <v>10307.239241644676</v>
      </c>
      <c r="R2021" s="19">
        <f t="shared" ca="1" si="245"/>
        <v>10367.478796017745</v>
      </c>
      <c r="S2021" s="19">
        <f t="shared" ca="1" si="246"/>
        <v>12486.214362379455</v>
      </c>
    </row>
    <row r="2022" spans="13:19">
      <c r="M2022" s="81">
        <f t="shared" ca="1" si="243"/>
        <v>22869.346871061447</v>
      </c>
      <c r="N2022" s="19">
        <f t="shared" si="244"/>
        <v>374.79497706488928</v>
      </c>
      <c r="O2022" s="17">
        <f t="shared" si="242"/>
        <v>505.25</v>
      </c>
      <c r="P2022" s="19">
        <f ca="1">IF(ISERROR(IF(O2022&lt;fi_h/20,0,(OFFSET('Base de dados'!$A$5,IF(O2022&lt;20,1,IF(O2022&gt;1000,10,MATCH(O2022,Cargas,1))),Coluna_fih,1,1))*(1+0.13*0.25)*(PI()*(fi_h/1000)^2/4)*SQRT(2*9.81*(O2022/100-fi_h/2/1000))*1000)),"",IF(O2022&lt;fi_h/20,0,(OFFSET('Base de dados'!$A$5,IF(O2022&lt;20,1,IF(O2022&gt;1000,10,MATCH(O2022,Cargas,1))),Coluna_fih,1,1))*(PI()*(fi_h/1000)^2/4)*SQRT(2*9.81*(O2022/100-fi_h/2/1000))*1000))</f>
        <v>60.254631676182335</v>
      </c>
      <c r="Q2022" s="19">
        <f ca="1">IF(O2022="","",IF(Tipo_Vertedor="Retangular",IF(O2022&lt;=cota_s*100,0,IF(Tipo_Vertedor="Retangular",Cd_sr*Lef_sr*((O2022/100-cota_s)^(3/2))*1000)),IF(O2022&lt;=cota_s*100+fi_s/20,0,(OFFSET('Base de dados'!$A$4,IF(O2022&lt;20,1,IF(O2022&gt;1000,10,MATCH(O2022,Cargas,1))),Coluna_fis,1,1))*(PI()*(fi_s/1000)^2/4)*(2*9.81*(O2022/100-cota_s-fi_s/2/1000))^0.5*1000)))</f>
        <v>10315.926337222287</v>
      </c>
      <c r="R2022" s="19">
        <f t="shared" ca="1" si="245"/>
        <v>10376.180968898469</v>
      </c>
      <c r="S2022" s="19">
        <f t="shared" ca="1" si="246"/>
        <v>12493.165902162977</v>
      </c>
    </row>
    <row r="2023" spans="13:19">
      <c r="M2023" s="81">
        <f t="shared" ca="1" si="243"/>
        <v>22885.003447627714</v>
      </c>
      <c r="N2023" s="19">
        <f t="shared" si="244"/>
        <v>375.00353611357809</v>
      </c>
      <c r="O2023" s="17">
        <f t="shared" si="242"/>
        <v>505.5</v>
      </c>
      <c r="P2023" s="19">
        <f ca="1">IF(ISERROR(IF(O2023&lt;fi_h/20,0,(OFFSET('Base de dados'!$A$5,IF(O2023&lt;20,1,IF(O2023&gt;1000,10,MATCH(O2023,Cargas,1))),Coluna_fih,1,1))*(1+0.13*0.25)*(PI()*(fi_h/1000)^2/4)*SQRT(2*9.81*(O2023/100-fi_h/2/1000))*1000)),"",IF(O2023&lt;fi_h/20,0,(OFFSET('Base de dados'!$A$5,IF(O2023&lt;20,1,IF(O2023&gt;1000,10,MATCH(O2023,Cargas,1))),Coluna_fih,1,1))*(PI()*(fi_h/1000)^2/4)*SQRT(2*9.81*(O2023/100-fi_h/2/1000))*1000))</f>
        <v>60.269705207500031</v>
      </c>
      <c r="Q2023" s="19">
        <f ca="1">IF(O2023="","",IF(Tipo_Vertedor="Retangular",IF(O2023&lt;=cota_s*100,0,IF(Tipo_Vertedor="Retangular",Cd_sr*Lef_sr*((O2023/100-cota_s)^(3/2))*1000)),IF(O2023&lt;=cota_s*100+fi_s/20,0,(OFFSET('Base de dados'!$A$4,IF(O2023&lt;20,1,IF(O2023&gt;1000,10,MATCH(O2023,Cargas,1))),Coluna_fis,1,1))*(PI()*(fi_s/1000)^2/4)*(2*9.81*(O2023/100-cota_s-fi_s/2/1000))^0.5*1000)))</f>
        <v>10324.615871967611</v>
      </c>
      <c r="R2023" s="19">
        <f t="shared" ca="1" si="245"/>
        <v>10384.885577175111</v>
      </c>
      <c r="S2023" s="19">
        <f t="shared" ca="1" si="246"/>
        <v>12500.117870452603</v>
      </c>
    </row>
    <row r="2024" spans="13:19">
      <c r="M2024" s="81">
        <f t="shared" ca="1" si="243"/>
        <v>22900.662887228857</v>
      </c>
      <c r="N2024" s="19">
        <f t="shared" si="244"/>
        <v>375.21210801188465</v>
      </c>
      <c r="O2024" s="17">
        <f t="shared" si="242"/>
        <v>505.75</v>
      </c>
      <c r="P2024" s="19">
        <f ca="1">IF(ISERROR(IF(O2024&lt;fi_h/20,0,(OFFSET('Base de dados'!$A$5,IF(O2024&lt;20,1,IF(O2024&gt;1000,10,MATCH(O2024,Cargas,1))),Coluna_fih,1,1))*(1+0.13*0.25)*(PI()*(fi_h/1000)^2/4)*SQRT(2*9.81*(O2024/100-fi_h/2/1000))*1000)),"",IF(O2024&lt;fi_h/20,0,(OFFSET('Base de dados'!$A$5,IF(O2024&lt;20,1,IF(O2024&gt;1000,10,MATCH(O2024,Cargas,1))),Coluna_fih,1,1))*(PI()*(fi_h/1000)^2/4)*SQRT(2*9.81*(O2024/100-fi_h/2/1000))*1000))</f>
        <v>60.284774969850545</v>
      </c>
      <c r="Q2024" s="19">
        <f ca="1">IF(O2024="","",IF(Tipo_Vertedor="Retangular",IF(O2024&lt;=cota_s*100,0,IF(Tipo_Vertedor="Retangular",Cd_sr*Lef_sr*((O2024/100-cota_s)^(3/2))*1000)),IF(O2024&lt;=cota_s*100+fi_s/20,0,(OFFSET('Base de dados'!$A$4,IF(O2024&lt;20,1,IF(O2024&gt;1000,10,MATCH(O2024,Cargas,1))),Coluna_fis,1,1))*(PI()*(fi_s/1000)^2/4)*(2*9.81*(O2024/100-cota_s-fi_s/2/1000))^0.5*1000)))</f>
        <v>10333.307845196183</v>
      </c>
      <c r="R2024" s="19">
        <f t="shared" ca="1" si="245"/>
        <v>10393.592620166033</v>
      </c>
      <c r="S2024" s="19">
        <f t="shared" ca="1" si="246"/>
        <v>12507.070267062822</v>
      </c>
    </row>
    <row r="2025" spans="13:19">
      <c r="M2025" s="81">
        <f t="shared" ca="1" si="243"/>
        <v>22916.325188998417</v>
      </c>
      <c r="N2025" s="19">
        <f t="shared" si="244"/>
        <v>375.42069275424814</v>
      </c>
      <c r="O2025" s="17">
        <f t="shared" si="242"/>
        <v>506</v>
      </c>
      <c r="P2025" s="19">
        <f ca="1">IF(ISERROR(IF(O2025&lt;fi_h/20,0,(OFFSET('Base de dados'!$A$5,IF(O2025&lt;20,1,IF(O2025&gt;1000,10,MATCH(O2025,Cargas,1))),Coluna_fih,1,1))*(1+0.13*0.25)*(PI()*(fi_h/1000)^2/4)*SQRT(2*9.81*(O2025/100-fi_h/2/1000))*1000)),"",IF(O2025&lt;fi_h/20,0,(OFFSET('Base de dados'!$A$5,IF(O2025&lt;20,1,IF(O2025&gt;1000,10,MATCH(O2025,Cargas,1))),Coluna_fih,1,1))*(PI()*(fi_h/1000)^2/4)*SQRT(2*9.81*(O2025/100-fi_h/2/1000))*1000))</f>
        <v>60.299840966059605</v>
      </c>
      <c r="Q2025" s="19">
        <f ca="1">IF(O2025="","",IF(Tipo_Vertedor="Retangular",IF(O2025&lt;=cota_s*100,0,IF(Tipo_Vertedor="Retangular",Cd_sr*Lef_sr*((O2025/100-cota_s)^(3/2))*1000)),IF(O2025&lt;=cota_s*100+fi_s/20,0,(OFFSET('Base de dados'!$A$4,IF(O2025&lt;20,1,IF(O2025&gt;1000,10,MATCH(O2025,Cargas,1))),Coluna_fis,1,1))*(PI()*(fi_s/1000)^2/4)*(2*9.81*(O2025/100-cota_s-fi_s/2/1000))^0.5*1000)))</f>
        <v>10342.002256224083</v>
      </c>
      <c r="R2025" s="19">
        <f t="shared" ca="1" si="245"/>
        <v>10402.302097190142</v>
      </c>
      <c r="S2025" s="19">
        <f t="shared" ca="1" si="246"/>
        <v>12514.023091808273</v>
      </c>
    </row>
    <row r="2026" spans="13:19">
      <c r="M2026" s="81">
        <f t="shared" ca="1" si="243"/>
        <v>22931.990352070694</v>
      </c>
      <c r="N2026" s="19">
        <f t="shared" si="244"/>
        <v>375.62929033511296</v>
      </c>
      <c r="O2026" s="17">
        <f t="shared" si="242"/>
        <v>506.25</v>
      </c>
      <c r="P2026" s="19">
        <f ca="1">IF(ISERROR(IF(O2026&lt;fi_h/20,0,(OFFSET('Base de dados'!$A$5,IF(O2026&lt;20,1,IF(O2026&gt;1000,10,MATCH(O2026,Cargas,1))),Coluna_fih,1,1))*(1+0.13*0.25)*(PI()*(fi_h/1000)^2/4)*SQRT(2*9.81*(O2026/100-fi_h/2/1000))*1000)),"",IF(O2026&lt;fi_h/20,0,(OFFSET('Base de dados'!$A$5,IF(O2026&lt;20,1,IF(O2026&gt;1000,10,MATCH(O2026,Cargas,1))),Coluna_fih,1,1))*(PI()*(fi_h/1000)^2/4)*SQRT(2*9.81*(O2026/100-fi_h/2/1000))*1000))</f>
        <v>60.314903198949459</v>
      </c>
      <c r="Q2026" s="19">
        <f ca="1">IF(O2026="","",IF(Tipo_Vertedor="Retangular",IF(O2026&lt;=cota_s*100,0,IF(Tipo_Vertedor="Retangular",Cd_sr*Lef_sr*((O2026/100-cota_s)^(3/2))*1000)),IF(O2026&lt;=cota_s*100+fi_s/20,0,(OFFSET('Base de dados'!$A$4,IF(O2026&lt;20,1,IF(O2026&gt;1000,10,MATCH(O2026,Cargas,1))),Coluna_fis,1,1))*(PI()*(fi_s/1000)^2/4)*(2*9.81*(O2026/100-cota_s-fi_s/2/1000))^0.5*1000)))</f>
        <v>10350.699104367979</v>
      </c>
      <c r="R2026" s="19">
        <f t="shared" ca="1" si="245"/>
        <v>10411.014007566928</v>
      </c>
      <c r="S2026" s="19">
        <f t="shared" ca="1" si="246"/>
        <v>12520.976344503764</v>
      </c>
    </row>
    <row r="2027" spans="13:19">
      <c r="M2027" s="81">
        <f t="shared" ca="1" si="243"/>
        <v>22947.658375580748</v>
      </c>
      <c r="N2027" s="19">
        <f t="shared" si="244"/>
        <v>375.8379007489288</v>
      </c>
      <c r="O2027" s="17">
        <f t="shared" si="242"/>
        <v>506.5</v>
      </c>
      <c r="P2027" s="19">
        <f ca="1">IF(ISERROR(IF(O2027&lt;fi_h/20,0,(OFFSET('Base de dados'!$A$5,IF(O2027&lt;20,1,IF(O2027&gt;1000,10,MATCH(O2027,Cargas,1))),Coluna_fih,1,1))*(1+0.13*0.25)*(PI()*(fi_h/1000)^2/4)*SQRT(2*9.81*(O2027/100-fi_h/2/1000))*1000)),"",IF(O2027&lt;fi_h/20,0,(OFFSET('Base de dados'!$A$5,IF(O2027&lt;20,1,IF(O2027&gt;1000,10,MATCH(O2027,Cargas,1))),Coluna_fih,1,1))*(PI()*(fi_h/1000)^2/4)*SQRT(2*9.81*(O2027/100-fi_h/2/1000))*1000))</f>
        <v>60.329961671338786</v>
      </c>
      <c r="Q2027" s="19">
        <f ca="1">IF(O2027="","",IF(Tipo_Vertedor="Retangular",IF(O2027&lt;=cota_s*100,0,IF(Tipo_Vertedor="Retangular",Cd_sr*Lef_sr*((O2027/100-cota_s)^(3/2))*1000)),IF(O2027&lt;=cota_s*100+fi_s/20,0,(OFFSET('Base de dados'!$A$4,IF(O2027&lt;20,1,IF(O2027&gt;1000,10,MATCH(O2027,Cargas,1))),Coluna_fis,1,1))*(PI()*(fi_s/1000)^2/4)*(2*9.81*(O2027/100-cota_s-fi_s/2/1000))^0.5*1000)))</f>
        <v>10359.398388945116</v>
      </c>
      <c r="R2027" s="19">
        <f t="shared" ca="1" si="245"/>
        <v>10419.728350616455</v>
      </c>
      <c r="S2027" s="19">
        <f t="shared" ca="1" si="246"/>
        <v>12527.930024964293</v>
      </c>
    </row>
    <row r="2028" spans="13:19">
      <c r="M2028" s="81">
        <f t="shared" ca="1" si="243"/>
        <v>22963.329258664347</v>
      </c>
      <c r="N2028" s="19">
        <f t="shared" si="244"/>
        <v>376.04652399015049</v>
      </c>
      <c r="O2028" s="17">
        <f t="shared" si="242"/>
        <v>506.75</v>
      </c>
      <c r="P2028" s="19">
        <f ca="1">IF(ISERROR(IF(O2028&lt;fi_h/20,0,(OFFSET('Base de dados'!$A$5,IF(O2028&lt;20,1,IF(O2028&gt;1000,10,MATCH(O2028,Cargas,1))),Coluna_fih,1,1))*(1+0.13*0.25)*(PI()*(fi_h/1000)^2/4)*SQRT(2*9.81*(O2028/100-fi_h/2/1000))*1000)),"",IF(O2028&lt;fi_h/20,0,(OFFSET('Base de dados'!$A$5,IF(O2028&lt;20,1,IF(O2028&gt;1000,10,MATCH(O2028,Cargas,1))),Coluna_fih,1,1))*(PI()*(fi_h/1000)^2/4)*SQRT(2*9.81*(O2028/100-fi_h/2/1000))*1000))</f>
        <v>60.345016386042751</v>
      </c>
      <c r="Q2028" s="19">
        <f ca="1">IF(O2028="","",IF(Tipo_Vertedor="Retangular",IF(O2028&lt;=cota_s*100,0,IF(Tipo_Vertedor="Retangular",Cd_sr*Lef_sr*((O2028/100-cota_s)^(3/2))*1000)),IF(O2028&lt;=cota_s*100+fi_s/20,0,(OFFSET('Base de dados'!$A$4,IF(O2028&lt;20,1,IF(O2028&gt;1000,10,MATCH(O2028,Cargas,1))),Coluna_fis,1,1))*(PI()*(fi_s/1000)^2/4)*(2*9.81*(O2028/100-cota_s-fi_s/2/1000))^0.5*1000)))</f>
        <v>10368.100109273288</v>
      </c>
      <c r="R2028" s="19">
        <f t="shared" ca="1" si="245"/>
        <v>10428.445125659331</v>
      </c>
      <c r="S2028" s="19">
        <f t="shared" ca="1" si="246"/>
        <v>12534.884133005016</v>
      </c>
    </row>
    <row r="2029" spans="13:19">
      <c r="M2029" s="81">
        <f t="shared" ca="1" si="243"/>
        <v>22979.003000458029</v>
      </c>
      <c r="N2029" s="19">
        <f t="shared" si="244"/>
        <v>376.25516005323789</v>
      </c>
      <c r="O2029" s="17">
        <f t="shared" si="242"/>
        <v>507</v>
      </c>
      <c r="P2029" s="19">
        <f ca="1">IF(ISERROR(IF(O2029&lt;fi_h/20,0,(OFFSET('Base de dados'!$A$5,IF(O2029&lt;20,1,IF(O2029&gt;1000,10,MATCH(O2029,Cargas,1))),Coluna_fih,1,1))*(1+0.13*0.25)*(PI()*(fi_h/1000)^2/4)*SQRT(2*9.81*(O2029/100-fi_h/2/1000))*1000)),"",IF(O2029&lt;fi_h/20,0,(OFFSET('Base de dados'!$A$5,IF(O2029&lt;20,1,IF(O2029&gt;1000,10,MATCH(O2029,Cargas,1))),Coluna_fih,1,1))*(PI()*(fi_h/1000)^2/4)*SQRT(2*9.81*(O2029/100-fi_h/2/1000))*1000))</f>
        <v>60.360067345873055</v>
      </c>
      <c r="Q2029" s="19">
        <f ca="1">IF(O2029="","",IF(Tipo_Vertedor="Retangular",IF(O2029&lt;=cota_s*100,0,IF(Tipo_Vertedor="Retangular",Cd_sr*Lef_sr*((O2029/100-cota_s)^(3/2))*1000)),IF(O2029&lt;=cota_s*100+fi_s/20,0,(OFFSET('Base de dados'!$A$4,IF(O2029&lt;20,1,IF(O2029&gt;1000,10,MATCH(O2029,Cargas,1))),Coluna_fis,1,1))*(PI()*(fi_s/1000)^2/4)*(2*9.81*(O2029/100-cota_s-fi_s/2/1000))^0.5*1000)))</f>
        <v>10376.804264670895</v>
      </c>
      <c r="R2029" s="19">
        <f t="shared" ca="1" si="245"/>
        <v>10437.164332016768</v>
      </c>
      <c r="S2029" s="19">
        <f t="shared" ca="1" si="246"/>
        <v>12541.838668441262</v>
      </c>
    </row>
    <row r="2030" spans="13:19">
      <c r="M2030" s="81">
        <f t="shared" ca="1" si="243"/>
        <v>22994.679600099058</v>
      </c>
      <c r="N2030" s="19">
        <f t="shared" si="244"/>
        <v>376.46380893265598</v>
      </c>
      <c r="O2030" s="17">
        <f t="shared" si="242"/>
        <v>507.25</v>
      </c>
      <c r="P2030" s="19">
        <f ca="1">IF(ISERROR(IF(O2030&lt;fi_h/20,0,(OFFSET('Base de dados'!$A$5,IF(O2030&lt;20,1,IF(O2030&gt;1000,10,MATCH(O2030,Cargas,1))),Coluna_fih,1,1))*(1+0.13*0.25)*(PI()*(fi_h/1000)^2/4)*SQRT(2*9.81*(O2030/100-fi_h/2/1000))*1000)),"",IF(O2030&lt;fi_h/20,0,(OFFSET('Base de dados'!$A$5,IF(O2030&lt;20,1,IF(O2030&gt;1000,10,MATCH(O2030,Cargas,1))),Coluna_fih,1,1))*(PI()*(fi_h/1000)^2/4)*SQRT(2*9.81*(O2030/100-fi_h/2/1000))*1000))</f>
        <v>60.375114553637836</v>
      </c>
      <c r="Q2030" s="19">
        <f ca="1">IF(O2030="","",IF(Tipo_Vertedor="Retangular",IF(O2030&lt;=cota_s*100,0,IF(Tipo_Vertedor="Retangular",Cd_sr*Lef_sr*((O2030/100-cota_s)^(3/2))*1000)),IF(O2030&lt;=cota_s*100+fi_s/20,0,(OFFSET('Base de dados'!$A$4,IF(O2030&lt;20,1,IF(O2030&gt;1000,10,MATCH(O2030,Cargas,1))),Coluna_fis,1,1))*(PI()*(fi_s/1000)^2/4)*(2*9.81*(O2030/100-cota_s-fi_s/2/1000))^0.5*1000)))</f>
        <v>10385.51085445689</v>
      </c>
      <c r="R2030" s="19">
        <f t="shared" ca="1" si="245"/>
        <v>10445.885969010527</v>
      </c>
      <c r="S2030" s="19">
        <f t="shared" ca="1" si="246"/>
        <v>12548.793631088532</v>
      </c>
    </row>
    <row r="2031" spans="13:19">
      <c r="M2031" s="81">
        <f t="shared" ca="1" si="243"/>
        <v>23010.359056725443</v>
      </c>
      <c r="N2031" s="19">
        <f t="shared" si="244"/>
        <v>376.67247062287493</v>
      </c>
      <c r="O2031" s="17">
        <f t="shared" si="242"/>
        <v>507.5</v>
      </c>
      <c r="P2031" s="19">
        <f ca="1">IF(ISERROR(IF(O2031&lt;fi_h/20,0,(OFFSET('Base de dados'!$A$5,IF(O2031&lt;20,1,IF(O2031&gt;1000,10,MATCH(O2031,Cargas,1))),Coluna_fih,1,1))*(1+0.13*0.25)*(PI()*(fi_h/1000)^2/4)*SQRT(2*9.81*(O2031/100-fi_h/2/1000))*1000)),"",IF(O2031&lt;fi_h/20,0,(OFFSET('Base de dados'!$A$5,IF(O2031&lt;20,1,IF(O2031&gt;1000,10,MATCH(O2031,Cargas,1))),Coluna_fih,1,1))*(PI()*(fi_h/1000)^2/4)*SQRT(2*9.81*(O2031/100-fi_h/2/1000))*1000))</f>
        <v>60.390158012141796</v>
      </c>
      <c r="Q2031" s="19">
        <f ca="1">IF(O2031="","",IF(Tipo_Vertedor="Retangular",IF(O2031&lt;=cota_s*100,0,IF(Tipo_Vertedor="Retangular",Cd_sr*Lef_sr*((O2031/100-cota_s)^(3/2))*1000)),IF(O2031&lt;=cota_s*100+fi_s/20,0,(OFFSET('Base de dados'!$A$4,IF(O2031&lt;20,1,IF(O2031&gt;1000,10,MATCH(O2031,Cargas,1))),Coluna_fis,1,1))*(PI()*(fi_s/1000)^2/4)*(2*9.81*(O2031/100-cota_s-fi_s/2/1000))^0.5*1000)))</f>
        <v>10394.219877950802</v>
      </c>
      <c r="R2031" s="19">
        <f t="shared" ca="1" si="245"/>
        <v>10454.610035962944</v>
      </c>
      <c r="S2031" s="19">
        <f t="shared" ca="1" si="246"/>
        <v>12555.749020762498</v>
      </c>
    </row>
    <row r="2032" spans="13:19">
      <c r="M2032" s="81">
        <f t="shared" ca="1" si="243"/>
        <v>23026.041369475908</v>
      </c>
      <c r="N2032" s="19">
        <f t="shared" si="244"/>
        <v>376.88114511836989</v>
      </c>
      <c r="O2032" s="17">
        <f t="shared" si="242"/>
        <v>507.75</v>
      </c>
      <c r="P2032" s="19">
        <f ca="1">IF(ISERROR(IF(O2032&lt;fi_h/20,0,(OFFSET('Base de dados'!$A$5,IF(O2032&lt;20,1,IF(O2032&gt;1000,10,MATCH(O2032,Cargas,1))),Coluna_fih,1,1))*(1+0.13*0.25)*(PI()*(fi_h/1000)^2/4)*SQRT(2*9.81*(O2032/100-fi_h/2/1000))*1000)),"",IF(O2032&lt;fi_h/20,0,(OFFSET('Base de dados'!$A$5,IF(O2032&lt;20,1,IF(O2032&gt;1000,10,MATCH(O2032,Cargas,1))),Coluna_fih,1,1))*(PI()*(fi_h/1000)^2/4)*SQRT(2*9.81*(O2032/100-fi_h/2/1000))*1000))</f>
        <v>60.405197724186095</v>
      </c>
      <c r="Q2032" s="19">
        <f ca="1">IF(O2032="","",IF(Tipo_Vertedor="Retangular",IF(O2032&lt;=cota_s*100,0,IF(Tipo_Vertedor="Retangular",Cd_sr*Lef_sr*((O2032/100-cota_s)^(3/2))*1000)),IF(O2032&lt;=cota_s*100+fi_s/20,0,(OFFSET('Base de dados'!$A$4,IF(O2032&lt;20,1,IF(O2032&gt;1000,10,MATCH(O2032,Cargas,1))),Coluna_fis,1,1))*(PI()*(fi_s/1000)^2/4)*(2*9.81*(O2032/100-cota_s-fi_s/2/1000))^0.5*1000)))</f>
        <v>10402.931334472727</v>
      </c>
      <c r="R2032" s="19">
        <f t="shared" ca="1" si="245"/>
        <v>10463.336532196912</v>
      </c>
      <c r="S2032" s="19">
        <f t="shared" ca="1" si="246"/>
        <v>12562.704837278996</v>
      </c>
    </row>
    <row r="2033" spans="13:19">
      <c r="M2033" s="81">
        <f t="shared" ca="1" si="243"/>
        <v>23041.726537489951</v>
      </c>
      <c r="N2033" s="19">
        <f t="shared" si="244"/>
        <v>377.08983241362148</v>
      </c>
      <c r="O2033" s="17">
        <f t="shared" si="242"/>
        <v>508</v>
      </c>
      <c r="P2033" s="19">
        <f ca="1">IF(ISERROR(IF(O2033&lt;fi_h/20,0,(OFFSET('Base de dados'!$A$5,IF(O2033&lt;20,1,IF(O2033&gt;1000,10,MATCH(O2033,Cargas,1))),Coluna_fih,1,1))*(1+0.13*0.25)*(PI()*(fi_h/1000)^2/4)*SQRT(2*9.81*(O2033/100-fi_h/2/1000))*1000)),"",IF(O2033&lt;fi_h/20,0,(OFFSET('Base de dados'!$A$5,IF(O2033&lt;20,1,IF(O2033&gt;1000,10,MATCH(O2033,Cargas,1))),Coluna_fih,1,1))*(PI()*(fi_h/1000)^2/4)*SQRT(2*9.81*(O2033/100-fi_h/2/1000))*1000))</f>
        <v>60.420233692568409</v>
      </c>
      <c r="Q2033" s="19">
        <f ca="1">IF(O2033="","",IF(Tipo_Vertedor="Retangular",IF(O2033&lt;=cota_s*100,0,IF(Tipo_Vertedor="Retangular",Cd_sr*Lef_sr*((O2033/100-cota_s)^(3/2))*1000)),IF(O2033&lt;=cota_s*100+fi_s/20,0,(OFFSET('Base de dados'!$A$4,IF(O2033&lt;20,1,IF(O2033&gt;1000,10,MATCH(O2033,Cargas,1))),Coluna_fis,1,1))*(PI()*(fi_s/1000)^2/4)*(2*9.81*(O2033/100-cota_s-fi_s/2/1000))^0.5*1000)))</f>
        <v>10411.645223343332</v>
      </c>
      <c r="R2033" s="19">
        <f t="shared" ca="1" si="245"/>
        <v>10472.0654570359</v>
      </c>
      <c r="S2033" s="19">
        <f t="shared" ca="1" si="246"/>
        <v>12569.661080454049</v>
      </c>
    </row>
    <row r="2034" spans="13:19">
      <c r="M2034" s="81">
        <f t="shared" ca="1" si="243"/>
        <v>23057.41455990776</v>
      </c>
      <c r="N2034" s="19">
        <f t="shared" si="244"/>
        <v>377.2985325031147</v>
      </c>
      <c r="O2034" s="17">
        <f t="shared" si="242"/>
        <v>508.25</v>
      </c>
      <c r="P2034" s="19">
        <f ca="1">IF(ISERROR(IF(O2034&lt;fi_h/20,0,(OFFSET('Base de dados'!$A$5,IF(O2034&lt;20,1,IF(O2034&gt;1000,10,MATCH(O2034,Cargas,1))),Coluna_fih,1,1))*(1+0.13*0.25)*(PI()*(fi_h/1000)^2/4)*SQRT(2*9.81*(O2034/100-fi_h/2/1000))*1000)),"",IF(O2034&lt;fi_h/20,0,(OFFSET('Base de dados'!$A$5,IF(O2034&lt;20,1,IF(O2034&gt;1000,10,MATCH(O2034,Cargas,1))),Coluna_fih,1,1))*(PI()*(fi_h/1000)^2/4)*SQRT(2*9.81*(O2034/100-fi_h/2/1000))*1000))</f>
        <v>60.435265920082962</v>
      </c>
      <c r="Q2034" s="19">
        <f ca="1">IF(O2034="","",IF(Tipo_Vertedor="Retangular",IF(O2034&lt;=cota_s*100,0,IF(Tipo_Vertedor="Retangular",Cd_sr*Lef_sr*((O2034/100-cota_s)^(3/2))*1000)),IF(O2034&lt;=cota_s*100+fi_s/20,0,(OFFSET('Base de dados'!$A$4,IF(O2034&lt;20,1,IF(O2034&gt;1000,10,MATCH(O2034,Cargas,1))),Coluna_fis,1,1))*(PI()*(fi_s/1000)^2/4)*(2*9.81*(O2034/100-cota_s-fi_s/2/1000))^0.5*1000)))</f>
        <v>10420.361543883855</v>
      </c>
      <c r="R2034" s="19">
        <f t="shared" ca="1" si="245"/>
        <v>10480.796809803938</v>
      </c>
      <c r="S2034" s="19">
        <f t="shared" ca="1" si="246"/>
        <v>12576.617750103824</v>
      </c>
    </row>
    <row r="2035" spans="13:19">
      <c r="M2035" s="81">
        <f t="shared" ca="1" si="243"/>
        <v>23073.105435870311</v>
      </c>
      <c r="N2035" s="19">
        <f t="shared" si="244"/>
        <v>377.50724538134057</v>
      </c>
      <c r="O2035" s="17">
        <f t="shared" si="242"/>
        <v>508.5</v>
      </c>
      <c r="P2035" s="19">
        <f ca="1">IF(ISERROR(IF(O2035&lt;fi_h/20,0,(OFFSET('Base de dados'!$A$5,IF(O2035&lt;20,1,IF(O2035&gt;1000,10,MATCH(O2035,Cargas,1))),Coluna_fih,1,1))*(1+0.13*0.25)*(PI()*(fi_h/1000)^2/4)*SQRT(2*9.81*(O2035/100-fi_h/2/1000))*1000)),"",IF(O2035&lt;fi_h/20,0,(OFFSET('Base de dados'!$A$5,IF(O2035&lt;20,1,IF(O2035&gt;1000,10,MATCH(O2035,Cargas,1))),Coluna_fih,1,1))*(PI()*(fi_h/1000)^2/4)*SQRT(2*9.81*(O2035/100-fi_h/2/1000))*1000))</f>
        <v>60.450294409520474</v>
      </c>
      <c r="Q2035" s="19">
        <f ca="1">IF(O2035="","",IF(Tipo_Vertedor="Retangular",IF(O2035&lt;=cota_s*100,0,IF(Tipo_Vertedor="Retangular",Cd_sr*Lef_sr*((O2035/100-cota_s)^(3/2))*1000)),IF(O2035&lt;=cota_s*100+fi_s/20,0,(OFFSET('Base de dados'!$A$4,IF(O2035&lt;20,1,IF(O2035&gt;1000,10,MATCH(O2035,Cargas,1))),Coluna_fis,1,1))*(PI()*(fi_s/1000)^2/4)*(2*9.81*(O2035/100-cota_s-fi_s/2/1000))^0.5*1000)))</f>
        <v>10429.080295416106</v>
      </c>
      <c r="R2035" s="19">
        <f t="shared" ca="1" si="245"/>
        <v>10489.530589825627</v>
      </c>
      <c r="S2035" s="19">
        <f t="shared" ca="1" si="246"/>
        <v>12583.574846044685</v>
      </c>
    </row>
    <row r="2036" spans="13:19">
      <c r="M2036" s="81">
        <f t="shared" ca="1" si="243"/>
        <v>23088.799164519267</v>
      </c>
      <c r="N2036" s="19">
        <f t="shared" si="244"/>
        <v>377.71597104279448</v>
      </c>
      <c r="O2036" s="17">
        <f t="shared" si="242"/>
        <v>508.75</v>
      </c>
      <c r="P2036" s="19">
        <f ca="1">IF(ISERROR(IF(O2036&lt;fi_h/20,0,(OFFSET('Base de dados'!$A$5,IF(O2036&lt;20,1,IF(O2036&gt;1000,10,MATCH(O2036,Cargas,1))),Coluna_fih,1,1))*(1+0.13*0.25)*(PI()*(fi_h/1000)^2/4)*SQRT(2*9.81*(O2036/100-fi_h/2/1000))*1000)),"",IF(O2036&lt;fi_h/20,0,(OFFSET('Base de dados'!$A$5,IF(O2036&lt;20,1,IF(O2036&gt;1000,10,MATCH(O2036,Cargas,1))),Coluna_fih,1,1))*(PI()*(fi_h/1000)^2/4)*SQRT(2*9.81*(O2036/100-fi_h/2/1000))*1000))</f>
        <v>60.465319163668234</v>
      </c>
      <c r="Q2036" s="19">
        <f ca="1">IF(O2036="","",IF(Tipo_Vertedor="Retangular",IF(O2036&lt;=cota_s*100,0,IF(Tipo_Vertedor="Retangular",Cd_sr*Lef_sr*((O2036/100-cota_s)^(3/2))*1000)),IF(O2036&lt;=cota_s*100+fi_s/20,0,(OFFSET('Base de dados'!$A$4,IF(O2036&lt;20,1,IF(O2036&gt;1000,10,MATCH(O2036,Cargas,1))),Coluna_fis,1,1))*(PI()*(fi_s/1000)^2/4)*(2*9.81*(O2036/100-cota_s-fi_s/2/1000))^0.5*1000)))</f>
        <v>10437.801477262452</v>
      </c>
      <c r="R2036" s="19">
        <f t="shared" ca="1" si="245"/>
        <v>10498.26679642612</v>
      </c>
      <c r="S2036" s="19">
        <f t="shared" ca="1" si="246"/>
        <v>12590.532368093149</v>
      </c>
    </row>
    <row r="2037" spans="13:19">
      <c r="M2037" s="81">
        <f t="shared" ca="1" si="243"/>
        <v>23104.495744997039</v>
      </c>
      <c r="N2037" s="19">
        <f t="shared" si="244"/>
        <v>377.924709481977</v>
      </c>
      <c r="O2037" s="17">
        <f t="shared" si="242"/>
        <v>509</v>
      </c>
      <c r="P2037" s="19">
        <f ca="1">IF(ISERROR(IF(O2037&lt;fi_h/20,0,(OFFSET('Base de dados'!$A$5,IF(O2037&lt;20,1,IF(O2037&gt;1000,10,MATCH(O2037,Cargas,1))),Coluna_fih,1,1))*(1+0.13*0.25)*(PI()*(fi_h/1000)^2/4)*SQRT(2*9.81*(O2037/100-fi_h/2/1000))*1000)),"",IF(O2037&lt;fi_h/20,0,(OFFSET('Base de dados'!$A$5,IF(O2037&lt;20,1,IF(O2037&gt;1000,10,MATCH(O2037,Cargas,1))),Coluna_fih,1,1))*(PI()*(fi_h/1000)^2/4)*SQRT(2*9.81*(O2037/100-fi_h/2/1000))*1000))</f>
        <v>60.48034018531002</v>
      </c>
      <c r="Q2037" s="19">
        <f ca="1">IF(O2037="","",IF(Tipo_Vertedor="Retangular",IF(O2037&lt;=cota_s*100,0,IF(Tipo_Vertedor="Retangular",Cd_sr*Lef_sr*((O2037/100-cota_s)^(3/2))*1000)),IF(O2037&lt;=cota_s*100+fi_s/20,0,(OFFSET('Base de dados'!$A$4,IF(O2037&lt;20,1,IF(O2037&gt;1000,10,MATCH(O2037,Cargas,1))),Coluna_fis,1,1))*(PI()*(fi_s/1000)^2/4)*(2*9.81*(O2037/100-cota_s-fi_s/2/1000))^0.5*1000)))</f>
        <v>10446.52508874583</v>
      </c>
      <c r="R2037" s="19">
        <f t="shared" ca="1" si="245"/>
        <v>10507.005428931139</v>
      </c>
      <c r="S2037" s="19">
        <f t="shared" ca="1" si="246"/>
        <v>12597.4903160659</v>
      </c>
    </row>
    <row r="2038" spans="13:19">
      <c r="M2038" s="81">
        <f t="shared" ca="1" si="243"/>
        <v>23120.195176446774</v>
      </c>
      <c r="N2038" s="19">
        <f t="shared" si="244"/>
        <v>378.13346069339411</v>
      </c>
      <c r="O2038" s="17">
        <f t="shared" si="242"/>
        <v>509.25</v>
      </c>
      <c r="P2038" s="19">
        <f ca="1">IF(ISERROR(IF(O2038&lt;fi_h/20,0,(OFFSET('Base de dados'!$A$5,IF(O2038&lt;20,1,IF(O2038&gt;1000,10,MATCH(O2038,Cargas,1))),Coluna_fih,1,1))*(1+0.13*0.25)*(PI()*(fi_h/1000)^2/4)*SQRT(2*9.81*(O2038/100-fi_h/2/1000))*1000)),"",IF(O2038&lt;fi_h/20,0,(OFFSET('Base de dados'!$A$5,IF(O2038&lt;20,1,IF(O2038&gt;1000,10,MATCH(O2038,Cargas,1))),Coluna_fih,1,1))*(PI()*(fi_h/1000)^2/4)*SQRT(2*9.81*(O2038/100-fi_h/2/1000))*1000))</f>
        <v>60.4953574772262</v>
      </c>
      <c r="Q2038" s="19">
        <f ca="1">IF(O2038="","",IF(Tipo_Vertedor="Retangular",IF(O2038&lt;=cota_s*100,0,IF(Tipo_Vertedor="Retangular",Cd_sr*Lef_sr*((O2038/100-cota_s)^(3/2))*1000)),IF(O2038&lt;=cota_s*100+fi_s/20,0,(OFFSET('Base de dados'!$A$4,IF(O2038&lt;20,1,IF(O2038&gt;1000,10,MATCH(O2038,Cargas,1))),Coluna_fis,1,1))*(PI()*(fi_s/1000)^2/4)*(2*9.81*(O2038/100-cota_s-fi_s/2/1000))^0.5*1000)))</f>
        <v>10455.251129189744</v>
      </c>
      <c r="R2038" s="19">
        <f t="shared" ca="1" si="245"/>
        <v>10515.746486666971</v>
      </c>
      <c r="S2038" s="19">
        <f t="shared" ca="1" si="246"/>
        <v>12604.448689779803</v>
      </c>
    </row>
    <row r="2039" spans="13:19">
      <c r="M2039" s="81">
        <f t="shared" ca="1" si="243"/>
        <v>23135.897458012332</v>
      </c>
      <c r="N2039" s="19">
        <f t="shared" si="244"/>
        <v>378.34222467155638</v>
      </c>
      <c r="O2039" s="17">
        <f t="shared" si="242"/>
        <v>509.5</v>
      </c>
      <c r="P2039" s="19">
        <f ca="1">IF(ISERROR(IF(O2039&lt;fi_h/20,0,(OFFSET('Base de dados'!$A$5,IF(O2039&lt;20,1,IF(O2039&gt;1000,10,MATCH(O2039,Cargas,1))),Coluna_fih,1,1))*(1+0.13*0.25)*(PI()*(fi_h/1000)^2/4)*SQRT(2*9.81*(O2039/100-fi_h/2/1000))*1000)),"",IF(O2039&lt;fi_h/20,0,(OFFSET('Base de dados'!$A$5,IF(O2039&lt;20,1,IF(O2039&gt;1000,10,MATCH(O2039,Cargas,1))),Coluna_fih,1,1))*(PI()*(fi_h/1000)^2/4)*SQRT(2*9.81*(O2039/100-fi_h/2/1000))*1000))</f>
        <v>60.510371042193675</v>
      </c>
      <c r="Q2039" s="19">
        <f ca="1">IF(O2039="","",IF(Tipo_Vertedor="Retangular",IF(O2039&lt;=cota_s*100,0,IF(Tipo_Vertedor="Retangular",Cd_sr*Lef_sr*((O2039/100-cota_s)^(3/2))*1000)),IF(O2039&lt;=cota_s*100+fi_s/20,0,(OFFSET('Base de dados'!$A$4,IF(O2039&lt;20,1,IF(O2039&gt;1000,10,MATCH(O2039,Cargas,1))),Coluna_fis,1,1))*(PI()*(fi_s/1000)^2/4)*(2*9.81*(O2039/100-cota_s-fi_s/2/1000))^0.5*1000)))</f>
        <v>10463.979597918258</v>
      </c>
      <c r="R2039" s="19">
        <f t="shared" ca="1" si="245"/>
        <v>10524.489968960452</v>
      </c>
      <c r="S2039" s="19">
        <f t="shared" ca="1" si="246"/>
        <v>12611.407489051879</v>
      </c>
    </row>
    <row r="2040" spans="13:19">
      <c r="M2040" s="81">
        <f t="shared" ca="1" si="243"/>
        <v>23151.60258883833</v>
      </c>
      <c r="N2040" s="19">
        <f t="shared" si="244"/>
        <v>378.55100141097995</v>
      </c>
      <c r="O2040" s="17">
        <f t="shared" si="242"/>
        <v>509.75</v>
      </c>
      <c r="P2040" s="19">
        <f ca="1">IF(ISERROR(IF(O2040&lt;fi_h/20,0,(OFFSET('Base de dados'!$A$5,IF(O2040&lt;20,1,IF(O2040&gt;1000,10,MATCH(O2040,Cargas,1))),Coluna_fih,1,1))*(1+0.13*0.25)*(PI()*(fi_h/1000)^2/4)*SQRT(2*9.81*(O2040/100-fi_h/2/1000))*1000)),"",IF(O2040&lt;fi_h/20,0,(OFFSET('Base de dados'!$A$5,IF(O2040&lt;20,1,IF(O2040&gt;1000,10,MATCH(O2040,Cargas,1))),Coluna_fih,1,1))*(PI()*(fi_h/1000)^2/4)*SQRT(2*9.81*(O2040/100-fi_h/2/1000))*1000))</f>
        <v>60.525380882985885</v>
      </c>
      <c r="Q2040" s="19">
        <f ca="1">IF(O2040="","",IF(Tipo_Vertedor="Retangular",IF(O2040&lt;=cota_s*100,0,IF(Tipo_Vertedor="Retangular",Cd_sr*Lef_sr*((O2040/100-cota_s)^(3/2))*1000)),IF(O2040&lt;=cota_s*100+fi_s/20,0,(OFFSET('Base de dados'!$A$4,IF(O2040&lt;20,1,IF(O2040&gt;1000,10,MATCH(O2040,Cargas,1))),Coluna_fis,1,1))*(PI()*(fi_s/1000)^2/4)*(2*9.81*(O2040/100-cota_s-fi_s/2/1000))^0.5*1000)))</f>
        <v>10472.710494256011</v>
      </c>
      <c r="R2040" s="19">
        <f t="shared" ca="1" si="245"/>
        <v>10533.235875138997</v>
      </c>
      <c r="S2040" s="19">
        <f t="shared" ca="1" si="246"/>
        <v>12618.366713699332</v>
      </c>
    </row>
    <row r="2041" spans="13:19">
      <c r="M2041" s="81">
        <f t="shared" ca="1" si="243"/>
        <v>23167.310568070083</v>
      </c>
      <c r="N2041" s="19">
        <f t="shared" si="244"/>
        <v>378.75979090618546</v>
      </c>
      <c r="O2041" s="17">
        <f t="shared" si="242"/>
        <v>510</v>
      </c>
      <c r="P2041" s="19">
        <f ca="1">IF(ISERROR(IF(O2041&lt;fi_h/20,0,(OFFSET('Base de dados'!$A$5,IF(O2041&lt;20,1,IF(O2041&gt;1000,10,MATCH(O2041,Cargas,1))),Coluna_fih,1,1))*(1+0.13*0.25)*(PI()*(fi_h/1000)^2/4)*SQRT(2*9.81*(O2041/100-fi_h/2/1000))*1000)),"",IF(O2041&lt;fi_h/20,0,(OFFSET('Base de dados'!$A$5,IF(O2041&lt;20,1,IF(O2041&gt;1000,10,MATCH(O2041,Cargas,1))),Coluna_fih,1,1))*(PI()*(fi_h/1000)^2/4)*SQRT(2*9.81*(O2041/100-fi_h/2/1000))*1000))</f>
        <v>60.540387002372846</v>
      </c>
      <c r="Q2041" s="19">
        <f ca="1">IF(O2041="","",IF(Tipo_Vertedor="Retangular",IF(O2041&lt;=cota_s*100,0,IF(Tipo_Vertedor="Retangular",Cd_sr*Lef_sr*((O2041/100-cota_s)^(3/2))*1000)),IF(O2041&lt;=cota_s*100+fi_s/20,0,(OFFSET('Base de dados'!$A$4,IF(O2041&lt;20,1,IF(O2041&gt;1000,10,MATCH(O2041,Cargas,1))),Coluna_fis,1,1))*(PI()*(fi_s/1000)^2/4)*(2*9.81*(O2041/100-cota_s-fi_s/2/1000))^0.5*1000)))</f>
        <v>10481.443817528194</v>
      </c>
      <c r="R2041" s="19">
        <f t="shared" ca="1" si="245"/>
        <v>10541.984204530567</v>
      </c>
      <c r="S2041" s="19">
        <f t="shared" ca="1" si="246"/>
        <v>12625.326363539516</v>
      </c>
    </row>
    <row r="2042" spans="13:19">
      <c r="M2042" s="81">
        <f t="shared" ca="1" si="243"/>
        <v>23183.021394853651</v>
      </c>
      <c r="N2042" s="19">
        <f t="shared" si="244"/>
        <v>378.96859315169883</v>
      </c>
      <c r="O2042" s="17">
        <f t="shared" si="242"/>
        <v>510.25</v>
      </c>
      <c r="P2042" s="19">
        <f ca="1">IF(ISERROR(IF(O2042&lt;fi_h/20,0,(OFFSET('Base de dados'!$A$5,IF(O2042&lt;20,1,IF(O2042&gt;1000,10,MATCH(O2042,Cargas,1))),Coluna_fih,1,1))*(1+0.13*0.25)*(PI()*(fi_h/1000)^2/4)*SQRT(2*9.81*(O2042/100-fi_h/2/1000))*1000)),"",IF(O2042&lt;fi_h/20,0,(OFFSET('Base de dados'!$A$5,IF(O2042&lt;20,1,IF(O2042&gt;1000,10,MATCH(O2042,Cargas,1))),Coluna_fih,1,1))*(PI()*(fi_h/1000)^2/4)*SQRT(2*9.81*(O2042/100-fi_h/2/1000))*1000))</f>
        <v>60.555389403121147</v>
      </c>
      <c r="Q2042" s="19">
        <f ca="1">IF(O2042="","",IF(Tipo_Vertedor="Retangular",IF(O2042&lt;=cota_s*100,0,IF(Tipo_Vertedor="Retangular",Cd_sr*Lef_sr*((O2042/100-cota_s)^(3/2))*1000)),IF(O2042&lt;=cota_s*100+fi_s/20,0,(OFFSET('Base de dados'!$A$4,IF(O2042&lt;20,1,IF(O2042&gt;1000,10,MATCH(O2042,Cargas,1))),Coluna_fis,1,1))*(PI()*(fi_s/1000)^2/4)*(2*9.81*(O2042/100-cota_s-fi_s/2/1000))^0.5*1000)))</f>
        <v>10490.179567060568</v>
      </c>
      <c r="R2042" s="19">
        <f t="shared" ca="1" si="245"/>
        <v>10550.73495646369</v>
      </c>
      <c r="S2042" s="19">
        <f t="shared" ca="1" si="246"/>
        <v>12632.286438389961</v>
      </c>
    </row>
    <row r="2043" spans="13:19">
      <c r="M2043" s="81">
        <f t="shared" ca="1" si="243"/>
        <v>23198.735068335831</v>
      </c>
      <c r="N2043" s="19">
        <f t="shared" si="244"/>
        <v>379.17740814205149</v>
      </c>
      <c r="O2043" s="17">
        <f t="shared" si="242"/>
        <v>510.5</v>
      </c>
      <c r="P2043" s="19">
        <f ca="1">IF(ISERROR(IF(O2043&lt;fi_h/20,0,(OFFSET('Base de dados'!$A$5,IF(O2043&lt;20,1,IF(O2043&gt;1000,10,MATCH(O2043,Cargas,1))),Coluna_fih,1,1))*(1+0.13*0.25)*(PI()*(fi_h/1000)^2/4)*SQRT(2*9.81*(O2043/100-fi_h/2/1000))*1000)),"",IF(O2043&lt;fi_h/20,0,(OFFSET('Base de dados'!$A$5,IF(O2043&lt;20,1,IF(O2043&gt;1000,10,MATCH(O2043,Cargas,1))),Coluna_fih,1,1))*(PI()*(fi_h/1000)^2/4)*SQRT(2*9.81*(O2043/100-fi_h/2/1000))*1000))</f>
        <v>60.570388087993955</v>
      </c>
      <c r="Q2043" s="19">
        <f ca="1">IF(O2043="","",IF(Tipo_Vertedor="Retangular",IF(O2043&lt;=cota_s*100,0,IF(Tipo_Vertedor="Retangular",Cd_sr*Lef_sr*((O2043/100-cota_s)^(3/2))*1000)),IF(O2043&lt;=cota_s*100+fi_s/20,0,(OFFSET('Base de dados'!$A$4,IF(O2043&lt;20,1,IF(O2043&gt;1000,10,MATCH(O2043,Cargas,1))),Coluna_fis,1,1))*(PI()*(fi_s/1000)^2/4)*(2*9.81*(O2043/100-cota_s-fi_s/2/1000))^0.5*1000)))</f>
        <v>10498.917742179454</v>
      </c>
      <c r="R2043" s="19">
        <f t="shared" ca="1" si="245"/>
        <v>10559.488130267448</v>
      </c>
      <c r="S2043" s="19">
        <f t="shared" ca="1" si="246"/>
        <v>12639.246938068383</v>
      </c>
    </row>
    <row r="2044" spans="13:19">
      <c r="M2044" s="81">
        <f t="shared" ca="1" si="243"/>
        <v>23214.451587664105</v>
      </c>
      <c r="N2044" s="19">
        <f t="shared" si="244"/>
        <v>379.38623587177881</v>
      </c>
      <c r="O2044" s="17">
        <f t="shared" si="242"/>
        <v>510.75</v>
      </c>
      <c r="P2044" s="19">
        <f ca="1">IF(ISERROR(IF(O2044&lt;fi_h/20,0,(OFFSET('Base de dados'!$A$5,IF(O2044&lt;20,1,IF(O2044&gt;1000,10,MATCH(O2044,Cargas,1))),Coluna_fih,1,1))*(1+0.13*0.25)*(PI()*(fi_h/1000)^2/4)*SQRT(2*9.81*(O2044/100-fi_h/2/1000))*1000)),"",IF(O2044&lt;fi_h/20,0,(OFFSET('Base de dados'!$A$5,IF(O2044&lt;20,1,IF(O2044&gt;1000,10,MATCH(O2044,Cargas,1))),Coluna_fih,1,1))*(PI()*(fi_h/1000)^2/4)*SQRT(2*9.81*(O2044/100-fi_h/2/1000))*1000))</f>
        <v>60.585383059750981</v>
      </c>
      <c r="Q2044" s="19">
        <f ca="1">IF(O2044="","",IF(Tipo_Vertedor="Retangular",IF(O2044&lt;=cota_s*100,0,IF(Tipo_Vertedor="Retangular",Cd_sr*Lef_sr*((O2044/100-cota_s)^(3/2))*1000)),IF(O2044&lt;=cota_s*100+fi_s/20,0,(OFFSET('Base de dados'!$A$4,IF(O2044&lt;20,1,IF(O2044&gt;1000,10,MATCH(O2044,Cargas,1))),Coluna_fis,1,1))*(PI()*(fi_s/1000)^2/4)*(2*9.81*(O2044/100-cota_s-fi_s/2/1000))^0.5*1000)))</f>
        <v>10507.658342211727</v>
      </c>
      <c r="R2044" s="19">
        <f t="shared" ca="1" si="245"/>
        <v>10568.243725271479</v>
      </c>
      <c r="S2044" s="19">
        <f t="shared" ca="1" si="246"/>
        <v>12646.207862392626</v>
      </c>
    </row>
    <row r="2045" spans="13:19">
      <c r="M2045" s="81">
        <f t="shared" ca="1" si="243"/>
        <v>23230.170951986722</v>
      </c>
      <c r="N2045" s="19">
        <f t="shared" si="244"/>
        <v>379.59507633542216</v>
      </c>
      <c r="O2045" s="17">
        <f t="shared" si="242"/>
        <v>511</v>
      </c>
      <c r="P2045" s="19">
        <f ca="1">IF(ISERROR(IF(O2045&lt;fi_h/20,0,(OFFSET('Base de dados'!$A$5,IF(O2045&lt;20,1,IF(O2045&gt;1000,10,MATCH(O2045,Cargas,1))),Coluna_fih,1,1))*(1+0.13*0.25)*(PI()*(fi_h/1000)^2/4)*SQRT(2*9.81*(O2045/100-fi_h/2/1000))*1000)),"",IF(O2045&lt;fi_h/20,0,(OFFSET('Base de dados'!$A$5,IF(O2045&lt;20,1,IF(O2045&gt;1000,10,MATCH(O2045,Cargas,1))),Coluna_fih,1,1))*(PI()*(fi_h/1000)^2/4)*SQRT(2*9.81*(O2045/100-fi_h/2/1000))*1000))</f>
        <v>60.600374321148578</v>
      </c>
      <c r="Q2045" s="19">
        <f ca="1">IF(O2045="","",IF(Tipo_Vertedor="Retangular",IF(O2045&lt;=cota_s*100,0,IF(Tipo_Vertedor="Retangular",Cd_sr*Lef_sr*((O2045/100-cota_s)^(3/2))*1000)),IF(O2045&lt;=cota_s*100+fi_s/20,0,(OFFSET('Base de dados'!$A$4,IF(O2045&lt;20,1,IF(O2045&gt;1000,10,MATCH(O2045,Cargas,1))),Coluna_fis,1,1))*(PI()*(fi_s/1000)^2/4)*(2*9.81*(O2045/100-cota_s-fi_s/2/1000))^0.5*1000)))</f>
        <v>10516.401366484833</v>
      </c>
      <c r="R2045" s="19">
        <f t="shared" ca="1" si="245"/>
        <v>10577.001740805981</v>
      </c>
      <c r="S2045" s="19">
        <f t="shared" ca="1" si="246"/>
        <v>12653.169211180739</v>
      </c>
    </row>
    <row r="2046" spans="13:19">
      <c r="M2046" s="81">
        <f t="shared" ca="1" si="243"/>
        <v>23245.893160452619</v>
      </c>
      <c r="N2046" s="19">
        <f t="shared" si="244"/>
        <v>379.80392952752749</v>
      </c>
      <c r="O2046" s="17">
        <f t="shared" si="242"/>
        <v>511.25</v>
      </c>
      <c r="P2046" s="19">
        <f ca="1">IF(ISERROR(IF(O2046&lt;fi_h/20,0,(OFFSET('Base de dados'!$A$5,IF(O2046&lt;20,1,IF(O2046&gt;1000,10,MATCH(O2046,Cargas,1))),Coluna_fih,1,1))*(1+0.13*0.25)*(PI()*(fi_h/1000)^2/4)*SQRT(2*9.81*(O2046/100-fi_h/2/1000))*1000)),"",IF(O2046&lt;fi_h/20,0,(OFFSET('Base de dados'!$A$5,IF(O2046&lt;20,1,IF(O2046&gt;1000,10,MATCH(O2046,Cargas,1))),Coluna_fih,1,1))*(PI()*(fi_h/1000)^2/4)*SQRT(2*9.81*(O2046/100-fi_h/2/1000))*1000))</f>
        <v>60.615361874939637</v>
      </c>
      <c r="Q2046" s="19">
        <f ca="1">IF(O2046="","",IF(Tipo_Vertedor="Retangular",IF(O2046&lt;=cota_s*100,0,IF(Tipo_Vertedor="Retangular",Cd_sr*Lef_sr*((O2046/100-cota_s)^(3/2))*1000)),IF(O2046&lt;=cota_s*100+fi_s/20,0,(OFFSET('Base de dados'!$A$4,IF(O2046&lt;20,1,IF(O2046&gt;1000,10,MATCH(O2046,Cargas,1))),Coluna_fis,1,1))*(PI()*(fi_s/1000)^2/4)*(2*9.81*(O2046/100-cota_s-fi_s/2/1000))^0.5*1000)))</f>
        <v>10525.146814326763</v>
      </c>
      <c r="R2046" s="19">
        <f t="shared" ca="1" si="245"/>
        <v>10585.762176201702</v>
      </c>
      <c r="S2046" s="19">
        <f t="shared" ca="1" si="246"/>
        <v>12660.130984250916</v>
      </c>
    </row>
    <row r="2047" spans="13:19">
      <c r="M2047" s="81">
        <f t="shared" ca="1" si="243"/>
        <v>23261.618212211491</v>
      </c>
      <c r="N2047" s="19">
        <f t="shared" si="244"/>
        <v>380.01279544264588</v>
      </c>
      <c r="O2047" s="17">
        <f t="shared" si="242"/>
        <v>511.5</v>
      </c>
      <c r="P2047" s="19">
        <f ca="1">IF(ISERROR(IF(O2047&lt;fi_h/20,0,(OFFSET('Base de dados'!$A$5,IF(O2047&lt;20,1,IF(O2047&gt;1000,10,MATCH(O2047,Cargas,1))),Coluna_fih,1,1))*(1+0.13*0.25)*(PI()*(fi_h/1000)^2/4)*SQRT(2*9.81*(O2047/100-fi_h/2/1000))*1000)),"",IF(O2047&lt;fi_h/20,0,(OFFSET('Base de dados'!$A$5,IF(O2047&lt;20,1,IF(O2047&gt;1000,10,MATCH(O2047,Cargas,1))),Coluna_fih,1,1))*(PI()*(fi_h/1000)^2/4)*SQRT(2*9.81*(O2047/100-fi_h/2/1000))*1000))</f>
        <v>60.630345723873688</v>
      </c>
      <c r="Q2047" s="19">
        <f ca="1">IF(O2047="","",IF(Tipo_Vertedor="Retangular",IF(O2047&lt;=cota_s*100,0,IF(Tipo_Vertedor="Retangular",Cd_sr*Lef_sr*((O2047/100-cota_s)^(3/2))*1000)),IF(O2047&lt;=cota_s*100+fi_s/20,0,(OFFSET('Base de dados'!$A$4,IF(O2047&lt;20,1,IF(O2047&gt;1000,10,MATCH(O2047,Cargas,1))),Coluna_fis,1,1))*(PI()*(fi_s/1000)^2/4)*(2*9.81*(O2047/100-cota_s-fi_s/2/1000))^0.5*1000)))</f>
        <v>10533.894685066085</v>
      </c>
      <c r="R2047" s="19">
        <f t="shared" ca="1" si="245"/>
        <v>10594.525030789959</v>
      </c>
      <c r="S2047" s="19">
        <f t="shared" ca="1" si="246"/>
        <v>12667.093181421531</v>
      </c>
    </row>
    <row r="2048" spans="13:19">
      <c r="M2048" s="81">
        <f t="shared" ca="1" si="243"/>
        <v>23277.346106413715</v>
      </c>
      <c r="N2048" s="19">
        <f t="shared" si="244"/>
        <v>380.22167407533323</v>
      </c>
      <c r="O2048" s="17">
        <f t="shared" si="242"/>
        <v>511.75</v>
      </c>
      <c r="P2048" s="19">
        <f ca="1">IF(ISERROR(IF(O2048&lt;fi_h/20,0,(OFFSET('Base de dados'!$A$5,IF(O2048&lt;20,1,IF(O2048&gt;1000,10,MATCH(O2048,Cargas,1))),Coluna_fih,1,1))*(1+0.13*0.25)*(PI()*(fi_h/1000)^2/4)*SQRT(2*9.81*(O2048/100-fi_h/2/1000))*1000)),"",IF(O2048&lt;fi_h/20,0,(OFFSET('Base de dados'!$A$5,IF(O2048&lt;20,1,IF(O2048&gt;1000,10,MATCH(O2048,Cargas,1))),Coluna_fih,1,1))*(PI()*(fi_h/1000)^2/4)*SQRT(2*9.81*(O2048/100-fi_h/2/1000))*1000))</f>
        <v>60.64532587069683</v>
      </c>
      <c r="Q2048" s="19">
        <f ca="1">IF(O2048="","",IF(Tipo_Vertedor="Retangular",IF(O2048&lt;=cota_s*100,0,IF(Tipo_Vertedor="Retangular",Cd_sr*Lef_sr*((O2048/100-cota_s)^(3/2))*1000)),IF(O2048&lt;=cota_s*100+fi_s/20,0,(OFFSET('Base de dados'!$A$4,IF(O2048&lt;20,1,IF(O2048&gt;1000,10,MATCH(O2048,Cargas,1))),Coluna_fis,1,1))*(PI()*(fi_s/1000)^2/4)*(2*9.81*(O2048/100-cota_s-fi_s/2/1000))^0.5*1000)))</f>
        <v>10542.644978031909</v>
      </c>
      <c r="R2048" s="19">
        <f t="shared" ca="1" si="245"/>
        <v>10603.290303902606</v>
      </c>
      <c r="S2048" s="19">
        <f t="shared" ca="1" si="246"/>
        <v>12674.055802511108</v>
      </c>
    </row>
    <row r="2049" spans="13:19">
      <c r="M2049" s="81">
        <f t="shared" ca="1" si="243"/>
        <v>23293.076842210427</v>
      </c>
      <c r="N2049" s="19">
        <f t="shared" si="244"/>
        <v>380.43056542015074</v>
      </c>
      <c r="O2049" s="17">
        <f t="shared" si="242"/>
        <v>512</v>
      </c>
      <c r="P2049" s="19">
        <f ca="1">IF(ISERROR(IF(O2049&lt;fi_h/20,0,(OFFSET('Base de dados'!$A$5,IF(O2049&lt;20,1,IF(O2049&gt;1000,10,MATCH(O2049,Cargas,1))),Coluna_fih,1,1))*(1+0.13*0.25)*(PI()*(fi_h/1000)^2/4)*SQRT(2*9.81*(O2049/100-fi_h/2/1000))*1000)),"",IF(O2049&lt;fi_h/20,0,(OFFSET('Base de dados'!$A$5,IF(O2049&lt;20,1,IF(O2049&gt;1000,10,MATCH(O2049,Cargas,1))),Coluna_fih,1,1))*(PI()*(fi_h/1000)^2/4)*SQRT(2*9.81*(O2049/100-fi_h/2/1000))*1000))</f>
        <v>60.660302318151793</v>
      </c>
      <c r="Q2049" s="19">
        <f ca="1">IF(O2049="","",IF(Tipo_Vertedor="Retangular",IF(O2049&lt;=cota_s*100,0,IF(Tipo_Vertedor="Retangular",Cd_sr*Lef_sr*((O2049/100-cota_s)^(3/2))*1000)),IF(O2049&lt;=cota_s*100+fi_s/20,0,(OFFSET('Base de dados'!$A$4,IF(O2049&lt;20,1,IF(O2049&gt;1000,10,MATCH(O2049,Cargas,1))),Coluna_fis,1,1))*(PI()*(fi_s/1000)^2/4)*(2*9.81*(O2049/100-cota_s-fi_s/2/1000))^0.5*1000)))</f>
        <v>10551.397692553915</v>
      </c>
      <c r="R2049" s="19">
        <f t="shared" ca="1" si="245"/>
        <v>10612.057994872068</v>
      </c>
      <c r="S2049" s="19">
        <f t="shared" ca="1" si="246"/>
        <v>12681.018847338359</v>
      </c>
    </row>
    <row r="2050" spans="13:19">
      <c r="M2050" s="81">
        <f t="shared" ca="1" si="243"/>
        <v>23308.810418753434</v>
      </c>
      <c r="N2050" s="19">
        <f t="shared" si="244"/>
        <v>380.63946947166409</v>
      </c>
      <c r="O2050" s="17">
        <f t="shared" si="242"/>
        <v>512.25</v>
      </c>
      <c r="P2050" s="19">
        <f ca="1">IF(ISERROR(IF(O2050&lt;fi_h/20,0,(OFFSET('Base de dados'!$A$5,IF(O2050&lt;20,1,IF(O2050&gt;1000,10,MATCH(O2050,Cargas,1))),Coluna_fih,1,1))*(1+0.13*0.25)*(PI()*(fi_h/1000)^2/4)*SQRT(2*9.81*(O2050/100-fi_h/2/1000))*1000)),"",IF(O2050&lt;fi_h/20,0,(OFFSET('Base de dados'!$A$5,IF(O2050&lt;20,1,IF(O2050&gt;1000,10,MATCH(O2050,Cargas,1))),Coluna_fih,1,1))*(PI()*(fi_h/1000)^2/4)*SQRT(2*9.81*(O2050/100-fi_h/2/1000))*1000))</f>
        <v>60.675275068977918</v>
      </c>
      <c r="Q2050" s="19">
        <f ca="1">IF(O2050="","",IF(Tipo_Vertedor="Retangular",IF(O2050&lt;=cota_s*100,0,IF(Tipo_Vertedor="Retangular",Cd_sr*Lef_sr*((O2050/100-cota_s)^(3/2))*1000)),IF(O2050&lt;=cota_s*100+fi_s/20,0,(OFFSET('Base de dados'!$A$4,IF(O2050&lt;20,1,IF(O2050&gt;1000,10,MATCH(O2050,Cargas,1))),Coluna_fis,1,1))*(PI()*(fi_s/1000)^2/4)*(2*9.81*(O2050/100-cota_s-fi_s/2/1000))^0.5*1000)))</f>
        <v>10560.15282796232</v>
      </c>
      <c r="R2050" s="19">
        <f t="shared" ca="1" si="245"/>
        <v>10620.828103031297</v>
      </c>
      <c r="S2050" s="19">
        <f t="shared" ca="1" si="246"/>
        <v>12687.982315722136</v>
      </c>
    </row>
    <row r="2051" spans="13:19">
      <c r="M2051" s="81">
        <f t="shared" ca="1" si="243"/>
        <v>23324.546835195324</v>
      </c>
      <c r="N2051" s="19">
        <f t="shared" si="244"/>
        <v>380.8483862244446</v>
      </c>
      <c r="O2051" s="17">
        <f t="shared" si="242"/>
        <v>512.5</v>
      </c>
      <c r="P2051" s="19">
        <f ca="1">IF(ISERROR(IF(O2051&lt;fi_h/20,0,(OFFSET('Base de dados'!$A$5,IF(O2051&lt;20,1,IF(O2051&gt;1000,10,MATCH(O2051,Cargas,1))),Coluna_fih,1,1))*(1+0.13*0.25)*(PI()*(fi_h/1000)^2/4)*SQRT(2*9.81*(O2051/100-fi_h/2/1000))*1000)),"",IF(O2051&lt;fi_h/20,0,(OFFSET('Base de dados'!$A$5,IF(O2051&lt;20,1,IF(O2051&gt;1000,10,MATCH(O2051,Cargas,1))),Coluna_fih,1,1))*(PI()*(fi_h/1000)^2/4)*SQRT(2*9.81*(O2051/100-fi_h/2/1000))*1000))</f>
        <v>60.690244125911178</v>
      </c>
      <c r="Q2051" s="19">
        <f ca="1">IF(O2051="","",IF(Tipo_Vertedor="Retangular",IF(O2051&lt;=cota_s*100,0,IF(Tipo_Vertedor="Retangular",Cd_sr*Lef_sr*((O2051/100-cota_s)^(3/2))*1000)),IF(O2051&lt;=cota_s*100+fi_s/20,0,(OFFSET('Base de dados'!$A$4,IF(O2051&lt;20,1,IF(O2051&gt;1000,10,MATCH(O2051,Cargas,1))),Coluna_fis,1,1))*(PI()*(fi_s/1000)^2/4)*(2*9.81*(O2051/100-cota_s-fi_s/2/1000))^0.5*1000)))</f>
        <v>10568.910383587923</v>
      </c>
      <c r="R2051" s="19">
        <f t="shared" ca="1" si="245"/>
        <v>10629.600627713835</v>
      </c>
      <c r="S2051" s="19">
        <f t="shared" ca="1" si="246"/>
        <v>12694.946207481487</v>
      </c>
    </row>
    <row r="2052" spans="13:19">
      <c r="M2052" s="81">
        <f t="shared" ca="1" si="243"/>
        <v>23340.286090689333</v>
      </c>
      <c r="N2052" s="19">
        <f t="shared" si="244"/>
        <v>381.05731567306788</v>
      </c>
      <c r="O2052" s="17">
        <f t="shared" si="242"/>
        <v>512.75</v>
      </c>
      <c r="P2052" s="19">
        <f ca="1">IF(ISERROR(IF(O2052&lt;fi_h/20,0,(OFFSET('Base de dados'!$A$5,IF(O2052&lt;20,1,IF(O2052&gt;1000,10,MATCH(O2052,Cargas,1))),Coluna_fih,1,1))*(1+0.13*0.25)*(PI()*(fi_h/1000)^2/4)*SQRT(2*9.81*(O2052/100-fi_h/2/1000))*1000)),"",IF(O2052&lt;fi_h/20,0,(OFFSET('Base de dados'!$A$5,IF(O2052&lt;20,1,IF(O2052&gt;1000,10,MATCH(O2052,Cargas,1))),Coluna_fih,1,1))*(PI()*(fi_h/1000)^2/4)*SQRT(2*9.81*(O2052/100-fi_h/2/1000))*1000))</f>
        <v>60.705209491684144</v>
      </c>
      <c r="Q2052" s="19">
        <f ca="1">IF(O2052="","",IF(Tipo_Vertedor="Retangular",IF(O2052&lt;=cota_s*100,0,IF(Tipo_Vertedor="Retangular",Cd_sr*Lef_sr*((O2052/100-cota_s)^(3/2))*1000)),IF(O2052&lt;=cota_s*100+fi_s/20,0,(OFFSET('Base de dados'!$A$4,IF(O2052&lt;20,1,IF(O2052&gt;1000,10,MATCH(O2052,Cargas,1))),Coluna_fis,1,1))*(PI()*(fi_s/1000)^2/4)*(2*9.81*(O2052/100-cota_s-fi_s/2/1000))^0.5*1000)))</f>
        <v>10577.670358762052</v>
      </c>
      <c r="R2052" s="19">
        <f t="shared" ca="1" si="245"/>
        <v>10638.375568253736</v>
      </c>
      <c r="S2052" s="19">
        <f t="shared" ca="1" si="246"/>
        <v>12701.910522435595</v>
      </c>
    </row>
    <row r="2053" spans="13:19">
      <c r="M2053" s="81">
        <f t="shared" ca="1" si="243"/>
        <v>23356.028184389463</v>
      </c>
      <c r="N2053" s="19">
        <f t="shared" si="244"/>
        <v>381.26625781211493</v>
      </c>
      <c r="O2053" s="17">
        <f t="shared" si="242"/>
        <v>513</v>
      </c>
      <c r="P2053" s="19">
        <f ca="1">IF(ISERROR(IF(O2053&lt;fi_h/20,0,(OFFSET('Base de dados'!$A$5,IF(O2053&lt;20,1,IF(O2053&gt;1000,10,MATCH(O2053,Cargas,1))),Coluna_fih,1,1))*(1+0.13*0.25)*(PI()*(fi_h/1000)^2/4)*SQRT(2*9.81*(O2053/100-fi_h/2/1000))*1000)),"",IF(O2053&lt;fi_h/20,0,(OFFSET('Base de dados'!$A$5,IF(O2053&lt;20,1,IF(O2053&gt;1000,10,MATCH(O2053,Cargas,1))),Coluna_fih,1,1))*(PI()*(fi_h/1000)^2/4)*SQRT(2*9.81*(O2053/100-fi_h/2/1000))*1000))</f>
        <v>60.720171169026038</v>
      </c>
      <c r="Q2053" s="19">
        <f ca="1">IF(O2053="","",IF(Tipo_Vertedor="Retangular",IF(O2053&lt;=cota_s*100,0,IF(Tipo_Vertedor="Retangular",Cd_sr*Lef_sr*((O2053/100-cota_s)^(3/2))*1000)),IF(O2053&lt;=cota_s*100+fi_s/20,0,(OFFSET('Base de dados'!$A$4,IF(O2053&lt;20,1,IF(O2053&gt;1000,10,MATCH(O2053,Cargas,1))),Coluna_fis,1,1))*(PI()*(fi_s/1000)^2/4)*(2*9.81*(O2053/100-cota_s-fi_s/2/1000))^0.5*1000)))</f>
        <v>10586.432752816601</v>
      </c>
      <c r="R2053" s="19">
        <f t="shared" ca="1" si="245"/>
        <v>10647.152923985628</v>
      </c>
      <c r="S2053" s="19">
        <f t="shared" ca="1" si="246"/>
        <v>12708.875260403833</v>
      </c>
    </row>
    <row r="2054" spans="13:19">
      <c r="M2054" s="81">
        <f t="shared" ca="1" si="243"/>
        <v>23371.7731154504</v>
      </c>
      <c r="N2054" s="19">
        <f t="shared" si="244"/>
        <v>381.47521263617159</v>
      </c>
      <c r="O2054" s="17">
        <f t="shared" si="242"/>
        <v>513.25</v>
      </c>
      <c r="P2054" s="19">
        <f ca="1">IF(ISERROR(IF(O2054&lt;fi_h/20,0,(OFFSET('Base de dados'!$A$5,IF(O2054&lt;20,1,IF(O2054&gt;1000,10,MATCH(O2054,Cargas,1))),Coluna_fih,1,1))*(1+0.13*0.25)*(PI()*(fi_h/1000)^2/4)*SQRT(2*9.81*(O2054/100-fi_h/2/1000))*1000)),"",IF(O2054&lt;fi_h/20,0,(OFFSET('Base de dados'!$A$5,IF(O2054&lt;20,1,IF(O2054&gt;1000,10,MATCH(O2054,Cargas,1))),Coluna_fih,1,1))*(PI()*(fi_h/1000)^2/4)*SQRT(2*9.81*(O2054/100-fi_h/2/1000))*1000))</f>
        <v>60.735129160662723</v>
      </c>
      <c r="Q2054" s="19">
        <f ca="1">IF(O2054="","",IF(Tipo_Vertedor="Retangular",IF(O2054&lt;=cota_s*100,0,IF(Tipo_Vertedor="Retangular",Cd_sr*Lef_sr*((O2054/100-cota_s)^(3/2))*1000)),IF(O2054&lt;=cota_s*100+fi_s/20,0,(OFFSET('Base de dados'!$A$4,IF(O2054&lt;20,1,IF(O2054&gt;1000,10,MATCH(O2054,Cargas,1))),Coluna_fis,1,1))*(PI()*(fi_s/1000)^2/4)*(2*9.81*(O2054/100-cota_s-fi_s/2/1000))^0.5*1000)))</f>
        <v>10595.19756508402</v>
      </c>
      <c r="R2054" s="19">
        <f t="shared" ca="1" si="245"/>
        <v>10655.932694244682</v>
      </c>
      <c r="S2054" s="19">
        <f t="shared" ca="1" si="246"/>
        <v>12715.840421205719</v>
      </c>
    </row>
    <row r="2055" spans="13:19">
      <c r="M2055" s="81">
        <f t="shared" ca="1" si="243"/>
        <v>23387.520883027577</v>
      </c>
      <c r="N2055" s="19">
        <f t="shared" si="244"/>
        <v>381.68418013982858</v>
      </c>
      <c r="O2055" s="17">
        <f t="shared" si="242"/>
        <v>513.5</v>
      </c>
      <c r="P2055" s="19">
        <f ca="1">IF(ISERROR(IF(O2055&lt;fi_h/20,0,(OFFSET('Base de dados'!$A$5,IF(O2055&lt;20,1,IF(O2055&gt;1000,10,MATCH(O2055,Cargas,1))),Coluna_fih,1,1))*(1+0.13*0.25)*(PI()*(fi_h/1000)^2/4)*SQRT(2*9.81*(O2055/100-fi_h/2/1000))*1000)),"",IF(O2055&lt;fi_h/20,0,(OFFSET('Base de dados'!$A$5,IF(O2055&lt;20,1,IF(O2055&gt;1000,10,MATCH(O2055,Cargas,1))),Coluna_fih,1,1))*(PI()*(fi_h/1000)^2/4)*SQRT(2*9.81*(O2055/100-fi_h/2/1000))*1000))</f>
        <v>60.750083469316685</v>
      </c>
      <c r="Q2055" s="19">
        <f ca="1">IF(O2055="","",IF(Tipo_Vertedor="Retangular",IF(O2055&lt;=cota_s*100,0,IF(Tipo_Vertedor="Retangular",Cd_sr*Lef_sr*((O2055/100-cota_s)^(3/2))*1000)),IF(O2055&lt;=cota_s*100+fi_s/20,0,(OFFSET('Base de dados'!$A$4,IF(O2055&lt;20,1,IF(O2055&gt;1000,10,MATCH(O2055,Cargas,1))),Coluna_fis,1,1))*(PI()*(fi_s/1000)^2/4)*(2*9.81*(O2055/100-cota_s-fi_s/2/1000))^0.5*1000)))</f>
        <v>10603.964794897307</v>
      </c>
      <c r="R2055" s="19">
        <f t="shared" ca="1" si="245"/>
        <v>10664.714878366623</v>
      </c>
      <c r="S2055" s="19">
        <f t="shared" ca="1" si="246"/>
        <v>12722.806004660953</v>
      </c>
    </row>
    <row r="2056" spans="13:19">
      <c r="M2056" s="81">
        <f t="shared" ca="1" si="243"/>
        <v>23403.271486277117</v>
      </c>
      <c r="N2056" s="19">
        <f t="shared" si="244"/>
        <v>381.89316031768186</v>
      </c>
      <c r="O2056" s="17">
        <f t="shared" si="242"/>
        <v>513.75</v>
      </c>
      <c r="P2056" s="19">
        <f ca="1">IF(ISERROR(IF(O2056&lt;fi_h/20,0,(OFFSET('Base de dados'!$A$5,IF(O2056&lt;20,1,IF(O2056&gt;1000,10,MATCH(O2056,Cargas,1))),Coluna_fih,1,1))*(1+0.13*0.25)*(PI()*(fi_h/1000)^2/4)*SQRT(2*9.81*(O2056/100-fi_h/2/1000))*1000)),"",IF(O2056&lt;fi_h/20,0,(OFFSET('Base de dados'!$A$5,IF(O2056&lt;20,1,IF(O2056&gt;1000,10,MATCH(O2056,Cargas,1))),Coluna_fih,1,1))*(PI()*(fi_h/1000)^2/4)*SQRT(2*9.81*(O2056/100-fi_h/2/1000))*1000))</f>
        <v>60.765034097707108</v>
      </c>
      <c r="Q2056" s="19">
        <f ca="1">IF(O2056="","",IF(Tipo_Vertedor="Retangular",IF(O2056&lt;=cota_s*100,0,IF(Tipo_Vertedor="Retangular",Cd_sr*Lef_sr*((O2056/100-cota_s)^(3/2))*1000)),IF(O2056&lt;=cota_s*100+fi_s/20,0,(OFFSET('Base de dados'!$A$4,IF(O2056&lt;20,1,IF(O2056&gt;1000,10,MATCH(O2056,Cargas,1))),Coluna_fis,1,1))*(PI()*(fi_s/1000)^2/4)*(2*9.81*(O2056/100-cota_s-fi_s/2/1000))^0.5*1000)))</f>
        <v>10612.734441590017</v>
      </c>
      <c r="R2056" s="19">
        <f t="shared" ca="1" si="245"/>
        <v>10673.499475687724</v>
      </c>
      <c r="S2056" s="19">
        <f t="shared" ca="1" si="246"/>
        <v>12729.772010589395</v>
      </c>
    </row>
    <row r="2057" spans="13:19">
      <c r="M2057" s="81">
        <f t="shared" ca="1" si="243"/>
        <v>23419.024924355854</v>
      </c>
      <c r="N2057" s="19">
        <f t="shared" si="244"/>
        <v>382.10215316433181</v>
      </c>
      <c r="O2057" s="17">
        <f t="shared" si="242"/>
        <v>514</v>
      </c>
      <c r="P2057" s="19">
        <f ca="1">IF(ISERROR(IF(O2057&lt;fi_h/20,0,(OFFSET('Base de dados'!$A$5,IF(O2057&lt;20,1,IF(O2057&gt;1000,10,MATCH(O2057,Cargas,1))),Coluna_fih,1,1))*(1+0.13*0.25)*(PI()*(fi_h/1000)^2/4)*SQRT(2*9.81*(O2057/100-fi_h/2/1000))*1000)),"",IF(O2057&lt;fi_h/20,0,(OFFSET('Base de dados'!$A$5,IF(O2057&lt;20,1,IF(O2057&gt;1000,10,MATCH(O2057,Cargas,1))),Coluna_fih,1,1))*(PI()*(fi_h/1000)^2/4)*SQRT(2*9.81*(O2057/100-fi_h/2/1000))*1000))</f>
        <v>60.779981048549757</v>
      </c>
      <c r="Q2057" s="19">
        <f ca="1">IF(O2057="","",IF(Tipo_Vertedor="Retangular",IF(O2057&lt;=cota_s*100,0,IF(Tipo_Vertedor="Retangular",Cd_sr*Lef_sr*((O2057/100-cota_s)^(3/2))*1000)),IF(O2057&lt;=cota_s*100+fi_s/20,0,(OFFSET('Base de dados'!$A$4,IF(O2057&lt;20,1,IF(O2057&gt;1000,10,MATCH(O2057,Cargas,1))),Coluna_fis,1,1))*(PI()*(fi_s/1000)^2/4)*(2*9.81*(O2057/100-cota_s-fi_s/2/1000))^0.5*1000)))</f>
        <v>10621.506504496243</v>
      </c>
      <c r="R2057" s="19">
        <f t="shared" ca="1" si="245"/>
        <v>10682.286485544793</v>
      </c>
      <c r="S2057" s="19">
        <f t="shared" ca="1" si="246"/>
        <v>12736.73843881106</v>
      </c>
    </row>
    <row r="2058" spans="13:19">
      <c r="M2058" s="81">
        <f t="shared" ca="1" si="243"/>
        <v>23434.78119642134</v>
      </c>
      <c r="N2058" s="19">
        <f t="shared" si="244"/>
        <v>382.31115867438422</v>
      </c>
      <c r="O2058" s="17">
        <f t="shared" si="242"/>
        <v>514.25</v>
      </c>
      <c r="P2058" s="19">
        <f ca="1">IF(ISERROR(IF(O2058&lt;fi_h/20,0,(OFFSET('Base de dados'!$A$5,IF(O2058&lt;20,1,IF(O2058&gt;1000,10,MATCH(O2058,Cargas,1))),Coluna_fih,1,1))*(1+0.13*0.25)*(PI()*(fi_h/1000)^2/4)*SQRT(2*9.81*(O2058/100-fi_h/2/1000))*1000)),"",IF(O2058&lt;fi_h/20,0,(OFFSET('Base de dados'!$A$5,IF(O2058&lt;20,1,IF(O2058&gt;1000,10,MATCH(O2058,Cargas,1))),Coluna_fih,1,1))*(PI()*(fi_h/1000)^2/4)*SQRT(2*9.81*(O2058/100-fi_h/2/1000))*1000))</f>
        <v>60.794924324557151</v>
      </c>
      <c r="Q2058" s="19">
        <f ca="1">IF(O2058="","",IF(Tipo_Vertedor="Retangular",IF(O2058&lt;=cota_s*100,0,IF(Tipo_Vertedor="Retangular",Cd_sr*Lef_sr*((O2058/100-cota_s)^(3/2))*1000)),IF(O2058&lt;=cota_s*100+fi_s/20,0,(OFFSET('Base de dados'!$A$4,IF(O2058&lt;20,1,IF(O2058&gt;1000,10,MATCH(O2058,Cargas,1))),Coluna_fis,1,1))*(PI()*(fi_s/1000)^2/4)*(2*9.81*(O2058/100-cota_s-fi_s/2/1000))^0.5*1000)))</f>
        <v>10630.280982950642</v>
      </c>
      <c r="R2058" s="19">
        <f t="shared" ca="1" si="245"/>
        <v>10691.075907275199</v>
      </c>
      <c r="S2058" s="19">
        <f t="shared" ca="1" si="246"/>
        <v>12743.705289146141</v>
      </c>
    </row>
    <row r="2059" spans="13:19">
      <c r="M2059" s="81">
        <f t="shared" ca="1" si="243"/>
        <v>23450.540301631831</v>
      </c>
      <c r="N2059" s="19">
        <f t="shared" si="244"/>
        <v>382.52017684244942</v>
      </c>
      <c r="O2059" s="17">
        <f t="shared" si="242"/>
        <v>514.5</v>
      </c>
      <c r="P2059" s="19">
        <f ca="1">IF(ISERROR(IF(O2059&lt;fi_h/20,0,(OFFSET('Base de dados'!$A$5,IF(O2059&lt;20,1,IF(O2059&gt;1000,10,MATCH(O2059,Cargas,1))),Coluna_fih,1,1))*(1+0.13*0.25)*(PI()*(fi_h/1000)^2/4)*SQRT(2*9.81*(O2059/100-fi_h/2/1000))*1000)),"",IF(O2059&lt;fi_h/20,0,(OFFSET('Base de dados'!$A$5,IF(O2059&lt;20,1,IF(O2059&gt;1000,10,MATCH(O2059,Cargas,1))),Coluna_fih,1,1))*(PI()*(fi_h/1000)^2/4)*SQRT(2*9.81*(O2059/100-fi_h/2/1000))*1000))</f>
        <v>60.809863928438396</v>
      </c>
      <c r="Q2059" s="19">
        <f ca="1">IF(O2059="","",IF(Tipo_Vertedor="Retangular",IF(O2059&lt;=cota_s*100,0,IF(Tipo_Vertedor="Retangular",Cd_sr*Lef_sr*((O2059/100-cota_s)^(3/2))*1000)),IF(O2059&lt;=cota_s*100+fi_s/20,0,(OFFSET('Base de dados'!$A$4,IF(O2059&lt;20,1,IF(O2059&gt;1000,10,MATCH(O2059,Cargas,1))),Coluna_fis,1,1))*(PI()*(fi_s/1000)^2/4)*(2*9.81*(O2059/100-cota_s-fi_s/2/1000))^0.5*1000)))</f>
        <v>10639.057876288414</v>
      </c>
      <c r="R2059" s="19">
        <f t="shared" ca="1" si="245"/>
        <v>10699.867740216852</v>
      </c>
      <c r="S2059" s="19">
        <f t="shared" ca="1" si="246"/>
        <v>12750.67256141498</v>
      </c>
    </row>
    <row r="2060" spans="13:19">
      <c r="M2060" s="81">
        <f t="shared" ca="1" si="243"/>
        <v>23466.302239146295</v>
      </c>
      <c r="N2060" s="19">
        <f t="shared" si="244"/>
        <v>382.7292076631428</v>
      </c>
      <c r="O2060" s="17">
        <f t="shared" si="242"/>
        <v>514.75</v>
      </c>
      <c r="P2060" s="19">
        <f ca="1">IF(ISERROR(IF(O2060&lt;fi_h/20,0,(OFFSET('Base de dados'!$A$5,IF(O2060&lt;20,1,IF(O2060&gt;1000,10,MATCH(O2060,Cargas,1))),Coluna_fih,1,1))*(1+0.13*0.25)*(PI()*(fi_h/1000)^2/4)*SQRT(2*9.81*(O2060/100-fi_h/2/1000))*1000)),"",IF(O2060&lt;fi_h/20,0,(OFFSET('Base de dados'!$A$5,IF(O2060&lt;20,1,IF(O2060&gt;1000,10,MATCH(O2060,Cargas,1))),Coluna_fih,1,1))*(PI()*(fi_h/1000)^2/4)*SQRT(2*9.81*(O2060/100-fi_h/2/1000))*1000))</f>
        <v>60.824799862899312</v>
      </c>
      <c r="Q2060" s="19">
        <f ca="1">IF(O2060="","",IF(Tipo_Vertedor="Retangular",IF(O2060&lt;=cota_s*100,0,IF(Tipo_Vertedor="Retangular",Cd_sr*Lef_sr*((O2060/100-cota_s)^(3/2))*1000)),IF(O2060&lt;=cota_s*100+fi_s/20,0,(OFFSET('Base de dados'!$A$4,IF(O2060&lt;20,1,IF(O2060&gt;1000,10,MATCH(O2060,Cargas,1))),Coluna_fis,1,1))*(PI()*(fi_s/1000)^2/4)*(2*9.81*(O2060/100-cota_s-fi_s/2/1000))^0.5*1000)))</f>
        <v>10647.837183845302</v>
      </c>
      <c r="R2060" s="19">
        <f t="shared" ca="1" si="245"/>
        <v>10708.661983708202</v>
      </c>
      <c r="S2060" s="19">
        <f t="shared" ca="1" si="246"/>
        <v>12757.640255438095</v>
      </c>
    </row>
    <row r="2061" spans="13:19">
      <c r="M2061" s="81">
        <f t="shared" ca="1" si="243"/>
        <v>23482.067008124417</v>
      </c>
      <c r="N2061" s="19">
        <f t="shared" si="244"/>
        <v>382.93825113108488</v>
      </c>
      <c r="O2061" s="17">
        <f t="shared" si="242"/>
        <v>515</v>
      </c>
      <c r="P2061" s="19">
        <f ca="1">IF(ISERROR(IF(O2061&lt;fi_h/20,0,(OFFSET('Base de dados'!$A$5,IF(O2061&lt;20,1,IF(O2061&gt;1000,10,MATCH(O2061,Cargas,1))),Coluna_fih,1,1))*(1+0.13*0.25)*(PI()*(fi_h/1000)^2/4)*SQRT(2*9.81*(O2061/100-fi_h/2/1000))*1000)),"",IF(O2061&lt;fi_h/20,0,(OFFSET('Base de dados'!$A$5,IF(O2061&lt;20,1,IF(O2061&gt;1000,10,MATCH(O2061,Cargas,1))),Coluna_fih,1,1))*(PI()*(fi_h/1000)^2/4)*SQRT(2*9.81*(O2061/100-fi_h/2/1000))*1000))</f>
        <v>60.839732130642375</v>
      </c>
      <c r="Q2061" s="19">
        <f ca="1">IF(O2061="","",IF(Tipo_Vertedor="Retangular",IF(O2061&lt;=cota_s*100,0,IF(Tipo_Vertedor="Retangular",Cd_sr*Lef_sr*((O2061/100-cota_s)^(3/2))*1000)),IF(O2061&lt;=cota_s*100+fi_s/20,0,(OFFSET('Base de dados'!$A$4,IF(O2061&lt;20,1,IF(O2061&gt;1000,10,MATCH(O2061,Cargas,1))),Coluna_fis,1,1))*(PI()*(fi_s/1000)^2/4)*(2*9.81*(O2061/100-cota_s-fi_s/2/1000))^0.5*1000)))</f>
        <v>10656.618904957613</v>
      </c>
      <c r="R2061" s="19">
        <f t="shared" ca="1" si="245"/>
        <v>10717.458637088255</v>
      </c>
      <c r="S2061" s="19">
        <f t="shared" ca="1" si="246"/>
        <v>12764.608371036162</v>
      </c>
    </row>
    <row r="2062" spans="13:19">
      <c r="M2062" s="81">
        <f t="shared" ca="1" si="243"/>
        <v>23497.834607726581</v>
      </c>
      <c r="N2062" s="19">
        <f t="shared" si="244"/>
        <v>383.14730724090083</v>
      </c>
      <c r="O2062" s="17">
        <f t="shared" si="242"/>
        <v>515.25</v>
      </c>
      <c r="P2062" s="19">
        <f ca="1">IF(ISERROR(IF(O2062&lt;fi_h/20,0,(OFFSET('Base de dados'!$A$5,IF(O2062&lt;20,1,IF(O2062&gt;1000,10,MATCH(O2062,Cargas,1))),Coluna_fih,1,1))*(1+0.13*0.25)*(PI()*(fi_h/1000)^2/4)*SQRT(2*9.81*(O2062/100-fi_h/2/1000))*1000)),"",IF(O2062&lt;fi_h/20,0,(OFFSET('Base de dados'!$A$5,IF(O2062&lt;20,1,IF(O2062&gt;1000,10,MATCH(O2062,Cargas,1))),Coluna_fih,1,1))*(PI()*(fi_h/1000)^2/4)*SQRT(2*9.81*(O2062/100-fi_h/2/1000))*1000))</f>
        <v>60.85466073436676</v>
      </c>
      <c r="Q2062" s="19">
        <f ca="1">IF(O2062="","",IF(Tipo_Vertedor="Retangular",IF(O2062&lt;=cota_s*100,0,IF(Tipo_Vertedor="Retangular",Cd_sr*Lef_sr*((O2062/100-cota_s)^(3/2))*1000)),IF(O2062&lt;=cota_s*100+fi_s/20,0,(OFFSET('Base de dados'!$A$4,IF(O2062&lt;20,1,IF(O2062&gt;1000,10,MATCH(O2062,Cargas,1))),Coluna_fis,1,1))*(PI()*(fi_s/1000)^2/4)*(2*9.81*(O2062/100-cota_s-fi_s/2/1000))^0.5*1000)))</f>
        <v>10665.403038962188</v>
      </c>
      <c r="R2062" s="19">
        <f t="shared" ca="1" si="245"/>
        <v>10726.257699696554</v>
      </c>
      <c r="S2062" s="19">
        <f t="shared" ca="1" si="246"/>
        <v>12771.576908030027</v>
      </c>
    </row>
    <row r="2063" spans="13:19">
      <c r="M2063" s="81">
        <f t="shared" ca="1" si="243"/>
        <v>23513.605037113866</v>
      </c>
      <c r="N2063" s="19">
        <f t="shared" si="244"/>
        <v>383.35637598722059</v>
      </c>
      <c r="O2063" s="17">
        <f t="shared" si="242"/>
        <v>515.5</v>
      </c>
      <c r="P2063" s="19">
        <f ca="1">IF(ISERROR(IF(O2063&lt;fi_h/20,0,(OFFSET('Base de dados'!$A$5,IF(O2063&lt;20,1,IF(O2063&gt;1000,10,MATCH(O2063,Cargas,1))),Coluna_fih,1,1))*(1+0.13*0.25)*(PI()*(fi_h/1000)^2/4)*SQRT(2*9.81*(O2063/100-fi_h/2/1000))*1000)),"",IF(O2063&lt;fi_h/20,0,(OFFSET('Base de dados'!$A$5,IF(O2063&lt;20,1,IF(O2063&gt;1000,10,MATCH(O2063,Cargas,1))),Coluna_fih,1,1))*(PI()*(fi_h/1000)^2/4)*SQRT(2*9.81*(O2063/100-fi_h/2/1000))*1000))</f>
        <v>60.869585676768345</v>
      </c>
      <c r="Q2063" s="19">
        <f ca="1">IF(O2063="","",IF(Tipo_Vertedor="Retangular",IF(O2063&lt;=cota_s*100,0,IF(Tipo_Vertedor="Retangular",Cd_sr*Lef_sr*((O2063/100-cota_s)^(3/2))*1000)),IF(O2063&lt;=cota_s*100+fi_s/20,0,(OFFSET('Base de dados'!$A$4,IF(O2063&lt;20,1,IF(O2063&gt;1000,10,MATCH(O2063,Cargas,1))),Coluna_fis,1,1))*(PI()*(fi_s/1000)^2/4)*(2*9.81*(O2063/100-cota_s-fi_s/2/1000))^0.5*1000)))</f>
        <v>10674.189585196411</v>
      </c>
      <c r="R2063" s="19">
        <f t="shared" ca="1" si="245"/>
        <v>10735.059170873179</v>
      </c>
      <c r="S2063" s="19">
        <f t="shared" ca="1" si="246"/>
        <v>12778.545866240687</v>
      </c>
    </row>
    <row r="2064" spans="13:19">
      <c r="M2064" s="81">
        <f t="shared" ca="1" si="243"/>
        <v>23529.37829544807</v>
      </c>
      <c r="N2064" s="19">
        <f t="shared" si="244"/>
        <v>383.56545736467922</v>
      </c>
      <c r="O2064" s="17">
        <f t="shared" si="242"/>
        <v>515.75</v>
      </c>
      <c r="P2064" s="19">
        <f ca="1">IF(ISERROR(IF(O2064&lt;fi_h/20,0,(OFFSET('Base de dados'!$A$5,IF(O2064&lt;20,1,IF(O2064&gt;1000,10,MATCH(O2064,Cargas,1))),Coluna_fih,1,1))*(1+0.13*0.25)*(PI()*(fi_h/1000)^2/4)*SQRT(2*9.81*(O2064/100-fi_h/2/1000))*1000)),"",IF(O2064&lt;fi_h/20,0,(OFFSET('Base de dados'!$A$5,IF(O2064&lt;20,1,IF(O2064&gt;1000,10,MATCH(O2064,Cargas,1))),Coluna_fih,1,1))*(PI()*(fi_h/1000)^2/4)*SQRT(2*9.81*(O2064/100-fi_h/2/1000))*1000))</f>
        <v>60.884506960539674</v>
      </c>
      <c r="Q2064" s="19">
        <f ca="1">IF(O2064="","",IF(Tipo_Vertedor="Retangular",IF(O2064&lt;=cota_s*100,0,IF(Tipo_Vertedor="Retangular",Cd_sr*Lef_sr*((O2064/100-cota_s)^(3/2))*1000)),IF(O2064&lt;=cota_s*100+fi_s/20,0,(OFFSET('Base de dados'!$A$4,IF(O2064&lt;20,1,IF(O2064&gt;1000,10,MATCH(O2064,Cargas,1))),Coluna_fis,1,1))*(PI()*(fi_s/1000)^2/4)*(2*9.81*(O2064/100-cota_s-fi_s/2/1000))^0.5*1000)))</f>
        <v>10682.978542998222</v>
      </c>
      <c r="R2064" s="19">
        <f t="shared" ca="1" si="245"/>
        <v>10743.863049958762</v>
      </c>
      <c r="S2064" s="19">
        <f t="shared" ca="1" si="246"/>
        <v>12785.515245489307</v>
      </c>
    </row>
    <row r="2065" spans="13:19">
      <c r="M2065" s="81">
        <f t="shared" ca="1" si="243"/>
        <v>23545.154381891705</v>
      </c>
      <c r="N2065" s="19">
        <f t="shared" si="244"/>
        <v>383.77455136791673</v>
      </c>
      <c r="O2065" s="17">
        <f t="shared" si="242"/>
        <v>516</v>
      </c>
      <c r="P2065" s="19">
        <f ca="1">IF(ISERROR(IF(O2065&lt;fi_h/20,0,(OFFSET('Base de dados'!$A$5,IF(O2065&lt;20,1,IF(O2065&gt;1000,10,MATCH(O2065,Cargas,1))),Coluna_fih,1,1))*(1+0.13*0.25)*(PI()*(fi_h/1000)^2/4)*SQRT(2*9.81*(O2065/100-fi_h/2/1000))*1000)),"",IF(O2065&lt;fi_h/20,0,(OFFSET('Base de dados'!$A$5,IF(O2065&lt;20,1,IF(O2065&gt;1000,10,MATCH(O2065,Cargas,1))),Coluna_fih,1,1))*(PI()*(fi_h/1000)^2/4)*SQRT(2*9.81*(O2065/100-fi_h/2/1000))*1000))</f>
        <v>60.89942458837001</v>
      </c>
      <c r="Q2065" s="19">
        <f ca="1">IF(O2065="","",IF(Tipo_Vertedor="Retangular",IF(O2065&lt;=cota_s*100,0,IF(Tipo_Vertedor="Retangular",Cd_sr*Lef_sr*((O2065/100-cota_s)^(3/2))*1000)),IF(O2065&lt;=cota_s*100+fi_s/20,0,(OFFSET('Base de dados'!$A$4,IF(O2065&lt;20,1,IF(O2065&gt;1000,10,MATCH(O2065,Cargas,1))),Coluna_fis,1,1))*(PI()*(fi_s/1000)^2/4)*(2*9.81*(O2065/100-cota_s-fi_s/2/1000))^0.5*1000)))</f>
        <v>10691.769911706113</v>
      </c>
      <c r="R2065" s="19">
        <f t="shared" ca="1" si="245"/>
        <v>10752.669336294482</v>
      </c>
      <c r="S2065" s="19">
        <f t="shared" ca="1" si="246"/>
        <v>12792.485045597225</v>
      </c>
    </row>
    <row r="2066" spans="13:19">
      <c r="M2066" s="81">
        <f t="shared" ca="1" si="243"/>
        <v>23560.933295607952</v>
      </c>
      <c r="N2066" s="19">
        <f t="shared" si="244"/>
        <v>383.98365799157756</v>
      </c>
      <c r="O2066" s="17">
        <f t="shared" si="242"/>
        <v>516.25</v>
      </c>
      <c r="P2066" s="19">
        <f ca="1">IF(ISERROR(IF(O2066&lt;fi_h/20,0,(OFFSET('Base de dados'!$A$5,IF(O2066&lt;20,1,IF(O2066&gt;1000,10,MATCH(O2066,Cargas,1))),Coluna_fih,1,1))*(1+0.13*0.25)*(PI()*(fi_h/1000)^2/4)*SQRT(2*9.81*(O2066/100-fi_h/2/1000))*1000)),"",IF(O2066&lt;fi_h/20,0,(OFFSET('Base de dados'!$A$5,IF(O2066&lt;20,1,IF(O2066&gt;1000,10,MATCH(O2066,Cargas,1))),Coluna_fih,1,1))*(PI()*(fi_h/1000)^2/4)*SQRT(2*9.81*(O2066/100-fi_h/2/1000))*1000))</f>
        <v>60.914338562945318</v>
      </c>
      <c r="Q2066" s="19">
        <f ca="1">IF(O2066="","",IF(Tipo_Vertedor="Retangular",IF(O2066&lt;=cota_s*100,0,IF(Tipo_Vertedor="Retangular",Cd_sr*Lef_sr*((O2066/100-cota_s)^(3/2))*1000)),IF(O2066&lt;=cota_s*100+fi_s/20,0,(OFFSET('Base de dados'!$A$4,IF(O2066&lt;20,1,IF(O2066&gt;1000,10,MATCH(O2066,Cargas,1))),Coluna_fis,1,1))*(PI()*(fi_s/1000)^2/4)*(2*9.81*(O2066/100-cota_s-fi_s/2/1000))^0.5*1000)))</f>
        <v>10700.563690659086</v>
      </c>
      <c r="R2066" s="19">
        <f t="shared" ca="1" si="245"/>
        <v>10761.478029222031</v>
      </c>
      <c r="S2066" s="19">
        <f t="shared" ca="1" si="246"/>
        <v>12799.455266385919</v>
      </c>
    </row>
    <row r="2067" spans="13:19">
      <c r="M2067" s="81">
        <f t="shared" ca="1" si="243"/>
        <v>23576.715035760735</v>
      </c>
      <c r="N2067" s="19">
        <f t="shared" si="244"/>
        <v>384.19277723031166</v>
      </c>
      <c r="O2067" s="17">
        <f t="shared" ref="O2067:O2130" si="247">IF(ISERROR(IF(O2066+passo_altura&gt;h_max_puls*100,"",O2066+passo_altura)),"",IF(O2066+passo_altura&gt;h_max_puls*100,"",O2066+passo_altura))</f>
        <v>516.5</v>
      </c>
      <c r="P2067" s="19">
        <f ca="1">IF(ISERROR(IF(O2067&lt;fi_h/20,0,(OFFSET('Base de dados'!$A$5,IF(O2067&lt;20,1,IF(O2067&gt;1000,10,MATCH(O2067,Cargas,1))),Coluna_fih,1,1))*(1+0.13*0.25)*(PI()*(fi_h/1000)^2/4)*SQRT(2*9.81*(O2067/100-fi_h/2/1000))*1000)),"",IF(O2067&lt;fi_h/20,0,(OFFSET('Base de dados'!$A$5,IF(O2067&lt;20,1,IF(O2067&gt;1000,10,MATCH(O2067,Cargas,1))),Coluna_fih,1,1))*(PI()*(fi_h/1000)^2/4)*SQRT(2*9.81*(O2067/100-fi_h/2/1000))*1000))</f>
        <v>60.929248886948301</v>
      </c>
      <c r="Q2067" s="19">
        <f ca="1">IF(O2067="","",IF(Tipo_Vertedor="Retangular",IF(O2067&lt;=cota_s*100,0,IF(Tipo_Vertedor="Retangular",Cd_sr*Lef_sr*((O2067/100-cota_s)^(3/2))*1000)),IF(O2067&lt;=cota_s*100+fi_s/20,0,(OFFSET('Base de dados'!$A$4,IF(O2067&lt;20,1,IF(O2067&gt;1000,10,MATCH(O2067,Cargas,1))),Coluna_fis,1,1))*(PI()*(fi_s/1000)^2/4)*(2*9.81*(O2067/100-cota_s-fi_s/2/1000))^0.5*1000)))</f>
        <v>10709.359879196731</v>
      </c>
      <c r="R2067" s="19">
        <f t="shared" ca="1" si="245"/>
        <v>10770.289128083679</v>
      </c>
      <c r="S2067" s="19">
        <f t="shared" ca="1" si="246"/>
        <v>12806.425907677056</v>
      </c>
    </row>
    <row r="2068" spans="13:19">
      <c r="M2068" s="81">
        <f t="shared" ca="1" si="243"/>
        <v>23592.499601514643</v>
      </c>
      <c r="N2068" s="19">
        <f t="shared" si="244"/>
        <v>384.40190907877326</v>
      </c>
      <c r="O2068" s="17">
        <f t="shared" si="247"/>
        <v>516.75</v>
      </c>
      <c r="P2068" s="19">
        <f ca="1">IF(ISERROR(IF(O2068&lt;fi_h/20,0,(OFFSET('Base de dados'!$A$5,IF(O2068&lt;20,1,IF(O2068&gt;1000,10,MATCH(O2068,Cargas,1))),Coluna_fih,1,1))*(1+0.13*0.25)*(PI()*(fi_h/1000)^2/4)*SQRT(2*9.81*(O2068/100-fi_h/2/1000))*1000)),"",IF(O2068&lt;fi_h/20,0,(OFFSET('Base de dados'!$A$5,IF(O2068&lt;20,1,IF(O2068&gt;1000,10,MATCH(O2068,Cargas,1))),Coluna_fih,1,1))*(PI()*(fi_h/1000)^2/4)*SQRT(2*9.81*(O2068/100-fi_h/2/1000))*1000))</f>
        <v>60.944155563058324</v>
      </c>
      <c r="Q2068" s="19">
        <f ca="1">IF(O2068="","",IF(Tipo_Vertedor="Retangular",IF(O2068&lt;=cota_s*100,0,IF(Tipo_Vertedor="Retangular",Cd_sr*Lef_sr*((O2068/100-cota_s)^(3/2))*1000)),IF(O2068&lt;=cota_s*100+fi_s/20,0,(OFFSET('Base de dados'!$A$4,IF(O2068&lt;20,1,IF(O2068&gt;1000,10,MATCH(O2068,Cargas,1))),Coluna_fis,1,1))*(PI()*(fi_s/1000)^2/4)*(2*9.81*(O2068/100-cota_s-fi_s/2/1000))^0.5*1000)))</f>
        <v>10718.158476659142</v>
      </c>
      <c r="R2068" s="19">
        <f t="shared" ca="1" si="245"/>
        <v>10779.102632222201</v>
      </c>
      <c r="S2068" s="19">
        <f t="shared" ca="1" si="246"/>
        <v>12813.396969292442</v>
      </c>
    </row>
    <row r="2069" spans="13:19">
      <c r="M2069" s="81">
        <f t="shared" ca="1" si="243"/>
        <v>23608.286992034991</v>
      </c>
      <c r="N2069" s="19">
        <f t="shared" si="244"/>
        <v>384.61105353162162</v>
      </c>
      <c r="O2069" s="17">
        <f t="shared" si="247"/>
        <v>517</v>
      </c>
      <c r="P2069" s="19">
        <f ca="1">IF(ISERROR(IF(O2069&lt;fi_h/20,0,(OFFSET('Base de dados'!$A$5,IF(O2069&lt;20,1,IF(O2069&gt;1000,10,MATCH(O2069,Cargas,1))),Coluna_fih,1,1))*(1+0.13*0.25)*(PI()*(fi_h/1000)^2/4)*SQRT(2*9.81*(O2069/100-fi_h/2/1000))*1000)),"",IF(O2069&lt;fi_h/20,0,(OFFSET('Base de dados'!$A$5,IF(O2069&lt;20,1,IF(O2069&gt;1000,10,MATCH(O2069,Cargas,1))),Coluna_fih,1,1))*(PI()*(fi_h/1000)^2/4)*SQRT(2*9.81*(O2069/100-fi_h/2/1000))*1000))</f>
        <v>60.959058593951518</v>
      </c>
      <c r="Q2069" s="19">
        <f ca="1">IF(O2069="","",IF(Tipo_Vertedor="Retangular",IF(O2069&lt;=cota_s*100,0,IF(Tipo_Vertedor="Retangular",Cd_sr*Lef_sr*((O2069/100-cota_s)^(3/2))*1000)),IF(O2069&lt;=cota_s*100+fi_s/20,0,(OFFSET('Base de dados'!$A$4,IF(O2069&lt;20,1,IF(O2069&gt;1000,10,MATCH(O2069,Cargas,1))),Coluna_fis,1,1))*(PI()*(fi_s/1000)^2/4)*(2*9.81*(O2069/100-cota_s-fi_s/2/1000))^0.5*1000)))</f>
        <v>10726.959482386985</v>
      </c>
      <c r="R2069" s="19">
        <f t="shared" ca="1" si="245"/>
        <v>10787.918540980936</v>
      </c>
      <c r="S2069" s="19">
        <f t="shared" ca="1" si="246"/>
        <v>12820.368451054055</v>
      </c>
    </row>
    <row r="2070" spans="13:19">
      <c r="M2070" s="81">
        <f t="shared" ca="1" si="243"/>
        <v>23624.077206487789</v>
      </c>
      <c r="N2070" s="19">
        <f t="shared" si="244"/>
        <v>384.82021058352109</v>
      </c>
      <c r="O2070" s="17">
        <f t="shared" si="247"/>
        <v>517.25</v>
      </c>
      <c r="P2070" s="19">
        <f ca="1">IF(ISERROR(IF(O2070&lt;fi_h/20,0,(OFFSET('Base de dados'!$A$5,IF(O2070&lt;20,1,IF(O2070&gt;1000,10,MATCH(O2070,Cargas,1))),Coluna_fih,1,1))*(1+0.13*0.25)*(PI()*(fi_h/1000)^2/4)*SQRT(2*9.81*(O2070/100-fi_h/2/1000))*1000)),"",IF(O2070&lt;fi_h/20,0,(OFFSET('Base de dados'!$A$5,IF(O2070&lt;20,1,IF(O2070&gt;1000,10,MATCH(O2070,Cargas,1))),Coluna_fih,1,1))*(PI()*(fi_h/1000)^2/4)*SQRT(2*9.81*(O2070/100-fi_h/2/1000))*1000))</f>
        <v>60.973957982300746</v>
      </c>
      <c r="Q2070" s="19">
        <f ca="1">IF(O2070="","",IF(Tipo_Vertedor="Retangular",IF(O2070&lt;=cota_s*100,0,IF(Tipo_Vertedor="Retangular",Cd_sr*Lef_sr*((O2070/100-cota_s)^(3/2))*1000)),IF(O2070&lt;=cota_s*100+fi_s/20,0,(OFFSET('Base de dados'!$A$4,IF(O2070&lt;20,1,IF(O2070&gt;1000,10,MATCH(O2070,Cargas,1))),Coluna_fis,1,1))*(PI()*(fi_s/1000)^2/4)*(2*9.81*(O2070/100-cota_s-fi_s/2/1000))^0.5*1000)))</f>
        <v>10735.762895721451</v>
      </c>
      <c r="R2070" s="19">
        <f t="shared" ca="1" si="245"/>
        <v>10796.736853703751</v>
      </c>
      <c r="S2070" s="19">
        <f t="shared" ca="1" si="246"/>
        <v>12827.340352784036</v>
      </c>
    </row>
    <row r="2071" spans="13:19">
      <c r="M2071" s="81">
        <f t="shared" ref="M2071:M2134" ca="1" si="248">IF(O2071="","",2*N2071*1000/(Passo*60)+R2071)</f>
        <v>23639.870244039725</v>
      </c>
      <c r="N2071" s="19">
        <f t="shared" ref="N2071:N2134" si="249">IF(O2071="","",b_0*(O2071/100)^c_0)</f>
        <v>385.02938022914054</v>
      </c>
      <c r="O2071" s="17">
        <f t="shared" si="247"/>
        <v>517.5</v>
      </c>
      <c r="P2071" s="19">
        <f ca="1">IF(ISERROR(IF(O2071&lt;fi_h/20,0,(OFFSET('Base de dados'!$A$5,IF(O2071&lt;20,1,IF(O2071&gt;1000,10,MATCH(O2071,Cargas,1))),Coluna_fih,1,1))*(1+0.13*0.25)*(PI()*(fi_h/1000)^2/4)*SQRT(2*9.81*(O2071/100-fi_h/2/1000))*1000)),"",IF(O2071&lt;fi_h/20,0,(OFFSET('Base de dados'!$A$5,IF(O2071&lt;20,1,IF(O2071&gt;1000,10,MATCH(O2071,Cargas,1))),Coluna_fih,1,1))*(PI()*(fi_h/1000)^2/4)*SQRT(2*9.81*(O2071/100-fi_h/2/1000))*1000))</f>
        <v>60.988853730775581</v>
      </c>
      <c r="Q2071" s="19">
        <f ca="1">IF(O2071="","",IF(Tipo_Vertedor="Retangular",IF(O2071&lt;=cota_s*100,0,IF(Tipo_Vertedor="Retangular",Cd_sr*Lef_sr*((O2071/100-cota_s)^(3/2))*1000)),IF(O2071&lt;=cota_s*100+fi_s/20,0,(OFFSET('Base de dados'!$A$4,IF(O2071&lt;20,1,IF(O2071&gt;1000,10,MATCH(O2071,Cargas,1))),Coluna_fis,1,1))*(PI()*(fi_s/1000)^2/4)*(2*9.81*(O2071/100-cota_s-fi_s/2/1000))^0.5*1000)))</f>
        <v>10744.568716004265</v>
      </c>
      <c r="R2071" s="19">
        <f t="shared" ref="R2071:R2134" ca="1" si="250">IF(O2071="","",Q2071+P2071)</f>
        <v>10805.557569735041</v>
      </c>
      <c r="S2071" s="19">
        <f t="shared" ref="S2071:S2134" ca="1" si="251">IF(M2071="","",2*N2071*1000/(Passo*60))</f>
        <v>12834.312674304683</v>
      </c>
    </row>
    <row r="2072" spans="13:19">
      <c r="M2072" s="81">
        <f t="shared" ca="1" si="248"/>
        <v>23655.666103858217</v>
      </c>
      <c r="N2072" s="19">
        <f t="shared" si="249"/>
        <v>385.23856246315387</v>
      </c>
      <c r="O2072" s="17">
        <f t="shared" si="247"/>
        <v>517.75</v>
      </c>
      <c r="P2072" s="19">
        <f ca="1">IF(ISERROR(IF(O2072&lt;fi_h/20,0,(OFFSET('Base de dados'!$A$5,IF(O2072&lt;20,1,IF(O2072&gt;1000,10,MATCH(O2072,Cargas,1))),Coluna_fih,1,1))*(1+0.13*0.25)*(PI()*(fi_h/1000)^2/4)*SQRT(2*9.81*(O2072/100-fi_h/2/1000))*1000)),"",IF(O2072&lt;fi_h/20,0,(OFFSET('Base de dados'!$A$5,IF(O2072&lt;20,1,IF(O2072&gt;1000,10,MATCH(O2072,Cargas,1))),Coluna_fih,1,1))*(PI()*(fi_h/1000)^2/4)*SQRT(2*9.81*(O2072/100-fi_h/2/1000))*1000))</f>
        <v>61.00374584204237</v>
      </c>
      <c r="Q2072" s="19">
        <f ca="1">IF(O2072="","",IF(Tipo_Vertedor="Retangular",IF(O2072&lt;=cota_s*100,0,IF(Tipo_Vertedor="Retangular",Cd_sr*Lef_sr*((O2072/100-cota_s)^(3/2))*1000)),IF(O2072&lt;=cota_s*100+fi_s/20,0,(OFFSET('Base de dados'!$A$4,IF(O2072&lt;20,1,IF(O2072&gt;1000,10,MATCH(O2072,Cargas,1))),Coluna_fis,1,1))*(PI()*(fi_s/1000)^2/4)*(2*9.81*(O2072/100-cota_s-fi_s/2/1000))^0.5*1000)))</f>
        <v>10753.376942577712</v>
      </c>
      <c r="R2072" s="19">
        <f t="shared" ca="1" si="250"/>
        <v>10814.380688419755</v>
      </c>
      <c r="S2072" s="19">
        <f t="shared" ca="1" si="251"/>
        <v>12841.285415438462</v>
      </c>
    </row>
    <row r="2073" spans="13:19">
      <c r="M2073" s="81">
        <f t="shared" ca="1" si="248"/>
        <v>23671.464785111348</v>
      </c>
      <c r="N2073" s="19">
        <f t="shared" si="249"/>
        <v>385.44775728023956</v>
      </c>
      <c r="O2073" s="17">
        <f t="shared" si="247"/>
        <v>518</v>
      </c>
      <c r="P2073" s="19">
        <f ca="1">IF(ISERROR(IF(O2073&lt;fi_h/20,0,(OFFSET('Base de dados'!$A$5,IF(O2073&lt;20,1,IF(O2073&gt;1000,10,MATCH(O2073,Cargas,1))),Coluna_fih,1,1))*(1+0.13*0.25)*(PI()*(fi_h/1000)^2/4)*SQRT(2*9.81*(O2073/100-fi_h/2/1000))*1000)),"",IF(O2073&lt;fi_h/20,0,(OFFSET('Base de dados'!$A$5,IF(O2073&lt;20,1,IF(O2073&gt;1000,10,MATCH(O2073,Cargas,1))),Coluna_fih,1,1))*(PI()*(fi_h/1000)^2/4)*SQRT(2*9.81*(O2073/100-fi_h/2/1000))*1000))</f>
        <v>61.01863431876415</v>
      </c>
      <c r="Q2073" s="19">
        <f ca="1">IF(O2073="","",IF(Tipo_Vertedor="Retangular",IF(O2073&lt;=cota_s*100,0,IF(Tipo_Vertedor="Retangular",Cd_sr*Lef_sr*((O2073/100-cota_s)^(3/2))*1000)),IF(O2073&lt;=cota_s*100+fi_s/20,0,(OFFSET('Base de dados'!$A$4,IF(O2073&lt;20,1,IF(O2073&gt;1000,10,MATCH(O2073,Cargas,1))),Coluna_fis,1,1))*(PI()*(fi_s/1000)^2/4)*(2*9.81*(O2073/100-cota_s-fi_s/2/1000))^0.5*1000)))</f>
        <v>10762.187574784599</v>
      </c>
      <c r="R2073" s="19">
        <f t="shared" ca="1" si="250"/>
        <v>10823.206209103362</v>
      </c>
      <c r="S2073" s="19">
        <f t="shared" ca="1" si="251"/>
        <v>12848.258576007986</v>
      </c>
    </row>
    <row r="2074" spans="13:19">
      <c r="M2074" s="81">
        <f t="shared" ca="1" si="248"/>
        <v>23687.266286967919</v>
      </c>
      <c r="N2074" s="19">
        <f t="shared" si="249"/>
        <v>385.65696467508121</v>
      </c>
      <c r="O2074" s="17">
        <f t="shared" si="247"/>
        <v>518.25</v>
      </c>
      <c r="P2074" s="19">
        <f ca="1">IF(ISERROR(IF(O2074&lt;fi_h/20,0,(OFFSET('Base de dados'!$A$5,IF(O2074&lt;20,1,IF(O2074&gt;1000,10,MATCH(O2074,Cargas,1))),Coluna_fih,1,1))*(1+0.13*0.25)*(PI()*(fi_h/1000)^2/4)*SQRT(2*9.81*(O2074/100-fi_h/2/1000))*1000)),"",IF(O2074&lt;fi_h/20,0,(OFFSET('Base de dados'!$A$5,IF(O2074&lt;20,1,IF(O2074&gt;1000,10,MATCH(O2074,Cargas,1))),Coluna_fih,1,1))*(PI()*(fi_h/1000)^2/4)*SQRT(2*9.81*(O2074/100-fi_h/2/1000))*1000))</f>
        <v>61.033519163600786</v>
      </c>
      <c r="Q2074" s="19">
        <f ca="1">IF(O2074="","",IF(Tipo_Vertedor="Retangular",IF(O2074&lt;=cota_s*100,0,IF(Tipo_Vertedor="Retangular",Cd_sr*Lef_sr*((O2074/100-cota_s)^(3/2))*1000)),IF(O2074&lt;=cota_s*100+fi_s/20,0,(OFFSET('Base de dados'!$A$4,IF(O2074&lt;20,1,IF(O2074&gt;1000,10,MATCH(O2074,Cargas,1))),Coluna_fis,1,1))*(PI()*(fi_s/1000)^2/4)*(2*9.81*(O2074/100-cota_s-fi_s/2/1000))^0.5*1000)))</f>
        <v>10771.00061196828</v>
      </c>
      <c r="R2074" s="19">
        <f t="shared" ca="1" si="250"/>
        <v>10832.034131131881</v>
      </c>
      <c r="S2074" s="19">
        <f t="shared" ca="1" si="251"/>
        <v>12855.23215583604</v>
      </c>
    </row>
    <row r="2075" spans="13:19">
      <c r="M2075" s="81">
        <f t="shared" ca="1" si="248"/>
        <v>23703.070608597416</v>
      </c>
      <c r="N2075" s="19">
        <f t="shared" si="249"/>
        <v>385.86618464236705</v>
      </c>
      <c r="O2075" s="17">
        <f t="shared" si="247"/>
        <v>518.5</v>
      </c>
      <c r="P2075" s="19">
        <f ca="1">IF(ISERROR(IF(O2075&lt;fi_h/20,0,(OFFSET('Base de dados'!$A$5,IF(O2075&lt;20,1,IF(O2075&gt;1000,10,MATCH(O2075,Cargas,1))),Coluna_fih,1,1))*(1+0.13*0.25)*(PI()*(fi_h/1000)^2/4)*SQRT(2*9.81*(O2075/100-fi_h/2/1000))*1000)),"",IF(O2075&lt;fi_h/20,0,(OFFSET('Base de dados'!$A$5,IF(O2075&lt;20,1,IF(O2075&gt;1000,10,MATCH(O2075,Cargas,1))),Coluna_fih,1,1))*(PI()*(fi_h/1000)^2/4)*SQRT(2*9.81*(O2075/100-fi_h/2/1000))*1000))</f>
        <v>61.04840037920885</v>
      </c>
      <c r="Q2075" s="19">
        <f ca="1">IF(O2075="","",IF(Tipo_Vertedor="Retangular",IF(O2075&lt;=cota_s*100,0,IF(Tipo_Vertedor="Retangular",Cd_sr*Lef_sr*((O2075/100-cota_s)^(3/2))*1000)),IF(O2075&lt;=cota_s*100+fi_s/20,0,(OFFSET('Base de dados'!$A$4,IF(O2075&lt;20,1,IF(O2075&gt;1000,10,MATCH(O2075,Cargas,1))),Coluna_fis,1,1))*(PI()*(fi_s/1000)^2/4)*(2*9.81*(O2075/100-cota_s-fi_s/2/1000))^0.5*1000)))</f>
        <v>10779.816053472641</v>
      </c>
      <c r="R2075" s="19">
        <f t="shared" ca="1" si="250"/>
        <v>10840.864453851849</v>
      </c>
      <c r="S2075" s="19">
        <f t="shared" ca="1" si="251"/>
        <v>12862.206154745569</v>
      </c>
    </row>
    <row r="2076" spans="13:19">
      <c r="M2076" s="81">
        <f t="shared" ca="1" si="248"/>
        <v>23718.877749170031</v>
      </c>
      <c r="N2076" s="19">
        <f t="shared" si="249"/>
        <v>386.07541717679021</v>
      </c>
      <c r="O2076" s="17">
        <f t="shared" si="247"/>
        <v>518.75</v>
      </c>
      <c r="P2076" s="19">
        <f ca="1">IF(ISERROR(IF(O2076&lt;fi_h/20,0,(OFFSET('Base de dados'!$A$5,IF(O2076&lt;20,1,IF(O2076&gt;1000,10,MATCH(O2076,Cargas,1))),Coluna_fih,1,1))*(1+0.13*0.25)*(PI()*(fi_h/1000)^2/4)*SQRT(2*9.81*(O2076/100-fi_h/2/1000))*1000)),"",IF(O2076&lt;fi_h/20,0,(OFFSET('Base de dados'!$A$5,IF(O2076&lt;20,1,IF(O2076&gt;1000,10,MATCH(O2076,Cargas,1))),Coluna_fih,1,1))*(PI()*(fi_h/1000)^2/4)*SQRT(2*9.81*(O2076/100-fi_h/2/1000))*1000))</f>
        <v>61.063277968241671</v>
      </c>
      <c r="Q2076" s="19">
        <f ca="1">IF(O2076="","",IF(Tipo_Vertedor="Retangular",IF(O2076&lt;=cota_s*100,0,IF(Tipo_Vertedor="Retangular",Cd_sr*Lef_sr*((O2076/100-cota_s)^(3/2))*1000)),IF(O2076&lt;=cota_s*100+fi_s/20,0,(OFFSET('Base de dados'!$A$4,IF(O2076&lt;20,1,IF(O2076&gt;1000,10,MATCH(O2076,Cargas,1))),Coluna_fis,1,1))*(PI()*(fi_s/1000)^2/4)*(2*9.81*(O2076/100-cota_s-fi_s/2/1000))^0.5*1000)))</f>
        <v>10788.633898642116</v>
      </c>
      <c r="R2076" s="19">
        <f t="shared" ca="1" si="250"/>
        <v>10849.697176610358</v>
      </c>
      <c r="S2076" s="19">
        <f t="shared" ca="1" si="251"/>
        <v>12869.180572559673</v>
      </c>
    </row>
    <row r="2077" spans="13:19">
      <c r="M2077" s="81">
        <f t="shared" ca="1" si="248"/>
        <v>23734.68770785661</v>
      </c>
      <c r="N2077" s="19">
        <f t="shared" si="249"/>
        <v>386.28466227304835</v>
      </c>
      <c r="O2077" s="17">
        <f t="shared" si="247"/>
        <v>519</v>
      </c>
      <c r="P2077" s="19">
        <f ca="1">IF(ISERROR(IF(O2077&lt;fi_h/20,0,(OFFSET('Base de dados'!$A$5,IF(O2077&lt;20,1,IF(O2077&gt;1000,10,MATCH(O2077,Cargas,1))),Coluna_fih,1,1))*(1+0.13*0.25)*(PI()*(fi_h/1000)^2/4)*SQRT(2*9.81*(O2077/100-fi_h/2/1000))*1000)),"",IF(O2077&lt;fi_h/20,0,(OFFSET('Base de dados'!$A$5,IF(O2077&lt;20,1,IF(O2077&gt;1000,10,MATCH(O2077,Cargas,1))),Coluna_fih,1,1))*(PI()*(fi_h/1000)^2/4)*SQRT(2*9.81*(O2077/100-fi_h/2/1000))*1000))</f>
        <v>61.078151933349389</v>
      </c>
      <c r="Q2077" s="19">
        <f ca="1">IF(O2077="","",IF(Tipo_Vertedor="Retangular",IF(O2077&lt;=cota_s*100,0,IF(Tipo_Vertedor="Retangular",Cd_sr*Lef_sr*((O2077/100-cota_s)^(3/2))*1000)),IF(O2077&lt;=cota_s*100+fi_s/20,0,(OFFSET('Base de dados'!$A$4,IF(O2077&lt;20,1,IF(O2077&gt;1000,10,MATCH(O2077,Cargas,1))),Coluna_fis,1,1))*(PI()*(fi_s/1000)^2/4)*(2*9.81*(O2077/100-cota_s-fi_s/2/1000))^0.5*1000)))</f>
        <v>10797.454146821648</v>
      </c>
      <c r="R2077" s="19">
        <f t="shared" ca="1" si="250"/>
        <v>10858.532298754997</v>
      </c>
      <c r="S2077" s="19">
        <f t="shared" ca="1" si="251"/>
        <v>12876.155409101611</v>
      </c>
    </row>
    <row r="2078" spans="13:19">
      <c r="M2078" s="81">
        <f t="shared" ca="1" si="248"/>
        <v>23750.500483828742</v>
      </c>
      <c r="N2078" s="19">
        <f t="shared" si="249"/>
        <v>386.49391992584441</v>
      </c>
      <c r="O2078" s="17">
        <f t="shared" si="247"/>
        <v>519.25</v>
      </c>
      <c r="P2078" s="19">
        <f ca="1">IF(ISERROR(IF(O2078&lt;fi_h/20,0,(OFFSET('Base de dados'!$A$5,IF(O2078&lt;20,1,IF(O2078&gt;1000,10,MATCH(O2078,Cargas,1))),Coluna_fih,1,1))*(1+0.13*0.25)*(PI()*(fi_h/1000)^2/4)*SQRT(2*9.81*(O2078/100-fi_h/2/1000))*1000)),"",IF(O2078&lt;fi_h/20,0,(OFFSET('Base de dados'!$A$5,IF(O2078&lt;20,1,IF(O2078&gt;1000,10,MATCH(O2078,Cargas,1))),Coluna_fih,1,1))*(PI()*(fi_h/1000)^2/4)*SQRT(2*9.81*(O2078/100-fi_h/2/1000))*1000))</f>
        <v>61.093022277178868</v>
      </c>
      <c r="Q2078" s="19">
        <f ca="1">IF(O2078="","",IF(Tipo_Vertedor="Retangular",IF(O2078&lt;=cota_s*100,0,IF(Tipo_Vertedor="Retangular",Cd_sr*Lef_sr*((O2078/100-cota_s)^(3/2))*1000)),IF(O2078&lt;=cota_s*100+fi_s/20,0,(OFFSET('Base de dados'!$A$4,IF(O2078&lt;20,1,IF(O2078&gt;1000,10,MATCH(O2078,Cargas,1))),Coluna_fis,1,1))*(PI()*(fi_s/1000)^2/4)*(2*9.81*(O2078/100-cota_s-fi_s/2/1000))^0.5*1000)))</f>
        <v>10806.27679735675</v>
      </c>
      <c r="R2078" s="19">
        <f t="shared" ca="1" si="250"/>
        <v>10867.369819633928</v>
      </c>
      <c r="S2078" s="19">
        <f t="shared" ca="1" si="251"/>
        <v>12883.130664194814</v>
      </c>
    </row>
    <row r="2079" spans="13:19">
      <c r="M2079" s="81">
        <f t="shared" ca="1" si="248"/>
        <v>23766.316076258674</v>
      </c>
      <c r="N2079" s="19">
        <f t="shared" si="249"/>
        <v>386.70319012988563</v>
      </c>
      <c r="O2079" s="17">
        <f t="shared" si="247"/>
        <v>519.5</v>
      </c>
      <c r="P2079" s="19">
        <f ca="1">IF(ISERROR(IF(O2079&lt;fi_h/20,0,(OFFSET('Base de dados'!$A$5,IF(O2079&lt;20,1,IF(O2079&gt;1000,10,MATCH(O2079,Cargas,1))),Coluna_fih,1,1))*(1+0.13*0.25)*(PI()*(fi_h/1000)^2/4)*SQRT(2*9.81*(O2079/100-fi_h/2/1000))*1000)),"",IF(O2079&lt;fi_h/20,0,(OFFSET('Base de dados'!$A$5,IF(O2079&lt;20,1,IF(O2079&gt;1000,10,MATCH(O2079,Cargas,1))),Coluna_fih,1,1))*(PI()*(fi_h/1000)^2/4)*SQRT(2*9.81*(O2079/100-fi_h/2/1000))*1000))</f>
        <v>61.107889002373796</v>
      </c>
      <c r="Q2079" s="19">
        <f ca="1">IF(O2079="","",IF(Tipo_Vertedor="Retangular",IF(O2079&lt;=cota_s*100,0,IF(Tipo_Vertedor="Retangular",Cd_sr*Lef_sr*((O2079/100-cota_s)^(3/2))*1000)),IF(O2079&lt;=cota_s*100+fi_s/20,0,(OFFSET('Base de dados'!$A$4,IF(O2079&lt;20,1,IF(O2079&gt;1000,10,MATCH(O2079,Cargas,1))),Coluna_fis,1,1))*(PI()*(fi_s/1000)^2/4)*(2*9.81*(O2079/100-cota_s-fi_s/2/1000))^0.5*1000)))</f>
        <v>10815.101849593446</v>
      </c>
      <c r="R2079" s="19">
        <f t="shared" ca="1" si="250"/>
        <v>10876.20973859582</v>
      </c>
      <c r="S2079" s="19">
        <f t="shared" ca="1" si="251"/>
        <v>12890.106337662854</v>
      </c>
    </row>
    <row r="2080" spans="13:19">
      <c r="M2080" s="81">
        <f t="shared" ca="1" si="248"/>
        <v>23782.134484319347</v>
      </c>
      <c r="N2080" s="19">
        <f t="shared" si="249"/>
        <v>386.91247287988421</v>
      </c>
      <c r="O2080" s="17">
        <f t="shared" si="247"/>
        <v>519.75</v>
      </c>
      <c r="P2080" s="19">
        <f ca="1">IF(ISERROR(IF(O2080&lt;fi_h/20,0,(OFFSET('Base de dados'!$A$5,IF(O2080&lt;20,1,IF(O2080&gt;1000,10,MATCH(O2080,Cargas,1))),Coluna_fih,1,1))*(1+0.13*0.25)*(PI()*(fi_h/1000)^2/4)*SQRT(2*9.81*(O2080/100-fi_h/2/1000))*1000)),"",IF(O2080&lt;fi_h/20,0,(OFFSET('Base de dados'!$A$5,IF(O2080&lt;20,1,IF(O2080&gt;1000,10,MATCH(O2080,Cargas,1))),Coluna_fih,1,1))*(PI()*(fi_h/1000)^2/4)*SQRT(2*9.81*(O2080/100-fi_h/2/1000))*1000))</f>
        <v>61.122752111574606</v>
      </c>
      <c r="Q2080" s="19">
        <f ca="1">IF(O2080="","",IF(Tipo_Vertedor="Retangular",IF(O2080&lt;=cota_s*100,0,IF(Tipo_Vertedor="Retangular",Cd_sr*Lef_sr*((O2080/100-cota_s)^(3/2))*1000)),IF(O2080&lt;=cota_s*100+fi_s/20,0,(OFFSET('Base de dados'!$A$4,IF(O2080&lt;20,1,IF(O2080&gt;1000,10,MATCH(O2080,Cargas,1))),Coluna_fis,1,1))*(PI()*(fi_s/1000)^2/4)*(2*9.81*(O2080/100-cota_s-fi_s/2/1000))^0.5*1000)))</f>
        <v>10823.929302878299</v>
      </c>
      <c r="R2080" s="19">
        <f t="shared" ca="1" si="250"/>
        <v>10885.052054989874</v>
      </c>
      <c r="S2080" s="19">
        <f t="shared" ca="1" si="251"/>
        <v>12897.082429329474</v>
      </c>
    </row>
    <row r="2081" spans="13:19">
      <c r="M2081" s="81">
        <f t="shared" ca="1" si="248"/>
        <v>23797.955707184406</v>
      </c>
      <c r="N2081" s="19">
        <f t="shared" si="249"/>
        <v>387.12176817055735</v>
      </c>
      <c r="O2081" s="17">
        <f t="shared" si="247"/>
        <v>520</v>
      </c>
      <c r="P2081" s="19">
        <f ca="1">IF(ISERROR(IF(O2081&lt;fi_h/20,0,(OFFSET('Base de dados'!$A$5,IF(O2081&lt;20,1,IF(O2081&gt;1000,10,MATCH(O2081,Cargas,1))),Coluna_fih,1,1))*(1+0.13*0.25)*(PI()*(fi_h/1000)^2/4)*SQRT(2*9.81*(O2081/100-fi_h/2/1000))*1000)),"",IF(O2081&lt;fi_h/20,0,(OFFSET('Base de dados'!$A$5,IF(O2081&lt;20,1,IF(O2081&gt;1000,10,MATCH(O2081,Cargas,1))),Coluna_fih,1,1))*(PI()*(fi_h/1000)^2/4)*SQRT(2*9.81*(O2081/100-fi_h/2/1000))*1000))</f>
        <v>61.137611607418563</v>
      </c>
      <c r="Q2081" s="19">
        <f ca="1">IF(O2081="","",IF(Tipo_Vertedor="Retangular",IF(O2081&lt;=cota_s*100,0,IF(Tipo_Vertedor="Retangular",Cd_sr*Lef_sr*((O2081/100-cota_s)^(3/2))*1000)),IF(O2081&lt;=cota_s*100+fi_s/20,0,(OFFSET('Base de dados'!$A$4,IF(O2081&lt;20,1,IF(O2081&gt;1000,10,MATCH(O2081,Cargas,1))),Coluna_fis,1,1))*(PI()*(fi_s/1000)^2/4)*(2*9.81*(O2081/100-cota_s-fi_s/2/1000))^0.5*1000)))</f>
        <v>10832.75915655841</v>
      </c>
      <c r="R2081" s="19">
        <f t="shared" ca="1" si="250"/>
        <v>10893.896768165829</v>
      </c>
      <c r="S2081" s="19">
        <f t="shared" ca="1" si="251"/>
        <v>12904.058939018578</v>
      </c>
    </row>
    <row r="2082" spans="13:19">
      <c r="M2082" s="81">
        <f t="shared" ca="1" si="248"/>
        <v>23813.779744028165</v>
      </c>
      <c r="N2082" s="19">
        <f t="shared" si="249"/>
        <v>387.33107599662657</v>
      </c>
      <c r="O2082" s="17">
        <f t="shared" si="247"/>
        <v>520.25</v>
      </c>
      <c r="P2082" s="19">
        <f ca="1">IF(ISERROR(IF(O2082&lt;fi_h/20,0,(OFFSET('Base de dados'!$A$5,IF(O2082&lt;20,1,IF(O2082&gt;1000,10,MATCH(O2082,Cargas,1))),Coluna_fih,1,1))*(1+0.13*0.25)*(PI()*(fi_h/1000)^2/4)*SQRT(2*9.81*(O2082/100-fi_h/2/1000))*1000)),"",IF(O2082&lt;fi_h/20,0,(OFFSET('Base de dados'!$A$5,IF(O2082&lt;20,1,IF(O2082&gt;1000,10,MATCH(O2082,Cargas,1))),Coluna_fih,1,1))*(PI()*(fi_h/1000)^2/4)*SQRT(2*9.81*(O2082/100-fi_h/2/1000))*1000))</f>
        <v>61.152467492539678</v>
      </c>
      <c r="Q2082" s="19">
        <f ca="1">IF(O2082="","",IF(Tipo_Vertedor="Retangular",IF(O2082&lt;=cota_s*100,0,IF(Tipo_Vertedor="Retangular",Cd_sr*Lef_sr*((O2082/100-cota_s)^(3/2))*1000)),IF(O2082&lt;=cota_s*100+fi_s/20,0,(OFFSET('Base de dados'!$A$4,IF(O2082&lt;20,1,IF(O2082&gt;1000,10,MATCH(O2082,Cargas,1))),Coluna_fis,1,1))*(PI()*(fi_s/1000)^2/4)*(2*9.81*(O2082/100-cota_s-fi_s/2/1000))^0.5*1000)))</f>
        <v>10841.591409981405</v>
      </c>
      <c r="R2082" s="19">
        <f t="shared" ca="1" si="250"/>
        <v>10902.743877473946</v>
      </c>
      <c r="S2082" s="19">
        <f t="shared" ca="1" si="251"/>
        <v>12911.035866554219</v>
      </c>
    </row>
    <row r="2083" spans="13:19">
      <c r="M2083" s="81">
        <f t="shared" ca="1" si="248"/>
        <v>23829.606594025641</v>
      </c>
      <c r="N2083" s="19">
        <f t="shared" si="249"/>
        <v>387.54039635281862</v>
      </c>
      <c r="O2083" s="17">
        <f t="shared" si="247"/>
        <v>520.5</v>
      </c>
      <c r="P2083" s="19">
        <f ca="1">IF(ISERROR(IF(O2083&lt;fi_h/20,0,(OFFSET('Base de dados'!$A$5,IF(O2083&lt;20,1,IF(O2083&gt;1000,10,MATCH(O2083,Cargas,1))),Coluna_fih,1,1))*(1+0.13*0.25)*(PI()*(fi_h/1000)^2/4)*SQRT(2*9.81*(O2083/100-fi_h/2/1000))*1000)),"",IF(O2083&lt;fi_h/20,0,(OFFSET('Base de dados'!$A$5,IF(O2083&lt;20,1,IF(O2083&gt;1000,10,MATCH(O2083,Cargas,1))),Coluna_fih,1,1))*(PI()*(fi_h/1000)^2/4)*SQRT(2*9.81*(O2083/100-fi_h/2/1000))*1000))</f>
        <v>61.16731976956882</v>
      </c>
      <c r="Q2083" s="19">
        <f ca="1">IF(O2083="","",IF(Tipo_Vertedor="Retangular",IF(O2083&lt;=cota_s*100,0,IF(Tipo_Vertedor="Retangular",Cd_sr*Lef_sr*((O2083/100-cota_s)^(3/2))*1000)),IF(O2083&lt;=cota_s*100+fi_s/20,0,(OFFSET('Base de dados'!$A$4,IF(O2083&lt;20,1,IF(O2083&gt;1000,10,MATCH(O2083,Cargas,1))),Coluna_fis,1,1))*(PI()*(fi_s/1000)^2/4)*(2*9.81*(O2083/100-cota_s-fi_s/2/1000))^0.5*1000)))</f>
        <v>10850.426062495451</v>
      </c>
      <c r="R2083" s="19">
        <f t="shared" ca="1" si="250"/>
        <v>10911.59338226502</v>
      </c>
      <c r="S2083" s="19">
        <f t="shared" ca="1" si="251"/>
        <v>12918.013211760621</v>
      </c>
    </row>
    <row r="2084" spans="13:19">
      <c r="M2084" s="81">
        <f t="shared" ca="1" si="248"/>
        <v>23845.436256352521</v>
      </c>
      <c r="N2084" s="19">
        <f t="shared" si="249"/>
        <v>387.7497292338644</v>
      </c>
      <c r="O2084" s="17">
        <f t="shared" si="247"/>
        <v>520.75</v>
      </c>
      <c r="P2084" s="19">
        <f ca="1">IF(ISERROR(IF(O2084&lt;fi_h/20,0,(OFFSET('Base de dados'!$A$5,IF(O2084&lt;20,1,IF(O2084&gt;1000,10,MATCH(O2084,Cargas,1))),Coluna_fih,1,1))*(1+0.13*0.25)*(PI()*(fi_h/1000)^2/4)*SQRT(2*9.81*(O2084/100-fi_h/2/1000))*1000)),"",IF(O2084&lt;fi_h/20,0,(OFFSET('Base de dados'!$A$5,IF(O2084&lt;20,1,IF(O2084&gt;1000,10,MATCH(O2084,Cargas,1))),Coluna_fih,1,1))*(PI()*(fi_h/1000)^2/4)*SQRT(2*9.81*(O2084/100-fi_h/2/1000))*1000))</f>
        <v>61.182168441133619</v>
      </c>
      <c r="Q2084" s="19">
        <f ca="1">IF(O2084="","",IF(Tipo_Vertedor="Retangular",IF(O2084&lt;=cota_s*100,0,IF(Tipo_Vertedor="Retangular",Cd_sr*Lef_sr*((O2084/100-cota_s)^(3/2))*1000)),IF(O2084&lt;=cota_s*100+fi_s/20,0,(OFFSET('Base de dados'!$A$4,IF(O2084&lt;20,1,IF(O2084&gt;1000,10,MATCH(O2084,Cargas,1))),Coluna_fis,1,1))*(PI()*(fi_s/1000)^2/4)*(2*9.81*(O2084/100-cota_s-fi_s/2/1000))^0.5*1000)))</f>
        <v>10859.263113449239</v>
      </c>
      <c r="R2084" s="19">
        <f t="shared" ca="1" si="250"/>
        <v>10920.445281890372</v>
      </c>
      <c r="S2084" s="19">
        <f t="shared" ca="1" si="251"/>
        <v>12924.990974462147</v>
      </c>
    </row>
    <row r="2085" spans="13:19">
      <c r="M2085" s="81">
        <f t="shared" ca="1" si="248"/>
        <v>23861.268730185187</v>
      </c>
      <c r="N2085" s="19">
        <f t="shared" si="249"/>
        <v>387.95907463450033</v>
      </c>
      <c r="O2085" s="17">
        <f t="shared" si="247"/>
        <v>521</v>
      </c>
      <c r="P2085" s="19">
        <f ca="1">IF(ISERROR(IF(O2085&lt;fi_h/20,0,(OFFSET('Base de dados'!$A$5,IF(O2085&lt;20,1,IF(O2085&gt;1000,10,MATCH(O2085,Cargas,1))),Coluna_fih,1,1))*(1+0.13*0.25)*(PI()*(fi_h/1000)^2/4)*SQRT(2*9.81*(O2085/100-fi_h/2/1000))*1000)),"",IF(O2085&lt;fi_h/20,0,(OFFSET('Base de dados'!$A$5,IF(O2085&lt;20,1,IF(O2085&gt;1000,10,MATCH(O2085,Cargas,1))),Coluna_fih,1,1))*(PI()*(fi_h/1000)^2/4)*SQRT(2*9.81*(O2085/100-fi_h/2/1000))*1000))</f>
        <v>61.197013509858536</v>
      </c>
      <c r="Q2085" s="19">
        <f ca="1">IF(O2085="","",IF(Tipo_Vertedor="Retangular",IF(O2085&lt;=cota_s*100,0,IF(Tipo_Vertedor="Retangular",Cd_sr*Lef_sr*((O2085/100-cota_s)^(3/2))*1000)),IF(O2085&lt;=cota_s*100+fi_s/20,0,(OFFSET('Base de dados'!$A$4,IF(O2085&lt;20,1,IF(O2085&gt;1000,10,MATCH(O2085,Cargas,1))),Coluna_fis,1,1))*(PI()*(fi_s/1000)^2/4)*(2*9.81*(O2085/100-cota_s-fi_s/2/1000))^0.5*1000)))</f>
        <v>10868.102562191985</v>
      </c>
      <c r="R2085" s="19">
        <f t="shared" ca="1" si="250"/>
        <v>10929.299575701843</v>
      </c>
      <c r="S2085" s="19">
        <f t="shared" ca="1" si="251"/>
        <v>12931.969154483344</v>
      </c>
    </row>
    <row r="2086" spans="13:19">
      <c r="M2086" s="81">
        <f t="shared" ca="1" si="248"/>
        <v>23877.104014700715</v>
      </c>
      <c r="N2086" s="19">
        <f t="shared" si="249"/>
        <v>388.1684325494669</v>
      </c>
      <c r="O2086" s="17">
        <f t="shared" si="247"/>
        <v>521.25</v>
      </c>
      <c r="P2086" s="19">
        <f ca="1">IF(ISERROR(IF(O2086&lt;fi_h/20,0,(OFFSET('Base de dados'!$A$5,IF(O2086&lt;20,1,IF(O2086&gt;1000,10,MATCH(O2086,Cargas,1))),Coluna_fih,1,1))*(1+0.13*0.25)*(PI()*(fi_h/1000)^2/4)*SQRT(2*9.81*(O2086/100-fi_h/2/1000))*1000)),"",IF(O2086&lt;fi_h/20,0,(OFFSET('Base de dados'!$A$5,IF(O2086&lt;20,1,IF(O2086&gt;1000,10,MATCH(O2086,Cargas,1))),Coluna_fih,1,1))*(PI()*(fi_h/1000)^2/4)*SQRT(2*9.81*(O2086/100-fi_h/2/1000))*1000))</f>
        <v>61.211854978364862</v>
      </c>
      <c r="Q2086" s="19">
        <f ca="1">IF(O2086="","",IF(Tipo_Vertedor="Retangular",IF(O2086&lt;=cota_s*100,0,IF(Tipo_Vertedor="Retangular",Cd_sr*Lef_sr*((O2086/100-cota_s)^(3/2))*1000)),IF(O2086&lt;=cota_s*100+fi_s/20,0,(OFFSET('Base de dados'!$A$4,IF(O2086&lt;20,1,IF(O2086&gt;1000,10,MATCH(O2086,Cargas,1))),Coluna_fis,1,1))*(PI()*(fi_s/1000)^2/4)*(2*9.81*(O2086/100-cota_s-fi_s/2/1000))^0.5*1000)))</f>
        <v>10876.944408073452</v>
      </c>
      <c r="R2086" s="19">
        <f t="shared" ca="1" si="250"/>
        <v>10938.156263051816</v>
      </c>
      <c r="S2086" s="19">
        <f t="shared" ca="1" si="251"/>
        <v>12938.947751648897</v>
      </c>
    </row>
    <row r="2087" spans="13:19">
      <c r="M2087" s="81">
        <f t="shared" ca="1" si="248"/>
        <v>23892.942109076837</v>
      </c>
      <c r="N2087" s="19">
        <f t="shared" si="249"/>
        <v>388.37780297350957</v>
      </c>
      <c r="O2087" s="17">
        <f t="shared" si="247"/>
        <v>521.5</v>
      </c>
      <c r="P2087" s="19">
        <f ca="1">IF(ISERROR(IF(O2087&lt;fi_h/20,0,(OFFSET('Base de dados'!$A$5,IF(O2087&lt;20,1,IF(O2087&gt;1000,10,MATCH(O2087,Cargas,1))),Coluna_fih,1,1))*(1+0.13*0.25)*(PI()*(fi_h/1000)^2/4)*SQRT(2*9.81*(O2087/100-fi_h/2/1000))*1000)),"",IF(O2087&lt;fi_h/20,0,(OFFSET('Base de dados'!$A$5,IF(O2087&lt;20,1,IF(O2087&gt;1000,10,MATCH(O2087,Cargas,1))),Coluna_fih,1,1))*(PI()*(fi_h/1000)^2/4)*SQRT(2*9.81*(O2087/100-fi_h/2/1000))*1000))</f>
        <v>61.226692849270677</v>
      </c>
      <c r="Q2087" s="19">
        <f ca="1">IF(O2087="","",IF(Tipo_Vertedor="Retangular",IF(O2087&lt;=cota_s*100,0,IF(Tipo_Vertedor="Retangular",Cd_sr*Lef_sr*((O2087/100-cota_s)^(3/2))*1000)),IF(O2087&lt;=cota_s*100+fi_s/20,0,(OFFSET('Base de dados'!$A$4,IF(O2087&lt;20,1,IF(O2087&gt;1000,10,MATCH(O2087,Cargas,1))),Coluna_fis,1,1))*(PI()*(fi_s/1000)^2/4)*(2*9.81*(O2087/100-cota_s-fi_s/2/1000))^0.5*1000)))</f>
        <v>10885.788650443912</v>
      </c>
      <c r="R2087" s="19">
        <f t="shared" ca="1" si="250"/>
        <v>10947.015343293182</v>
      </c>
      <c r="S2087" s="19">
        <f t="shared" ca="1" si="251"/>
        <v>12945.926765783654</v>
      </c>
    </row>
    <row r="2088" spans="13:19">
      <c r="M2088" s="81">
        <f t="shared" ca="1" si="248"/>
        <v>23908.783012491993</v>
      </c>
      <c r="N2088" s="19">
        <f t="shared" si="249"/>
        <v>388.58718590137869</v>
      </c>
      <c r="O2088" s="17">
        <f t="shared" si="247"/>
        <v>521.75</v>
      </c>
      <c r="P2088" s="19">
        <f ca="1">IF(ISERROR(IF(O2088&lt;fi_h/20,0,(OFFSET('Base de dados'!$A$5,IF(O2088&lt;20,1,IF(O2088&gt;1000,10,MATCH(O2088,Cargas,1))),Coluna_fih,1,1))*(1+0.13*0.25)*(PI()*(fi_h/1000)^2/4)*SQRT(2*9.81*(O2088/100-fi_h/2/1000))*1000)),"",IF(O2088&lt;fi_h/20,0,(OFFSET('Base de dados'!$A$5,IF(O2088&lt;20,1,IF(O2088&gt;1000,10,MATCH(O2088,Cargas,1))),Coluna_fih,1,1))*(PI()*(fi_h/1000)^2/4)*SQRT(2*9.81*(O2088/100-fi_h/2/1000))*1000))</f>
        <v>61.24152712519092</v>
      </c>
      <c r="Q2088" s="19">
        <f ca="1">IF(O2088="","",IF(Tipo_Vertedor="Retangular",IF(O2088&lt;=cota_s*100,0,IF(Tipo_Vertedor="Retangular",Cd_sr*Lef_sr*((O2088/100-cota_s)^(3/2))*1000)),IF(O2088&lt;=cota_s*100+fi_s/20,0,(OFFSET('Base de dados'!$A$4,IF(O2088&lt;20,1,IF(O2088&gt;1000,10,MATCH(O2088,Cargas,1))),Coluna_fis,1,1))*(PI()*(fi_s/1000)^2/4)*(2*9.81*(O2088/100-cota_s-fi_s/2/1000))^0.5*1000)))</f>
        <v>10894.635288654181</v>
      </c>
      <c r="R2088" s="19">
        <f t="shared" ca="1" si="250"/>
        <v>10955.876815779371</v>
      </c>
      <c r="S2088" s="19">
        <f t="shared" ca="1" si="251"/>
        <v>12952.906196712624</v>
      </c>
    </row>
    <row r="2089" spans="13:19">
      <c r="M2089" s="81">
        <f t="shared" ca="1" si="248"/>
        <v>23924.626724125294</v>
      </c>
      <c r="N2089" s="19">
        <f t="shared" si="249"/>
        <v>388.79658132782896</v>
      </c>
      <c r="O2089" s="17">
        <f t="shared" si="247"/>
        <v>522</v>
      </c>
      <c r="P2089" s="19">
        <f ca="1">IF(ISERROR(IF(O2089&lt;fi_h/20,0,(OFFSET('Base de dados'!$A$5,IF(O2089&lt;20,1,IF(O2089&gt;1000,10,MATCH(O2089,Cargas,1))),Coluna_fih,1,1))*(1+0.13*0.25)*(PI()*(fi_h/1000)^2/4)*SQRT(2*9.81*(O2089/100-fi_h/2/1000))*1000)),"",IF(O2089&lt;fi_h/20,0,(OFFSET('Base de dados'!$A$5,IF(O2089&lt;20,1,IF(O2089&gt;1000,10,MATCH(O2089,Cargas,1))),Coluna_fih,1,1))*(PI()*(fi_h/1000)^2/4)*SQRT(2*9.81*(O2089/100-fi_h/2/1000))*1000))</f>
        <v>61.256357808737356</v>
      </c>
      <c r="Q2089" s="19">
        <f ca="1">IF(O2089="","",IF(Tipo_Vertedor="Retangular",IF(O2089&lt;=cota_s*100,0,IF(Tipo_Vertedor="Retangular",Cd_sr*Lef_sr*((O2089/100-cota_s)^(3/2))*1000)),IF(O2089&lt;=cota_s*100+fi_s/20,0,(OFFSET('Base de dados'!$A$4,IF(O2089&lt;20,1,IF(O2089&gt;1000,10,MATCH(O2089,Cargas,1))),Coluna_fis,1,1))*(PI()*(fi_s/1000)^2/4)*(2*9.81*(O2089/100-cota_s-fi_s/2/1000))^0.5*1000)))</f>
        <v>10903.484322055589</v>
      </c>
      <c r="R2089" s="19">
        <f t="shared" ca="1" si="250"/>
        <v>10964.740679864326</v>
      </c>
      <c r="S2089" s="19">
        <f t="shared" ca="1" si="251"/>
        <v>12959.886044260966</v>
      </c>
    </row>
    <row r="2090" spans="13:19">
      <c r="M2090" s="81">
        <f t="shared" ca="1" si="248"/>
        <v>23940.473243156528</v>
      </c>
      <c r="N2090" s="19">
        <f t="shared" si="249"/>
        <v>389.00598924762022</v>
      </c>
      <c r="O2090" s="17">
        <f t="shared" si="247"/>
        <v>522.25</v>
      </c>
      <c r="P2090" s="19">
        <f ca="1">IF(ISERROR(IF(O2090&lt;fi_h/20,0,(OFFSET('Base de dados'!$A$5,IF(O2090&lt;20,1,IF(O2090&gt;1000,10,MATCH(O2090,Cargas,1))),Coluna_fih,1,1))*(1+0.13*0.25)*(PI()*(fi_h/1000)^2/4)*SQRT(2*9.81*(O2090/100-fi_h/2/1000))*1000)),"",IF(O2090&lt;fi_h/20,0,(OFFSET('Base de dados'!$A$5,IF(O2090&lt;20,1,IF(O2090&gt;1000,10,MATCH(O2090,Cargas,1))),Coluna_fih,1,1))*(PI()*(fi_h/1000)^2/4)*SQRT(2*9.81*(O2090/100-fi_h/2/1000))*1000))</f>
        <v>61.271184902518563</v>
      </c>
      <c r="Q2090" s="19">
        <f ca="1">IF(O2090="","",IF(Tipo_Vertedor="Retangular",IF(O2090&lt;=cota_s*100,0,IF(Tipo_Vertedor="Retangular",Cd_sr*Lef_sr*((O2090/100-cota_s)^(3/2))*1000)),IF(O2090&lt;=cota_s*100+fi_s/20,0,(OFFSET('Base de dados'!$A$4,IF(O2090&lt;20,1,IF(O2090&gt;1000,10,MATCH(O2090,Cargas,1))),Coluna_fis,1,1))*(PI()*(fi_s/1000)^2/4)*(2*9.81*(O2090/100-cota_s-fi_s/2/1000))^0.5*1000)))</f>
        <v>10912.335750000004</v>
      </c>
      <c r="R2090" s="19">
        <f t="shared" ca="1" si="250"/>
        <v>10973.606934902522</v>
      </c>
      <c r="S2090" s="19">
        <f t="shared" ca="1" si="251"/>
        <v>12966.866308254008</v>
      </c>
    </row>
    <row r="2091" spans="13:19">
      <c r="M2091" s="81">
        <f t="shared" ca="1" si="248"/>
        <v>23956.322568766169</v>
      </c>
      <c r="N2091" s="19">
        <f t="shared" si="249"/>
        <v>389.21540965551668</v>
      </c>
      <c r="O2091" s="17">
        <f t="shared" si="247"/>
        <v>522.5</v>
      </c>
      <c r="P2091" s="19">
        <f ca="1">IF(ISERROR(IF(O2091&lt;fi_h/20,0,(OFFSET('Base de dados'!$A$5,IF(O2091&lt;20,1,IF(O2091&gt;1000,10,MATCH(O2091,Cargas,1))),Coluna_fih,1,1))*(1+0.13*0.25)*(PI()*(fi_h/1000)^2/4)*SQRT(2*9.81*(O2091/100-fi_h/2/1000))*1000)),"",IF(O2091&lt;fi_h/20,0,(OFFSET('Base de dados'!$A$5,IF(O2091&lt;20,1,IF(O2091&gt;1000,10,MATCH(O2091,Cargas,1))),Coluna_fih,1,1))*(PI()*(fi_h/1000)^2/4)*SQRT(2*9.81*(O2091/100-fi_h/2/1000))*1000))</f>
        <v>61.286008409140017</v>
      </c>
      <c r="Q2091" s="19">
        <f ca="1">IF(O2091="","",IF(Tipo_Vertedor="Retangular",IF(O2091&lt;=cota_s*100,0,IF(Tipo_Vertedor="Retangular",Cd_sr*Lef_sr*((O2091/100-cota_s)^(3/2))*1000)),IF(O2091&lt;=cota_s*100+fi_s/20,0,(OFFSET('Base de dados'!$A$4,IF(O2091&lt;20,1,IF(O2091&gt;1000,10,MATCH(O2091,Cargas,1))),Coluna_fis,1,1))*(PI()*(fi_s/1000)^2/4)*(2*9.81*(O2091/100-cota_s-fi_s/2/1000))^0.5*1000)))</f>
        <v>10921.189571839808</v>
      </c>
      <c r="R2091" s="19">
        <f t="shared" ca="1" si="250"/>
        <v>10982.475580248949</v>
      </c>
      <c r="S2091" s="19">
        <f t="shared" ca="1" si="251"/>
        <v>12973.846988517222</v>
      </c>
    </row>
    <row r="2092" spans="13:19">
      <c r="M2092" s="81">
        <f t="shared" ca="1" si="248"/>
        <v>23972.174700135372</v>
      </c>
      <c r="N2092" s="19">
        <f t="shared" si="249"/>
        <v>389.42484254628738</v>
      </c>
      <c r="O2092" s="17">
        <f t="shared" si="247"/>
        <v>522.75</v>
      </c>
      <c r="P2092" s="19">
        <f ca="1">IF(ISERROR(IF(O2092&lt;fi_h/20,0,(OFFSET('Base de dados'!$A$5,IF(O2092&lt;20,1,IF(O2092&gt;1000,10,MATCH(O2092,Cargas,1))),Coluna_fih,1,1))*(1+0.13*0.25)*(PI()*(fi_h/1000)^2/4)*SQRT(2*9.81*(O2092/100-fi_h/2/1000))*1000)),"",IF(O2092&lt;fi_h/20,0,(OFFSET('Base de dados'!$A$5,IF(O2092&lt;20,1,IF(O2092&gt;1000,10,MATCH(O2092,Cargas,1))),Coluna_fih,1,1))*(PI()*(fi_h/1000)^2/4)*SQRT(2*9.81*(O2092/100-fi_h/2/1000))*1000))</f>
        <v>61.300828331204002</v>
      </c>
      <c r="Q2092" s="19">
        <f ca="1">IF(O2092="","",IF(Tipo_Vertedor="Retangular",IF(O2092&lt;=cota_s*100,0,IF(Tipo_Vertedor="Retangular",Cd_sr*Lef_sr*((O2092/100-cota_s)^(3/2))*1000)),IF(O2092&lt;=cota_s*100+fi_s/20,0,(OFFSET('Base de dados'!$A$4,IF(O2092&lt;20,1,IF(O2092&gt;1000,10,MATCH(O2092,Cargas,1))),Coluna_fis,1,1))*(PI()*(fi_s/1000)^2/4)*(2*9.81*(O2092/100-cota_s-fi_s/2/1000))^0.5*1000)))</f>
        <v>10930.04578692792</v>
      </c>
      <c r="R2092" s="19">
        <f t="shared" ca="1" si="250"/>
        <v>10991.346615259125</v>
      </c>
      <c r="S2092" s="19">
        <f t="shared" ca="1" si="251"/>
        <v>12980.828084876246</v>
      </c>
    </row>
    <row r="2093" spans="13:19">
      <c r="M2093" s="81">
        <f t="shared" ca="1" si="248"/>
        <v>23988.029636445957</v>
      </c>
      <c r="N2093" s="19">
        <f t="shared" si="249"/>
        <v>389.63428791470614</v>
      </c>
      <c r="O2093" s="17">
        <f t="shared" si="247"/>
        <v>523</v>
      </c>
      <c r="P2093" s="19">
        <f ca="1">IF(ISERROR(IF(O2093&lt;fi_h/20,0,(OFFSET('Base de dados'!$A$5,IF(O2093&lt;20,1,IF(O2093&gt;1000,10,MATCH(O2093,Cargas,1))),Coluna_fih,1,1))*(1+0.13*0.25)*(PI()*(fi_h/1000)^2/4)*SQRT(2*9.81*(O2093/100-fi_h/2/1000))*1000)),"",IF(O2093&lt;fi_h/20,0,(OFFSET('Base de dados'!$A$5,IF(O2093&lt;20,1,IF(O2093&gt;1000,10,MATCH(O2093,Cargas,1))),Coluna_fih,1,1))*(PI()*(fi_h/1000)^2/4)*SQRT(2*9.81*(O2093/100-fi_h/2/1000))*1000))</f>
        <v>61.31564467130967</v>
      </c>
      <c r="Q2093" s="19">
        <f ca="1">IF(O2093="","",IF(Tipo_Vertedor="Retangular",IF(O2093&lt;=cota_s*100,0,IF(Tipo_Vertedor="Retangular",Cd_sr*Lef_sr*((O2093/100-cota_s)^(3/2))*1000)),IF(O2093&lt;=cota_s*100+fi_s/20,0,(OFFSET('Base de dados'!$A$4,IF(O2093&lt;20,1,IF(O2093&gt;1000,10,MATCH(O2093,Cargas,1))),Coluna_fis,1,1))*(PI()*(fi_s/1000)^2/4)*(2*9.81*(O2093/100-cota_s-fi_s/2/1000))^0.5*1000)))</f>
        <v>10938.904394617775</v>
      </c>
      <c r="R2093" s="19">
        <f t="shared" ca="1" si="250"/>
        <v>11000.220039289085</v>
      </c>
      <c r="S2093" s="19">
        <f t="shared" ca="1" si="251"/>
        <v>12987.809597156873</v>
      </c>
    </row>
    <row r="2094" spans="13:19">
      <c r="M2094" s="81">
        <f t="shared" ca="1" si="248"/>
        <v>24003.887376880433</v>
      </c>
      <c r="N2094" s="19">
        <f t="shared" si="249"/>
        <v>389.8437457555512</v>
      </c>
      <c r="O2094" s="17">
        <f t="shared" si="247"/>
        <v>523.25</v>
      </c>
      <c r="P2094" s="19">
        <f ca="1">IF(ISERROR(IF(O2094&lt;fi_h/20,0,(OFFSET('Base de dados'!$A$5,IF(O2094&lt;20,1,IF(O2094&gt;1000,10,MATCH(O2094,Cargas,1))),Coluna_fih,1,1))*(1+0.13*0.25)*(PI()*(fi_h/1000)^2/4)*SQRT(2*9.81*(O2094/100-fi_h/2/1000))*1000)),"",IF(O2094&lt;fi_h/20,0,(OFFSET('Base de dados'!$A$5,IF(O2094&lt;20,1,IF(O2094&gt;1000,10,MATCH(O2094,Cargas,1))),Coluna_fih,1,1))*(PI()*(fi_h/1000)^2/4)*SQRT(2*9.81*(O2094/100-fi_h/2/1000))*1000))</f>
        <v>61.330457432053016</v>
      </c>
      <c r="Q2094" s="19">
        <f ca="1">IF(O2094="","",IF(Tipo_Vertedor="Retangular",IF(O2094&lt;=cota_s*100,0,IF(Tipo_Vertedor="Retangular",Cd_sr*Lef_sr*((O2094/100-cota_s)^(3/2))*1000)),IF(O2094&lt;=cota_s*100+fi_s/20,0,(OFFSET('Base de dados'!$A$4,IF(O2094&lt;20,1,IF(O2094&gt;1000,10,MATCH(O2094,Cargas,1))),Coluna_fis,1,1))*(PI()*(fi_s/1000)^2/4)*(2*9.81*(O2094/100-cota_s-fi_s/2/1000))^0.5*1000)))</f>
        <v>10947.765394263337</v>
      </c>
      <c r="R2094" s="19">
        <f t="shared" ca="1" si="250"/>
        <v>11009.095851695391</v>
      </c>
      <c r="S2094" s="19">
        <f t="shared" ca="1" si="251"/>
        <v>12994.791525185041</v>
      </c>
    </row>
    <row r="2095" spans="13:19">
      <c r="M2095" s="81">
        <f t="shared" ca="1" si="248"/>
        <v>24019.747920621972</v>
      </c>
      <c r="N2095" s="19">
        <f t="shared" si="249"/>
        <v>390.05321606360565</v>
      </c>
      <c r="O2095" s="17">
        <f t="shared" si="247"/>
        <v>523.5</v>
      </c>
      <c r="P2095" s="19">
        <f ca="1">IF(ISERROR(IF(O2095&lt;fi_h/20,0,(OFFSET('Base de dados'!$A$5,IF(O2095&lt;20,1,IF(O2095&gt;1000,10,MATCH(O2095,Cargas,1))),Coluna_fih,1,1))*(1+0.13*0.25)*(PI()*(fi_h/1000)^2/4)*SQRT(2*9.81*(O2095/100-fi_h/2/1000))*1000)),"",IF(O2095&lt;fi_h/20,0,(OFFSET('Base de dados'!$A$5,IF(O2095&lt;20,1,IF(O2095&gt;1000,10,MATCH(O2095,Cargas,1))),Coluna_fih,1,1))*(PI()*(fi_h/1000)^2/4)*SQRT(2*9.81*(O2095/100-fi_h/2/1000))*1000))</f>
        <v>61.34526661602694</v>
      </c>
      <c r="Q2095" s="19">
        <f ca="1">IF(O2095="","",IF(Tipo_Vertedor="Retangular",IF(O2095&lt;=cota_s*100,0,IF(Tipo_Vertedor="Retangular",Cd_sr*Lef_sr*((O2095/100-cota_s)^(3/2))*1000)),IF(O2095&lt;=cota_s*100+fi_s/20,0,(OFFSET('Base de dados'!$A$4,IF(O2095&lt;20,1,IF(O2095&gt;1000,10,MATCH(O2095,Cargas,1))),Coluna_fis,1,1))*(PI()*(fi_s/1000)^2/4)*(2*9.81*(O2095/100-cota_s-fi_s/2/1000))^0.5*1000)))</f>
        <v>10956.628785219093</v>
      </c>
      <c r="R2095" s="19">
        <f t="shared" ca="1" si="250"/>
        <v>11017.974051835119</v>
      </c>
      <c r="S2095" s="19">
        <f t="shared" ca="1" si="251"/>
        <v>13001.773868786853</v>
      </c>
    </row>
    <row r="2096" spans="13:19">
      <c r="M2096" s="81">
        <f t="shared" ca="1" si="248"/>
        <v>24035.611266854437</v>
      </c>
      <c r="N2096" s="19">
        <f t="shared" si="249"/>
        <v>390.26269883365723</v>
      </c>
      <c r="O2096" s="17">
        <f t="shared" si="247"/>
        <v>523.75</v>
      </c>
      <c r="P2096" s="19">
        <f ca="1">IF(ISERROR(IF(O2096&lt;fi_h/20,0,(OFFSET('Base de dados'!$A$5,IF(O2096&lt;20,1,IF(O2096&gt;1000,10,MATCH(O2096,Cargas,1))),Coluna_fih,1,1))*(1+0.13*0.25)*(PI()*(fi_h/1000)^2/4)*SQRT(2*9.81*(O2096/100-fi_h/2/1000))*1000)),"",IF(O2096&lt;fi_h/20,0,(OFFSET('Base de dados'!$A$5,IF(O2096&lt;20,1,IF(O2096&gt;1000,10,MATCH(O2096,Cargas,1))),Coluna_fih,1,1))*(PI()*(fi_h/1000)^2/4)*SQRT(2*9.81*(O2096/100-fi_h/2/1000))*1000))</f>
        <v>61.360072225821177</v>
      </c>
      <c r="Q2096" s="19">
        <f ca="1">IF(O2096="","",IF(Tipo_Vertedor="Retangular",IF(O2096&lt;=cota_s*100,0,IF(Tipo_Vertedor="Retangular",Cd_sr*Lef_sr*((O2096/100-cota_s)^(3/2))*1000)),IF(O2096&lt;=cota_s*100+fi_s/20,0,(OFFSET('Base de dados'!$A$4,IF(O2096&lt;20,1,IF(O2096&gt;1000,10,MATCH(O2096,Cargas,1))),Coluna_fis,1,1))*(PI()*(fi_s/1000)^2/4)*(2*9.81*(O2096/100-cota_s-fi_s/2/1000))^0.5*1000)))</f>
        <v>10965.49456684004</v>
      </c>
      <c r="R2096" s="19">
        <f t="shared" ca="1" si="250"/>
        <v>11026.854639065861</v>
      </c>
      <c r="S2096" s="19">
        <f t="shared" ca="1" si="251"/>
        <v>13008.756627788574</v>
      </c>
    </row>
    <row r="2097" spans="13:19">
      <c r="M2097" s="81">
        <f t="shared" ca="1" si="248"/>
        <v>24051.477414762361</v>
      </c>
      <c r="N2097" s="19">
        <f t="shared" si="249"/>
        <v>390.47219406049868</v>
      </c>
      <c r="O2097" s="17">
        <f t="shared" si="247"/>
        <v>524</v>
      </c>
      <c r="P2097" s="19">
        <f ca="1">IF(ISERROR(IF(O2097&lt;fi_h/20,0,(OFFSET('Base de dados'!$A$5,IF(O2097&lt;20,1,IF(O2097&gt;1000,10,MATCH(O2097,Cargas,1))),Coluna_fih,1,1))*(1+0.13*0.25)*(PI()*(fi_h/1000)^2/4)*SQRT(2*9.81*(O2097/100-fi_h/2/1000))*1000)),"",IF(O2097&lt;fi_h/20,0,(OFFSET('Base de dados'!$A$5,IF(O2097&lt;20,1,IF(O2097&gt;1000,10,MATCH(O2097,Cargas,1))),Coluna_fih,1,1))*(PI()*(fi_h/1000)^2/4)*SQRT(2*9.81*(O2097/100-fi_h/2/1000))*1000))</f>
        <v>61.37487426402236</v>
      </c>
      <c r="Q2097" s="19">
        <f ca="1">IF(O2097="","",IF(Tipo_Vertedor="Retangular",IF(O2097&lt;=cota_s*100,0,IF(Tipo_Vertedor="Retangular",Cd_sr*Lef_sr*((O2097/100-cota_s)^(3/2))*1000)),IF(O2097&lt;=cota_s*100+fi_s/20,0,(OFFSET('Base de dados'!$A$4,IF(O2097&lt;20,1,IF(O2097&gt;1000,10,MATCH(O2097,Cargas,1))),Coluna_fis,1,1))*(PI()*(fi_s/1000)^2/4)*(2*9.81*(O2097/100-cota_s-fi_s/2/1000))^0.5*1000)))</f>
        <v>10974.362738481717</v>
      </c>
      <c r="R2097" s="19">
        <f t="shared" ca="1" si="250"/>
        <v>11035.737612745739</v>
      </c>
      <c r="S2097" s="19">
        <f t="shared" ca="1" si="251"/>
        <v>13015.739802016622</v>
      </c>
    </row>
    <row r="2098" spans="13:19">
      <c r="M2098" s="81">
        <f t="shared" ca="1" si="248"/>
        <v>24067.34636353096</v>
      </c>
      <c r="N2098" s="19">
        <f t="shared" si="249"/>
        <v>390.68170173892685</v>
      </c>
      <c r="O2098" s="17">
        <f t="shared" si="247"/>
        <v>524.25</v>
      </c>
      <c r="P2098" s="19">
        <f ca="1">IF(ISERROR(IF(O2098&lt;fi_h/20,0,(OFFSET('Base de dados'!$A$5,IF(O2098&lt;20,1,IF(O2098&gt;1000,10,MATCH(O2098,Cargas,1))),Coluna_fih,1,1))*(1+0.13*0.25)*(PI()*(fi_h/1000)^2/4)*SQRT(2*9.81*(O2098/100-fi_h/2/1000))*1000)),"",IF(O2098&lt;fi_h/20,0,(OFFSET('Base de dados'!$A$5,IF(O2098&lt;20,1,IF(O2098&gt;1000,10,MATCH(O2098,Cargas,1))),Coluna_fih,1,1))*(PI()*(fi_h/1000)^2/4)*SQRT(2*9.81*(O2098/100-fi_h/2/1000))*1000))</f>
        <v>61.389672733213985</v>
      </c>
      <c r="Q2098" s="19">
        <f ca="1">IF(O2098="","",IF(Tipo_Vertedor="Retangular",IF(O2098&lt;=cota_s*100,0,IF(Tipo_Vertedor="Retangular",Cd_sr*Lef_sr*((O2098/100-cota_s)^(3/2))*1000)),IF(O2098&lt;=cota_s*100+fi_s/20,0,(OFFSET('Base de dados'!$A$4,IF(O2098&lt;20,1,IF(O2098&gt;1000,10,MATCH(O2098,Cargas,1))),Coluna_fis,1,1))*(PI()*(fi_s/1000)^2/4)*(2*9.81*(O2098/100-cota_s-fi_s/2/1000))^0.5*1000)))</f>
        <v>10983.233299500182</v>
      </c>
      <c r="R2098" s="19">
        <f t="shared" ca="1" si="250"/>
        <v>11044.622972233396</v>
      </c>
      <c r="S2098" s="19">
        <f t="shared" ca="1" si="251"/>
        <v>13022.723391297563</v>
      </c>
    </row>
    <row r="2099" spans="13:19">
      <c r="M2099" s="81">
        <f t="shared" ca="1" si="248"/>
        <v>24083.218112346072</v>
      </c>
      <c r="N2099" s="19">
        <f t="shared" si="249"/>
        <v>390.89122186374334</v>
      </c>
      <c r="O2099" s="17">
        <f t="shared" si="247"/>
        <v>524.5</v>
      </c>
      <c r="P2099" s="19">
        <f ca="1">IF(ISERROR(IF(O2099&lt;fi_h/20,0,(OFFSET('Base de dados'!$A$5,IF(O2099&lt;20,1,IF(O2099&gt;1000,10,MATCH(O2099,Cargas,1))),Coluna_fih,1,1))*(1+0.13*0.25)*(PI()*(fi_h/1000)^2/4)*SQRT(2*9.81*(O2099/100-fi_h/2/1000))*1000)),"",IF(O2099&lt;fi_h/20,0,(OFFSET('Base de dados'!$A$5,IF(O2099&lt;20,1,IF(O2099&gt;1000,10,MATCH(O2099,Cargas,1))),Coluna_fih,1,1))*(PI()*(fi_h/1000)^2/4)*SQRT(2*9.81*(O2099/100-fi_h/2/1000))*1000))</f>
        <v>61.404467635976445</v>
      </c>
      <c r="Q2099" s="19">
        <f ca="1">IF(O2099="","",IF(Tipo_Vertedor="Retangular",IF(O2099&lt;=cota_s*100,0,IF(Tipo_Vertedor="Retangular",Cd_sr*Lef_sr*((O2099/100-cota_s)^(3/2))*1000)),IF(O2099&lt;=cota_s*100+fi_s/20,0,(OFFSET('Base de dados'!$A$4,IF(O2099&lt;20,1,IF(O2099&gt;1000,10,MATCH(O2099,Cargas,1))),Coluna_fis,1,1))*(PI()*(fi_s/1000)^2/4)*(2*9.81*(O2099/100-cota_s-fi_s/2/1000))^0.5*1000)))</f>
        <v>10992.106249251985</v>
      </c>
      <c r="R2099" s="19">
        <f t="shared" ca="1" si="250"/>
        <v>11053.510716887962</v>
      </c>
      <c r="S2099" s="19">
        <f t="shared" ca="1" si="251"/>
        <v>13029.70739545811</v>
      </c>
    </row>
    <row r="2100" spans="13:19">
      <c r="M2100" s="81">
        <f t="shared" ca="1" si="248"/>
        <v>24099.092660394268</v>
      </c>
      <c r="N2100" s="19">
        <f t="shared" si="249"/>
        <v>391.10075442975466</v>
      </c>
      <c r="O2100" s="17">
        <f t="shared" si="247"/>
        <v>524.75</v>
      </c>
      <c r="P2100" s="19">
        <f ca="1">IF(ISERROR(IF(O2100&lt;fi_h/20,0,(OFFSET('Base de dados'!$A$5,IF(O2100&lt;20,1,IF(O2100&gt;1000,10,MATCH(O2100,Cargas,1))),Coluna_fih,1,1))*(1+0.13*0.25)*(PI()*(fi_h/1000)^2/4)*SQRT(2*9.81*(O2100/100-fi_h/2/1000))*1000)),"",IF(O2100&lt;fi_h/20,0,(OFFSET('Base de dados'!$A$5,IF(O2100&lt;20,1,IF(O2100&gt;1000,10,MATCH(O2100,Cargas,1))),Coluna_fih,1,1))*(PI()*(fi_h/1000)^2/4)*SQRT(2*9.81*(O2100/100-fi_h/2/1000))*1000))</f>
        <v>61.419258974887022</v>
      </c>
      <c r="Q2100" s="19">
        <f ca="1">IF(O2100="","",IF(Tipo_Vertedor="Retangular",IF(O2100&lt;=cota_s*100,0,IF(Tipo_Vertedor="Retangular",Cd_sr*Lef_sr*((O2100/100-cota_s)^(3/2))*1000)),IF(O2100&lt;=cota_s*100+fi_s/20,0,(OFFSET('Base de dados'!$A$4,IF(O2100&lt;20,1,IF(O2100&gt;1000,10,MATCH(O2100,Cargas,1))),Coluna_fis,1,1))*(PI()*(fi_s/1000)^2/4)*(2*9.81*(O2100/100-cota_s-fi_s/2/1000))^0.5*1000)))</f>
        <v>11000.981587094224</v>
      </c>
      <c r="R2100" s="19">
        <f t="shared" ca="1" si="250"/>
        <v>11062.400846069111</v>
      </c>
      <c r="S2100" s="19">
        <f t="shared" ca="1" si="251"/>
        <v>13036.691814325157</v>
      </c>
    </row>
    <row r="2101" spans="13:19">
      <c r="M2101" s="81">
        <f t="shared" ca="1" si="248"/>
        <v>24114.970006862764</v>
      </c>
      <c r="N2101" s="19">
        <f t="shared" si="249"/>
        <v>391.31029943177191</v>
      </c>
      <c r="O2101" s="17">
        <f t="shared" si="247"/>
        <v>525</v>
      </c>
      <c r="P2101" s="19">
        <f ca="1">IF(ISERROR(IF(O2101&lt;fi_h/20,0,(OFFSET('Base de dados'!$A$5,IF(O2101&lt;20,1,IF(O2101&gt;1000,10,MATCH(O2101,Cargas,1))),Coluna_fih,1,1))*(1+0.13*0.25)*(PI()*(fi_h/1000)^2/4)*SQRT(2*9.81*(O2101/100-fi_h/2/1000))*1000)),"",IF(O2101&lt;fi_h/20,0,(OFFSET('Base de dados'!$A$5,IF(O2101&lt;20,1,IF(O2101&gt;1000,10,MATCH(O2101,Cargas,1))),Coluna_fih,1,1))*(PI()*(fi_h/1000)^2/4)*SQRT(2*9.81*(O2101/100-fi_h/2/1000))*1000))</f>
        <v>61.434046752519912</v>
      </c>
      <c r="Q2101" s="19">
        <f ca="1">IF(O2101="","",IF(Tipo_Vertedor="Retangular",IF(O2101&lt;=cota_s*100,0,IF(Tipo_Vertedor="Retangular",Cd_sr*Lef_sr*((O2101/100-cota_s)^(3/2))*1000)),IF(O2101&lt;=cota_s*100+fi_s/20,0,(OFFSET('Base de dados'!$A$4,IF(O2101&lt;20,1,IF(O2101&gt;1000,10,MATCH(O2101,Cargas,1))),Coluna_fis,1,1))*(PI()*(fi_s/1000)^2/4)*(2*9.81*(O2101/100-cota_s-fi_s/2/1000))^0.5*1000)))</f>
        <v>11009.859312384515</v>
      </c>
      <c r="R2101" s="19">
        <f t="shared" ca="1" si="250"/>
        <v>11071.293359137035</v>
      </c>
      <c r="S2101" s="19">
        <f t="shared" ca="1" si="251"/>
        <v>13043.67664772573</v>
      </c>
    </row>
    <row r="2102" spans="13:19">
      <c r="M2102" s="81">
        <f t="shared" ca="1" si="248"/>
        <v>24130.850150939441</v>
      </c>
      <c r="N2102" s="19">
        <f t="shared" si="249"/>
        <v>391.51985686461063</v>
      </c>
      <c r="O2102" s="17">
        <f t="shared" si="247"/>
        <v>525.25</v>
      </c>
      <c r="P2102" s="19">
        <f ca="1">IF(ISERROR(IF(O2102&lt;fi_h/20,0,(OFFSET('Base de dados'!$A$5,IF(O2102&lt;20,1,IF(O2102&gt;1000,10,MATCH(O2102,Cargas,1))),Coluna_fih,1,1))*(1+0.13*0.25)*(PI()*(fi_h/1000)^2/4)*SQRT(2*9.81*(O2102/100-fi_h/2/1000))*1000)),"",IF(O2102&lt;fi_h/20,0,(OFFSET('Base de dados'!$A$5,IF(O2102&lt;20,1,IF(O2102&gt;1000,10,MATCH(O2102,Cargas,1))),Coluna_fih,1,1))*(PI()*(fi_h/1000)^2/4)*SQRT(2*9.81*(O2102/100-fi_h/2/1000))*1000))</f>
        <v>61.448830971446192</v>
      </c>
      <c r="Q2102" s="19">
        <f ca="1">IF(O2102="","",IF(Tipo_Vertedor="Retangular",IF(O2102&lt;=cota_s*100,0,IF(Tipo_Vertedor="Retangular",Cd_sr*Lef_sr*((O2102/100-cota_s)^(3/2))*1000)),IF(O2102&lt;=cota_s*100+fi_s/20,0,(OFFSET('Base de dados'!$A$4,IF(O2102&lt;20,1,IF(O2102&gt;1000,10,MATCH(O2102,Cargas,1))),Coluna_fis,1,1))*(PI()*(fi_s/1000)^2/4)*(2*9.81*(O2102/100-cota_s-fi_s/2/1000))^0.5*1000)))</f>
        <v>11018.739424480975</v>
      </c>
      <c r="R2102" s="19">
        <f t="shared" ca="1" si="250"/>
        <v>11080.188255452422</v>
      </c>
      <c r="S2102" s="19">
        <f t="shared" ca="1" si="251"/>
        <v>13050.661895487021</v>
      </c>
    </row>
    <row r="2103" spans="13:19">
      <c r="M2103" s="81">
        <f t="shared" ca="1" si="248"/>
        <v>24146.733091812861</v>
      </c>
      <c r="N2103" s="19">
        <f t="shared" si="249"/>
        <v>391.72942672309114</v>
      </c>
      <c r="O2103" s="17">
        <f t="shared" si="247"/>
        <v>525.5</v>
      </c>
      <c r="P2103" s="19">
        <f ca="1">IF(ISERROR(IF(O2103&lt;fi_h/20,0,(OFFSET('Base de dados'!$A$5,IF(O2103&lt;20,1,IF(O2103&gt;1000,10,MATCH(O2103,Cargas,1))),Coluna_fih,1,1))*(1+0.13*0.25)*(PI()*(fi_h/1000)^2/4)*SQRT(2*9.81*(O2103/100-fi_h/2/1000))*1000)),"",IF(O2103&lt;fi_h/20,0,(OFFSET('Base de dados'!$A$5,IF(O2103&lt;20,1,IF(O2103&gt;1000,10,MATCH(O2103,Cargas,1))),Coluna_fih,1,1))*(PI()*(fi_h/1000)^2/4)*SQRT(2*9.81*(O2103/100-fi_h/2/1000))*1000))</f>
        <v>61.46361163423385</v>
      </c>
      <c r="Q2103" s="19">
        <f ca="1">IF(O2103="","",IF(Tipo_Vertedor="Retangular",IF(O2103&lt;=cota_s*100,0,IF(Tipo_Vertedor="Retangular",Cd_sr*Lef_sr*((O2103/100-cota_s)^(3/2))*1000)),IF(O2103&lt;=cota_s*100+fi_s/20,0,(OFFSET('Base de dados'!$A$4,IF(O2103&lt;20,1,IF(O2103&gt;1000,10,MATCH(O2103,Cargas,1))),Coluna_fis,1,1))*(PI()*(fi_s/1000)^2/4)*(2*9.81*(O2103/100-cota_s-fi_s/2/1000))^0.5*1000)))</f>
        <v>11027.621922742255</v>
      </c>
      <c r="R2103" s="19">
        <f t="shared" ca="1" si="250"/>
        <v>11089.085534376489</v>
      </c>
      <c r="S2103" s="19">
        <f t="shared" ca="1" si="251"/>
        <v>13057.647557436372</v>
      </c>
    </row>
    <row r="2104" spans="13:19">
      <c r="M2104" s="81">
        <f t="shared" ca="1" si="248"/>
        <v>24162.618828672232</v>
      </c>
      <c r="N2104" s="19">
        <f t="shared" si="249"/>
        <v>391.93900900203835</v>
      </c>
      <c r="O2104" s="17">
        <f t="shared" si="247"/>
        <v>525.75</v>
      </c>
      <c r="P2104" s="19">
        <f ca="1">IF(ISERROR(IF(O2104&lt;fi_h/20,0,(OFFSET('Base de dados'!$A$5,IF(O2104&lt;20,1,IF(O2104&gt;1000,10,MATCH(O2104,Cargas,1))),Coluna_fih,1,1))*(1+0.13*0.25)*(PI()*(fi_h/1000)^2/4)*SQRT(2*9.81*(O2104/100-fi_h/2/1000))*1000)),"",IF(O2104&lt;fi_h/20,0,(OFFSET('Base de dados'!$A$5,IF(O2104&lt;20,1,IF(O2104&gt;1000,10,MATCH(O2104,Cargas,1))),Coluna_fih,1,1))*(PI()*(fi_h/1000)^2/4)*SQRT(2*9.81*(O2104/100-fi_h/2/1000))*1000))</f>
        <v>61.478388743447795</v>
      </c>
      <c r="Q2104" s="19">
        <f ca="1">IF(O2104="","",IF(Tipo_Vertedor="Retangular",IF(O2104&lt;=cota_s*100,0,IF(Tipo_Vertedor="Retangular",Cd_sr*Lef_sr*((O2104/100-cota_s)^(3/2))*1000)),IF(O2104&lt;=cota_s*100+fi_s/20,0,(OFFSET('Base de dados'!$A$4,IF(O2104&lt;20,1,IF(O2104&gt;1000,10,MATCH(O2104,Cargas,1))),Coluna_fis,1,1))*(PI()*(fi_s/1000)^2/4)*(2*9.81*(O2104/100-cota_s-fi_s/2/1000))^0.5*1000)))</f>
        <v>11036.506806527506</v>
      </c>
      <c r="R2104" s="19">
        <f t="shared" ca="1" si="250"/>
        <v>11097.985195270954</v>
      </c>
      <c r="S2104" s="19">
        <f t="shared" ca="1" si="251"/>
        <v>13064.633633401278</v>
      </c>
    </row>
    <row r="2105" spans="13:19">
      <c r="M2105" s="81">
        <f t="shared" ca="1" si="248"/>
        <v>24178.507360707459</v>
      </c>
      <c r="N2105" s="19">
        <f t="shared" si="249"/>
        <v>392.14860369628178</v>
      </c>
      <c r="O2105" s="17">
        <f t="shared" si="247"/>
        <v>526</v>
      </c>
      <c r="P2105" s="19">
        <f ca="1">IF(ISERROR(IF(O2105&lt;fi_h/20,0,(OFFSET('Base de dados'!$A$5,IF(O2105&lt;20,1,IF(O2105&gt;1000,10,MATCH(O2105,Cargas,1))),Coluna_fih,1,1))*(1+0.13*0.25)*(PI()*(fi_h/1000)^2/4)*SQRT(2*9.81*(O2105/100-fi_h/2/1000))*1000)),"",IF(O2105&lt;fi_h/20,0,(OFFSET('Base de dados'!$A$5,IF(O2105&lt;20,1,IF(O2105&gt;1000,10,MATCH(O2105,Cargas,1))),Coluna_fih,1,1))*(PI()*(fi_h/1000)^2/4)*SQRT(2*9.81*(O2105/100-fi_h/2/1000))*1000))</f>
        <v>61.493162301649846</v>
      </c>
      <c r="Q2105" s="19">
        <f ca="1">IF(O2105="","",IF(Tipo_Vertedor="Retangular",IF(O2105&lt;=cota_s*100,0,IF(Tipo_Vertedor="Retangular",Cd_sr*Lef_sr*((O2105/100-cota_s)^(3/2))*1000)),IF(O2105&lt;=cota_s*100+fi_s/20,0,(OFFSET('Base de dados'!$A$4,IF(O2105&lt;20,1,IF(O2105&gt;1000,10,MATCH(O2105,Cargas,1))),Coluna_fis,1,1))*(PI()*(fi_s/1000)^2/4)*(2*9.81*(O2105/100-cota_s-fi_s/2/1000))^0.5*1000)))</f>
        <v>11045.394075196416</v>
      </c>
      <c r="R2105" s="19">
        <f t="shared" ca="1" si="250"/>
        <v>11106.887237498066</v>
      </c>
      <c r="S2105" s="19">
        <f t="shared" ca="1" si="251"/>
        <v>13071.620123209394</v>
      </c>
    </row>
    <row r="2106" spans="13:19">
      <c r="M2106" s="81">
        <f t="shared" ca="1" si="248"/>
        <v>24194.398687109089</v>
      </c>
      <c r="N2106" s="19">
        <f t="shared" si="249"/>
        <v>392.35821080065563</v>
      </c>
      <c r="O2106" s="17">
        <f t="shared" si="247"/>
        <v>526.25</v>
      </c>
      <c r="P2106" s="19">
        <f ca="1">IF(ISERROR(IF(O2106&lt;fi_h/20,0,(OFFSET('Base de dados'!$A$5,IF(O2106&lt;20,1,IF(O2106&gt;1000,10,MATCH(O2106,Cargas,1))),Coluna_fih,1,1))*(1+0.13*0.25)*(PI()*(fi_h/1000)^2/4)*SQRT(2*9.81*(O2106/100-fi_h/2/1000))*1000)),"",IF(O2106&lt;fi_h/20,0,(OFFSET('Base de dados'!$A$5,IF(O2106&lt;20,1,IF(O2106&gt;1000,10,MATCH(O2106,Cargas,1))),Coluna_fih,1,1))*(PI()*(fi_h/1000)^2/4)*SQRT(2*9.81*(O2106/100-fi_h/2/1000))*1000))</f>
        <v>61.507932311398768</v>
      </c>
      <c r="Q2106" s="19">
        <f ca="1">IF(O2106="","",IF(Tipo_Vertedor="Retangular",IF(O2106&lt;=cota_s*100,0,IF(Tipo_Vertedor="Retangular",Cd_sr*Lef_sr*((O2106/100-cota_s)^(3/2))*1000)),IF(O2106&lt;=cota_s*100+fi_s/20,0,(OFFSET('Base de dados'!$A$4,IF(O2106&lt;20,1,IF(O2106&gt;1000,10,MATCH(O2106,Cargas,1))),Coluna_fis,1,1))*(PI()*(fi_s/1000)^2/4)*(2*9.81*(O2106/100-cota_s-fi_s/2/1000))^0.5*1000)))</f>
        <v>11054.283728109169</v>
      </c>
      <c r="R2106" s="19">
        <f t="shared" ca="1" si="250"/>
        <v>11115.791660420567</v>
      </c>
      <c r="S2106" s="19">
        <f t="shared" ca="1" si="251"/>
        <v>13078.607026688522</v>
      </c>
    </row>
    <row r="2107" spans="13:19">
      <c r="M2107" s="81">
        <f t="shared" ca="1" si="248"/>
        <v>24210.292807068337</v>
      </c>
      <c r="N2107" s="19">
        <f t="shared" si="249"/>
        <v>392.56783030999839</v>
      </c>
      <c r="O2107" s="17">
        <f t="shared" si="247"/>
        <v>526.5</v>
      </c>
      <c r="P2107" s="19">
        <f ca="1">IF(ISERROR(IF(O2107&lt;fi_h/20,0,(OFFSET('Base de dados'!$A$5,IF(O2107&lt;20,1,IF(O2107&gt;1000,10,MATCH(O2107,Cargas,1))),Coluna_fih,1,1))*(1+0.13*0.25)*(PI()*(fi_h/1000)^2/4)*SQRT(2*9.81*(O2107/100-fi_h/2/1000))*1000)),"",IF(O2107&lt;fi_h/20,0,(OFFSET('Base de dados'!$A$5,IF(O2107&lt;20,1,IF(O2107&gt;1000,10,MATCH(O2107,Cargas,1))),Coluna_fih,1,1))*(PI()*(fi_h/1000)^2/4)*SQRT(2*9.81*(O2107/100-fi_h/2/1000))*1000))</f>
        <v>61.52269877525022</v>
      </c>
      <c r="Q2107" s="19">
        <f ca="1">IF(O2107="","",IF(Tipo_Vertedor="Retangular",IF(O2107&lt;=cota_s*100,0,IF(Tipo_Vertedor="Retangular",Cd_sr*Lef_sr*((O2107/100-cota_s)^(3/2))*1000)),IF(O2107&lt;=cota_s*100+fi_s/20,0,(OFFSET('Base de dados'!$A$4,IF(O2107&lt;20,1,IF(O2107&gt;1000,10,MATCH(O2107,Cargas,1))),Coluna_fis,1,1))*(PI()*(fi_s/1000)^2/4)*(2*9.81*(O2107/100-cota_s-fi_s/2/1000))^0.5*1000)))</f>
        <v>11063.175764626476</v>
      </c>
      <c r="R2107" s="19">
        <f t="shared" ca="1" si="250"/>
        <v>11124.698463401726</v>
      </c>
      <c r="S2107" s="19">
        <f t="shared" ca="1" si="251"/>
        <v>13085.594343666611</v>
      </c>
    </row>
    <row r="2108" spans="13:19">
      <c r="M2108" s="81">
        <f t="shared" ca="1" si="248"/>
        <v>24226.189719777103</v>
      </c>
      <c r="N2108" s="19">
        <f t="shared" si="249"/>
        <v>392.77746221915379</v>
      </c>
      <c r="O2108" s="17">
        <f t="shared" si="247"/>
        <v>526.75</v>
      </c>
      <c r="P2108" s="19">
        <f ca="1">IF(ISERROR(IF(O2108&lt;fi_h/20,0,(OFFSET('Base de dados'!$A$5,IF(O2108&lt;20,1,IF(O2108&gt;1000,10,MATCH(O2108,Cargas,1))),Coluna_fih,1,1))*(1+0.13*0.25)*(PI()*(fi_h/1000)^2/4)*SQRT(2*9.81*(O2108/100-fi_h/2/1000))*1000)),"",IF(O2108&lt;fi_h/20,0,(OFFSET('Base de dados'!$A$5,IF(O2108&lt;20,1,IF(O2108&gt;1000,10,MATCH(O2108,Cargas,1))),Coluna_fih,1,1))*(PI()*(fi_h/1000)^2/4)*SQRT(2*9.81*(O2108/100-fi_h/2/1000))*1000))</f>
        <v>61.537461695756818</v>
      </c>
      <c r="Q2108" s="19">
        <f ca="1">IF(O2108="","",IF(Tipo_Vertedor="Retangular",IF(O2108&lt;=cota_s*100,0,IF(Tipo_Vertedor="Retangular",Cd_sr*Lef_sr*((O2108/100-cota_s)^(3/2))*1000)),IF(O2108&lt;=cota_s*100+fi_s/20,0,(OFFSET('Base de dados'!$A$4,IF(O2108&lt;20,1,IF(O2108&gt;1000,10,MATCH(O2108,Cargas,1))),Coluna_fis,1,1))*(PI()*(fi_s/1000)^2/4)*(2*9.81*(O2108/100-cota_s-fi_s/2/1000))^0.5*1000)))</f>
        <v>11072.070184109552</v>
      </c>
      <c r="R2108" s="19">
        <f t="shared" ca="1" si="250"/>
        <v>11133.607645805308</v>
      </c>
      <c r="S2108" s="19">
        <f t="shared" ca="1" si="251"/>
        <v>13092.582073971793</v>
      </c>
    </row>
    <row r="2109" spans="13:19">
      <c r="M2109" s="81">
        <f t="shared" ca="1" si="248"/>
        <v>24242.089424427915</v>
      </c>
      <c r="N2109" s="19">
        <f t="shared" si="249"/>
        <v>392.98710652296933</v>
      </c>
      <c r="O2109" s="17">
        <f t="shared" si="247"/>
        <v>527</v>
      </c>
      <c r="P2109" s="19">
        <f ca="1">IF(ISERROR(IF(O2109&lt;fi_h/20,0,(OFFSET('Base de dados'!$A$5,IF(O2109&lt;20,1,IF(O2109&gt;1000,10,MATCH(O2109,Cargas,1))),Coluna_fih,1,1))*(1+0.13*0.25)*(PI()*(fi_h/1000)^2/4)*SQRT(2*9.81*(O2109/100-fi_h/2/1000))*1000)),"",IF(O2109&lt;fi_h/20,0,(OFFSET('Base de dados'!$A$5,IF(O2109&lt;20,1,IF(O2109&gt;1000,10,MATCH(O2109,Cargas,1))),Coluna_fih,1,1))*(PI()*(fi_h/1000)^2/4)*SQRT(2*9.81*(O2109/100-fi_h/2/1000))*1000))</f>
        <v>61.55222107546809</v>
      </c>
      <c r="Q2109" s="19">
        <f ca="1">IF(O2109="","",IF(Tipo_Vertedor="Retangular",IF(O2109&lt;=cota_s*100,0,IF(Tipo_Vertedor="Retangular",Cd_sr*Lef_sr*((O2109/100-cota_s)^(3/2))*1000)),IF(O2109&lt;=cota_s*100+fi_s/20,0,(OFFSET('Base de dados'!$A$4,IF(O2109&lt;20,1,IF(O2109&gt;1000,10,MATCH(O2109,Cargas,1))),Coluna_fis,1,1))*(PI()*(fi_s/1000)^2/4)*(2*9.81*(O2109/100-cota_s-fi_s/2/1000))^0.5*1000)))</f>
        <v>11080.966985920137</v>
      </c>
      <c r="R2109" s="19">
        <f t="shared" ca="1" si="250"/>
        <v>11142.519206995605</v>
      </c>
      <c r="S2109" s="19">
        <f t="shared" ca="1" si="251"/>
        <v>13099.570217432311</v>
      </c>
    </row>
    <row r="2110" spans="13:19">
      <c r="M2110" s="81">
        <f t="shared" ca="1" si="248"/>
        <v>24257.991920214008</v>
      </c>
      <c r="N2110" s="19">
        <f t="shared" si="249"/>
        <v>393.19676321629788</v>
      </c>
      <c r="O2110" s="17">
        <f t="shared" si="247"/>
        <v>527.25</v>
      </c>
      <c r="P2110" s="19">
        <f ca="1">IF(ISERROR(IF(O2110&lt;fi_h/20,0,(OFFSET('Base de dados'!$A$5,IF(O2110&lt;20,1,IF(O2110&gt;1000,10,MATCH(O2110,Cargas,1))),Coluna_fih,1,1))*(1+0.13*0.25)*(PI()*(fi_h/1000)^2/4)*SQRT(2*9.81*(O2110/100-fi_h/2/1000))*1000)),"",IF(O2110&lt;fi_h/20,0,(OFFSET('Base de dados'!$A$5,IF(O2110&lt;20,1,IF(O2110&gt;1000,10,MATCH(O2110,Cargas,1))),Coluna_fih,1,1))*(PI()*(fi_h/1000)^2/4)*SQRT(2*9.81*(O2110/100-fi_h/2/1000))*1000))</f>
        <v>61.566976916930571</v>
      </c>
      <c r="Q2110" s="19">
        <f ca="1">IF(O2110="","",IF(Tipo_Vertedor="Retangular",IF(O2110&lt;=cota_s*100,0,IF(Tipo_Vertedor="Retangular",Cd_sr*Lef_sr*((O2110/100-cota_s)^(3/2))*1000)),IF(O2110&lt;=cota_s*100+fi_s/20,0,(OFFSET('Base de dados'!$A$4,IF(O2110&lt;20,1,IF(O2110&gt;1000,10,MATCH(O2110,Cargas,1))),Coluna_fis,1,1))*(PI()*(fi_s/1000)^2/4)*(2*9.81*(O2110/100-cota_s-fi_s/2/1000))^0.5*1000)))</f>
        <v>11089.866169420478</v>
      </c>
      <c r="R2110" s="19">
        <f t="shared" ca="1" si="250"/>
        <v>11151.433146337409</v>
      </c>
      <c r="S2110" s="19">
        <f t="shared" ca="1" si="251"/>
        <v>13106.558773876597</v>
      </c>
    </row>
    <row r="2111" spans="13:19">
      <c r="M2111" s="81">
        <f t="shared" ca="1" si="248"/>
        <v>24273.897206329235</v>
      </c>
      <c r="N2111" s="19">
        <f t="shared" si="249"/>
        <v>393.40643229399626</v>
      </c>
      <c r="O2111" s="17">
        <f t="shared" si="247"/>
        <v>527.5</v>
      </c>
      <c r="P2111" s="19">
        <f ca="1">IF(ISERROR(IF(O2111&lt;fi_h/20,0,(OFFSET('Base de dados'!$A$5,IF(O2111&lt;20,1,IF(O2111&gt;1000,10,MATCH(O2111,Cargas,1))),Coluna_fih,1,1))*(1+0.13*0.25)*(PI()*(fi_h/1000)^2/4)*SQRT(2*9.81*(O2111/100-fi_h/2/1000))*1000)),"",IF(O2111&lt;fi_h/20,0,(OFFSET('Base de dados'!$A$5,IF(O2111&lt;20,1,IF(O2111&gt;1000,10,MATCH(O2111,Cargas,1))),Coluna_fih,1,1))*(PI()*(fi_h/1000)^2/4)*SQRT(2*9.81*(O2111/100-fi_h/2/1000))*1000))</f>
        <v>61.581729222687663</v>
      </c>
      <c r="Q2111" s="19">
        <f ca="1">IF(O2111="","",IF(Tipo_Vertedor="Retangular",IF(O2111&lt;=cota_s*100,0,IF(Tipo_Vertedor="Retangular",Cd_sr*Lef_sr*((O2111/100-cota_s)^(3/2))*1000)),IF(O2111&lt;=cota_s*100+fi_s/20,0,(OFFSET('Base de dados'!$A$4,IF(O2111&lt;20,1,IF(O2111&gt;1000,10,MATCH(O2111,Cargas,1))),Coluna_fis,1,1))*(PI()*(fi_s/1000)^2/4)*(2*9.81*(O2111/100-cota_s-fi_s/2/1000))^0.5*1000)))</f>
        <v>11098.767733973338</v>
      </c>
      <c r="R2111" s="19">
        <f t="shared" ca="1" si="250"/>
        <v>11160.349463196026</v>
      </c>
      <c r="S2111" s="19">
        <f t="shared" ca="1" si="251"/>
        <v>13113.547743133209</v>
      </c>
    </row>
    <row r="2112" spans="13:19">
      <c r="M2112" s="81">
        <f t="shared" ca="1" si="248"/>
        <v>24289.805281968125</v>
      </c>
      <c r="N2112" s="19">
        <f t="shared" si="249"/>
        <v>393.61611375092627</v>
      </c>
      <c r="O2112" s="17">
        <f t="shared" si="247"/>
        <v>527.75</v>
      </c>
      <c r="P2112" s="19">
        <f ca="1">IF(ISERROR(IF(O2112&lt;fi_h/20,0,(OFFSET('Base de dados'!$A$5,IF(O2112&lt;20,1,IF(O2112&gt;1000,10,MATCH(O2112,Cargas,1))),Coluna_fih,1,1))*(1+0.13*0.25)*(PI()*(fi_h/1000)^2/4)*SQRT(2*9.81*(O2112/100-fi_h/2/1000))*1000)),"",IF(O2112&lt;fi_h/20,0,(OFFSET('Base de dados'!$A$5,IF(O2112&lt;20,1,IF(O2112&gt;1000,10,MATCH(O2112,Cargas,1))),Coluna_fih,1,1))*(PI()*(fi_h/1000)^2/4)*SQRT(2*9.81*(O2112/100-fi_h/2/1000))*1000))</f>
        <v>61.59647799527977</v>
      </c>
      <c r="Q2112" s="19">
        <f ca="1">IF(O2112="","",IF(Tipo_Vertedor="Retangular",IF(O2112&lt;=cota_s*100,0,IF(Tipo_Vertedor="Retangular",Cd_sr*Lef_sr*((O2112/100-cota_s)^(3/2))*1000)),IF(O2112&lt;=cota_s*100+fi_s/20,0,(OFFSET('Base de dados'!$A$4,IF(O2112&lt;20,1,IF(O2112&gt;1000,10,MATCH(O2112,Cargas,1))),Coluna_fis,1,1))*(PI()*(fi_s/1000)^2/4)*(2*9.81*(O2112/100-cota_s-fi_s/2/1000))^0.5*1000)))</f>
        <v>11107.67167894197</v>
      </c>
      <c r="R2112" s="19">
        <f t="shared" ca="1" si="250"/>
        <v>11169.268156937249</v>
      </c>
      <c r="S2112" s="19">
        <f t="shared" ca="1" si="251"/>
        <v>13120.537125030876</v>
      </c>
    </row>
    <row r="2113" spans="13:19">
      <c r="M2113" s="81">
        <f t="shared" ca="1" si="248"/>
        <v>24305.716146325878</v>
      </c>
      <c r="N2113" s="19">
        <f t="shared" si="249"/>
        <v>393.825807581954</v>
      </c>
      <c r="O2113" s="17">
        <f t="shared" si="247"/>
        <v>528</v>
      </c>
      <c r="P2113" s="19">
        <f ca="1">IF(ISERROR(IF(O2113&lt;fi_h/20,0,(OFFSET('Base de dados'!$A$5,IF(O2113&lt;20,1,IF(O2113&gt;1000,10,MATCH(O2113,Cargas,1))),Coluna_fih,1,1))*(1+0.13*0.25)*(PI()*(fi_h/1000)^2/4)*SQRT(2*9.81*(O2113/100-fi_h/2/1000))*1000)),"",IF(O2113&lt;fi_h/20,0,(OFFSET('Base de dados'!$A$5,IF(O2113&lt;20,1,IF(O2113&gt;1000,10,MATCH(O2113,Cargas,1))),Coluna_fih,1,1))*(PI()*(fi_h/1000)^2/4)*SQRT(2*9.81*(O2113/100-fi_h/2/1000))*1000))</f>
        <v>61.611223237244268</v>
      </c>
      <c r="Q2113" s="19">
        <f ca="1">IF(O2113="","",IF(Tipo_Vertedor="Retangular",IF(O2113&lt;=cota_s*100,0,IF(Tipo_Vertedor="Retangular",Cd_sr*Lef_sr*((O2113/100-cota_s)^(3/2))*1000)),IF(O2113&lt;=cota_s*100+fi_s/20,0,(OFFSET('Base de dados'!$A$4,IF(O2113&lt;20,1,IF(O2113&gt;1000,10,MATCH(O2113,Cargas,1))),Coluna_fis,1,1))*(PI()*(fi_s/1000)^2/4)*(2*9.81*(O2113/100-cota_s-fi_s/2/1000))^0.5*1000)))</f>
        <v>11116.578003690169</v>
      </c>
      <c r="R2113" s="19">
        <f t="shared" ca="1" si="250"/>
        <v>11178.189226927412</v>
      </c>
      <c r="S2113" s="19">
        <f t="shared" ca="1" si="251"/>
        <v>13127.526919398466</v>
      </c>
    </row>
    <row r="2114" spans="13:19">
      <c r="M2114" s="81">
        <f t="shared" ca="1" si="248"/>
        <v>24321.62979859834</v>
      </c>
      <c r="N2114" s="19">
        <f t="shared" si="249"/>
        <v>394.03551378195027</v>
      </c>
      <c r="O2114" s="17">
        <f t="shared" si="247"/>
        <v>528.25</v>
      </c>
      <c r="P2114" s="19">
        <f ca="1">IF(ISERROR(IF(O2114&lt;fi_h/20,0,(OFFSET('Base de dados'!$A$5,IF(O2114&lt;20,1,IF(O2114&gt;1000,10,MATCH(O2114,Cargas,1))),Coluna_fih,1,1))*(1+0.13*0.25)*(PI()*(fi_h/1000)^2/4)*SQRT(2*9.81*(O2114/100-fi_h/2/1000))*1000)),"",IF(O2114&lt;fi_h/20,0,(OFFSET('Base de dados'!$A$5,IF(O2114&lt;20,1,IF(O2114&gt;1000,10,MATCH(O2114,Cargas,1))),Coluna_fih,1,1))*(PI()*(fi_h/1000)^2/4)*SQRT(2*9.81*(O2114/100-fi_h/2/1000))*1000))</f>
        <v>61.625964951115442</v>
      </c>
      <c r="Q2114" s="19">
        <f ca="1">IF(O2114="","",IF(Tipo_Vertedor="Retangular",IF(O2114&lt;=cota_s*100,0,IF(Tipo_Vertedor="Retangular",Cd_sr*Lef_sr*((O2114/100-cota_s)^(3/2))*1000)),IF(O2114&lt;=cota_s*100+fi_s/20,0,(OFFSET('Base de dados'!$A$4,IF(O2114&lt;20,1,IF(O2114&gt;1000,10,MATCH(O2114,Cargas,1))),Coluna_fis,1,1))*(PI()*(fi_s/1000)^2/4)*(2*9.81*(O2114/100-cota_s-fi_s/2/1000))^0.5*1000)))</f>
        <v>11125.486707582213</v>
      </c>
      <c r="R2114" s="19">
        <f t="shared" ca="1" si="250"/>
        <v>11187.112672533329</v>
      </c>
      <c r="S2114" s="19">
        <f t="shared" ca="1" si="251"/>
        <v>13134.51712606501</v>
      </c>
    </row>
    <row r="2115" spans="13:19">
      <c r="M2115" s="81">
        <f t="shared" ca="1" si="248"/>
        <v>24337.546237982027</v>
      </c>
      <c r="N2115" s="19">
        <f t="shared" si="249"/>
        <v>394.24523234579044</v>
      </c>
      <c r="O2115" s="17">
        <f t="shared" si="247"/>
        <v>528.5</v>
      </c>
      <c r="P2115" s="19">
        <f ca="1">IF(ISERROR(IF(O2115&lt;fi_h/20,0,(OFFSET('Base de dados'!$A$5,IF(O2115&lt;20,1,IF(O2115&gt;1000,10,MATCH(O2115,Cargas,1))),Coluna_fih,1,1))*(1+0.13*0.25)*(PI()*(fi_h/1000)^2/4)*SQRT(2*9.81*(O2115/100-fi_h/2/1000))*1000)),"",IF(O2115&lt;fi_h/20,0,(OFFSET('Base de dados'!$A$5,IF(O2115&lt;20,1,IF(O2115&gt;1000,10,MATCH(O2115,Cargas,1))),Coluna_fih,1,1))*(PI()*(fi_h/1000)^2/4)*SQRT(2*9.81*(O2115/100-fi_h/2/1000))*1000))</f>
        <v>61.640703139424616</v>
      </c>
      <c r="Q2115" s="19">
        <f ca="1">IF(O2115="","",IF(Tipo_Vertedor="Retangular",IF(O2115&lt;=cota_s*100,0,IF(Tipo_Vertedor="Retangular",Cd_sr*Lef_sr*((O2115/100-cota_s)^(3/2))*1000)),IF(O2115&lt;=cota_s*100+fi_s/20,0,(OFFSET('Base de dados'!$A$4,IF(O2115&lt;20,1,IF(O2115&gt;1000,10,MATCH(O2115,Cargas,1))),Coluna_fis,1,1))*(PI()*(fi_s/1000)^2/4)*(2*9.81*(O2115/100-cota_s-fi_s/2/1000))^0.5*1000)))</f>
        <v>11134.397789982922</v>
      </c>
      <c r="R2115" s="19">
        <f t="shared" ca="1" si="250"/>
        <v>11196.038493122347</v>
      </c>
      <c r="S2115" s="19">
        <f t="shared" ca="1" si="251"/>
        <v>13141.50774485968</v>
      </c>
    </row>
    <row r="2116" spans="13:19">
      <c r="M2116" s="81">
        <f t="shared" ca="1" si="248"/>
        <v>24353.465463674096</v>
      </c>
      <c r="N2116" s="19">
        <f t="shared" si="249"/>
        <v>394.45496326835439</v>
      </c>
      <c r="O2116" s="17">
        <f t="shared" si="247"/>
        <v>528.75</v>
      </c>
      <c r="P2116" s="19">
        <f ca="1">IF(ISERROR(IF(O2116&lt;fi_h/20,0,(OFFSET('Base de dados'!$A$5,IF(O2116&lt;20,1,IF(O2116&gt;1000,10,MATCH(O2116,Cargas,1))),Coluna_fih,1,1))*(1+0.13*0.25)*(PI()*(fi_h/1000)^2/4)*SQRT(2*9.81*(O2116/100-fi_h/2/1000))*1000)),"",IF(O2116&lt;fi_h/20,0,(OFFSET('Base de dados'!$A$5,IF(O2116&lt;20,1,IF(O2116&gt;1000,10,MATCH(O2116,Cargas,1))),Coluna_fih,1,1))*(PI()*(fi_h/1000)^2/4)*SQRT(2*9.81*(O2116/100-fi_h/2/1000))*1000))</f>
        <v>61.655437804700036</v>
      </c>
      <c r="Q2116" s="19">
        <f ca="1">IF(O2116="","",IF(Tipo_Vertedor="Retangular",IF(O2116&lt;=cota_s*100,0,IF(Tipo_Vertedor="Retangular",Cd_sr*Lef_sr*((O2116/100-cota_s)^(3/2))*1000)),IF(O2116&lt;=cota_s*100+fi_s/20,0,(OFFSET('Base de dados'!$A$4,IF(O2116&lt;20,1,IF(O2116&gt;1000,10,MATCH(O2116,Cargas,1))),Coluna_fis,1,1))*(PI()*(fi_s/1000)^2/4)*(2*9.81*(O2116/100-cota_s-fi_s/2/1000))^0.5*1000)))</f>
        <v>11143.31125025758</v>
      </c>
      <c r="R2116" s="19">
        <f t="shared" ca="1" si="250"/>
        <v>11204.966688062281</v>
      </c>
      <c r="S2116" s="19">
        <f t="shared" ca="1" si="251"/>
        <v>13148.498775611813</v>
      </c>
    </row>
    <row r="2117" spans="13:19">
      <c r="M2117" s="81">
        <f t="shared" ca="1" si="248"/>
        <v>24369.387474872372</v>
      </c>
      <c r="N2117" s="19">
        <f t="shared" si="249"/>
        <v>394.6647065445265</v>
      </c>
      <c r="O2117" s="17">
        <f t="shared" si="247"/>
        <v>529</v>
      </c>
      <c r="P2117" s="19">
        <f ca="1">IF(ISERROR(IF(O2117&lt;fi_h/20,0,(OFFSET('Base de dados'!$A$5,IF(O2117&lt;20,1,IF(O2117&gt;1000,10,MATCH(O2117,Cargas,1))),Coluna_fih,1,1))*(1+0.13*0.25)*(PI()*(fi_h/1000)^2/4)*SQRT(2*9.81*(O2117/100-fi_h/2/1000))*1000)),"",IF(O2117&lt;fi_h/20,0,(OFFSET('Base de dados'!$A$5,IF(O2117&lt;20,1,IF(O2117&gt;1000,10,MATCH(O2117,Cargas,1))),Coluna_fih,1,1))*(PI()*(fi_h/1000)^2/4)*SQRT(2*9.81*(O2117/100-fi_h/2/1000))*1000))</f>
        <v>61.670168949466934</v>
      </c>
      <c r="Q2117" s="19">
        <f ca="1">IF(O2117="","",IF(Tipo_Vertedor="Retangular",IF(O2117&lt;=cota_s*100,0,IF(Tipo_Vertedor="Retangular",Cd_sr*Lef_sr*((O2117/100-cota_s)^(3/2))*1000)),IF(O2117&lt;=cota_s*100+fi_s/20,0,(OFFSET('Base de dados'!$A$4,IF(O2117&lt;20,1,IF(O2117&gt;1000,10,MATCH(O2117,Cargas,1))),Coluna_fis,1,1))*(PI()*(fi_s/1000)^2/4)*(2*9.81*(O2117/100-cota_s-fi_s/2/1000))^0.5*1000)))</f>
        <v>11152.22708777202</v>
      </c>
      <c r="R2117" s="19">
        <f t="shared" ca="1" si="250"/>
        <v>11213.897256721488</v>
      </c>
      <c r="S2117" s="19">
        <f t="shared" ca="1" si="251"/>
        <v>13155.490218150884</v>
      </c>
    </row>
    <row r="2118" spans="13:19">
      <c r="M2118" s="81">
        <f t="shared" ca="1" si="248"/>
        <v>24385.312270775335</v>
      </c>
      <c r="N2118" s="19">
        <f t="shared" si="249"/>
        <v>394.87446216919574</v>
      </c>
      <c r="O2118" s="17">
        <f t="shared" si="247"/>
        <v>529.25</v>
      </c>
      <c r="P2118" s="19">
        <f ca="1">IF(ISERROR(IF(O2118&lt;fi_h/20,0,(OFFSET('Base de dados'!$A$5,IF(O2118&lt;20,1,IF(O2118&gt;1000,10,MATCH(O2118,Cargas,1))),Coluna_fih,1,1))*(1+0.13*0.25)*(PI()*(fi_h/1000)^2/4)*SQRT(2*9.81*(O2118/100-fi_h/2/1000))*1000)),"",IF(O2118&lt;fi_h/20,0,(OFFSET('Base de dados'!$A$5,IF(O2118&lt;20,1,IF(O2118&gt;1000,10,MATCH(O2118,Cargas,1))),Coluna_fih,1,1))*(PI()*(fi_h/1000)^2/4)*SQRT(2*9.81*(O2118/100-fi_h/2/1000))*1000))</f>
        <v>61.684896576247567</v>
      </c>
      <c r="Q2118" s="19">
        <f ca="1">IF(O2118="","",IF(Tipo_Vertedor="Retangular",IF(O2118&lt;=cota_s*100,0,IF(Tipo_Vertedor="Retangular",Cd_sr*Lef_sr*((O2118/100-cota_s)^(3/2))*1000)),IF(O2118&lt;=cota_s*100+fi_s/20,0,(OFFSET('Base de dados'!$A$4,IF(O2118&lt;20,1,IF(O2118&gt;1000,10,MATCH(O2118,Cargas,1))),Coluna_fis,1,1))*(PI()*(fi_s/1000)^2/4)*(2*9.81*(O2118/100-cota_s-fi_s/2/1000))^0.5*1000)))</f>
        <v>11161.145301892564</v>
      </c>
      <c r="R2118" s="19">
        <f t="shared" ca="1" si="250"/>
        <v>11222.830198468811</v>
      </c>
      <c r="S2118" s="19">
        <f t="shared" ca="1" si="251"/>
        <v>13162.482072306526</v>
      </c>
    </row>
    <row r="2119" spans="13:19">
      <c r="M2119" s="81">
        <f t="shared" ca="1" si="248"/>
        <v>24401.239850582107</v>
      </c>
      <c r="N2119" s="19">
        <f t="shared" si="249"/>
        <v>395.08423013725564</v>
      </c>
      <c r="O2119" s="17">
        <f t="shared" si="247"/>
        <v>529.5</v>
      </c>
      <c r="P2119" s="19">
        <f ca="1">IF(ISERROR(IF(O2119&lt;fi_h/20,0,(OFFSET('Base de dados'!$A$5,IF(O2119&lt;20,1,IF(O2119&gt;1000,10,MATCH(O2119,Cargas,1))),Coluna_fih,1,1))*(1+0.13*0.25)*(PI()*(fi_h/1000)^2/4)*SQRT(2*9.81*(O2119/100-fi_h/2/1000))*1000)),"",IF(O2119&lt;fi_h/20,0,(OFFSET('Base de dados'!$A$5,IF(O2119&lt;20,1,IF(O2119&gt;1000,10,MATCH(O2119,Cargas,1))),Coluna_fih,1,1))*(PI()*(fi_h/1000)^2/4)*SQRT(2*9.81*(O2119/100-fi_h/2/1000))*1000))</f>
        <v>61.699620687561122</v>
      </c>
      <c r="Q2119" s="19">
        <f ca="1">IF(O2119="","",IF(Tipo_Vertedor="Retangular",IF(O2119&lt;=cota_s*100,0,IF(Tipo_Vertedor="Retangular",Cd_sr*Lef_sr*((O2119/100-cota_s)^(3/2))*1000)),IF(O2119&lt;=cota_s*100+fi_s/20,0,(OFFSET('Base de dados'!$A$4,IF(O2119&lt;20,1,IF(O2119&gt;1000,10,MATCH(O2119,Cargas,1))),Coluna_fis,1,1))*(PI()*(fi_s/1000)^2/4)*(2*9.81*(O2119/100-cota_s-fi_s/2/1000))^0.5*1000)))</f>
        <v>11170.065891986025</v>
      </c>
      <c r="R2119" s="19">
        <f t="shared" ca="1" si="250"/>
        <v>11231.765512673586</v>
      </c>
      <c r="S2119" s="19">
        <f t="shared" ca="1" si="251"/>
        <v>13169.474337908521</v>
      </c>
    </row>
    <row r="2120" spans="13:19">
      <c r="M2120" s="81">
        <f t="shared" ca="1" si="248"/>
        <v>24417.170213492485</v>
      </c>
      <c r="N2120" s="19">
        <f t="shared" si="249"/>
        <v>395.29401044360412</v>
      </c>
      <c r="O2120" s="17">
        <f t="shared" si="247"/>
        <v>529.75</v>
      </c>
      <c r="P2120" s="19">
        <f ca="1">IF(ISERROR(IF(O2120&lt;fi_h/20,0,(OFFSET('Base de dados'!$A$5,IF(O2120&lt;20,1,IF(O2120&gt;1000,10,MATCH(O2120,Cargas,1))),Coluna_fih,1,1))*(1+0.13*0.25)*(PI()*(fi_h/1000)^2/4)*SQRT(2*9.81*(O2120/100-fi_h/2/1000))*1000)),"",IF(O2120&lt;fi_h/20,0,(OFFSET('Base de dados'!$A$5,IF(O2120&lt;20,1,IF(O2120&gt;1000,10,MATCH(O2120,Cargas,1))),Coluna_fih,1,1))*(PI()*(fi_h/1000)^2/4)*SQRT(2*9.81*(O2120/100-fi_h/2/1000))*1000))</f>
        <v>61.71434128592383</v>
      </c>
      <c r="Q2120" s="19">
        <f ca="1">IF(O2120="","",IF(Tipo_Vertedor="Retangular",IF(O2120&lt;=cota_s*100,0,IF(Tipo_Vertedor="Retangular",Cd_sr*Lef_sr*((O2120/100-cota_s)^(3/2))*1000)),IF(O2120&lt;=cota_s*100+fi_s/20,0,(OFFSET('Base de dados'!$A$4,IF(O2120&lt;20,1,IF(O2120&gt;1000,10,MATCH(O2120,Cargas,1))),Coluna_fis,1,1))*(PI()*(fi_s/1000)^2/4)*(2*9.81*(O2120/100-cota_s-fi_s/2/1000))^0.5*1000)))</f>
        <v>11178.988857419754</v>
      </c>
      <c r="R2120" s="19">
        <f t="shared" ca="1" si="250"/>
        <v>11240.703198705678</v>
      </c>
      <c r="S2120" s="19">
        <f t="shared" ca="1" si="251"/>
        <v>13176.467014786806</v>
      </c>
    </row>
    <row r="2121" spans="13:19">
      <c r="M2121" s="81">
        <f t="shared" ca="1" si="248"/>
        <v>24433.103358706889</v>
      </c>
      <c r="N2121" s="19">
        <f t="shared" si="249"/>
        <v>395.50380308314368</v>
      </c>
      <c r="O2121" s="17">
        <f t="shared" si="247"/>
        <v>530</v>
      </c>
      <c r="P2121" s="19">
        <f ca="1">IF(ISERROR(IF(O2121&lt;fi_h/20,0,(OFFSET('Base de dados'!$A$5,IF(O2121&lt;20,1,IF(O2121&gt;1000,10,MATCH(O2121,Cargas,1))),Coluna_fih,1,1))*(1+0.13*0.25)*(PI()*(fi_h/1000)^2/4)*SQRT(2*9.81*(O2121/100-fi_h/2/1000))*1000)),"",IF(O2121&lt;fi_h/20,0,(OFFSET('Base de dados'!$A$5,IF(O2121&lt;20,1,IF(O2121&gt;1000,10,MATCH(O2121,Cargas,1))),Coluna_fih,1,1))*(PI()*(fi_h/1000)^2/4)*SQRT(2*9.81*(O2121/100-fi_h/2/1000))*1000))</f>
        <v>61.729058373848893</v>
      </c>
      <c r="Q2121" s="19">
        <f ca="1">IF(O2121="","",IF(Tipo_Vertedor="Retangular",IF(O2121&lt;=cota_s*100,0,IF(Tipo_Vertedor="Retangular",Cd_sr*Lef_sr*((O2121/100-cota_s)^(3/2))*1000)),IF(O2121&lt;=cota_s*100+fi_s/20,0,(OFFSET('Base de dados'!$A$4,IF(O2121&lt;20,1,IF(O2121&gt;1000,10,MATCH(O2121,Cargas,1))),Coluna_fis,1,1))*(PI()*(fi_s/1000)^2/4)*(2*9.81*(O2121/100-cota_s-fi_s/2/1000))^0.5*1000)))</f>
        <v>11187.914197561584</v>
      </c>
      <c r="R2121" s="19">
        <f t="shared" ca="1" si="250"/>
        <v>11249.643255935433</v>
      </c>
      <c r="S2121" s="19">
        <f t="shared" ca="1" si="251"/>
        <v>13183.460102771456</v>
      </c>
    </row>
    <row r="2122" spans="13:19">
      <c r="M2122" s="81">
        <f t="shared" ca="1" si="248"/>
        <v>24449.039285426428</v>
      </c>
      <c r="N2122" s="19">
        <f t="shared" si="249"/>
        <v>395.71360805078154</v>
      </c>
      <c r="O2122" s="17">
        <f t="shared" si="247"/>
        <v>530.25</v>
      </c>
      <c r="P2122" s="19">
        <f ca="1">IF(ISERROR(IF(O2122&lt;fi_h/20,0,(OFFSET('Base de dados'!$A$5,IF(O2122&lt;20,1,IF(O2122&gt;1000,10,MATCH(O2122,Cargas,1))),Coluna_fih,1,1))*(1+0.13*0.25)*(PI()*(fi_h/1000)^2/4)*SQRT(2*9.81*(O2122/100-fi_h/2/1000))*1000)),"",IF(O2122&lt;fi_h/20,0,(OFFSET('Base de dados'!$A$5,IF(O2122&lt;20,1,IF(O2122&gt;1000,10,MATCH(O2122,Cargas,1))),Coluna_fih,1,1))*(PI()*(fi_h/1000)^2/4)*SQRT(2*9.81*(O2122/100-fi_h/2/1000))*1000))</f>
        <v>61.743771953846533</v>
      </c>
      <c r="Q2122" s="19">
        <f ca="1">IF(O2122="","",IF(Tipo_Vertedor="Retangular",IF(O2122&lt;=cota_s*100,0,IF(Tipo_Vertedor="Retangular",Cd_sr*Lef_sr*((O2122/100-cota_s)^(3/2))*1000)),IF(O2122&lt;=cota_s*100+fi_s/20,0,(OFFSET('Base de dados'!$A$4,IF(O2122&lt;20,1,IF(O2122&gt;1000,10,MATCH(O2122,Cargas,1))),Coluna_fis,1,1))*(PI()*(fi_s/1000)^2/4)*(2*9.81*(O2122/100-cota_s-fi_s/2/1000))^0.5*1000)))</f>
        <v>11196.841911779866</v>
      </c>
      <c r="R2122" s="19">
        <f t="shared" ca="1" si="250"/>
        <v>11258.585683733712</v>
      </c>
      <c r="S2122" s="19">
        <f t="shared" ca="1" si="251"/>
        <v>13190.453601692718</v>
      </c>
    </row>
    <row r="2123" spans="13:19">
      <c r="M2123" s="81">
        <f t="shared" ca="1" si="248"/>
        <v>24464.977992852822</v>
      </c>
      <c r="N2123" s="19">
        <f t="shared" si="249"/>
        <v>395.92342534142881</v>
      </c>
      <c r="O2123" s="17">
        <f t="shared" si="247"/>
        <v>530.5</v>
      </c>
      <c r="P2123" s="19">
        <f ca="1">IF(ISERROR(IF(O2123&lt;fi_h/20,0,(OFFSET('Base de dados'!$A$5,IF(O2123&lt;20,1,IF(O2123&gt;1000,10,MATCH(O2123,Cargas,1))),Coluna_fih,1,1))*(1+0.13*0.25)*(PI()*(fi_h/1000)^2/4)*SQRT(2*9.81*(O2123/100-fi_h/2/1000))*1000)),"",IF(O2123&lt;fi_h/20,0,(OFFSET('Base de dados'!$A$5,IF(O2123&lt;20,1,IF(O2123&gt;1000,10,MATCH(O2123,Cargas,1))),Coluna_fih,1,1))*(PI()*(fi_h/1000)^2/4)*SQRT(2*9.81*(O2123/100-fi_h/2/1000))*1000))</f>
        <v>61.758482028423984</v>
      </c>
      <c r="Q2123" s="19">
        <f ca="1">IF(O2123="","",IF(Tipo_Vertedor="Retangular",IF(O2123&lt;=cota_s*100,0,IF(Tipo_Vertedor="Retangular",Cd_sr*Lef_sr*((O2123/100-cota_s)^(3/2))*1000)),IF(O2123&lt;=cota_s*100+fi_s/20,0,(OFFSET('Base de dados'!$A$4,IF(O2123&lt;20,1,IF(O2123&gt;1000,10,MATCH(O2123,Cargas,1))),Coluna_fis,1,1))*(PI()*(fi_s/1000)^2/4)*(2*9.81*(O2123/100-cota_s-fi_s/2/1000))^0.5*1000)))</f>
        <v>11205.771999443436</v>
      </c>
      <c r="R2123" s="19">
        <f t="shared" ca="1" si="250"/>
        <v>11267.53048147186</v>
      </c>
      <c r="S2123" s="19">
        <f t="shared" ca="1" si="251"/>
        <v>13197.447511380962</v>
      </c>
    </row>
    <row r="2124" spans="13:19">
      <c r="M2124" s="81">
        <f t="shared" ca="1" si="248"/>
        <v>24480.919480188473</v>
      </c>
      <c r="N2124" s="19">
        <f t="shared" si="249"/>
        <v>396.13325495000197</v>
      </c>
      <c r="O2124" s="17">
        <f t="shared" si="247"/>
        <v>530.75</v>
      </c>
      <c r="P2124" s="19">
        <f ca="1">IF(ISERROR(IF(O2124&lt;fi_h/20,0,(OFFSET('Base de dados'!$A$5,IF(O2124&lt;20,1,IF(O2124&gt;1000,10,MATCH(O2124,Cargas,1))),Coluna_fih,1,1))*(1+0.13*0.25)*(PI()*(fi_h/1000)^2/4)*SQRT(2*9.81*(O2124/100-fi_h/2/1000))*1000)),"",IF(O2124&lt;fi_h/20,0,(OFFSET('Base de dados'!$A$5,IF(O2124&lt;20,1,IF(O2124&gt;1000,10,MATCH(O2124,Cargas,1))),Coluna_fih,1,1))*(PI()*(fi_h/1000)^2/4)*SQRT(2*9.81*(O2124/100-fi_h/2/1000))*1000))</f>
        <v>61.773188600085483</v>
      </c>
      <c r="Q2124" s="19">
        <f ca="1">IF(O2124="","",IF(Tipo_Vertedor="Retangular",IF(O2124&lt;=cota_s*100,0,IF(Tipo_Vertedor="Retangular",Cd_sr*Lef_sr*((O2124/100-cota_s)^(3/2))*1000)),IF(O2124&lt;=cota_s*100+fi_s/20,0,(OFFSET('Base de dados'!$A$4,IF(O2124&lt;20,1,IF(O2124&gt;1000,10,MATCH(O2124,Cargas,1))),Coluna_fis,1,1))*(PI()*(fi_s/1000)^2/4)*(2*9.81*(O2124/100-cota_s-fi_s/2/1000))^0.5*1000)))</f>
        <v>11214.704459921657</v>
      </c>
      <c r="R2124" s="19">
        <f t="shared" ca="1" si="250"/>
        <v>11276.477648521743</v>
      </c>
      <c r="S2124" s="19">
        <f t="shared" ca="1" si="251"/>
        <v>13204.441831666732</v>
      </c>
    </row>
    <row r="2125" spans="13:19">
      <c r="M2125" s="81">
        <f t="shared" ca="1" si="248"/>
        <v>24496.863746636416</v>
      </c>
      <c r="N2125" s="19">
        <f t="shared" si="249"/>
        <v>396.34309687142127</v>
      </c>
      <c r="O2125" s="17">
        <f t="shared" si="247"/>
        <v>531</v>
      </c>
      <c r="P2125" s="19">
        <f ca="1">IF(ISERROR(IF(O2125&lt;fi_h/20,0,(OFFSET('Base de dados'!$A$5,IF(O2125&lt;20,1,IF(O2125&gt;1000,10,MATCH(O2125,Cargas,1))),Coluna_fih,1,1))*(1+0.13*0.25)*(PI()*(fi_h/1000)^2/4)*SQRT(2*9.81*(O2125/100-fi_h/2/1000))*1000)),"",IF(O2125&lt;fi_h/20,0,(OFFSET('Base de dados'!$A$5,IF(O2125&lt;20,1,IF(O2125&gt;1000,10,MATCH(O2125,Cargas,1))),Coluna_fih,1,1))*(PI()*(fi_h/1000)^2/4)*SQRT(2*9.81*(O2125/100-fi_h/2/1000))*1000))</f>
        <v>61.787891671332282</v>
      </c>
      <c r="Q2125" s="19">
        <f ca="1">IF(O2125="","",IF(Tipo_Vertedor="Retangular",IF(O2125&lt;=cota_s*100,0,IF(Tipo_Vertedor="Retangular",Cd_sr*Lef_sr*((O2125/100-cota_s)^(3/2))*1000)),IF(O2125&lt;=cota_s*100+fi_s/20,0,(OFFSET('Base de dados'!$A$4,IF(O2125&lt;20,1,IF(O2125&gt;1000,10,MATCH(O2125,Cargas,1))),Coluna_fis,1,1))*(PI()*(fi_s/1000)^2/4)*(2*9.81*(O2125/100-cota_s-fi_s/2/1000))^0.5*1000)))</f>
        <v>11223.639292584377</v>
      </c>
      <c r="R2125" s="19">
        <f t="shared" ca="1" si="250"/>
        <v>11285.42718425571</v>
      </c>
      <c r="S2125" s="19">
        <f t="shared" ca="1" si="251"/>
        <v>13211.436562380708</v>
      </c>
    </row>
    <row r="2126" spans="13:19">
      <c r="M2126" s="81">
        <f t="shared" ca="1" si="248"/>
        <v>24512.810791400356</v>
      </c>
      <c r="N2126" s="19">
        <f t="shared" si="249"/>
        <v>396.55295110061195</v>
      </c>
      <c r="O2126" s="17">
        <f t="shared" si="247"/>
        <v>531.25</v>
      </c>
      <c r="P2126" s="19">
        <f ca="1">IF(ISERROR(IF(O2126&lt;fi_h/20,0,(OFFSET('Base de dados'!$A$5,IF(O2126&lt;20,1,IF(O2126&gt;1000,10,MATCH(O2126,Cargas,1))),Coluna_fih,1,1))*(1+0.13*0.25)*(PI()*(fi_h/1000)^2/4)*SQRT(2*9.81*(O2126/100-fi_h/2/1000))*1000)),"",IF(O2126&lt;fi_h/20,0,(OFFSET('Base de dados'!$A$5,IF(O2126&lt;20,1,IF(O2126&gt;1000,10,MATCH(O2126,Cargas,1))),Coluna_fih,1,1))*(PI()*(fi_h/1000)^2/4)*SQRT(2*9.81*(O2126/100-fi_h/2/1000))*1000))</f>
        <v>61.802591244662679</v>
      </c>
      <c r="Q2126" s="19">
        <f ca="1">IF(O2126="","",IF(Tipo_Vertedor="Retangular",IF(O2126&lt;=cota_s*100,0,IF(Tipo_Vertedor="Retangular",Cd_sr*Lef_sr*((O2126/100-cota_s)^(3/2))*1000)),IF(O2126&lt;=cota_s*100+fi_s/20,0,(OFFSET('Base de dados'!$A$4,IF(O2126&lt;20,1,IF(O2126&gt;1000,10,MATCH(O2126,Cargas,1))),Coluna_fis,1,1))*(PI()*(fi_s/1000)^2/4)*(2*9.81*(O2126/100-cota_s-fi_s/2/1000))^0.5*1000)))</f>
        <v>11232.576496801961</v>
      </c>
      <c r="R2126" s="19">
        <f t="shared" ca="1" si="250"/>
        <v>11294.379088046624</v>
      </c>
      <c r="S2126" s="19">
        <f t="shared" ca="1" si="251"/>
        <v>13218.431703353732</v>
      </c>
    </row>
    <row r="2127" spans="13:19">
      <c r="M2127" s="81">
        <f t="shared" ca="1" si="248"/>
        <v>24528.760613684593</v>
      </c>
      <c r="N2127" s="19">
        <f t="shared" si="249"/>
        <v>396.76281763250302</v>
      </c>
      <c r="O2127" s="17">
        <f t="shared" si="247"/>
        <v>531.5</v>
      </c>
      <c r="P2127" s="19">
        <f ca="1">IF(ISERROR(IF(O2127&lt;fi_h/20,0,(OFFSET('Base de dados'!$A$5,IF(O2127&lt;20,1,IF(O2127&gt;1000,10,MATCH(O2127,Cargas,1))),Coluna_fih,1,1))*(1+0.13*0.25)*(PI()*(fi_h/1000)^2/4)*SQRT(2*9.81*(O2127/100-fi_h/2/1000))*1000)),"",IF(O2127&lt;fi_h/20,0,(OFFSET('Base de dados'!$A$5,IF(O2127&lt;20,1,IF(O2127&gt;1000,10,MATCH(O2127,Cargas,1))),Coluna_fih,1,1))*(PI()*(fi_h/1000)^2/4)*SQRT(2*9.81*(O2127/100-fi_h/2/1000))*1000))</f>
        <v>61.817287322571971</v>
      </c>
      <c r="Q2127" s="19">
        <f ca="1">IF(O2127="","",IF(Tipo_Vertedor="Retangular",IF(O2127&lt;=cota_s*100,0,IF(Tipo_Vertedor="Retangular",Cd_sr*Lef_sr*((O2127/100-cota_s)^(3/2))*1000)),IF(O2127&lt;=cota_s*100+fi_s/20,0,(OFFSET('Base de dados'!$A$4,IF(O2127&lt;20,1,IF(O2127&gt;1000,10,MATCH(O2127,Cargas,1))),Coluna_fis,1,1))*(PI()*(fi_s/1000)^2/4)*(2*9.81*(O2127/100-cota_s-fi_s/2/1000))^0.5*1000)))</f>
        <v>11241.516071945254</v>
      </c>
      <c r="R2127" s="19">
        <f t="shared" ca="1" si="250"/>
        <v>11303.333359267826</v>
      </c>
      <c r="S2127" s="19">
        <f t="shared" ca="1" si="251"/>
        <v>13225.427254416767</v>
      </c>
    </row>
    <row r="2128" spans="13:19">
      <c r="M2128" s="81">
        <f t="shared" ca="1" si="248"/>
        <v>24544.71321269414</v>
      </c>
      <c r="N2128" s="19">
        <f t="shared" si="249"/>
        <v>396.97269646202892</v>
      </c>
      <c r="O2128" s="17">
        <f t="shared" si="247"/>
        <v>531.75</v>
      </c>
      <c r="P2128" s="19">
        <f ca="1">IF(ISERROR(IF(O2128&lt;fi_h/20,0,(OFFSET('Base de dados'!$A$5,IF(O2128&lt;20,1,IF(O2128&gt;1000,10,MATCH(O2128,Cargas,1))),Coluna_fih,1,1))*(1+0.13*0.25)*(PI()*(fi_h/1000)^2/4)*SQRT(2*9.81*(O2128/100-fi_h/2/1000))*1000)),"",IF(O2128&lt;fi_h/20,0,(OFFSET('Base de dados'!$A$5,IF(O2128&lt;20,1,IF(O2128&gt;1000,10,MATCH(O2128,Cargas,1))),Coluna_fih,1,1))*(PI()*(fi_h/1000)^2/4)*SQRT(2*9.81*(O2128/100-fi_h/2/1000))*1000))</f>
        <v>61.831979907552537</v>
      </c>
      <c r="Q2128" s="19">
        <f ca="1">IF(O2128="","",IF(Tipo_Vertedor="Retangular",IF(O2128&lt;=cota_s*100,0,IF(Tipo_Vertedor="Retangular",Cd_sr*Lef_sr*((O2128/100-cota_s)^(3/2))*1000)),IF(O2128&lt;=cota_s*100+fi_s/20,0,(OFFSET('Base de dados'!$A$4,IF(O2128&lt;20,1,IF(O2128&gt;1000,10,MATCH(O2128,Cargas,1))),Coluna_fis,1,1))*(PI()*(fi_s/1000)^2/4)*(2*9.81*(O2128/100-cota_s-fi_s/2/1000))^0.5*1000)))</f>
        <v>11250.458017385625</v>
      </c>
      <c r="R2128" s="19">
        <f t="shared" ca="1" si="250"/>
        <v>11312.289997293177</v>
      </c>
      <c r="S2128" s="19">
        <f t="shared" ca="1" si="251"/>
        <v>13232.423215400962</v>
      </c>
    </row>
    <row r="2129" spans="13:19">
      <c r="M2129" s="81">
        <f t="shared" ca="1" si="248"/>
        <v>24560.668587634609</v>
      </c>
      <c r="N2129" s="19">
        <f t="shared" si="249"/>
        <v>397.18258758412793</v>
      </c>
      <c r="O2129" s="17">
        <f t="shared" si="247"/>
        <v>532</v>
      </c>
      <c r="P2129" s="19">
        <f ca="1">IF(ISERROR(IF(O2129&lt;fi_h/20,0,(OFFSET('Base de dados'!$A$5,IF(O2129&lt;20,1,IF(O2129&gt;1000,10,MATCH(O2129,Cargas,1))),Coluna_fih,1,1))*(1+0.13*0.25)*(PI()*(fi_h/1000)^2/4)*SQRT(2*9.81*(O2129/100-fi_h/2/1000))*1000)),"",IF(O2129&lt;fi_h/20,0,(OFFSET('Base de dados'!$A$5,IF(O2129&lt;20,1,IF(O2129&gt;1000,10,MATCH(O2129,Cargas,1))),Coluna_fih,1,1))*(PI()*(fi_h/1000)^2/4)*SQRT(2*9.81*(O2129/100-fi_h/2/1000))*1000))</f>
        <v>61.846669002093734</v>
      </c>
      <c r="Q2129" s="19">
        <f ca="1">IF(O2129="","",IF(Tipo_Vertedor="Retangular",IF(O2129&lt;=cota_s*100,0,IF(Tipo_Vertedor="Retangular",Cd_sr*Lef_sr*((O2129/100-cota_s)^(3/2))*1000)),IF(O2129&lt;=cota_s*100+fi_s/20,0,(OFFSET('Base de dados'!$A$4,IF(O2129&lt;20,1,IF(O2129&gt;1000,10,MATCH(O2129,Cargas,1))),Coluna_fis,1,1))*(PI()*(fi_s/1000)^2/4)*(2*9.81*(O2129/100-cota_s-fi_s/2/1000))^0.5*1000)))</f>
        <v>11259.402332494919</v>
      </c>
      <c r="R2129" s="19">
        <f t="shared" ca="1" si="250"/>
        <v>11321.249001497014</v>
      </c>
      <c r="S2129" s="19">
        <f t="shared" ca="1" si="251"/>
        <v>13239.419586137597</v>
      </c>
    </row>
    <row r="2130" spans="13:19">
      <c r="M2130" s="81">
        <f t="shared" ca="1" si="248"/>
        <v>24576.626737712275</v>
      </c>
      <c r="N2130" s="19">
        <f t="shared" si="249"/>
        <v>397.3924909937428</v>
      </c>
      <c r="O2130" s="17">
        <f t="shared" si="247"/>
        <v>532.25</v>
      </c>
      <c r="P2130" s="19">
        <f ca="1">IF(ISERROR(IF(O2130&lt;fi_h/20,0,(OFFSET('Base de dados'!$A$5,IF(O2130&lt;20,1,IF(O2130&gt;1000,10,MATCH(O2130,Cargas,1))),Coluna_fih,1,1))*(1+0.13*0.25)*(PI()*(fi_h/1000)^2/4)*SQRT(2*9.81*(O2130/100-fi_h/2/1000))*1000)),"",IF(O2130&lt;fi_h/20,0,(OFFSET('Base de dados'!$A$5,IF(O2130&lt;20,1,IF(O2130&gt;1000,10,MATCH(O2130,Cargas,1))),Coluna_fih,1,1))*(PI()*(fi_h/1000)^2/4)*SQRT(2*9.81*(O2130/100-fi_h/2/1000))*1000))</f>
        <v>61.861354608682014</v>
      </c>
      <c r="Q2130" s="19">
        <f ca="1">IF(O2130="","",IF(Tipo_Vertedor="Retangular",IF(O2130&lt;=cota_s*100,0,IF(Tipo_Vertedor="Retangular",Cd_sr*Lef_sr*((O2130/100-cota_s)^(3/2))*1000)),IF(O2130&lt;=cota_s*100+fi_s/20,0,(OFFSET('Base de dados'!$A$4,IF(O2130&lt;20,1,IF(O2130&gt;1000,10,MATCH(O2130,Cargas,1))),Coluna_fis,1,1))*(PI()*(fi_s/1000)^2/4)*(2*9.81*(O2130/100-cota_s-fi_s/2/1000))^0.5*1000)))</f>
        <v>11268.349016645501</v>
      </c>
      <c r="R2130" s="19">
        <f t="shared" ca="1" si="250"/>
        <v>11330.210371254183</v>
      </c>
      <c r="S2130" s="19">
        <f t="shared" ca="1" si="251"/>
        <v>13246.416366458092</v>
      </c>
    </row>
    <row r="2131" spans="13:19">
      <c r="M2131" s="81">
        <f t="shared" ca="1" si="248"/>
        <v>24592.58766213405</v>
      </c>
      <c r="N2131" s="19">
        <f t="shared" si="249"/>
        <v>397.60240668582094</v>
      </c>
      <c r="O2131" s="17">
        <f t="shared" ref="O2131:O2194" si="252">IF(ISERROR(IF(O2130+passo_altura&gt;h_max_puls*100,"",O2130+passo_altura)),"",IF(O2130+passo_altura&gt;h_max_puls*100,"",O2130+passo_altura))</f>
        <v>532.5</v>
      </c>
      <c r="P2131" s="19">
        <f ca="1">IF(ISERROR(IF(O2131&lt;fi_h/20,0,(OFFSET('Base de dados'!$A$5,IF(O2131&lt;20,1,IF(O2131&gt;1000,10,MATCH(O2131,Cargas,1))),Coluna_fih,1,1))*(1+0.13*0.25)*(PI()*(fi_h/1000)^2/4)*SQRT(2*9.81*(O2131/100-fi_h/2/1000))*1000)),"",IF(O2131&lt;fi_h/20,0,(OFFSET('Base de dados'!$A$5,IF(O2131&lt;20,1,IF(O2131&gt;1000,10,MATCH(O2131,Cargas,1))),Coluna_fih,1,1))*(PI()*(fi_h/1000)^2/4)*SQRT(2*9.81*(O2131/100-fi_h/2/1000))*1000))</f>
        <v>61.876036729800866</v>
      </c>
      <c r="Q2131" s="19">
        <f ca="1">IF(O2131="","",IF(Tipo_Vertedor="Retangular",IF(O2131&lt;=cota_s*100,0,IF(Tipo_Vertedor="Retangular",Cd_sr*Lef_sr*((O2131/100-cota_s)^(3/2))*1000)),IF(O2131&lt;=cota_s*100+fi_s/20,0,(OFFSET('Base de dados'!$A$4,IF(O2131&lt;20,1,IF(O2131&gt;1000,10,MATCH(O2131,Cargas,1))),Coluna_fis,1,1))*(PI()*(fi_s/1000)^2/4)*(2*9.81*(O2131/100-cota_s-fi_s/2/1000))^0.5*1000)))</f>
        <v>11277.298069210219</v>
      </c>
      <c r="R2131" s="19">
        <f t="shared" ca="1" si="250"/>
        <v>11339.174105940019</v>
      </c>
      <c r="S2131" s="19">
        <f t="shared" ca="1" si="251"/>
        <v>13253.413556194031</v>
      </c>
    </row>
    <row r="2132" spans="13:19">
      <c r="M2132" s="81">
        <f t="shared" ca="1" si="248"/>
        <v>24608.5513601075</v>
      </c>
      <c r="N2132" s="19">
        <f t="shared" si="249"/>
        <v>397.8123346553142</v>
      </c>
      <c r="O2132" s="17">
        <f t="shared" si="252"/>
        <v>532.75</v>
      </c>
      <c r="P2132" s="19">
        <f ca="1">IF(ISERROR(IF(O2132&lt;fi_h/20,0,(OFFSET('Base de dados'!$A$5,IF(O2132&lt;20,1,IF(O2132&gt;1000,10,MATCH(O2132,Cargas,1))),Coluna_fih,1,1))*(1+0.13*0.25)*(PI()*(fi_h/1000)^2/4)*SQRT(2*9.81*(O2132/100-fi_h/2/1000))*1000)),"",IF(O2132&lt;fi_h/20,0,(OFFSET('Base de dados'!$A$5,IF(O2132&lt;20,1,IF(O2132&gt;1000,10,MATCH(O2132,Cargas,1))),Coluna_fih,1,1))*(PI()*(fi_h/1000)^2/4)*SQRT(2*9.81*(O2132/100-fi_h/2/1000))*1000))</f>
        <v>61.890715367930817</v>
      </c>
      <c r="Q2132" s="19">
        <f ca="1">IF(O2132="","",IF(Tipo_Vertedor="Retangular",IF(O2132&lt;=cota_s*100,0,IF(Tipo_Vertedor="Retangular",Cd_sr*Lef_sr*((O2132/100-cota_s)^(3/2))*1000)),IF(O2132&lt;=cota_s*100+fi_s/20,0,(OFFSET('Base de dados'!$A$4,IF(O2132&lt;20,1,IF(O2132&gt;1000,10,MATCH(O2132,Cargas,1))),Coluna_fis,1,1))*(PI()*(fi_s/1000)^2/4)*(2*9.81*(O2132/100-cota_s-fi_s/2/1000))^0.5*1000)))</f>
        <v>11286.249489562431</v>
      </c>
      <c r="R2132" s="19">
        <f t="shared" ca="1" si="250"/>
        <v>11348.140204930362</v>
      </c>
      <c r="S2132" s="19">
        <f t="shared" ca="1" si="251"/>
        <v>13260.41115517714</v>
      </c>
    </row>
    <row r="2133" spans="13:19">
      <c r="M2133" s="81">
        <f t="shared" ca="1" si="248"/>
        <v>24624.517830840825</v>
      </c>
      <c r="N2133" s="19">
        <f t="shared" si="249"/>
        <v>398.02227489717876</v>
      </c>
      <c r="O2133" s="17">
        <f t="shared" si="252"/>
        <v>533</v>
      </c>
      <c r="P2133" s="19">
        <f ca="1">IF(ISERROR(IF(O2133&lt;fi_h/20,0,(OFFSET('Base de dados'!$A$5,IF(O2133&lt;20,1,IF(O2133&gt;1000,10,MATCH(O2133,Cargas,1))),Coluna_fih,1,1))*(1+0.13*0.25)*(PI()*(fi_h/1000)^2/4)*SQRT(2*9.81*(O2133/100-fi_h/2/1000))*1000)),"",IF(O2133&lt;fi_h/20,0,(OFFSET('Base de dados'!$A$5,IF(O2133&lt;20,1,IF(O2133&gt;1000,10,MATCH(O2133,Cargas,1))),Coluna_fih,1,1))*(PI()*(fi_h/1000)^2/4)*SQRT(2*9.81*(O2133/100-fi_h/2/1000))*1000))</f>
        <v>61.905390525549471</v>
      </c>
      <c r="Q2133" s="19">
        <f ca="1">IF(O2133="","",IF(Tipo_Vertedor="Retangular",IF(O2133&lt;=cota_s*100,0,IF(Tipo_Vertedor="Retangular",Cd_sr*Lef_sr*((O2133/100-cota_s)^(3/2))*1000)),IF(O2133&lt;=cota_s*100+fi_s/20,0,(OFFSET('Base de dados'!$A$4,IF(O2133&lt;20,1,IF(O2133&gt;1000,10,MATCH(O2133,Cargas,1))),Coluna_fis,1,1))*(PI()*(fi_s/1000)^2/4)*(2*9.81*(O2133/100-cota_s-fi_s/2/1000))^0.5*1000)))</f>
        <v>11295.203277075983</v>
      </c>
      <c r="R2133" s="19">
        <f t="shared" ca="1" si="250"/>
        <v>11357.108667601533</v>
      </c>
      <c r="S2133" s="19">
        <f t="shared" ca="1" si="251"/>
        <v>13267.409163239292</v>
      </c>
    </row>
    <row r="2134" spans="13:19">
      <c r="M2134" s="81">
        <f t="shared" ca="1" si="248"/>
        <v>24640.487073542863</v>
      </c>
      <c r="N2134" s="19">
        <f t="shared" si="249"/>
        <v>398.23222740637522</v>
      </c>
      <c r="O2134" s="17">
        <f t="shared" si="252"/>
        <v>533.25</v>
      </c>
      <c r="P2134" s="19">
        <f ca="1">IF(ISERROR(IF(O2134&lt;fi_h/20,0,(OFFSET('Base de dados'!$A$5,IF(O2134&lt;20,1,IF(O2134&gt;1000,10,MATCH(O2134,Cargas,1))),Coluna_fih,1,1))*(1+0.13*0.25)*(PI()*(fi_h/1000)^2/4)*SQRT(2*9.81*(O2134/100-fi_h/2/1000))*1000)),"",IF(O2134&lt;fi_h/20,0,(OFFSET('Base de dados'!$A$5,IF(O2134&lt;20,1,IF(O2134&gt;1000,10,MATCH(O2134,Cargas,1))),Coluna_fih,1,1))*(PI()*(fi_h/1000)^2/4)*SQRT(2*9.81*(O2134/100-fi_h/2/1000))*1000))</f>
        <v>61.920062205131487</v>
      </c>
      <c r="Q2134" s="19">
        <f ca="1">IF(O2134="","",IF(Tipo_Vertedor="Retangular",IF(O2134&lt;=cota_s*100,0,IF(Tipo_Vertedor="Retangular",Cd_sr*Lef_sr*((O2134/100-cota_s)^(3/2))*1000)),IF(O2134&lt;=cota_s*100+fi_s/20,0,(OFFSET('Base de dados'!$A$4,IF(O2134&lt;20,1,IF(O2134&gt;1000,10,MATCH(O2134,Cargas,1))),Coluna_fis,1,1))*(PI()*(fi_s/1000)^2/4)*(2*9.81*(O2134/100-cota_s-fi_s/2/1000))^0.5*1000)))</f>
        <v>11304.159431125221</v>
      </c>
      <c r="R2134" s="19">
        <f t="shared" ca="1" si="250"/>
        <v>11366.079493330353</v>
      </c>
      <c r="S2134" s="19">
        <f t="shared" ca="1" si="251"/>
        <v>13274.407580212508</v>
      </c>
    </row>
    <row r="2135" spans="13:19">
      <c r="M2135" s="81">
        <f t="shared" ref="M2135:M2198" ca="1" si="253">IF(O2135="","",2*N2135*1000/(Passo*60)+R2135)</f>
        <v>24656.4590874231</v>
      </c>
      <c r="N2135" s="19">
        <f t="shared" ref="N2135:N2198" si="254">IF(O2135="","",b_0*(O2135/100)^c_0)</f>
        <v>398.44219217786878</v>
      </c>
      <c r="O2135" s="17">
        <f t="shared" si="252"/>
        <v>533.5</v>
      </c>
      <c r="P2135" s="19">
        <f ca="1">IF(ISERROR(IF(O2135&lt;fi_h/20,0,(OFFSET('Base de dados'!$A$5,IF(O2135&lt;20,1,IF(O2135&gt;1000,10,MATCH(O2135,Cargas,1))),Coluna_fih,1,1))*(1+0.13*0.25)*(PI()*(fi_h/1000)^2/4)*SQRT(2*9.81*(O2135/100-fi_h/2/1000))*1000)),"",IF(O2135&lt;fi_h/20,0,(OFFSET('Base de dados'!$A$5,IF(O2135&lt;20,1,IF(O2135&gt;1000,10,MATCH(O2135,Cargas,1))),Coluna_fih,1,1))*(PI()*(fi_h/1000)^2/4)*SQRT(2*9.81*(O2135/100-fi_h/2/1000))*1000))</f>
        <v>61.934730409148585</v>
      </c>
      <c r="Q2135" s="19">
        <f ca="1">IF(O2135="","",IF(Tipo_Vertedor="Retangular",IF(O2135&lt;=cota_s*100,0,IF(Tipo_Vertedor="Retangular",Cd_sr*Lef_sr*((O2135/100-cota_s)^(3/2))*1000)),IF(O2135&lt;=cota_s*100+fi_s/20,0,(OFFSET('Base de dados'!$A$4,IF(O2135&lt;20,1,IF(O2135&gt;1000,10,MATCH(O2135,Cargas,1))),Coluna_fis,1,1))*(PI()*(fi_s/1000)^2/4)*(2*9.81*(O2135/100-cota_s-fi_s/2/1000))^0.5*1000)))</f>
        <v>11313.117951084994</v>
      </c>
      <c r="R2135" s="19">
        <f t="shared" ref="R2135:R2198" ca="1" si="255">IF(O2135="","",Q2135+P2135)</f>
        <v>11375.052681494142</v>
      </c>
      <c r="S2135" s="19">
        <f t="shared" ref="S2135:S2198" ca="1" si="256">IF(M2135="","",2*N2135*1000/(Passo*60))</f>
        <v>13281.406405928959</v>
      </c>
    </row>
    <row r="2136" spans="13:19">
      <c r="M2136" s="81">
        <f t="shared" ca="1" si="253"/>
        <v>24672.433871691668</v>
      </c>
      <c r="N2136" s="19">
        <f t="shared" si="254"/>
        <v>398.65216920662891</v>
      </c>
      <c r="O2136" s="17">
        <f t="shared" si="252"/>
        <v>533.75</v>
      </c>
      <c r="P2136" s="19">
        <f ca="1">IF(ISERROR(IF(O2136&lt;fi_h/20,0,(OFFSET('Base de dados'!$A$5,IF(O2136&lt;20,1,IF(O2136&gt;1000,10,MATCH(O2136,Cargas,1))),Coluna_fih,1,1))*(1+0.13*0.25)*(PI()*(fi_h/1000)^2/4)*SQRT(2*9.81*(O2136/100-fi_h/2/1000))*1000)),"",IF(O2136&lt;fi_h/20,0,(OFFSET('Base de dados'!$A$5,IF(O2136&lt;20,1,IF(O2136&gt;1000,10,MATCH(O2136,Cargas,1))),Coluna_fih,1,1))*(PI()*(fi_h/1000)^2/4)*SQRT(2*9.81*(O2136/100-fi_h/2/1000))*1000))</f>
        <v>61.949395140069576</v>
      </c>
      <c r="Q2136" s="19">
        <f ca="1">IF(O2136="","",IF(Tipo_Vertedor="Retangular",IF(O2136&lt;=cota_s*100,0,IF(Tipo_Vertedor="Retangular",Cd_sr*Lef_sr*((O2136/100-cota_s)^(3/2))*1000)),IF(O2136&lt;=cota_s*100+fi_s/20,0,(OFFSET('Base de dados'!$A$4,IF(O2136&lt;20,1,IF(O2136&gt;1000,10,MATCH(O2136,Cargas,1))),Coluna_fis,1,1))*(PI()*(fi_s/1000)^2/4)*(2*9.81*(O2136/100-cota_s-fi_s/2/1000))^0.5*1000)))</f>
        <v>11322.078836330633</v>
      </c>
      <c r="R2136" s="19">
        <f t="shared" ca="1" si="255"/>
        <v>11384.028231470702</v>
      </c>
      <c r="S2136" s="19">
        <f t="shared" ca="1" si="256"/>
        <v>13288.405640220964</v>
      </c>
    </row>
    <row r="2137" spans="13:19">
      <c r="M2137" s="81">
        <f t="shared" ca="1" si="253"/>
        <v>24688.411425559316</v>
      </c>
      <c r="N2137" s="19">
        <f t="shared" si="254"/>
        <v>398.86215848762964</v>
      </c>
      <c r="O2137" s="17">
        <f t="shared" si="252"/>
        <v>534</v>
      </c>
      <c r="P2137" s="19">
        <f ca="1">IF(ISERROR(IF(O2137&lt;fi_h/20,0,(OFFSET('Base de dados'!$A$5,IF(O2137&lt;20,1,IF(O2137&gt;1000,10,MATCH(O2137,Cargas,1))),Coluna_fih,1,1))*(1+0.13*0.25)*(PI()*(fi_h/1000)^2/4)*SQRT(2*9.81*(O2137/100-fi_h/2/1000))*1000)),"",IF(O2137&lt;fi_h/20,0,(OFFSET('Base de dados'!$A$5,IF(O2137&lt;20,1,IF(O2137&gt;1000,10,MATCH(O2137,Cargas,1))),Coluna_fih,1,1))*(PI()*(fi_h/1000)^2/4)*SQRT(2*9.81*(O2137/100-fi_h/2/1000))*1000))</f>
        <v>61.964056400360356</v>
      </c>
      <c r="Q2137" s="19">
        <f ca="1">IF(O2137="","",IF(Tipo_Vertedor="Retangular",IF(O2137&lt;=cota_s*100,0,IF(Tipo_Vertedor="Retangular",Cd_sr*Lef_sr*((O2137/100-cota_s)^(3/2))*1000)),IF(O2137&lt;=cota_s*100+fi_s/20,0,(OFFSET('Base de dados'!$A$4,IF(O2137&lt;20,1,IF(O2137&gt;1000,10,MATCH(O2137,Cargas,1))),Coluna_fis,1,1))*(PI()*(fi_s/1000)^2/4)*(2*9.81*(O2137/100-cota_s-fi_s/2/1000))^0.5*1000)))</f>
        <v>11331.042086237965</v>
      </c>
      <c r="R2137" s="19">
        <f t="shared" ca="1" si="255"/>
        <v>11393.006142638325</v>
      </c>
      <c r="S2137" s="19">
        <f t="shared" ca="1" si="256"/>
        <v>13295.405282920989</v>
      </c>
    </row>
    <row r="2138" spans="13:19">
      <c r="M2138" s="81">
        <f t="shared" ca="1" si="253"/>
        <v>24704.391748237453</v>
      </c>
      <c r="N2138" s="19">
        <f t="shared" si="254"/>
        <v>399.07216001584908</v>
      </c>
      <c r="O2138" s="17">
        <f t="shared" si="252"/>
        <v>534.25</v>
      </c>
      <c r="P2138" s="19">
        <f ca="1">IF(ISERROR(IF(O2138&lt;fi_h/20,0,(OFFSET('Base de dados'!$A$5,IF(O2138&lt;20,1,IF(O2138&gt;1000,10,MATCH(O2138,Cargas,1))),Coluna_fih,1,1))*(1+0.13*0.25)*(PI()*(fi_h/1000)^2/4)*SQRT(2*9.81*(O2138/100-fi_h/2/1000))*1000)),"",IF(O2138&lt;fi_h/20,0,(OFFSET('Base de dados'!$A$5,IF(O2138&lt;20,1,IF(O2138&gt;1000,10,MATCH(O2138,Cargas,1))),Coluna_fih,1,1))*(PI()*(fi_h/1000)^2/4)*SQRT(2*9.81*(O2138/100-fi_h/2/1000))*1000))</f>
        <v>61.978714192483864</v>
      </c>
      <c r="Q2138" s="19">
        <f ca="1">IF(O2138="","",IF(Tipo_Vertedor="Retangular",IF(O2138&lt;=cota_s*100,0,IF(Tipo_Vertedor="Retangular",Cd_sr*Lef_sr*((O2138/100-cota_s)^(3/2))*1000)),IF(O2138&lt;=cota_s*100+fi_s/20,0,(OFFSET('Base de dados'!$A$4,IF(O2138&lt;20,1,IF(O2138&gt;1000,10,MATCH(O2138,Cargas,1))),Coluna_fis,1,1))*(PI()*(fi_s/1000)^2/4)*(2*9.81*(O2138/100-cota_s-fi_s/2/1000))^0.5*1000)))</f>
        <v>11340.007700183329</v>
      </c>
      <c r="R2138" s="19">
        <f t="shared" ca="1" si="255"/>
        <v>11401.986414375813</v>
      </c>
      <c r="S2138" s="19">
        <f t="shared" ca="1" si="256"/>
        <v>13302.405333861638</v>
      </c>
    </row>
    <row r="2139" spans="13:19">
      <c r="M2139" s="81">
        <f t="shared" ca="1" si="253"/>
        <v>24720.374838938103</v>
      </c>
      <c r="N2139" s="19">
        <f t="shared" si="254"/>
        <v>399.28217378627033</v>
      </c>
      <c r="O2139" s="17">
        <f t="shared" si="252"/>
        <v>534.5</v>
      </c>
      <c r="P2139" s="19">
        <f ca="1">IF(ISERROR(IF(O2139&lt;fi_h/20,0,(OFFSET('Base de dados'!$A$5,IF(O2139&lt;20,1,IF(O2139&gt;1000,10,MATCH(O2139,Cargas,1))),Coluna_fih,1,1))*(1+0.13*0.25)*(PI()*(fi_h/1000)^2/4)*SQRT(2*9.81*(O2139/100-fi_h/2/1000))*1000)),"",IF(O2139&lt;fi_h/20,0,(OFFSET('Base de dados'!$A$5,IF(O2139&lt;20,1,IF(O2139&gt;1000,10,MATCH(O2139,Cargas,1))),Coluna_fih,1,1))*(PI()*(fi_h/1000)^2/4)*SQRT(2*9.81*(O2139/100-fi_h/2/1000))*1000))</f>
        <v>61.993368518900169</v>
      </c>
      <c r="Q2139" s="19">
        <f ca="1">IF(O2139="","",IF(Tipo_Vertedor="Retangular",IF(O2139&lt;=cota_s*100,0,IF(Tipo_Vertedor="Retangular",Cd_sr*Lef_sr*((O2139/100-cota_s)^(3/2))*1000)),IF(O2139&lt;=cota_s*100+fi_s/20,0,(OFFSET('Base de dados'!$A$4,IF(O2139&lt;20,1,IF(O2139&gt;1000,10,MATCH(O2139,Cargas,1))),Coluna_fis,1,1))*(PI()*(fi_s/1000)^2/4)*(2*9.81*(O2139/100-cota_s-fi_s/2/1000))^0.5*1000)))</f>
        <v>11348.975677543525</v>
      </c>
      <c r="R2139" s="19">
        <f t="shared" ca="1" si="255"/>
        <v>11410.969046062426</v>
      </c>
      <c r="S2139" s="19">
        <f t="shared" ca="1" si="256"/>
        <v>13309.405792875677</v>
      </c>
    </row>
    <row r="2140" spans="13:19">
      <c r="M2140" s="81">
        <f t="shared" ca="1" si="253"/>
        <v>24736.360696873962</v>
      </c>
      <c r="N2140" s="19">
        <f t="shared" si="254"/>
        <v>399.49219979388027</v>
      </c>
      <c r="O2140" s="17">
        <f t="shared" si="252"/>
        <v>534.75</v>
      </c>
      <c r="P2140" s="19">
        <f ca="1">IF(ISERROR(IF(O2140&lt;fi_h/20,0,(OFFSET('Base de dados'!$A$5,IF(O2140&lt;20,1,IF(O2140&gt;1000,10,MATCH(O2140,Cargas,1))),Coluna_fih,1,1))*(1+0.13*0.25)*(PI()*(fi_h/1000)^2/4)*SQRT(2*9.81*(O2140/100-fi_h/2/1000))*1000)),"",IF(O2140&lt;fi_h/20,0,(OFFSET('Base de dados'!$A$5,IF(O2140&lt;20,1,IF(O2140&gt;1000,10,MATCH(O2140,Cargas,1))),Coluna_fih,1,1))*(PI()*(fi_h/1000)^2/4)*SQRT(2*9.81*(O2140/100-fi_h/2/1000))*1000))</f>
        <v>62.008019382066415</v>
      </c>
      <c r="Q2140" s="19">
        <f ca="1">IF(O2140="","",IF(Tipo_Vertedor="Retangular",IF(O2140&lt;=cota_s*100,0,IF(Tipo_Vertedor="Retangular",Cd_sr*Lef_sr*((O2140/100-cota_s)^(3/2))*1000)),IF(O2140&lt;=cota_s*100+fi_s/20,0,(OFFSET('Base de dados'!$A$4,IF(O2140&lt;20,1,IF(O2140&gt;1000,10,MATCH(O2140,Cargas,1))),Coluna_fis,1,1))*(PI()*(fi_s/1000)^2/4)*(2*9.81*(O2140/100-cota_s-fi_s/2/1000))^0.5*1000)))</f>
        <v>11357.946017695884</v>
      </c>
      <c r="R2140" s="19">
        <f t="shared" ca="1" si="255"/>
        <v>11419.95403707795</v>
      </c>
      <c r="S2140" s="19">
        <f t="shared" ca="1" si="256"/>
        <v>13316.40665979601</v>
      </c>
    </row>
    <row r="2141" spans="13:19">
      <c r="M2141" s="81">
        <f t="shared" ca="1" si="253"/>
        <v>24752.34932125832</v>
      </c>
      <c r="N2141" s="19">
        <f t="shared" si="254"/>
        <v>399.7022380336706</v>
      </c>
      <c r="O2141" s="17">
        <f t="shared" si="252"/>
        <v>535</v>
      </c>
      <c r="P2141" s="19">
        <f ca="1">IF(ISERROR(IF(O2141&lt;fi_h/20,0,(OFFSET('Base de dados'!$A$5,IF(O2141&lt;20,1,IF(O2141&gt;1000,10,MATCH(O2141,Cargas,1))),Coluna_fih,1,1))*(1+0.13*0.25)*(PI()*(fi_h/1000)^2/4)*SQRT(2*9.81*(O2141/100-fi_h/2/1000))*1000)),"",IF(O2141&lt;fi_h/20,0,(OFFSET('Base de dados'!$A$5,IF(O2141&lt;20,1,IF(O2141&gt;1000,10,MATCH(O2141,Cargas,1))),Coluna_fih,1,1))*(PI()*(fi_h/1000)^2/4)*SQRT(2*9.81*(O2141/100-fi_h/2/1000))*1000))</f>
        <v>62.022666784436851</v>
      </c>
      <c r="Q2141" s="19">
        <f ca="1">IF(O2141="","",IF(Tipo_Vertedor="Retangular",IF(O2141&lt;=cota_s*100,0,IF(Tipo_Vertedor="Retangular",Cd_sr*Lef_sr*((O2141/100-cota_s)^(3/2))*1000)),IF(O2141&lt;=cota_s*100+fi_s/20,0,(OFFSET('Base de dados'!$A$4,IF(O2141&lt;20,1,IF(O2141&gt;1000,10,MATCH(O2141,Cargas,1))),Coluna_fis,1,1))*(PI()*(fi_s/1000)^2/4)*(2*9.81*(O2141/100-cota_s-fi_s/2/1000))^0.5*1000)))</f>
        <v>11366.918720018197</v>
      </c>
      <c r="R2141" s="19">
        <f t="shared" ca="1" si="255"/>
        <v>11428.941386802633</v>
      </c>
      <c r="S2141" s="19">
        <f t="shared" ca="1" si="256"/>
        <v>13323.407934455687</v>
      </c>
    </row>
    <row r="2142" spans="13:19">
      <c r="M2142" s="81">
        <f t="shared" ca="1" si="253"/>
        <v>24768.340711305129</v>
      </c>
      <c r="N2142" s="19">
        <f t="shared" si="254"/>
        <v>399.91228850063726</v>
      </c>
      <c r="O2142" s="17">
        <f t="shared" si="252"/>
        <v>535.25</v>
      </c>
      <c r="P2142" s="19">
        <f ca="1">IF(ISERROR(IF(O2142&lt;fi_h/20,0,(OFFSET('Base de dados'!$A$5,IF(O2142&lt;20,1,IF(O2142&gt;1000,10,MATCH(O2142,Cargas,1))),Coluna_fih,1,1))*(1+0.13*0.25)*(PI()*(fi_h/1000)^2/4)*SQRT(2*9.81*(O2142/100-fi_h/2/1000))*1000)),"",IF(O2142&lt;fi_h/20,0,(OFFSET('Base de dados'!$A$5,IF(O2142&lt;20,1,IF(O2142&gt;1000,10,MATCH(O2142,Cargas,1))),Coluna_fih,1,1))*(PI()*(fi_h/1000)^2/4)*SQRT(2*9.81*(O2142/100-fi_h/2/1000))*1000))</f>
        <v>62.03731072846282</v>
      </c>
      <c r="Q2142" s="19">
        <f ca="1">IF(O2142="","",IF(Tipo_Vertedor="Retangular",IF(O2142&lt;=cota_s*100,0,IF(Tipo_Vertedor="Retangular",Cd_sr*Lef_sr*((O2142/100-cota_s)^(3/2))*1000)),IF(O2142&lt;=cota_s*100+fi_s/20,0,(OFFSET('Base de dados'!$A$4,IF(O2142&lt;20,1,IF(O2142&gt;1000,10,MATCH(O2142,Cargas,1))),Coluna_fis,1,1))*(PI()*(fi_s/1000)^2/4)*(2*9.81*(O2142/100-cota_s-fi_s/2/1000))^0.5*1000)))</f>
        <v>11375.893783888758</v>
      </c>
      <c r="R2142" s="19">
        <f t="shared" ca="1" si="255"/>
        <v>11437.931094617221</v>
      </c>
      <c r="S2142" s="19">
        <f t="shared" ca="1" si="256"/>
        <v>13330.40961668791</v>
      </c>
    </row>
    <row r="2143" spans="13:19">
      <c r="M2143" s="81">
        <f t="shared" ca="1" si="253"/>
        <v>24784.334866228965</v>
      </c>
      <c r="N2143" s="19">
        <f t="shared" si="254"/>
        <v>400.12235118978043</v>
      </c>
      <c r="O2143" s="17">
        <f t="shared" si="252"/>
        <v>535.5</v>
      </c>
      <c r="P2143" s="19">
        <f ca="1">IF(ISERROR(IF(O2143&lt;fi_h/20,0,(OFFSET('Base de dados'!$A$5,IF(O2143&lt;20,1,IF(O2143&gt;1000,10,MATCH(O2143,Cargas,1))),Coluna_fih,1,1))*(1+0.13*0.25)*(PI()*(fi_h/1000)^2/4)*SQRT(2*9.81*(O2143/100-fi_h/2/1000))*1000)),"",IF(O2143&lt;fi_h/20,0,(OFFSET('Base de dados'!$A$5,IF(O2143&lt;20,1,IF(O2143&gt;1000,10,MATCH(O2143,Cargas,1))),Coluna_fih,1,1))*(PI()*(fi_h/1000)^2/4)*SQRT(2*9.81*(O2143/100-fi_h/2/1000))*1000))</f>
        <v>62.051951216592791</v>
      </c>
      <c r="Q2143" s="19">
        <f ca="1">IF(O2143="","",IF(Tipo_Vertedor="Retangular",IF(O2143&lt;=cota_s*100,0,IF(Tipo_Vertedor="Retangular",Cd_sr*Lef_sr*((O2143/100-cota_s)^(3/2))*1000)),IF(O2143&lt;=cota_s*100+fi_s/20,0,(OFFSET('Base de dados'!$A$4,IF(O2143&lt;20,1,IF(O2143&gt;1000,10,MATCH(O2143,Cargas,1))),Coluna_fis,1,1))*(PI()*(fi_s/1000)^2/4)*(2*9.81*(O2143/100-cota_s-fi_s/2/1000))^0.5*1000)))</f>
        <v>11384.871208686356</v>
      </c>
      <c r="R2143" s="19">
        <f t="shared" ca="1" si="255"/>
        <v>11446.923159902948</v>
      </c>
      <c r="S2143" s="19">
        <f t="shared" ca="1" si="256"/>
        <v>13337.411706326015</v>
      </c>
    </row>
    <row r="2144" spans="13:19">
      <c r="M2144" s="81">
        <f t="shared" ca="1" si="253"/>
        <v>24800.331785245042</v>
      </c>
      <c r="N2144" s="19">
        <f t="shared" si="254"/>
        <v>400.332426096105</v>
      </c>
      <c r="O2144" s="17">
        <f t="shared" si="252"/>
        <v>535.75</v>
      </c>
      <c r="P2144" s="19">
        <f ca="1">IF(ISERROR(IF(O2144&lt;fi_h/20,0,(OFFSET('Base de dados'!$A$5,IF(O2144&lt;20,1,IF(O2144&gt;1000,10,MATCH(O2144,Cargas,1))),Coluna_fih,1,1))*(1+0.13*0.25)*(PI()*(fi_h/1000)^2/4)*SQRT(2*9.81*(O2144/100-fi_h/2/1000))*1000)),"",IF(O2144&lt;fi_h/20,0,(OFFSET('Base de dados'!$A$5,IF(O2144&lt;20,1,IF(O2144&gt;1000,10,MATCH(O2144,Cargas,1))),Coluna_fih,1,1))*(PI()*(fi_h/1000)^2/4)*SQRT(2*9.81*(O2144/100-fi_h/2/1000))*1000))</f>
        <v>62.0665882512723</v>
      </c>
      <c r="Q2144" s="19">
        <f ca="1">IF(O2144="","",IF(Tipo_Vertedor="Retangular",IF(O2144&lt;=cota_s*100,0,IF(Tipo_Vertedor="Retangular",Cd_sr*Lef_sr*((O2144/100-cota_s)^(3/2))*1000)),IF(O2144&lt;=cota_s*100+fi_s/20,0,(OFFSET('Base de dados'!$A$4,IF(O2144&lt;20,1,IF(O2144&gt;1000,10,MATCH(O2144,Cargas,1))),Coluna_fis,1,1))*(PI()*(fi_s/1000)^2/4)*(2*9.81*(O2144/100-cota_s-fi_s/2/1000))^0.5*1000)))</f>
        <v>11393.850993790271</v>
      </c>
      <c r="R2144" s="19">
        <f t="shared" ca="1" si="255"/>
        <v>11455.917582041544</v>
      </c>
      <c r="S2144" s="19">
        <f t="shared" ca="1" si="256"/>
        <v>13344.4142032035</v>
      </c>
    </row>
    <row r="2145" spans="13:19">
      <c r="M2145" s="81">
        <f t="shared" ca="1" si="253"/>
        <v>24816.331467569209</v>
      </c>
      <c r="N2145" s="19">
        <f t="shared" si="254"/>
        <v>400.5425132146201</v>
      </c>
      <c r="O2145" s="17">
        <f t="shared" si="252"/>
        <v>536</v>
      </c>
      <c r="P2145" s="19">
        <f ca="1">IF(ISERROR(IF(O2145&lt;fi_h/20,0,(OFFSET('Base de dados'!$A$5,IF(O2145&lt;20,1,IF(O2145&gt;1000,10,MATCH(O2145,Cargas,1))),Coluna_fih,1,1))*(1+0.13*0.25)*(PI()*(fi_h/1000)^2/4)*SQRT(2*9.81*(O2145/100-fi_h/2/1000))*1000)),"",IF(O2145&lt;fi_h/20,0,(OFFSET('Base de dados'!$A$5,IF(O2145&lt;20,1,IF(O2145&gt;1000,10,MATCH(O2145,Cargas,1))),Coluna_fih,1,1))*(PI()*(fi_h/1000)^2/4)*SQRT(2*9.81*(O2145/100-fi_h/2/1000))*1000))</f>
        <v>62.081221834944067</v>
      </c>
      <c r="Q2145" s="19">
        <f ca="1">IF(O2145="","",IF(Tipo_Vertedor="Retangular",IF(O2145&lt;=cota_s*100,0,IF(Tipo_Vertedor="Retangular",Cd_sr*Lef_sr*((O2145/100-cota_s)^(3/2))*1000)),IF(O2145&lt;=cota_s*100+fi_s/20,0,(OFFSET('Base de dados'!$A$4,IF(O2145&lt;20,1,IF(O2145&gt;1000,10,MATCH(O2145,Cargas,1))),Coluna_fis,1,1))*(PI()*(fi_s/1000)^2/4)*(2*9.81*(O2145/100-cota_s-fi_s/2/1000))^0.5*1000)))</f>
        <v>11402.833138580259</v>
      </c>
      <c r="R2145" s="19">
        <f t="shared" ca="1" si="255"/>
        <v>11464.914360415203</v>
      </c>
      <c r="S2145" s="19">
        <f t="shared" ca="1" si="256"/>
        <v>13351.417107154004</v>
      </c>
    </row>
    <row r="2146" spans="13:19">
      <c r="M2146" s="81">
        <f t="shared" ca="1" si="253"/>
        <v>24832.333912417911</v>
      </c>
      <c r="N2146" s="19">
        <f t="shared" si="254"/>
        <v>400.75261254033882</v>
      </c>
      <c r="O2146" s="17">
        <f t="shared" si="252"/>
        <v>536.25</v>
      </c>
      <c r="P2146" s="19">
        <f ca="1">IF(ISERROR(IF(O2146&lt;fi_h/20,0,(OFFSET('Base de dados'!$A$5,IF(O2146&lt;20,1,IF(O2146&gt;1000,10,MATCH(O2146,Cargas,1))),Coluna_fih,1,1))*(1+0.13*0.25)*(PI()*(fi_h/1000)^2/4)*SQRT(2*9.81*(O2146/100-fi_h/2/1000))*1000)),"",IF(O2146&lt;fi_h/20,0,(OFFSET('Base de dados'!$A$5,IF(O2146&lt;20,1,IF(O2146&gt;1000,10,MATCH(O2146,Cargas,1))),Coluna_fih,1,1))*(PI()*(fi_h/1000)^2/4)*SQRT(2*9.81*(O2146/100-fi_h/2/1000))*1000))</f>
        <v>62.09585197004786</v>
      </c>
      <c r="Q2146" s="19">
        <f ca="1">IF(O2146="","",IF(Tipo_Vertedor="Retangular",IF(O2146&lt;=cota_s*100,0,IF(Tipo_Vertedor="Retangular",Cd_sr*Lef_sr*((O2146/100-cota_s)^(3/2))*1000)),IF(O2146&lt;=cota_s*100+fi_s/20,0,(OFFSET('Base de dados'!$A$4,IF(O2146&lt;20,1,IF(O2146&gt;1000,10,MATCH(O2146,Cargas,1))),Coluna_fis,1,1))*(PI()*(fi_s/1000)^2/4)*(2*9.81*(O2146/100-cota_s-fi_s/2/1000))^0.5*1000)))</f>
        <v>11411.817642436572</v>
      </c>
      <c r="R2146" s="19">
        <f t="shared" ca="1" si="255"/>
        <v>11473.913494406619</v>
      </c>
      <c r="S2146" s="19">
        <f t="shared" ca="1" si="256"/>
        <v>13358.420418011294</v>
      </c>
    </row>
    <row r="2147" spans="13:19">
      <c r="M2147" s="81">
        <f t="shared" ca="1" si="253"/>
        <v>24848.339119008291</v>
      </c>
      <c r="N2147" s="19">
        <f t="shared" si="254"/>
        <v>400.96272406827933</v>
      </c>
      <c r="O2147" s="17">
        <f t="shared" si="252"/>
        <v>536.5</v>
      </c>
      <c r="P2147" s="19">
        <f ca="1">IF(ISERROR(IF(O2147&lt;fi_h/20,0,(OFFSET('Base de dados'!$A$5,IF(O2147&lt;20,1,IF(O2147&gt;1000,10,MATCH(O2147,Cargas,1))),Coluna_fih,1,1))*(1+0.13*0.25)*(PI()*(fi_h/1000)^2/4)*SQRT(2*9.81*(O2147/100-fi_h/2/1000))*1000)),"",IF(O2147&lt;fi_h/20,0,(OFFSET('Base de dados'!$A$5,IF(O2147&lt;20,1,IF(O2147&gt;1000,10,MATCH(O2147,Cargas,1))),Coluna_fih,1,1))*(PI()*(fi_h/1000)^2/4)*SQRT(2*9.81*(O2147/100-fi_h/2/1000))*1000))</f>
        <v>62.110478659020657</v>
      </c>
      <c r="Q2147" s="19">
        <f ca="1">IF(O2147="","",IF(Tipo_Vertedor="Retangular",IF(O2147&lt;=cota_s*100,0,IF(Tipo_Vertedor="Retangular",Cd_sr*Lef_sr*((O2147/100-cota_s)^(3/2))*1000)),IF(O2147&lt;=cota_s*100+fi_s/20,0,(OFFSET('Base de dados'!$A$4,IF(O2147&lt;20,1,IF(O2147&gt;1000,10,MATCH(O2147,Cargas,1))),Coluna_fis,1,1))*(PI()*(fi_s/1000)^2/4)*(2*9.81*(O2147/100-cota_s-fi_s/2/1000))^0.5*1000)))</f>
        <v>11420.804504739959</v>
      </c>
      <c r="R2147" s="19">
        <f t="shared" ca="1" si="255"/>
        <v>11482.91498339898</v>
      </c>
      <c r="S2147" s="19">
        <f t="shared" ca="1" si="256"/>
        <v>13365.42413560931</v>
      </c>
    </row>
    <row r="2148" spans="13:19">
      <c r="M2148" s="81">
        <f t="shared" ca="1" si="253"/>
        <v>24864.34708655806</v>
      </c>
      <c r="N2148" s="19">
        <f t="shared" si="254"/>
        <v>401.17284779346357</v>
      </c>
      <c r="O2148" s="17">
        <f t="shared" si="252"/>
        <v>536.75</v>
      </c>
      <c r="P2148" s="19">
        <f ca="1">IF(ISERROR(IF(O2148&lt;fi_h/20,0,(OFFSET('Base de dados'!$A$5,IF(O2148&lt;20,1,IF(O2148&gt;1000,10,MATCH(O2148,Cargas,1))),Coluna_fih,1,1))*(1+0.13*0.25)*(PI()*(fi_h/1000)^2/4)*SQRT(2*9.81*(O2148/100-fi_h/2/1000))*1000)),"",IF(O2148&lt;fi_h/20,0,(OFFSET('Base de dados'!$A$5,IF(O2148&lt;20,1,IF(O2148&gt;1000,10,MATCH(O2148,Cargas,1))),Coluna_fih,1,1))*(PI()*(fi_h/1000)^2/4)*SQRT(2*9.81*(O2148/100-fi_h/2/1000))*1000))</f>
        <v>62.125101904296478</v>
      </c>
      <c r="Q2148" s="19">
        <f ca="1">IF(O2148="","",IF(Tipo_Vertedor="Retangular",IF(O2148&lt;=cota_s*100,0,IF(Tipo_Vertedor="Retangular",Cd_sr*Lef_sr*((O2148/100-cota_s)^(3/2))*1000)),IF(O2148&lt;=cota_s*100+fi_s/20,0,(OFFSET('Base de dados'!$A$4,IF(O2148&lt;20,1,IF(O2148&gt;1000,10,MATCH(O2148,Cargas,1))),Coluna_fis,1,1))*(PI()*(fi_s/1000)^2/4)*(2*9.81*(O2148/100-cota_s-fi_s/2/1000))^0.5*1000)))</f>
        <v>11429.793724871646</v>
      </c>
      <c r="R2148" s="19">
        <f t="shared" ca="1" si="255"/>
        <v>11491.918826775942</v>
      </c>
      <c r="S2148" s="19">
        <f t="shared" ca="1" si="256"/>
        <v>13372.428259782118</v>
      </c>
    </row>
    <row r="2149" spans="13:19">
      <c r="M2149" s="81">
        <f t="shared" ca="1" si="253"/>
        <v>24880.357814285599</v>
      </c>
      <c r="N2149" s="19">
        <f t="shared" si="254"/>
        <v>401.38298371091832</v>
      </c>
      <c r="O2149" s="17">
        <f t="shared" si="252"/>
        <v>537</v>
      </c>
      <c r="P2149" s="19">
        <f ca="1">IF(ISERROR(IF(O2149&lt;fi_h/20,0,(OFFSET('Base de dados'!$A$5,IF(O2149&lt;20,1,IF(O2149&gt;1000,10,MATCH(O2149,Cargas,1))),Coluna_fih,1,1))*(1+0.13*0.25)*(PI()*(fi_h/1000)^2/4)*SQRT(2*9.81*(O2149/100-fi_h/2/1000))*1000)),"",IF(O2149&lt;fi_h/20,0,(OFFSET('Base de dados'!$A$5,IF(O2149&lt;20,1,IF(O2149&gt;1000,10,MATCH(O2149,Cargas,1))),Coluna_fih,1,1))*(PI()*(fi_h/1000)^2/4)*SQRT(2*9.81*(O2149/100-fi_h/2/1000))*1000))</f>
        <v>62.139721708306546</v>
      </c>
      <c r="Q2149" s="19">
        <f ca="1">IF(O2149="","",IF(Tipo_Vertedor="Retangular",IF(O2149&lt;=cota_s*100,0,IF(Tipo_Vertedor="Retangular",Cd_sr*Lef_sr*((O2149/100-cota_s)^(3/2))*1000)),IF(O2149&lt;=cota_s*100+fi_s/20,0,(OFFSET('Base de dados'!$A$4,IF(O2149&lt;20,1,IF(O2149&gt;1000,10,MATCH(O2149,Cargas,1))),Coluna_fis,1,1))*(PI()*(fi_s/1000)^2/4)*(2*9.81*(O2149/100-cota_s-fi_s/2/1000))^0.5*1000)))</f>
        <v>11438.785302213348</v>
      </c>
      <c r="R2149" s="19">
        <f t="shared" ca="1" si="255"/>
        <v>11500.925023921654</v>
      </c>
      <c r="S2149" s="19">
        <f t="shared" ca="1" si="256"/>
        <v>13379.432790363944</v>
      </c>
    </row>
    <row r="2150" spans="13:19">
      <c r="M2150" s="81">
        <f t="shared" ca="1" si="253"/>
        <v>24896.371301409872</v>
      </c>
      <c r="N2150" s="19">
        <f t="shared" si="254"/>
        <v>401.59313181567404</v>
      </c>
      <c r="O2150" s="17">
        <f t="shared" si="252"/>
        <v>537.25</v>
      </c>
      <c r="P2150" s="19">
        <f ca="1">IF(ISERROR(IF(O2150&lt;fi_h/20,0,(OFFSET('Base de dados'!$A$5,IF(O2150&lt;20,1,IF(O2150&gt;1000,10,MATCH(O2150,Cargas,1))),Coluna_fih,1,1))*(1+0.13*0.25)*(PI()*(fi_h/1000)^2/4)*SQRT(2*9.81*(O2150/100-fi_h/2/1000))*1000)),"",IF(O2150&lt;fi_h/20,0,(OFFSET('Base de dados'!$A$5,IF(O2150&lt;20,1,IF(O2150&gt;1000,10,MATCH(O2150,Cargas,1))),Coluna_fih,1,1))*(PI()*(fi_h/1000)^2/4)*SQRT(2*9.81*(O2150/100-fi_h/2/1000))*1000))</f>
        <v>62.154338073479188</v>
      </c>
      <c r="Q2150" s="19">
        <f ca="1">IF(O2150="","",IF(Tipo_Vertedor="Retangular",IF(O2150&lt;=cota_s*100,0,IF(Tipo_Vertedor="Retangular",Cd_sr*Lef_sr*((O2150/100-cota_s)^(3/2))*1000)),IF(O2150&lt;=cota_s*100+fi_s/20,0,(OFFSET('Base de dados'!$A$4,IF(O2150&lt;20,1,IF(O2150&gt;1000,10,MATCH(O2150,Cargas,1))),Coluna_fis,1,1))*(PI()*(fi_s/1000)^2/4)*(2*9.81*(O2150/100-cota_s-fi_s/2/1000))^0.5*1000)))</f>
        <v>11447.77923614726</v>
      </c>
      <c r="R2150" s="19">
        <f t="shared" ca="1" si="255"/>
        <v>11509.933574220739</v>
      </c>
      <c r="S2150" s="19">
        <f t="shared" ca="1" si="256"/>
        <v>13386.437727189134</v>
      </c>
    </row>
    <row r="2151" spans="13:19">
      <c r="M2151" s="81">
        <f t="shared" ca="1" si="253"/>
        <v>24912.387547150527</v>
      </c>
      <c r="N2151" s="19">
        <f t="shared" si="254"/>
        <v>401.80329210276631</v>
      </c>
      <c r="O2151" s="17">
        <f t="shared" si="252"/>
        <v>537.5</v>
      </c>
      <c r="P2151" s="19">
        <f ca="1">IF(ISERROR(IF(O2151&lt;fi_h/20,0,(OFFSET('Base de dados'!$A$5,IF(O2151&lt;20,1,IF(O2151&gt;1000,10,MATCH(O2151,Cargas,1))),Coluna_fih,1,1))*(1+0.13*0.25)*(PI()*(fi_h/1000)^2/4)*SQRT(2*9.81*(O2151/100-fi_h/2/1000))*1000)),"",IF(O2151&lt;fi_h/20,0,(OFFSET('Base de dados'!$A$5,IF(O2151&lt;20,1,IF(O2151&gt;1000,10,MATCH(O2151,Cargas,1))),Coluna_fih,1,1))*(PI()*(fi_h/1000)^2/4)*SQRT(2*9.81*(O2151/100-fi_h/2/1000))*1000))</f>
        <v>62.168951002239915</v>
      </c>
      <c r="Q2151" s="19">
        <f ca="1">IF(O2151="","",IF(Tipo_Vertedor="Retangular",IF(O2151&lt;=cota_s*100,0,IF(Tipo_Vertedor="Retangular",Cd_sr*Lef_sr*((O2151/100-cota_s)^(3/2))*1000)),IF(O2151&lt;=cota_s*100+fi_s/20,0,(OFFSET('Base de dados'!$A$4,IF(O2151&lt;20,1,IF(O2151&gt;1000,10,MATCH(O2151,Cargas,1))),Coluna_fis,1,1))*(PI()*(fi_s/1000)^2/4)*(2*9.81*(O2151/100-cota_s-fi_s/2/1000))^0.5*1000)))</f>
        <v>11456.775526056077</v>
      </c>
      <c r="R2151" s="19">
        <f t="shared" ca="1" si="255"/>
        <v>11518.944477058318</v>
      </c>
      <c r="S2151" s="19">
        <f t="shared" ca="1" si="256"/>
        <v>13393.443070092209</v>
      </c>
    </row>
    <row r="2152" spans="13:19">
      <c r="M2152" s="81">
        <f t="shared" ca="1" si="253"/>
        <v>24928.406550727799</v>
      </c>
      <c r="N2152" s="19">
        <f t="shared" si="254"/>
        <v>402.01346456723451</v>
      </c>
      <c r="O2152" s="17">
        <f t="shared" si="252"/>
        <v>537.75</v>
      </c>
      <c r="P2152" s="19">
        <f ca="1">IF(ISERROR(IF(O2152&lt;fi_h/20,0,(OFFSET('Base de dados'!$A$5,IF(O2152&lt;20,1,IF(O2152&gt;1000,10,MATCH(O2152,Cargas,1))),Coluna_fih,1,1))*(1+0.13*0.25)*(PI()*(fi_h/1000)^2/4)*SQRT(2*9.81*(O2152/100-fi_h/2/1000))*1000)),"",IF(O2152&lt;fi_h/20,0,(OFFSET('Base de dados'!$A$5,IF(O2152&lt;20,1,IF(O2152&gt;1000,10,MATCH(O2152,Cargas,1))),Coluna_fih,1,1))*(PI()*(fi_h/1000)^2/4)*SQRT(2*9.81*(O2152/100-fi_h/2/1000))*1000))</f>
        <v>62.183560497011349</v>
      </c>
      <c r="Q2152" s="19">
        <f ca="1">IF(O2152="","",IF(Tipo_Vertedor="Retangular",IF(O2152&lt;=cota_s*100,0,IF(Tipo_Vertedor="Retangular",Cd_sr*Lef_sr*((O2152/100-cota_s)^(3/2))*1000)),IF(O2152&lt;=cota_s*100+fi_s/20,0,(OFFSET('Base de dados'!$A$4,IF(O2152&lt;20,1,IF(O2152&gt;1000,10,MATCH(O2152,Cargas,1))),Coluna_fis,1,1))*(PI()*(fi_s/1000)^2/4)*(2*9.81*(O2152/100-cota_s-fi_s/2/1000))^0.5*1000)))</f>
        <v>11465.774171322973</v>
      </c>
      <c r="R2152" s="19">
        <f t="shared" ca="1" si="255"/>
        <v>11527.957731819984</v>
      </c>
      <c r="S2152" s="19">
        <f t="shared" ca="1" si="256"/>
        <v>13400.448818907817</v>
      </c>
    </row>
    <row r="2153" spans="13:19">
      <c r="M2153" s="81">
        <f t="shared" ca="1" si="253"/>
        <v>24944.428311362546</v>
      </c>
      <c r="N2153" s="19">
        <f t="shared" si="254"/>
        <v>402.22364920412218</v>
      </c>
      <c r="O2153" s="17">
        <f t="shared" si="252"/>
        <v>538</v>
      </c>
      <c r="P2153" s="19">
        <f ca="1">IF(ISERROR(IF(O2153&lt;fi_h/20,0,(OFFSET('Base de dados'!$A$5,IF(O2153&lt;20,1,IF(O2153&gt;1000,10,MATCH(O2153,Cargas,1))),Coluna_fih,1,1))*(1+0.13*0.25)*(PI()*(fi_h/1000)^2/4)*SQRT(2*9.81*(O2153/100-fi_h/2/1000))*1000)),"",IF(O2153&lt;fi_h/20,0,(OFFSET('Base de dados'!$A$5,IF(O2153&lt;20,1,IF(O2153&gt;1000,10,MATCH(O2153,Cargas,1))),Coluna_fih,1,1))*(PI()*(fi_h/1000)^2/4)*SQRT(2*9.81*(O2153/100-fi_h/2/1000))*1000))</f>
        <v>62.198166560213267</v>
      </c>
      <c r="Q2153" s="19">
        <f ca="1">IF(O2153="","",IF(Tipo_Vertedor="Retangular",IF(O2153&lt;=cota_s*100,0,IF(Tipo_Vertedor="Retangular",Cd_sr*Lef_sr*((O2153/100-cota_s)^(3/2))*1000)),IF(O2153&lt;=cota_s*100+fi_s/20,0,(OFFSET('Base de dados'!$A$4,IF(O2153&lt;20,1,IF(O2153&gt;1000,10,MATCH(O2153,Cargas,1))),Coluna_fis,1,1))*(PI()*(fi_s/1000)^2/4)*(2*9.81*(O2153/100-cota_s-fi_s/2/1000))^0.5*1000)))</f>
        <v>11474.775171331594</v>
      </c>
      <c r="R2153" s="19">
        <f t="shared" ca="1" si="255"/>
        <v>11536.973337891806</v>
      </c>
      <c r="S2153" s="19">
        <f t="shared" ca="1" si="256"/>
        <v>13407.45497347074</v>
      </c>
    </row>
    <row r="2154" spans="13:19">
      <c r="M2154" s="81">
        <f t="shared" ca="1" si="253"/>
        <v>24960.45282827628</v>
      </c>
      <c r="N2154" s="19">
        <f t="shared" si="254"/>
        <v>402.43384600847787</v>
      </c>
      <c r="O2154" s="17">
        <f t="shared" si="252"/>
        <v>538.25</v>
      </c>
      <c r="P2154" s="19">
        <f ca="1">IF(ISERROR(IF(O2154&lt;fi_h/20,0,(OFFSET('Base de dados'!$A$5,IF(O2154&lt;20,1,IF(O2154&gt;1000,10,MATCH(O2154,Cargas,1))),Coluna_fih,1,1))*(1+0.13*0.25)*(PI()*(fi_h/1000)^2/4)*SQRT(2*9.81*(O2154/100-fi_h/2/1000))*1000)),"",IF(O2154&lt;fi_h/20,0,(OFFSET('Base de dados'!$A$5,IF(O2154&lt;20,1,IF(O2154&gt;1000,10,MATCH(O2154,Cargas,1))),Coluna_fih,1,1))*(PI()*(fi_h/1000)^2/4)*SQRT(2*9.81*(O2154/100-fi_h/2/1000))*1000))</f>
        <v>62.212769194262634</v>
      </c>
      <c r="Q2154" s="19">
        <f ca="1">IF(O2154="","",IF(Tipo_Vertedor="Retangular",IF(O2154&lt;=cota_s*100,0,IF(Tipo_Vertedor="Retangular",Cd_sr*Lef_sr*((O2154/100-cota_s)^(3/2))*1000)),IF(O2154&lt;=cota_s*100+fi_s/20,0,(OFFSET('Base de dados'!$A$4,IF(O2154&lt;20,1,IF(O2154&gt;1000,10,MATCH(O2154,Cargas,1))),Coluna_fis,1,1))*(PI()*(fi_s/1000)^2/4)*(2*9.81*(O2154/100-cota_s-fi_s/2/1000))^0.5*1000)))</f>
        <v>11483.77852546609</v>
      </c>
      <c r="R2154" s="19">
        <f t="shared" ca="1" si="255"/>
        <v>11545.991294660353</v>
      </c>
      <c r="S2154" s="19">
        <f t="shared" ca="1" si="256"/>
        <v>13414.461533615928</v>
      </c>
    </row>
    <row r="2155" spans="13:19">
      <c r="M2155" s="81">
        <f t="shared" ca="1" si="253"/>
        <v>24976.480100691115</v>
      </c>
      <c r="N2155" s="19">
        <f t="shared" si="254"/>
        <v>402.64405497535381</v>
      </c>
      <c r="O2155" s="17">
        <f t="shared" si="252"/>
        <v>538.5</v>
      </c>
      <c r="P2155" s="19">
        <f ca="1">IF(ISERROR(IF(O2155&lt;fi_h/20,0,(OFFSET('Base de dados'!$A$5,IF(O2155&lt;20,1,IF(O2155&gt;1000,10,MATCH(O2155,Cargas,1))),Coluna_fih,1,1))*(1+0.13*0.25)*(PI()*(fi_h/1000)^2/4)*SQRT(2*9.81*(O2155/100-fi_h/2/1000))*1000)),"",IF(O2155&lt;fi_h/20,0,(OFFSET('Base de dados'!$A$5,IF(O2155&lt;20,1,IF(O2155&gt;1000,10,MATCH(O2155,Cargas,1))),Coluna_fih,1,1))*(PI()*(fi_h/1000)^2/4)*SQRT(2*9.81*(O2155/100-fi_h/2/1000))*1000))</f>
        <v>62.227368401573564</v>
      </c>
      <c r="Q2155" s="19">
        <f ca="1">IF(O2155="","",IF(Tipo_Vertedor="Retangular",IF(O2155&lt;=cota_s*100,0,IF(Tipo_Vertedor="Retangular",Cd_sr*Lef_sr*((O2155/100-cota_s)^(3/2))*1000)),IF(O2155&lt;=cota_s*100+fi_s/20,0,(OFFSET('Base de dados'!$A$4,IF(O2155&lt;20,1,IF(O2155&gt;1000,10,MATCH(O2155,Cargas,1))),Coluna_fis,1,1))*(PI()*(fi_s/1000)^2/4)*(2*9.81*(O2155/100-cota_s-fi_s/2/1000))^0.5*1000)))</f>
        <v>11492.784233111079</v>
      </c>
      <c r="R2155" s="19">
        <f t="shared" ca="1" si="255"/>
        <v>11555.011601512651</v>
      </c>
      <c r="S2155" s="19">
        <f t="shared" ca="1" si="256"/>
        <v>13421.468499178462</v>
      </c>
    </row>
    <row r="2156" spans="13:19">
      <c r="M2156" s="81">
        <f t="shared" ca="1" si="253"/>
        <v>24992.510127829784</v>
      </c>
      <c r="N2156" s="19">
        <f t="shared" si="254"/>
        <v>402.85427609980701</v>
      </c>
      <c r="O2156" s="17">
        <f t="shared" si="252"/>
        <v>538.75</v>
      </c>
      <c r="P2156" s="19">
        <f ca="1">IF(ISERROR(IF(O2156&lt;fi_h/20,0,(OFFSET('Base de dados'!$A$5,IF(O2156&lt;20,1,IF(O2156&gt;1000,10,MATCH(O2156,Cargas,1))),Coluna_fih,1,1))*(1+0.13*0.25)*(PI()*(fi_h/1000)^2/4)*SQRT(2*9.81*(O2156/100-fi_h/2/1000))*1000)),"",IF(O2156&lt;fi_h/20,0,(OFFSET('Base de dados'!$A$5,IF(O2156&lt;20,1,IF(O2156&gt;1000,10,MATCH(O2156,Cargas,1))),Coluna_fih,1,1))*(PI()*(fi_h/1000)^2/4)*SQRT(2*9.81*(O2156/100-fi_h/2/1000))*1000))</f>
        <v>62.241964184557347</v>
      </c>
      <c r="Q2156" s="19">
        <f ca="1">IF(O2156="","",IF(Tipo_Vertedor="Retangular",IF(O2156&lt;=cota_s*100,0,IF(Tipo_Vertedor="Retangular",Cd_sr*Lef_sr*((O2156/100-cota_s)^(3/2))*1000)),IF(O2156&lt;=cota_s*100+fi_s/20,0,(OFFSET('Base de dados'!$A$4,IF(O2156&lt;20,1,IF(O2156&gt;1000,10,MATCH(O2156,Cargas,1))),Coluna_fis,1,1))*(PI()*(fi_s/1000)^2/4)*(2*9.81*(O2156/100-cota_s-fi_s/2/1000))^0.5*1000)))</f>
        <v>11501.792293651661</v>
      </c>
      <c r="R2156" s="19">
        <f t="shared" ca="1" si="255"/>
        <v>11564.034257836218</v>
      </c>
      <c r="S2156" s="19">
        <f t="shared" ca="1" si="256"/>
        <v>13428.475869993566</v>
      </c>
    </row>
    <row r="2157" spans="13:19">
      <c r="M2157" s="81">
        <f t="shared" ca="1" si="253"/>
        <v>25008.542908915661</v>
      </c>
      <c r="N2157" s="19">
        <f t="shared" si="254"/>
        <v>403.06450937689834</v>
      </c>
      <c r="O2157" s="17">
        <f t="shared" si="252"/>
        <v>539</v>
      </c>
      <c r="P2157" s="19">
        <f ca="1">IF(ISERROR(IF(O2157&lt;fi_h/20,0,(OFFSET('Base de dados'!$A$5,IF(O2157&lt;20,1,IF(O2157&gt;1000,10,MATCH(O2157,Cargas,1))),Coluna_fih,1,1))*(1+0.13*0.25)*(PI()*(fi_h/1000)^2/4)*SQRT(2*9.81*(O2157/100-fi_h/2/1000))*1000)),"",IF(O2157&lt;fi_h/20,0,(OFFSET('Base de dados'!$A$5,IF(O2157&lt;20,1,IF(O2157&gt;1000,10,MATCH(O2157,Cargas,1))),Coluna_fih,1,1))*(PI()*(fi_h/1000)^2/4)*SQRT(2*9.81*(O2157/100-fi_h/2/1000))*1000))</f>
        <v>62.256556545622409</v>
      </c>
      <c r="Q2157" s="19">
        <f ca="1">IF(O2157="","",IF(Tipo_Vertedor="Retangular",IF(O2157&lt;=cota_s*100,0,IF(Tipo_Vertedor="Retangular",Cd_sr*Lef_sr*((O2157/100-cota_s)^(3/2))*1000)),IF(O2157&lt;=cota_s*100+fi_s/20,0,(OFFSET('Base de dados'!$A$4,IF(O2157&lt;20,1,IF(O2157&gt;1000,10,MATCH(O2157,Cargas,1))),Coluna_fis,1,1))*(PI()*(fi_s/1000)^2/4)*(2*9.81*(O2157/100-cota_s-fi_s/2/1000))^0.5*1000)))</f>
        <v>11510.802706473427</v>
      </c>
      <c r="R2157" s="19">
        <f t="shared" ca="1" si="255"/>
        <v>11573.059263019049</v>
      </c>
      <c r="S2157" s="19">
        <f t="shared" ca="1" si="256"/>
        <v>13435.483645896611</v>
      </c>
    </row>
    <row r="2158" spans="13:19">
      <c r="M2158" s="81">
        <f t="shared" ca="1" si="253"/>
        <v>25024.578443172737</v>
      </c>
      <c r="N2158" s="19">
        <f t="shared" si="254"/>
        <v>403.27475480169335</v>
      </c>
      <c r="O2158" s="17">
        <f t="shared" si="252"/>
        <v>539.25</v>
      </c>
      <c r="P2158" s="19">
        <f ca="1">IF(ISERROR(IF(O2158&lt;fi_h/20,0,(OFFSET('Base de dados'!$A$5,IF(O2158&lt;20,1,IF(O2158&gt;1000,10,MATCH(O2158,Cargas,1))),Coluna_fih,1,1))*(1+0.13*0.25)*(PI()*(fi_h/1000)^2/4)*SQRT(2*9.81*(O2158/100-fi_h/2/1000))*1000)),"",IF(O2158&lt;fi_h/20,0,(OFFSET('Base de dados'!$A$5,IF(O2158&lt;20,1,IF(O2158&gt;1000,10,MATCH(O2158,Cargas,1))),Coluna_fih,1,1))*(PI()*(fi_h/1000)^2/4)*SQRT(2*9.81*(O2158/100-fi_h/2/1000))*1000))</f>
        <v>62.271145487174415</v>
      </c>
      <c r="Q2158" s="19">
        <f ca="1">IF(O2158="","",IF(Tipo_Vertedor="Retangular",IF(O2158&lt;=cota_s*100,0,IF(Tipo_Vertedor="Retangular",Cd_sr*Lef_sr*((O2158/100-cota_s)^(3/2))*1000)),IF(O2158&lt;=cota_s*100+fi_s/20,0,(OFFSET('Base de dados'!$A$4,IF(O2158&lt;20,1,IF(O2158&gt;1000,10,MATCH(O2158,Cargas,1))),Coluna_fis,1,1))*(PI()*(fi_s/1000)^2/4)*(2*9.81*(O2158/100-cota_s-fi_s/2/1000))^0.5*1000)))</f>
        <v>11519.81547096245</v>
      </c>
      <c r="R2158" s="19">
        <f t="shared" ca="1" si="255"/>
        <v>11582.086616449626</v>
      </c>
      <c r="S2158" s="19">
        <f t="shared" ca="1" si="256"/>
        <v>13442.491826723113</v>
      </c>
    </row>
    <row r="2159" spans="13:19">
      <c r="M2159" s="81">
        <f t="shared" ca="1" si="253"/>
        <v>25040.616729825604</v>
      </c>
      <c r="N2159" s="19">
        <f t="shared" si="254"/>
        <v>403.48501236926148</v>
      </c>
      <c r="O2159" s="17">
        <f t="shared" si="252"/>
        <v>539.5</v>
      </c>
      <c r="P2159" s="19">
        <f ca="1">IF(ISERROR(IF(O2159&lt;fi_h/20,0,(OFFSET('Base de dados'!$A$5,IF(O2159&lt;20,1,IF(O2159&gt;1000,10,MATCH(O2159,Cargas,1))),Coluna_fih,1,1))*(1+0.13*0.25)*(PI()*(fi_h/1000)^2/4)*SQRT(2*9.81*(O2159/100-fi_h/2/1000))*1000)),"",IF(O2159&lt;fi_h/20,0,(OFFSET('Base de dados'!$A$5,IF(O2159&lt;20,1,IF(O2159&gt;1000,10,MATCH(O2159,Cargas,1))),Coluna_fih,1,1))*(PI()*(fi_h/1000)^2/4)*SQRT(2*9.81*(O2159/100-fi_h/2/1000))*1000))</f>
        <v>62.285731011616171</v>
      </c>
      <c r="Q2159" s="19">
        <f ca="1">IF(O2159="","",IF(Tipo_Vertedor="Retangular",IF(O2159&lt;=cota_s*100,0,IF(Tipo_Vertedor="Retangular",Cd_sr*Lef_sr*((O2159/100-cota_s)^(3/2))*1000)),IF(O2159&lt;=cota_s*100+fi_s/20,0,(OFFSET('Base de dados'!$A$4,IF(O2159&lt;20,1,IF(O2159&gt;1000,10,MATCH(O2159,Cargas,1))),Coluna_fis,1,1))*(PI()*(fi_s/1000)^2/4)*(2*9.81*(O2159/100-cota_s-fi_s/2/1000))^0.5*1000)))</f>
        <v>11528.830586505273</v>
      </c>
      <c r="R2159" s="19">
        <f t="shared" ca="1" si="255"/>
        <v>11591.116317516889</v>
      </c>
      <c r="S2159" s="19">
        <f t="shared" ca="1" si="256"/>
        <v>13449.500412308716</v>
      </c>
    </row>
    <row r="2160" spans="13:19">
      <c r="M2160" s="81">
        <f t="shared" ca="1" si="253"/>
        <v>25056.657768099511</v>
      </c>
      <c r="N2160" s="19">
        <f t="shared" si="254"/>
        <v>403.6952820746771</v>
      </c>
      <c r="O2160" s="17">
        <f t="shared" si="252"/>
        <v>539.75</v>
      </c>
      <c r="P2160" s="19">
        <f ca="1">IF(ISERROR(IF(O2160&lt;fi_h/20,0,(OFFSET('Base de dados'!$A$5,IF(O2160&lt;20,1,IF(O2160&gt;1000,10,MATCH(O2160,Cargas,1))),Coluna_fih,1,1))*(1+0.13*0.25)*(PI()*(fi_h/1000)^2/4)*SQRT(2*9.81*(O2160/100-fi_h/2/1000))*1000)),"",IF(O2160&lt;fi_h/20,0,(OFFSET('Base de dados'!$A$5,IF(O2160&lt;20,1,IF(O2160&gt;1000,10,MATCH(O2160,Cargas,1))),Coluna_fih,1,1))*(PI()*(fi_h/1000)^2/4)*SQRT(2*9.81*(O2160/100-fi_h/2/1000))*1000))</f>
        <v>62.300313121347685</v>
      </c>
      <c r="Q2160" s="19">
        <f ca="1">IF(O2160="","",IF(Tipo_Vertedor="Retangular",IF(O2160&lt;=cota_s*100,0,IF(Tipo_Vertedor="Retangular",Cd_sr*Lef_sr*((O2160/100-cota_s)^(3/2))*1000)),IF(O2160&lt;=cota_s*100+fi_s/20,0,(OFFSET('Base de dados'!$A$4,IF(O2160&lt;20,1,IF(O2160&gt;1000,10,MATCH(O2160,Cargas,1))),Coluna_fis,1,1))*(PI()*(fi_s/1000)^2/4)*(2*9.81*(O2160/100-cota_s-fi_s/2/1000))^0.5*1000)))</f>
        <v>11537.848052488926</v>
      </c>
      <c r="R2160" s="19">
        <f t="shared" ca="1" si="255"/>
        <v>11600.148365610274</v>
      </c>
      <c r="S2160" s="19">
        <f t="shared" ca="1" si="256"/>
        <v>13456.509402489237</v>
      </c>
    </row>
    <row r="2161" spans="13:19">
      <c r="M2161" s="81">
        <f t="shared" ca="1" si="253"/>
        <v>25072.70155722028</v>
      </c>
      <c r="N2161" s="19">
        <f t="shared" si="254"/>
        <v>403.90556391301811</v>
      </c>
      <c r="O2161" s="17">
        <f t="shared" si="252"/>
        <v>540</v>
      </c>
      <c r="P2161" s="19">
        <f ca="1">IF(ISERROR(IF(O2161&lt;fi_h/20,0,(OFFSET('Base de dados'!$A$5,IF(O2161&lt;20,1,IF(O2161&gt;1000,10,MATCH(O2161,Cargas,1))),Coluna_fih,1,1))*(1+0.13*0.25)*(PI()*(fi_h/1000)^2/4)*SQRT(2*9.81*(O2161/100-fi_h/2/1000))*1000)),"",IF(O2161&lt;fi_h/20,0,(OFFSET('Base de dados'!$A$5,IF(O2161&lt;20,1,IF(O2161&gt;1000,10,MATCH(O2161,Cargas,1))),Coluna_fih,1,1))*(PI()*(fi_h/1000)^2/4)*SQRT(2*9.81*(O2161/100-fi_h/2/1000))*1000))</f>
        <v>62.314891818766156</v>
      </c>
      <c r="Q2161" s="19">
        <f ca="1">IF(O2161="","",IF(Tipo_Vertedor="Retangular",IF(O2161&lt;=cota_s*100,0,IF(Tipo_Vertedor="Retangular",Cd_sr*Lef_sr*((O2161/100-cota_s)^(3/2))*1000)),IF(O2161&lt;=cota_s*100+fi_s/20,0,(OFFSET('Base de dados'!$A$4,IF(O2161&lt;20,1,IF(O2161&gt;1000,10,MATCH(O2161,Cargas,1))),Coluna_fis,1,1))*(PI()*(fi_s/1000)^2/4)*(2*9.81*(O2161/100-cota_s-fi_s/2/1000))^0.5*1000)))</f>
        <v>11546.867868300913</v>
      </c>
      <c r="R2161" s="19">
        <f t="shared" ca="1" si="255"/>
        <v>11609.182760119678</v>
      </c>
      <c r="S2161" s="19">
        <f t="shared" ca="1" si="256"/>
        <v>13463.518797100603</v>
      </c>
    </row>
    <row r="2162" spans="13:19">
      <c r="M2162" s="81">
        <f t="shared" ca="1" si="253"/>
        <v>25088.748096414387</v>
      </c>
      <c r="N2162" s="19">
        <f t="shared" si="254"/>
        <v>404.11585787936707</v>
      </c>
      <c r="O2162" s="17">
        <f t="shared" si="252"/>
        <v>540.25</v>
      </c>
      <c r="P2162" s="19">
        <f ca="1">IF(ISERROR(IF(O2162&lt;fi_h/20,0,(OFFSET('Base de dados'!$A$5,IF(O2162&lt;20,1,IF(O2162&gt;1000,10,MATCH(O2162,Cargas,1))),Coluna_fih,1,1))*(1+0.13*0.25)*(PI()*(fi_h/1000)^2/4)*SQRT(2*9.81*(O2162/100-fi_h/2/1000))*1000)),"",IF(O2162&lt;fi_h/20,0,(OFFSET('Base de dados'!$A$5,IF(O2162&lt;20,1,IF(O2162&gt;1000,10,MATCH(O2162,Cargas,1))),Coluna_fih,1,1))*(PI()*(fi_h/1000)^2/4)*SQRT(2*9.81*(O2162/100-fi_h/2/1000))*1000))</f>
        <v>62.329467106265966</v>
      </c>
      <c r="Q2162" s="19">
        <f ca="1">IF(O2162="","",IF(Tipo_Vertedor="Retangular",IF(O2162&lt;=cota_s*100,0,IF(Tipo_Vertedor="Retangular",Cd_sr*Lef_sr*((O2162/100-cota_s)^(3/2))*1000)),IF(O2162&lt;=cota_s*100+fi_s/20,0,(OFFSET('Base de dados'!$A$4,IF(O2162&lt;20,1,IF(O2162&gt;1000,10,MATCH(O2162,Cargas,1))),Coluna_fis,1,1))*(PI()*(fi_s/1000)^2/4)*(2*9.81*(O2162/100-cota_s-fi_s/2/1000))^0.5*1000)))</f>
        <v>11555.890033329219</v>
      </c>
      <c r="R2162" s="19">
        <f t="shared" ca="1" si="255"/>
        <v>11618.219500435485</v>
      </c>
      <c r="S2162" s="19">
        <f t="shared" ca="1" si="256"/>
        <v>13470.528595978902</v>
      </c>
    </row>
    <row r="2163" spans="13:19">
      <c r="M2163" s="81">
        <f t="shared" ca="1" si="253"/>
        <v>25104.79738490891</v>
      </c>
      <c r="N2163" s="19">
        <f t="shared" si="254"/>
        <v>404.3261639688107</v>
      </c>
      <c r="O2163" s="17">
        <f t="shared" si="252"/>
        <v>540.5</v>
      </c>
      <c r="P2163" s="19">
        <f ca="1">IF(ISERROR(IF(O2163&lt;fi_h/20,0,(OFFSET('Base de dados'!$A$5,IF(O2163&lt;20,1,IF(O2163&gt;1000,10,MATCH(O2163,Cargas,1))),Coluna_fih,1,1))*(1+0.13*0.25)*(PI()*(fi_h/1000)^2/4)*SQRT(2*9.81*(O2163/100-fi_h/2/1000))*1000)),"",IF(O2163&lt;fi_h/20,0,(OFFSET('Base de dados'!$A$5,IF(O2163&lt;20,1,IF(O2163&gt;1000,10,MATCH(O2163,Cargas,1))),Coluna_fih,1,1))*(PI()*(fi_h/1000)^2/4)*SQRT(2*9.81*(O2163/100-fi_h/2/1000))*1000))</f>
        <v>62.344038986238729</v>
      </c>
      <c r="Q2163" s="19">
        <f ca="1">IF(O2163="","",IF(Tipo_Vertedor="Retangular",IF(O2163&lt;=cota_s*100,0,IF(Tipo_Vertedor="Retangular",Cd_sr*Lef_sr*((O2163/100-cota_s)^(3/2))*1000)),IF(O2163&lt;=cota_s*100+fi_s/20,0,(OFFSET('Base de dados'!$A$4,IF(O2163&lt;20,1,IF(O2163&gt;1000,10,MATCH(O2163,Cargas,1))),Coluna_fis,1,1))*(PI()*(fi_s/1000)^2/4)*(2*9.81*(O2163/100-cota_s-fi_s/2/1000))^0.5*1000)))</f>
        <v>11564.914546962314</v>
      </c>
      <c r="R2163" s="19">
        <f t="shared" ca="1" si="255"/>
        <v>11627.258585948553</v>
      </c>
      <c r="S2163" s="19">
        <f t="shared" ca="1" si="256"/>
        <v>13477.538798960357</v>
      </c>
    </row>
    <row r="2164" spans="13:19">
      <c r="M2164" s="81">
        <f t="shared" ca="1" si="253"/>
        <v>25120.849421931547</v>
      </c>
      <c r="N2164" s="19">
        <f t="shared" si="254"/>
        <v>404.53648217644019</v>
      </c>
      <c r="O2164" s="17">
        <f t="shared" si="252"/>
        <v>540.75</v>
      </c>
      <c r="P2164" s="19">
        <f ca="1">IF(ISERROR(IF(O2164&lt;fi_h/20,0,(OFFSET('Base de dados'!$A$5,IF(O2164&lt;20,1,IF(O2164&gt;1000,10,MATCH(O2164,Cargas,1))),Coluna_fih,1,1))*(1+0.13*0.25)*(PI()*(fi_h/1000)^2/4)*SQRT(2*9.81*(O2164/100-fi_h/2/1000))*1000)),"",IF(O2164&lt;fi_h/20,0,(OFFSET('Base de dados'!$A$5,IF(O2164&lt;20,1,IF(O2164&gt;1000,10,MATCH(O2164,Cargas,1))),Coluna_fih,1,1))*(PI()*(fi_h/1000)^2/4)*SQRT(2*9.81*(O2164/100-fi_h/2/1000))*1000))</f>
        <v>62.358607461073206</v>
      </c>
      <c r="Q2164" s="19">
        <f ca="1">IF(O2164="","",IF(Tipo_Vertedor="Retangular",IF(O2164&lt;=cota_s*100,0,IF(Tipo_Vertedor="Retangular",Cd_sr*Lef_sr*((O2164/100-cota_s)^(3/2))*1000)),IF(O2164&lt;=cota_s*100+fi_s/20,0,(OFFSET('Base de dados'!$A$4,IF(O2164&lt;20,1,IF(O2164&gt;1000,10,MATCH(O2164,Cargas,1))),Coluna_fis,1,1))*(PI()*(fi_s/1000)^2/4)*(2*9.81*(O2164/100-cota_s-fi_s/2/1000))^0.5*1000)))</f>
        <v>11573.941408589135</v>
      </c>
      <c r="R2164" s="19">
        <f t="shared" ca="1" si="255"/>
        <v>11636.300016050209</v>
      </c>
      <c r="S2164" s="19">
        <f t="shared" ca="1" si="256"/>
        <v>13484.54940588134</v>
      </c>
    </row>
    <row r="2165" spans="13:19">
      <c r="M2165" s="81">
        <f t="shared" ca="1" si="253"/>
        <v>25136.90420671062</v>
      </c>
      <c r="N2165" s="19">
        <f t="shared" si="254"/>
        <v>404.74681249735085</v>
      </c>
      <c r="O2165" s="17">
        <f t="shared" si="252"/>
        <v>541</v>
      </c>
      <c r="P2165" s="19">
        <f ca="1">IF(ISERROR(IF(O2165&lt;fi_h/20,0,(OFFSET('Base de dados'!$A$5,IF(O2165&lt;20,1,IF(O2165&gt;1000,10,MATCH(O2165,Cargas,1))),Coluna_fih,1,1))*(1+0.13*0.25)*(PI()*(fi_h/1000)^2/4)*SQRT(2*9.81*(O2165/100-fi_h/2/1000))*1000)),"",IF(O2165&lt;fi_h/20,0,(OFFSET('Base de dados'!$A$5,IF(O2165&lt;20,1,IF(O2165&gt;1000,10,MATCH(O2165,Cargas,1))),Coluna_fih,1,1))*(PI()*(fi_h/1000)^2/4)*SQRT(2*9.81*(O2165/100-fi_h/2/1000))*1000))</f>
        <v>62.373172533155447</v>
      </c>
      <c r="Q2165" s="19">
        <f ca="1">IF(O2165="","",IF(Tipo_Vertedor="Retangular",IF(O2165&lt;=cota_s*100,0,IF(Tipo_Vertedor="Retangular",Cd_sr*Lef_sr*((O2165/100-cota_s)^(3/2))*1000)),IF(O2165&lt;=cota_s*100+fi_s/20,0,(OFFSET('Base de dados'!$A$4,IF(O2165&lt;20,1,IF(O2165&gt;1000,10,MATCH(O2165,Cargas,1))),Coluna_fis,1,1))*(PI()*(fi_s/1000)^2/4)*(2*9.81*(O2165/100-cota_s-fi_s/2/1000))^0.5*1000)))</f>
        <v>11582.9706175991</v>
      </c>
      <c r="R2165" s="19">
        <f t="shared" ca="1" si="255"/>
        <v>11645.343790132256</v>
      </c>
      <c r="S2165" s="19">
        <f t="shared" ca="1" si="256"/>
        <v>13491.560416578362</v>
      </c>
    </row>
    <row r="2166" spans="13:19">
      <c r="M2166" s="81">
        <f t="shared" ca="1" si="253"/>
        <v>25152.961738475035</v>
      </c>
      <c r="N2166" s="19">
        <f t="shared" si="254"/>
        <v>404.95715492664198</v>
      </c>
      <c r="O2166" s="17">
        <f t="shared" si="252"/>
        <v>541.25</v>
      </c>
      <c r="P2166" s="19">
        <f ca="1">IF(ISERROR(IF(O2166&lt;fi_h/20,0,(OFFSET('Base de dados'!$A$5,IF(O2166&lt;20,1,IF(O2166&gt;1000,10,MATCH(O2166,Cargas,1))),Coluna_fih,1,1))*(1+0.13*0.25)*(PI()*(fi_h/1000)^2/4)*SQRT(2*9.81*(O2166/100-fi_h/2/1000))*1000)),"",IF(O2166&lt;fi_h/20,0,(OFFSET('Base de dados'!$A$5,IF(O2166&lt;20,1,IF(O2166&gt;1000,10,MATCH(O2166,Cargas,1))),Coluna_fih,1,1))*(PI()*(fi_h/1000)^2/4)*SQRT(2*9.81*(O2166/100-fi_h/2/1000))*1000))</f>
        <v>62.387734204868664</v>
      </c>
      <c r="Q2166" s="19">
        <f ca="1">IF(O2166="","",IF(Tipo_Vertedor="Retangular",IF(O2166&lt;=cota_s*100,0,IF(Tipo_Vertedor="Retangular",Cd_sr*Lef_sr*((O2166/100-cota_s)^(3/2))*1000)),IF(O2166&lt;=cota_s*100+fi_s/20,0,(OFFSET('Base de dados'!$A$4,IF(O2166&lt;20,1,IF(O2166&gt;1000,10,MATCH(O2166,Cargas,1))),Coluna_fis,1,1))*(PI()*(fi_s/1000)^2/4)*(2*9.81*(O2166/100-cota_s-fi_s/2/1000))^0.5*1000)))</f>
        <v>11592.002173382099</v>
      </c>
      <c r="R2166" s="19">
        <f t="shared" ca="1" si="255"/>
        <v>11654.389907586969</v>
      </c>
      <c r="S2166" s="19">
        <f t="shared" ca="1" si="256"/>
        <v>13498.571830888066</v>
      </c>
    </row>
    <row r="2167" spans="13:19">
      <c r="M2167" s="81">
        <f t="shared" ca="1" si="253"/>
        <v>25169.022016454357</v>
      </c>
      <c r="N2167" s="19">
        <f t="shared" si="254"/>
        <v>405.16750945941772</v>
      </c>
      <c r="O2167" s="17">
        <f t="shared" si="252"/>
        <v>541.5</v>
      </c>
      <c r="P2167" s="19">
        <f ca="1">IF(ISERROR(IF(O2167&lt;fi_h/20,0,(OFFSET('Base de dados'!$A$5,IF(O2167&lt;20,1,IF(O2167&gt;1000,10,MATCH(O2167,Cargas,1))),Coluna_fih,1,1))*(1+0.13*0.25)*(PI()*(fi_h/1000)^2/4)*SQRT(2*9.81*(O2167/100-fi_h/2/1000))*1000)),"",IF(O2167&lt;fi_h/20,0,(OFFSET('Base de dados'!$A$5,IF(O2167&lt;20,1,IF(O2167&gt;1000,10,MATCH(O2167,Cargas,1))),Coluna_fih,1,1))*(PI()*(fi_h/1000)^2/4)*SQRT(2*9.81*(O2167/100-fi_h/2/1000))*1000))</f>
        <v>62.402292478593296</v>
      </c>
      <c r="Q2167" s="19">
        <f ca="1">IF(O2167="","",IF(Tipo_Vertedor="Retangular",IF(O2167&lt;=cota_s*100,0,IF(Tipo_Vertedor="Retangular",Cd_sr*Lef_sr*((O2167/100-cota_s)^(3/2))*1000)),IF(O2167&lt;=cota_s*100+fi_s/20,0,(OFFSET('Base de dados'!$A$4,IF(O2167&lt;20,1,IF(O2167&gt;1000,10,MATCH(O2167,Cargas,1))),Coluna_fis,1,1))*(PI()*(fi_s/1000)^2/4)*(2*9.81*(O2167/100-cota_s-fi_s/2/1000))^0.5*1000)))</f>
        <v>11601.036075328508</v>
      </c>
      <c r="R2167" s="19">
        <f t="shared" ca="1" si="255"/>
        <v>11663.438367807101</v>
      </c>
      <c r="S2167" s="19">
        <f t="shared" ca="1" si="256"/>
        <v>13505.583648647258</v>
      </c>
    </row>
    <row r="2168" spans="13:19">
      <c r="M2168" s="81">
        <f t="shared" ca="1" si="253"/>
        <v>25185.085039878748</v>
      </c>
      <c r="N2168" s="19">
        <f t="shared" si="254"/>
        <v>405.37787609078595</v>
      </c>
      <c r="O2168" s="17">
        <f t="shared" si="252"/>
        <v>541.75</v>
      </c>
      <c r="P2168" s="19">
        <f ca="1">IF(ISERROR(IF(O2168&lt;fi_h/20,0,(OFFSET('Base de dados'!$A$5,IF(O2168&lt;20,1,IF(O2168&gt;1000,10,MATCH(O2168,Cargas,1))),Coluna_fih,1,1))*(1+0.13*0.25)*(PI()*(fi_h/1000)^2/4)*SQRT(2*9.81*(O2168/100-fi_h/2/1000))*1000)),"",IF(O2168&lt;fi_h/20,0,(OFFSET('Base de dados'!$A$5,IF(O2168&lt;20,1,IF(O2168&gt;1000,10,MATCH(O2168,Cargas,1))),Coluna_fih,1,1))*(PI()*(fi_h/1000)^2/4)*SQRT(2*9.81*(O2168/100-fi_h/2/1000))*1000))</f>
        <v>62.416847356707024</v>
      </c>
      <c r="Q2168" s="19">
        <f ca="1">IF(O2168="","",IF(Tipo_Vertedor="Retangular",IF(O2168&lt;=cota_s*100,0,IF(Tipo_Vertedor="Retangular",Cd_sr*Lef_sr*((O2168/100-cota_s)^(3/2))*1000)),IF(O2168&lt;=cota_s*100+fi_s/20,0,(OFFSET('Base de dados'!$A$4,IF(O2168&lt;20,1,IF(O2168&gt;1000,10,MATCH(O2168,Cargas,1))),Coluna_fis,1,1))*(PI()*(fi_s/1000)^2/4)*(2*9.81*(O2168/100-cota_s-fi_s/2/1000))^0.5*1000)))</f>
        <v>11610.072322829175</v>
      </c>
      <c r="R2168" s="19">
        <f t="shared" ca="1" si="255"/>
        <v>11672.489170185883</v>
      </c>
      <c r="S2168" s="19">
        <f t="shared" ca="1" si="256"/>
        <v>13512.595869692865</v>
      </c>
    </row>
    <row r="2169" spans="13:19">
      <c r="M2169" s="81">
        <f t="shared" ca="1" si="253"/>
        <v>25201.150807978942</v>
      </c>
      <c r="N2169" s="19">
        <f t="shared" si="254"/>
        <v>405.58825481585859</v>
      </c>
      <c r="O2169" s="17">
        <f t="shared" si="252"/>
        <v>542</v>
      </c>
      <c r="P2169" s="19">
        <f ca="1">IF(ISERROR(IF(O2169&lt;fi_h/20,0,(OFFSET('Base de dados'!$A$5,IF(O2169&lt;20,1,IF(O2169&gt;1000,10,MATCH(O2169,Cargas,1))),Coluna_fih,1,1))*(1+0.13*0.25)*(PI()*(fi_h/1000)^2/4)*SQRT(2*9.81*(O2169/100-fi_h/2/1000))*1000)),"",IF(O2169&lt;fi_h/20,0,(OFFSET('Base de dados'!$A$5,IF(O2169&lt;20,1,IF(O2169&gt;1000,10,MATCH(O2169,Cargas,1))),Coluna_fih,1,1))*(PI()*(fi_h/1000)^2/4)*SQRT(2*9.81*(O2169/100-fi_h/2/1000))*1000))</f>
        <v>62.431398841584716</v>
      </c>
      <c r="Q2169" s="19">
        <f ca="1">IF(O2169="","",IF(Tipo_Vertedor="Retangular",IF(O2169&lt;=cota_s*100,0,IF(Tipo_Vertedor="Retangular",Cd_sr*Lef_sr*((O2169/100-cota_s)^(3/2))*1000)),IF(O2169&lt;=cota_s*100+fi_s/20,0,(OFFSET('Base de dados'!$A$4,IF(O2169&lt;20,1,IF(O2169&gt;1000,10,MATCH(O2169,Cargas,1))),Coluna_fis,1,1))*(PI()*(fi_s/1000)^2/4)*(2*9.81*(O2169/100-cota_s-fi_s/2/1000))^0.5*1000)))</f>
        <v>11619.110915275403</v>
      </c>
      <c r="R2169" s="19">
        <f t="shared" ca="1" si="255"/>
        <v>11681.542314116989</v>
      </c>
      <c r="S2169" s="19">
        <f t="shared" ca="1" si="256"/>
        <v>13519.608493861953</v>
      </c>
    </row>
    <row r="2170" spans="13:19">
      <c r="M2170" s="81">
        <f t="shared" ca="1" si="253"/>
        <v>25217.21931998635</v>
      </c>
      <c r="N2170" s="19">
        <f t="shared" si="254"/>
        <v>405.79864562975268</v>
      </c>
      <c r="O2170" s="17">
        <f t="shared" si="252"/>
        <v>542.25</v>
      </c>
      <c r="P2170" s="19">
        <f ca="1">IF(ISERROR(IF(O2170&lt;fi_h/20,0,(OFFSET('Base de dados'!$A$5,IF(O2170&lt;20,1,IF(O2170&gt;1000,10,MATCH(O2170,Cargas,1))),Coluna_fih,1,1))*(1+0.13*0.25)*(PI()*(fi_h/1000)^2/4)*SQRT(2*9.81*(O2170/100-fi_h/2/1000))*1000)),"",IF(O2170&lt;fi_h/20,0,(OFFSET('Base de dados'!$A$5,IF(O2170&lt;20,1,IF(O2170&gt;1000,10,MATCH(O2170,Cargas,1))),Coluna_fih,1,1))*(PI()*(fi_h/1000)^2/4)*SQRT(2*9.81*(O2170/100-fi_h/2/1000))*1000))</f>
        <v>62.445946935598535</v>
      </c>
      <c r="Q2170" s="19">
        <f ca="1">IF(O2170="","",IF(Tipo_Vertedor="Retangular",IF(O2170&lt;=cota_s*100,0,IF(Tipo_Vertedor="Retangular",Cd_sr*Lef_sr*((O2170/100-cota_s)^(3/2))*1000)),IF(O2170&lt;=cota_s*100+fi_s/20,0,(OFFSET('Base de dados'!$A$4,IF(O2170&lt;20,1,IF(O2170&gt;1000,10,MATCH(O2170,Cargas,1))),Coluna_fis,1,1))*(PI()*(fi_s/1000)^2/4)*(2*9.81*(O2170/100-cota_s-fi_s/2/1000))^0.5*1000)))</f>
        <v>11628.151852058996</v>
      </c>
      <c r="R2170" s="19">
        <f t="shared" ca="1" si="255"/>
        <v>11690.597798994595</v>
      </c>
      <c r="S2170" s="19">
        <f t="shared" ca="1" si="256"/>
        <v>13526.621520991755</v>
      </c>
    </row>
    <row r="2171" spans="13:19">
      <c r="M2171" s="81">
        <f t="shared" ca="1" si="253"/>
        <v>25233.290575132956</v>
      </c>
      <c r="N2171" s="19">
        <f t="shared" si="254"/>
        <v>406.00904852758862</v>
      </c>
      <c r="O2171" s="17">
        <f t="shared" si="252"/>
        <v>542.5</v>
      </c>
      <c r="P2171" s="19">
        <f ca="1">IF(ISERROR(IF(O2171&lt;fi_h/20,0,(OFFSET('Base de dados'!$A$5,IF(O2171&lt;20,1,IF(O2171&gt;1000,10,MATCH(O2171,Cargas,1))),Coluna_fih,1,1))*(1+0.13*0.25)*(PI()*(fi_h/1000)^2/4)*SQRT(2*9.81*(O2171/100-fi_h/2/1000))*1000)),"",IF(O2171&lt;fi_h/20,0,(OFFSET('Base de dados'!$A$5,IF(O2171&lt;20,1,IF(O2171&gt;1000,10,MATCH(O2171,Cargas,1))),Coluna_fih,1,1))*(PI()*(fi_h/1000)^2/4)*SQRT(2*9.81*(O2171/100-fi_h/2/1000))*1000))</f>
        <v>62.460491641117819</v>
      </c>
      <c r="Q2171" s="19">
        <f ca="1">IF(O2171="","",IF(Tipo_Vertedor="Retangular",IF(O2171&lt;=cota_s*100,0,IF(Tipo_Vertedor="Retangular",Cd_sr*Lef_sr*((O2171/100-cota_s)^(3/2))*1000)),IF(O2171&lt;=cota_s*100+fi_s/20,0,(OFFSET('Base de dados'!$A$4,IF(O2171&lt;20,1,IF(O2171&gt;1000,10,MATCH(O2171,Cargas,1))),Coluna_fis,1,1))*(PI()*(fi_s/1000)^2/4)*(2*9.81*(O2171/100-cota_s-fi_s/2/1000))^0.5*1000)))</f>
        <v>11637.195132572218</v>
      </c>
      <c r="R2171" s="19">
        <f t="shared" ca="1" si="255"/>
        <v>11699.655624213336</v>
      </c>
      <c r="S2171" s="19">
        <f t="shared" ca="1" si="256"/>
        <v>13533.634950919621</v>
      </c>
    </row>
    <row r="2172" spans="13:19">
      <c r="M2172" s="81">
        <f t="shared" ca="1" si="253"/>
        <v>25249.364572651361</v>
      </c>
      <c r="N2172" s="19">
        <f t="shared" si="254"/>
        <v>406.21946350449144</v>
      </c>
      <c r="O2172" s="17">
        <f t="shared" si="252"/>
        <v>542.75</v>
      </c>
      <c r="P2172" s="19">
        <f ca="1">IF(ISERROR(IF(O2172&lt;fi_h/20,0,(OFFSET('Base de dados'!$A$5,IF(O2172&lt;20,1,IF(O2172&gt;1000,10,MATCH(O2172,Cargas,1))),Coluna_fih,1,1))*(1+0.13*0.25)*(PI()*(fi_h/1000)^2/4)*SQRT(2*9.81*(O2172/100-fi_h/2/1000))*1000)),"",IF(O2172&lt;fi_h/20,0,(OFFSET('Base de dados'!$A$5,IF(O2172&lt;20,1,IF(O2172&gt;1000,10,MATCH(O2172,Cargas,1))),Coluna_fih,1,1))*(PI()*(fi_h/1000)^2/4)*SQRT(2*9.81*(O2172/100-fi_h/2/1000))*1000))</f>
        <v>62.475032960509211</v>
      </c>
      <c r="Q2172" s="19">
        <f ca="1">IF(O2172="","",IF(Tipo_Vertedor="Retangular",IF(O2172&lt;=cota_s*100,0,IF(Tipo_Vertedor="Retangular",Cd_sr*Lef_sr*((O2172/100-cota_s)^(3/2))*1000)),IF(O2172&lt;=cota_s*100+fi_s/20,0,(OFFSET('Base de dados'!$A$4,IF(O2172&lt;20,1,IF(O2172&gt;1000,10,MATCH(O2172,Cargas,1))),Coluna_fis,1,1))*(PI()*(fi_s/1000)^2/4)*(2*9.81*(O2172/100-cota_s-fi_s/2/1000))^0.5*1000)))</f>
        <v>11646.240756207804</v>
      </c>
      <c r="R2172" s="19">
        <f t="shared" ca="1" si="255"/>
        <v>11708.715789168313</v>
      </c>
      <c r="S2172" s="19">
        <f t="shared" ca="1" si="256"/>
        <v>13540.648783483048</v>
      </c>
    </row>
    <row r="2173" spans="13:19">
      <c r="M2173" s="81">
        <f t="shared" ca="1" si="253"/>
        <v>25265.441311774775</v>
      </c>
      <c r="N2173" s="19">
        <f t="shared" si="254"/>
        <v>406.42989055559036</v>
      </c>
      <c r="O2173" s="17">
        <f t="shared" si="252"/>
        <v>543</v>
      </c>
      <c r="P2173" s="19">
        <f ca="1">IF(ISERROR(IF(O2173&lt;fi_h/20,0,(OFFSET('Base de dados'!$A$5,IF(O2173&lt;20,1,IF(O2173&gt;1000,10,MATCH(O2173,Cargas,1))),Coluna_fih,1,1))*(1+0.13*0.25)*(PI()*(fi_h/1000)^2/4)*SQRT(2*9.81*(O2173/100-fi_h/2/1000))*1000)),"",IF(O2173&lt;fi_h/20,0,(OFFSET('Base de dados'!$A$5,IF(O2173&lt;20,1,IF(O2173&gt;1000,10,MATCH(O2173,Cargas,1))),Coluna_fih,1,1))*(PI()*(fi_h/1000)^2/4)*SQRT(2*9.81*(O2173/100-fi_h/2/1000))*1000))</f>
        <v>62.489570896136534</v>
      </c>
      <c r="Q2173" s="19">
        <f ca="1">IF(O2173="","",IF(Tipo_Vertedor="Retangular",IF(O2173&lt;=cota_s*100,0,IF(Tipo_Vertedor="Retangular",Cd_sr*Lef_sr*((O2173/100-cota_s)^(3/2))*1000)),IF(O2173&lt;=cota_s*100+fi_s/20,0,(OFFSET('Base de dados'!$A$4,IF(O2173&lt;20,1,IF(O2173&gt;1000,10,MATCH(O2173,Cargas,1))),Coluna_fis,1,1))*(PI()*(fi_s/1000)^2/4)*(2*9.81*(O2173/100-cota_s-fi_s/2/1000))^0.5*1000)))</f>
        <v>11655.288722358964</v>
      </c>
      <c r="R2173" s="19">
        <f t="shared" ca="1" si="255"/>
        <v>11717.7782932551</v>
      </c>
      <c r="S2173" s="19">
        <f t="shared" ca="1" si="256"/>
        <v>13547.663018519677</v>
      </c>
    </row>
    <row r="2174" spans="13:19">
      <c r="M2174" s="81">
        <f t="shared" ca="1" si="253"/>
        <v>25281.520791737028</v>
      </c>
      <c r="N2174" s="19">
        <f t="shared" si="254"/>
        <v>406.64032967601861</v>
      </c>
      <c r="O2174" s="17">
        <f t="shared" si="252"/>
        <v>543.25</v>
      </c>
      <c r="P2174" s="19">
        <f ca="1">IF(ISERROR(IF(O2174&lt;fi_h/20,0,(OFFSET('Base de dados'!$A$5,IF(O2174&lt;20,1,IF(O2174&gt;1000,10,MATCH(O2174,Cargas,1))),Coluna_fih,1,1))*(1+0.13*0.25)*(PI()*(fi_h/1000)^2/4)*SQRT(2*9.81*(O2174/100-fi_h/2/1000))*1000)),"",IF(O2174&lt;fi_h/20,0,(OFFSET('Base de dados'!$A$5,IF(O2174&lt;20,1,IF(O2174&gt;1000,10,MATCH(O2174,Cargas,1))),Coluna_fih,1,1))*(PI()*(fi_h/1000)^2/4)*SQRT(2*9.81*(O2174/100-fi_h/2/1000))*1000))</f>
        <v>62.504105450360917</v>
      </c>
      <c r="Q2174" s="19">
        <f ca="1">IF(O2174="","",IF(Tipo_Vertedor="Retangular",IF(O2174&lt;=cota_s*100,0,IF(Tipo_Vertedor="Retangular",Cd_sr*Lef_sr*((O2174/100-cota_s)^(3/2))*1000)),IF(O2174&lt;=cota_s*100+fi_s/20,0,(OFFSET('Base de dados'!$A$4,IF(O2174&lt;20,1,IF(O2174&gt;1000,10,MATCH(O2174,Cargas,1))),Coluna_fis,1,1))*(PI()*(fi_s/1000)^2/4)*(2*9.81*(O2174/100-cota_s-fi_s/2/1000))^0.5*1000)))</f>
        <v>11664.339030419378</v>
      </c>
      <c r="R2174" s="19">
        <f t="shared" ca="1" si="255"/>
        <v>11726.84313586974</v>
      </c>
      <c r="S2174" s="19">
        <f t="shared" ca="1" si="256"/>
        <v>13554.677655867288</v>
      </c>
    </row>
    <row r="2175" spans="13:19">
      <c r="M2175" s="81">
        <f t="shared" ca="1" si="253"/>
        <v>25297.60301177252</v>
      </c>
      <c r="N2175" s="19">
        <f t="shared" si="254"/>
        <v>406.85078086091363</v>
      </c>
      <c r="O2175" s="17">
        <f t="shared" si="252"/>
        <v>543.5</v>
      </c>
      <c r="P2175" s="19">
        <f ca="1">IF(ISERROR(IF(O2175&lt;fi_h/20,0,(OFFSET('Base de dados'!$A$5,IF(O2175&lt;20,1,IF(O2175&gt;1000,10,MATCH(O2175,Cargas,1))),Coluna_fih,1,1))*(1+0.13*0.25)*(PI()*(fi_h/1000)^2/4)*SQRT(2*9.81*(O2175/100-fi_h/2/1000))*1000)),"",IF(O2175&lt;fi_h/20,0,(OFFSET('Base de dados'!$A$5,IF(O2175&lt;20,1,IF(O2175&gt;1000,10,MATCH(O2175,Cargas,1))),Coluna_fih,1,1))*(PI()*(fi_h/1000)^2/4)*SQRT(2*9.81*(O2175/100-fi_h/2/1000))*1000))</f>
        <v>62.518636625540708</v>
      </c>
      <c r="Q2175" s="19">
        <f ca="1">IF(O2175="","",IF(Tipo_Vertedor="Retangular",IF(O2175&lt;=cota_s*100,0,IF(Tipo_Vertedor="Retangular",Cd_sr*Lef_sr*((O2175/100-cota_s)^(3/2))*1000)),IF(O2175&lt;=cota_s*100+fi_s/20,0,(OFFSET('Base de dados'!$A$4,IF(O2175&lt;20,1,IF(O2175&gt;1000,10,MATCH(O2175,Cargas,1))),Coluna_fis,1,1))*(PI()*(fi_s/1000)^2/4)*(2*9.81*(O2175/100-cota_s-fi_s/2/1000))^0.5*1000)))</f>
        <v>11673.391679783193</v>
      </c>
      <c r="R2175" s="19">
        <f t="shared" ca="1" si="255"/>
        <v>11735.910316408734</v>
      </c>
      <c r="S2175" s="19">
        <f t="shared" ca="1" si="256"/>
        <v>13561.692695363787</v>
      </c>
    </row>
    <row r="2176" spans="13:19">
      <c r="M2176" s="81">
        <f t="shared" ca="1" si="253"/>
        <v>25313.68797111632</v>
      </c>
      <c r="N2176" s="19">
        <f t="shared" si="254"/>
        <v>407.06124410541747</v>
      </c>
      <c r="O2176" s="17">
        <f t="shared" si="252"/>
        <v>543.75</v>
      </c>
      <c r="P2176" s="19">
        <f ca="1">IF(ISERROR(IF(O2176&lt;fi_h/20,0,(OFFSET('Base de dados'!$A$5,IF(O2176&lt;20,1,IF(O2176&gt;1000,10,MATCH(O2176,Cargas,1))),Coluna_fih,1,1))*(1+0.13*0.25)*(PI()*(fi_h/1000)^2/4)*SQRT(2*9.81*(O2176/100-fi_h/2/1000))*1000)),"",IF(O2176&lt;fi_h/20,0,(OFFSET('Base de dados'!$A$5,IF(O2176&lt;20,1,IF(O2176&gt;1000,10,MATCH(O2176,Cargas,1))),Coluna_fih,1,1))*(PI()*(fi_h/1000)^2/4)*SQRT(2*9.81*(O2176/100-fi_h/2/1000))*1000))</f>
        <v>62.533164424031519</v>
      </c>
      <c r="Q2176" s="19">
        <f ca="1">IF(O2176="","",IF(Tipo_Vertedor="Retangular",IF(O2176&lt;=cota_s*100,0,IF(Tipo_Vertedor="Retangular",Cd_sr*Lef_sr*((O2176/100-cota_s)^(3/2))*1000)),IF(O2176&lt;=cota_s*100+fi_s/20,0,(OFFSET('Base de dados'!$A$4,IF(O2176&lt;20,1,IF(O2176&gt;1000,10,MATCH(O2176,Cargas,1))),Coluna_fis,1,1))*(PI()*(fi_s/1000)^2/4)*(2*9.81*(O2176/100-cota_s-fi_s/2/1000))^0.5*1000)))</f>
        <v>11682.446669845038</v>
      </c>
      <c r="R2176" s="19">
        <f t="shared" ca="1" si="255"/>
        <v>11744.97983426907</v>
      </c>
      <c r="S2176" s="19">
        <f t="shared" ca="1" si="256"/>
        <v>13568.708136847248</v>
      </c>
    </row>
    <row r="2177" spans="13:19">
      <c r="M2177" s="81">
        <f t="shared" ca="1" si="253"/>
        <v>25329.775669004055</v>
      </c>
      <c r="N2177" s="19">
        <f t="shared" si="254"/>
        <v>407.27171940467582</v>
      </c>
      <c r="O2177" s="17">
        <f t="shared" si="252"/>
        <v>544</v>
      </c>
      <c r="P2177" s="19">
        <f ca="1">IF(ISERROR(IF(O2177&lt;fi_h/20,0,(OFFSET('Base de dados'!$A$5,IF(O2177&lt;20,1,IF(O2177&gt;1000,10,MATCH(O2177,Cargas,1))),Coluna_fih,1,1))*(1+0.13*0.25)*(PI()*(fi_h/1000)^2/4)*SQRT(2*9.81*(O2177/100-fi_h/2/1000))*1000)),"",IF(O2177&lt;fi_h/20,0,(OFFSET('Base de dados'!$A$5,IF(O2177&lt;20,1,IF(O2177&gt;1000,10,MATCH(O2177,Cargas,1))),Coluna_fih,1,1))*(PI()*(fi_h/1000)^2/4)*SQRT(2*9.81*(O2177/100-fi_h/2/1000))*1000))</f>
        <v>62.547688848186262</v>
      </c>
      <c r="Q2177" s="19">
        <f ca="1">IF(O2177="","",IF(Tipo_Vertedor="Retangular",IF(O2177&lt;=cota_s*100,0,IF(Tipo_Vertedor="Retangular",Cd_sr*Lef_sr*((O2177/100-cota_s)^(3/2))*1000)),IF(O2177&lt;=cota_s*100+fi_s/20,0,(OFFSET('Base de dados'!$A$4,IF(O2177&lt;20,1,IF(O2177&gt;1000,10,MATCH(O2177,Cargas,1))),Coluna_fis,1,1))*(PI()*(fi_s/1000)^2/4)*(2*9.81*(O2177/100-cota_s-fi_s/2/1000))^0.5*1000)))</f>
        <v>11691.504000000008</v>
      </c>
      <c r="R2177" s="19">
        <f t="shared" ca="1" si="255"/>
        <v>11754.051688848194</v>
      </c>
      <c r="S2177" s="19">
        <f t="shared" ca="1" si="256"/>
        <v>13575.723980155861</v>
      </c>
    </row>
    <row r="2178" spans="13:19">
      <c r="M2178" s="81">
        <f t="shared" ca="1" si="253"/>
        <v>25345.866104671957</v>
      </c>
      <c r="N2178" s="19">
        <f t="shared" si="254"/>
        <v>407.48220675383885</v>
      </c>
      <c r="O2178" s="17">
        <f t="shared" si="252"/>
        <v>544.25</v>
      </c>
      <c r="P2178" s="19">
        <f ca="1">IF(ISERROR(IF(O2178&lt;fi_h/20,0,(OFFSET('Base de dados'!$A$5,IF(O2178&lt;20,1,IF(O2178&gt;1000,10,MATCH(O2178,Cargas,1))),Coluna_fih,1,1))*(1+0.13*0.25)*(PI()*(fi_h/1000)^2/4)*SQRT(2*9.81*(O2178/100-fi_h/2/1000))*1000)),"",IF(O2178&lt;fi_h/20,0,(OFFSET('Base de dados'!$A$5,IF(O2178&lt;20,1,IF(O2178&gt;1000,10,MATCH(O2178,Cargas,1))),Coluna_fih,1,1))*(PI()*(fi_h/1000)^2/4)*SQRT(2*9.81*(O2178/100-fi_h/2/1000))*1000))</f>
        <v>62.562209900355064</v>
      </c>
      <c r="Q2178" s="19">
        <f ca="1">IF(O2178="","",IF(Tipo_Vertedor="Retangular",IF(O2178&lt;=cota_s*100,0,IF(Tipo_Vertedor="Retangular",Cd_sr*Lef_sr*((O2178/100-cota_s)^(3/2))*1000)),IF(O2178&lt;=cota_s*100+fi_s/20,0,(OFFSET('Base de dados'!$A$4,IF(O2178&lt;20,1,IF(O2178&gt;1000,10,MATCH(O2178,Cargas,1))),Coluna_fis,1,1))*(PI()*(fi_s/1000)^2/4)*(2*9.81*(O2178/100-cota_s-fi_s/2/1000))^0.5*1000)))</f>
        <v>11700.563669643641</v>
      </c>
      <c r="R2178" s="19">
        <f t="shared" ca="1" si="255"/>
        <v>11763.125879543997</v>
      </c>
      <c r="S2178" s="19">
        <f t="shared" ca="1" si="256"/>
        <v>13582.740225127962</v>
      </c>
    </row>
    <row r="2179" spans="13:19">
      <c r="M2179" s="81">
        <f t="shared" ca="1" si="253"/>
        <v>25361.959277356902</v>
      </c>
      <c r="N2179" s="19">
        <f t="shared" si="254"/>
        <v>407.69270614806106</v>
      </c>
      <c r="O2179" s="17">
        <f t="shared" si="252"/>
        <v>544.5</v>
      </c>
      <c r="P2179" s="19">
        <f ca="1">IF(ISERROR(IF(O2179&lt;fi_h/20,0,(OFFSET('Base de dados'!$A$5,IF(O2179&lt;20,1,IF(O2179&gt;1000,10,MATCH(O2179,Cargas,1))),Coluna_fih,1,1))*(1+0.13*0.25)*(PI()*(fi_h/1000)^2/4)*SQRT(2*9.81*(O2179/100-fi_h/2/1000))*1000)),"",IF(O2179&lt;fi_h/20,0,(OFFSET('Base de dados'!$A$5,IF(O2179&lt;20,1,IF(O2179&gt;1000,10,MATCH(O2179,Cargas,1))),Coluna_fih,1,1))*(PI()*(fi_h/1000)^2/4)*SQRT(2*9.81*(O2179/100-fi_h/2/1000))*1000))</f>
        <v>62.576727582885361</v>
      </c>
      <c r="Q2179" s="19">
        <f ca="1">IF(O2179="","",IF(Tipo_Vertedor="Retangular",IF(O2179&lt;=cota_s*100,0,IF(Tipo_Vertedor="Retangular",Cd_sr*Lef_sr*((O2179/100-cota_s)^(3/2))*1000)),IF(O2179&lt;=cota_s*100+fi_s/20,0,(OFFSET('Base de dados'!$A$4,IF(O2179&lt;20,1,IF(O2179&gt;1000,10,MATCH(O2179,Cargas,1))),Coluna_fis,1,1))*(PI()*(fi_s/1000)^2/4)*(2*9.81*(O2179/100-cota_s-fi_s/2/1000))^0.5*1000)))</f>
        <v>11709.625678171982</v>
      </c>
      <c r="R2179" s="19">
        <f t="shared" ca="1" si="255"/>
        <v>11772.202405754868</v>
      </c>
      <c r="S2179" s="19">
        <f t="shared" ca="1" si="256"/>
        <v>13589.756871602036</v>
      </c>
    </row>
    <row r="2180" spans="13:19">
      <c r="M2180" s="81">
        <f t="shared" ca="1" si="253"/>
        <v>25378.055186296318</v>
      </c>
      <c r="N2180" s="19">
        <f t="shared" si="254"/>
        <v>407.90321758250053</v>
      </c>
      <c r="O2180" s="17">
        <f t="shared" si="252"/>
        <v>544.75</v>
      </c>
      <c r="P2180" s="19">
        <f ca="1">IF(ISERROR(IF(O2180&lt;fi_h/20,0,(OFFSET('Base de dados'!$A$5,IF(O2180&lt;20,1,IF(O2180&gt;1000,10,MATCH(O2180,Cargas,1))),Coluna_fih,1,1))*(1+0.13*0.25)*(PI()*(fi_h/1000)^2/4)*SQRT(2*9.81*(O2180/100-fi_h/2/1000))*1000)),"",IF(O2180&lt;fi_h/20,0,(OFFSET('Base de dados'!$A$5,IF(O2180&lt;20,1,IF(O2180&gt;1000,10,MATCH(O2180,Cargas,1))),Coluna_fih,1,1))*(PI()*(fi_h/1000)^2/4)*SQRT(2*9.81*(O2180/100-fi_h/2/1000))*1000))</f>
        <v>62.591241898121886</v>
      </c>
      <c r="Q2180" s="19">
        <f ca="1">IF(O2180="","",IF(Tipo_Vertedor="Retangular",IF(O2180&lt;=cota_s*100,0,IF(Tipo_Vertedor="Retangular",Cd_sr*Lef_sr*((O2180/100-cota_s)^(3/2))*1000)),IF(O2180&lt;=cota_s*100+fi_s/20,0,(OFFSET('Base de dados'!$A$4,IF(O2180&lt;20,1,IF(O2180&gt;1000,10,MATCH(O2180,Cargas,1))),Coluna_fis,1,1))*(PI()*(fi_s/1000)^2/4)*(2*9.81*(O2180/100-cota_s-fi_s/2/1000))^0.5*1000)))</f>
        <v>11718.69002498151</v>
      </c>
      <c r="R2180" s="19">
        <f t="shared" ca="1" si="255"/>
        <v>11781.281266879632</v>
      </c>
      <c r="S2180" s="19">
        <f t="shared" ca="1" si="256"/>
        <v>13596.773919416684</v>
      </c>
    </row>
    <row r="2181" spans="13:19">
      <c r="M2181" s="81">
        <f t="shared" ca="1" si="253"/>
        <v>25394.15383072829</v>
      </c>
      <c r="N2181" s="19">
        <f t="shared" si="254"/>
        <v>408.11374105232022</v>
      </c>
      <c r="O2181" s="17">
        <f t="shared" si="252"/>
        <v>545</v>
      </c>
      <c r="P2181" s="19">
        <f ca="1">IF(ISERROR(IF(O2181&lt;fi_h/20,0,(OFFSET('Base de dados'!$A$5,IF(O2181&lt;20,1,IF(O2181&gt;1000,10,MATCH(O2181,Cargas,1))),Coluna_fih,1,1))*(1+0.13*0.25)*(PI()*(fi_h/1000)^2/4)*SQRT(2*9.81*(O2181/100-fi_h/2/1000))*1000)),"",IF(O2181&lt;fi_h/20,0,(OFFSET('Base de dados'!$A$5,IF(O2181&lt;20,1,IF(O2181&gt;1000,10,MATCH(O2181,Cargas,1))),Coluna_fih,1,1))*(PI()*(fi_h/1000)^2/4)*SQRT(2*9.81*(O2181/100-fi_h/2/1000))*1000))</f>
        <v>62.605752848406595</v>
      </c>
      <c r="Q2181" s="19">
        <f ca="1">IF(O2181="","",IF(Tipo_Vertedor="Retangular",IF(O2181&lt;=cota_s*100,0,IF(Tipo_Vertedor="Retangular",Cd_sr*Lef_sr*((O2181/100-cota_s)^(3/2))*1000)),IF(O2181&lt;=cota_s*100+fi_s/20,0,(OFFSET('Base de dados'!$A$4,IF(O2181&lt;20,1,IF(O2181&gt;1000,10,MATCH(O2181,Cargas,1))),Coluna_fis,1,1))*(PI()*(fi_s/1000)^2/4)*(2*9.81*(O2181/100-cota_s-fi_s/2/1000))^0.5*1000)))</f>
        <v>11727.756709469208</v>
      </c>
      <c r="R2181" s="19">
        <f t="shared" ca="1" si="255"/>
        <v>11790.362462317615</v>
      </c>
      <c r="S2181" s="19">
        <f t="shared" ca="1" si="256"/>
        <v>13603.791368410673</v>
      </c>
    </row>
    <row r="2182" spans="13:19">
      <c r="M2182" s="81">
        <f t="shared" ca="1" si="253"/>
        <v>25410.25520989146</v>
      </c>
      <c r="N2182" s="19">
        <f t="shared" si="254"/>
        <v>408.32427655268674</v>
      </c>
      <c r="O2182" s="17">
        <f t="shared" si="252"/>
        <v>545.25</v>
      </c>
      <c r="P2182" s="19">
        <f ca="1">IF(ISERROR(IF(O2182&lt;fi_h/20,0,(OFFSET('Base de dados'!$A$5,IF(O2182&lt;20,1,IF(O2182&gt;1000,10,MATCH(O2182,Cargas,1))),Coluna_fih,1,1))*(1+0.13*0.25)*(PI()*(fi_h/1000)^2/4)*SQRT(2*9.81*(O2182/100-fi_h/2/1000))*1000)),"",IF(O2182&lt;fi_h/20,0,(OFFSET('Base de dados'!$A$5,IF(O2182&lt;20,1,IF(O2182&gt;1000,10,MATCH(O2182,Cargas,1))),Coluna_fih,1,1))*(PI()*(fi_h/1000)^2/4)*SQRT(2*9.81*(O2182/100-fi_h/2/1000))*1000))</f>
        <v>62.62026043607878</v>
      </c>
      <c r="Q2182" s="19">
        <f ca="1">IF(O2182="","",IF(Tipo_Vertedor="Retangular",IF(O2182&lt;=cota_s*100,0,IF(Tipo_Vertedor="Retangular",Cd_sr*Lef_sr*((O2182/100-cota_s)^(3/2))*1000)),IF(O2182&lt;=cota_s*100+fi_s/20,0,(OFFSET('Base de dados'!$A$4,IF(O2182&lt;20,1,IF(O2182&gt;1000,10,MATCH(O2182,Cargas,1))),Coluna_fis,1,1))*(PI()*(fi_s/1000)^2/4)*(2*9.81*(O2182/100-cota_s-fi_s/2/1000))^0.5*1000)))</f>
        <v>11736.825731032492</v>
      </c>
      <c r="R2182" s="19">
        <f t="shared" ca="1" si="255"/>
        <v>11799.44599146857</v>
      </c>
      <c r="S2182" s="19">
        <f t="shared" ca="1" si="256"/>
        <v>13610.809218422892</v>
      </c>
    </row>
    <row r="2183" spans="13:19">
      <c r="M2183" s="81">
        <f t="shared" ca="1" si="253"/>
        <v>25426.359323025099</v>
      </c>
      <c r="N2183" s="19">
        <f t="shared" si="254"/>
        <v>408.53482407877112</v>
      </c>
      <c r="O2183" s="17">
        <f t="shared" si="252"/>
        <v>545.5</v>
      </c>
      <c r="P2183" s="19">
        <f ca="1">IF(ISERROR(IF(O2183&lt;fi_h/20,0,(OFFSET('Base de dados'!$A$5,IF(O2183&lt;20,1,IF(O2183&gt;1000,10,MATCH(O2183,Cargas,1))),Coluna_fih,1,1))*(1+0.13*0.25)*(PI()*(fi_h/1000)^2/4)*SQRT(2*9.81*(O2183/100-fi_h/2/1000))*1000)),"",IF(O2183&lt;fi_h/20,0,(OFFSET('Base de dados'!$A$5,IF(O2183&lt;20,1,IF(O2183&gt;1000,10,MATCH(O2183,Cargas,1))),Coluna_fih,1,1))*(PI()*(fi_h/1000)^2/4)*SQRT(2*9.81*(O2183/100-fi_h/2/1000))*1000))</f>
        <v>62.634764663474989</v>
      </c>
      <c r="Q2183" s="19">
        <f ca="1">IF(O2183="","",IF(Tipo_Vertedor="Retangular",IF(O2183&lt;=cota_s*100,0,IF(Tipo_Vertedor="Retangular",Cd_sr*Lef_sr*((O2183/100-cota_s)^(3/2))*1000)),IF(O2183&lt;=cota_s*100+fi_s/20,0,(OFFSET('Base de dados'!$A$4,IF(O2183&lt;20,1,IF(O2183&gt;1000,10,MATCH(O2183,Cargas,1))),Coluna_fis,1,1))*(PI()*(fi_s/1000)^2/4)*(2*9.81*(O2183/100-cota_s-fi_s/2/1000))^0.5*1000)))</f>
        <v>11745.897089069254</v>
      </c>
      <c r="R2183" s="19">
        <f t="shared" ca="1" si="255"/>
        <v>11808.531853732729</v>
      </c>
      <c r="S2183" s="19">
        <f t="shared" ca="1" si="256"/>
        <v>13617.82746929237</v>
      </c>
    </row>
    <row r="2184" spans="13:19">
      <c r="M2184" s="81">
        <f t="shared" ca="1" si="253"/>
        <v>25442.466169369065</v>
      </c>
      <c r="N2184" s="19">
        <f t="shared" si="254"/>
        <v>408.74538362574862</v>
      </c>
      <c r="O2184" s="17">
        <f t="shared" si="252"/>
        <v>545.75</v>
      </c>
      <c r="P2184" s="19">
        <f ca="1">IF(ISERROR(IF(O2184&lt;fi_h/20,0,(OFFSET('Base de dados'!$A$5,IF(O2184&lt;20,1,IF(O2184&gt;1000,10,MATCH(O2184,Cargas,1))),Coluna_fih,1,1))*(1+0.13*0.25)*(PI()*(fi_h/1000)^2/4)*SQRT(2*9.81*(O2184/100-fi_h/2/1000))*1000)),"",IF(O2184&lt;fi_h/20,0,(OFFSET('Base de dados'!$A$5,IF(O2184&lt;20,1,IF(O2184&gt;1000,10,MATCH(O2184,Cargas,1))),Coluna_fih,1,1))*(PI()*(fi_h/1000)^2/4)*SQRT(2*9.81*(O2184/100-fi_h/2/1000))*1000))</f>
        <v>62.6492655329291</v>
      </c>
      <c r="Q2184" s="19">
        <f ca="1">IF(O2184="","",IF(Tipo_Vertedor="Retangular",IF(O2184&lt;=cota_s*100,0,IF(Tipo_Vertedor="Retangular",Cd_sr*Lef_sr*((O2184/100-cota_s)^(3/2))*1000)),IF(O2184&lt;=cota_s*100+fi_s/20,0,(OFFSET('Base de dados'!$A$4,IF(O2184&lt;20,1,IF(O2184&gt;1000,10,MATCH(O2184,Cargas,1))),Coluna_fis,1,1))*(PI()*(fi_s/1000)^2/4)*(2*9.81*(O2184/100-cota_s-fi_s/2/1000))^0.5*1000)))</f>
        <v>11754.970782977849</v>
      </c>
      <c r="R2184" s="19">
        <f t="shared" ca="1" si="255"/>
        <v>11817.620048510778</v>
      </c>
      <c r="S2184" s="19">
        <f t="shared" ca="1" si="256"/>
        <v>13624.846120858287</v>
      </c>
    </row>
    <row r="2185" spans="13:19">
      <c r="M2185" s="81">
        <f t="shared" ca="1" si="253"/>
        <v>25458.575748163821</v>
      </c>
      <c r="N2185" s="19">
        <f t="shared" si="254"/>
        <v>408.95595518879804</v>
      </c>
      <c r="O2185" s="17">
        <f t="shared" si="252"/>
        <v>546</v>
      </c>
      <c r="P2185" s="19">
        <f ca="1">IF(ISERROR(IF(O2185&lt;fi_h/20,0,(OFFSET('Base de dados'!$A$5,IF(O2185&lt;20,1,IF(O2185&gt;1000,10,MATCH(O2185,Cargas,1))),Coluna_fih,1,1))*(1+0.13*0.25)*(PI()*(fi_h/1000)^2/4)*SQRT(2*9.81*(O2185/100-fi_h/2/1000))*1000)),"",IF(O2185&lt;fi_h/20,0,(OFFSET('Base de dados'!$A$5,IF(O2185&lt;20,1,IF(O2185&gt;1000,10,MATCH(O2185,Cargas,1))),Coluna_fih,1,1))*(PI()*(fi_h/1000)^2/4)*SQRT(2*9.81*(O2185/100-fi_h/2/1000))*1000))</f>
        <v>62.663763046772253</v>
      </c>
      <c r="Q2185" s="19">
        <f ca="1">IF(O2185="","",IF(Tipo_Vertedor="Retangular",IF(O2185&lt;=cota_s*100,0,IF(Tipo_Vertedor="Retangular",Cd_sr*Lef_sr*((O2185/100-cota_s)^(3/2))*1000)),IF(O2185&lt;=cota_s*100+fi_s/20,0,(OFFSET('Base de dados'!$A$4,IF(O2185&lt;20,1,IF(O2185&gt;1000,10,MATCH(O2185,Cargas,1))),Coluna_fis,1,1))*(PI()*(fi_s/1000)^2/4)*(2*9.81*(O2185/100-cota_s-fi_s/2/1000))^0.5*1000)))</f>
        <v>11764.046812157118</v>
      </c>
      <c r="R2185" s="19">
        <f t="shared" ca="1" si="255"/>
        <v>11826.71057520389</v>
      </c>
      <c r="S2185" s="19">
        <f t="shared" ca="1" si="256"/>
        <v>13631.865172959933</v>
      </c>
    </row>
    <row r="2186" spans="13:19">
      <c r="M2186" s="81">
        <f t="shared" ca="1" si="253"/>
        <v>25474.688058650445</v>
      </c>
      <c r="N2186" s="19">
        <f t="shared" si="254"/>
        <v>409.16653876310329</v>
      </c>
      <c r="O2186" s="17">
        <f t="shared" si="252"/>
        <v>546.25</v>
      </c>
      <c r="P2186" s="19">
        <f ca="1">IF(ISERROR(IF(O2186&lt;fi_h/20,0,(OFFSET('Base de dados'!$A$5,IF(O2186&lt;20,1,IF(O2186&gt;1000,10,MATCH(O2186,Cargas,1))),Coluna_fih,1,1))*(1+0.13*0.25)*(PI()*(fi_h/1000)^2/4)*SQRT(2*9.81*(O2186/100-fi_h/2/1000))*1000)),"",IF(O2186&lt;fi_h/20,0,(OFFSET('Base de dados'!$A$5,IF(O2186&lt;20,1,IF(O2186&gt;1000,10,MATCH(O2186,Cargas,1))),Coluna_fih,1,1))*(PI()*(fi_h/1000)^2/4)*SQRT(2*9.81*(O2186/100-fi_h/2/1000))*1000))</f>
        <v>62.678257207332926</v>
      </c>
      <c r="Q2186" s="19">
        <f ca="1">IF(O2186="","",IF(Tipo_Vertedor="Retangular",IF(O2186&lt;=cota_s*100,0,IF(Tipo_Vertedor="Retangular",Cd_sr*Lef_sr*((O2186/100-cota_s)^(3/2))*1000)),IF(O2186&lt;=cota_s*100+fi_s/20,0,(OFFSET('Base de dados'!$A$4,IF(O2186&lt;20,1,IF(O2186&gt;1000,10,MATCH(O2186,Cargas,1))),Coluna_fis,1,1))*(PI()*(fi_s/1000)^2/4)*(2*9.81*(O2186/100-cota_s-fi_s/2/1000))^0.5*1000)))</f>
        <v>11773.125176006335</v>
      </c>
      <c r="R2186" s="19">
        <f t="shared" ca="1" si="255"/>
        <v>11835.803433213669</v>
      </c>
      <c r="S2186" s="19">
        <f t="shared" ca="1" si="256"/>
        <v>13638.884625436776</v>
      </c>
    </row>
    <row r="2187" spans="13:19">
      <c r="M2187" s="81">
        <f t="shared" ca="1" si="253"/>
        <v>25490.803100070567</v>
      </c>
      <c r="N2187" s="19">
        <f t="shared" si="254"/>
        <v>409.37713434385165</v>
      </c>
      <c r="O2187" s="17">
        <f t="shared" si="252"/>
        <v>546.5</v>
      </c>
      <c r="P2187" s="19">
        <f ca="1">IF(ISERROR(IF(O2187&lt;fi_h/20,0,(OFFSET('Base de dados'!$A$5,IF(O2187&lt;20,1,IF(O2187&gt;1000,10,MATCH(O2187,Cargas,1))),Coluna_fih,1,1))*(1+0.13*0.25)*(PI()*(fi_h/1000)^2/4)*SQRT(2*9.81*(O2187/100-fi_h/2/1000))*1000)),"",IF(O2187&lt;fi_h/20,0,(OFFSET('Base de dados'!$A$5,IF(O2187&lt;20,1,IF(O2187&gt;1000,10,MATCH(O2187,Cargas,1))),Coluna_fih,1,1))*(PI()*(fi_h/1000)^2/4)*SQRT(2*9.81*(O2187/100-fi_h/2/1000))*1000))</f>
        <v>62.692748016936889</v>
      </c>
      <c r="Q2187" s="19">
        <f ca="1">IF(O2187="","",IF(Tipo_Vertedor="Retangular",IF(O2187&lt;=cota_s*100,0,IF(Tipo_Vertedor="Retangular",Cd_sr*Lef_sr*((O2187/100-cota_s)^(3/2))*1000)),IF(O2187&lt;=cota_s*100+fi_s/20,0,(OFFSET('Base de dados'!$A$4,IF(O2187&lt;20,1,IF(O2187&gt;1000,10,MATCH(O2187,Cargas,1))),Coluna_fis,1,1))*(PI()*(fi_s/1000)^2/4)*(2*9.81*(O2187/100-cota_s-fi_s/2/1000))^0.5*1000)))</f>
        <v>11782.205873925242</v>
      </c>
      <c r="R2187" s="19">
        <f t="shared" ca="1" si="255"/>
        <v>11844.898621942179</v>
      </c>
      <c r="S2187" s="19">
        <f t="shared" ca="1" si="256"/>
        <v>13645.904478128388</v>
      </c>
    </row>
    <row r="2188" spans="13:19">
      <c r="M2188" s="81">
        <f t="shared" ca="1" si="253"/>
        <v>25506.920871666469</v>
      </c>
      <c r="N2188" s="19">
        <f t="shared" si="254"/>
        <v>409.58774192623474</v>
      </c>
      <c r="O2188" s="17">
        <f t="shared" si="252"/>
        <v>546.75</v>
      </c>
      <c r="P2188" s="19">
        <f ca="1">IF(ISERROR(IF(O2188&lt;fi_h/20,0,(OFFSET('Base de dados'!$A$5,IF(O2188&lt;20,1,IF(O2188&gt;1000,10,MATCH(O2188,Cargas,1))),Coluna_fih,1,1))*(1+0.13*0.25)*(PI()*(fi_h/1000)^2/4)*SQRT(2*9.81*(O2188/100-fi_h/2/1000))*1000)),"",IF(O2188&lt;fi_h/20,0,(OFFSET('Base de dados'!$A$5,IF(O2188&lt;20,1,IF(O2188&gt;1000,10,MATCH(O2188,Cargas,1))),Coluna_fih,1,1))*(PI()*(fi_h/1000)^2/4)*SQRT(2*9.81*(O2188/100-fi_h/2/1000))*1000))</f>
        <v>62.707235477907226</v>
      </c>
      <c r="Q2188" s="19">
        <f ca="1">IF(O2188="","",IF(Tipo_Vertedor="Retangular",IF(O2188&lt;=cota_s*100,0,IF(Tipo_Vertedor="Retangular",Cd_sr*Lef_sr*((O2188/100-cota_s)^(3/2))*1000)),IF(O2188&lt;=cota_s*100+fi_s/20,0,(OFFSET('Base de dados'!$A$4,IF(O2188&lt;20,1,IF(O2188&gt;1000,10,MATCH(O2188,Cargas,1))),Coluna_fis,1,1))*(PI()*(fi_s/1000)^2/4)*(2*9.81*(O2188/100-cota_s-fi_s/2/1000))^0.5*1000)))</f>
        <v>11791.288905314072</v>
      </c>
      <c r="R2188" s="19">
        <f t="shared" ca="1" si="255"/>
        <v>11853.996140791978</v>
      </c>
      <c r="S2188" s="19">
        <f t="shared" ca="1" si="256"/>
        <v>13652.924730874491</v>
      </c>
    </row>
    <row r="2189" spans="13:19">
      <c r="M2189" s="81">
        <f t="shared" ca="1" si="253"/>
        <v>25523.041372681</v>
      </c>
      <c r="N2189" s="19">
        <f t="shared" si="254"/>
        <v>409.79836150544838</v>
      </c>
      <c r="O2189" s="17">
        <f t="shared" si="252"/>
        <v>547</v>
      </c>
      <c r="P2189" s="19">
        <f ca="1">IF(ISERROR(IF(O2189&lt;fi_h/20,0,(OFFSET('Base de dados'!$A$5,IF(O2189&lt;20,1,IF(O2189&gt;1000,10,MATCH(O2189,Cargas,1))),Coluna_fih,1,1))*(1+0.13*0.25)*(PI()*(fi_h/1000)^2/4)*SQRT(2*9.81*(O2189/100-fi_h/2/1000))*1000)),"",IF(O2189&lt;fi_h/20,0,(OFFSET('Base de dados'!$A$5,IF(O2189&lt;20,1,IF(O2189&gt;1000,10,MATCH(O2189,Cargas,1))),Coluna_fih,1,1))*(PI()*(fi_h/1000)^2/4)*SQRT(2*9.81*(O2189/100-fi_h/2/1000))*1000))</f>
        <v>62.721719592564327</v>
      </c>
      <c r="Q2189" s="19">
        <f ca="1">IF(O2189="","",IF(Tipo_Vertedor="Retangular",IF(O2189&lt;=cota_s*100,0,IF(Tipo_Vertedor="Retangular",Cd_sr*Lef_sr*((O2189/100-cota_s)^(3/2))*1000)),IF(O2189&lt;=cota_s*100+fi_s/20,0,(OFFSET('Base de dados'!$A$4,IF(O2189&lt;20,1,IF(O2189&gt;1000,10,MATCH(O2189,Cargas,1))),Coluna_fis,1,1))*(PI()*(fi_s/1000)^2/4)*(2*9.81*(O2189/100-cota_s-fi_s/2/1000))^0.5*1000)))</f>
        <v>11800.374269573489</v>
      </c>
      <c r="R2189" s="19">
        <f t="shared" ca="1" si="255"/>
        <v>11863.095989166053</v>
      </c>
      <c r="S2189" s="19">
        <f t="shared" ca="1" si="256"/>
        <v>13659.945383514947</v>
      </c>
    </row>
    <row r="2190" spans="13:19">
      <c r="M2190" s="81">
        <f t="shared" ca="1" si="253"/>
        <v>25539.164602357607</v>
      </c>
      <c r="N2190" s="19">
        <f t="shared" si="254"/>
        <v>410.00899307669249</v>
      </c>
      <c r="O2190" s="17">
        <f t="shared" si="252"/>
        <v>547.25</v>
      </c>
      <c r="P2190" s="19">
        <f ca="1">IF(ISERROR(IF(O2190&lt;fi_h/20,0,(OFFSET('Base de dados'!$A$5,IF(O2190&lt;20,1,IF(O2190&gt;1000,10,MATCH(O2190,Cargas,1))),Coluna_fih,1,1))*(1+0.13*0.25)*(PI()*(fi_h/1000)^2/4)*SQRT(2*9.81*(O2190/100-fi_h/2/1000))*1000)),"",IF(O2190&lt;fi_h/20,0,(OFFSET('Base de dados'!$A$5,IF(O2190&lt;20,1,IF(O2190&gt;1000,10,MATCH(O2190,Cargas,1))),Coluna_fih,1,1))*(PI()*(fi_h/1000)^2/4)*SQRT(2*9.81*(O2190/100-fi_h/2/1000))*1000))</f>
        <v>62.73620036322594</v>
      </c>
      <c r="Q2190" s="19">
        <f ca="1">IF(O2190="","",IF(Tipo_Vertedor="Retangular",IF(O2190&lt;=cota_s*100,0,IF(Tipo_Vertedor="Retangular",Cd_sr*Lef_sr*((O2190/100-cota_s)^(3/2))*1000)),IF(O2190&lt;=cota_s*100+fi_s/20,0,(OFFSET('Base de dados'!$A$4,IF(O2190&lt;20,1,IF(O2190&gt;1000,10,MATCH(O2190,Cargas,1))),Coluna_fis,1,1))*(PI()*(fi_s/1000)^2/4)*(2*9.81*(O2190/100-cota_s-fi_s/2/1000))^0.5*1000)))</f>
        <v>11809.461966104631</v>
      </c>
      <c r="R2190" s="19">
        <f t="shared" ca="1" si="255"/>
        <v>11872.198166467857</v>
      </c>
      <c r="S2190" s="19">
        <f t="shared" ca="1" si="256"/>
        <v>13666.96643588975</v>
      </c>
    </row>
    <row r="2191" spans="13:19">
      <c r="M2191" s="81">
        <f t="shared" ca="1" si="253"/>
        <v>25555.290559940338</v>
      </c>
      <c r="N2191" s="19">
        <f t="shared" si="254"/>
        <v>410.21963663517107</v>
      </c>
      <c r="O2191" s="17">
        <f t="shared" si="252"/>
        <v>547.5</v>
      </c>
      <c r="P2191" s="19">
        <f ca="1">IF(ISERROR(IF(O2191&lt;fi_h/20,0,(OFFSET('Base de dados'!$A$5,IF(O2191&lt;20,1,IF(O2191&gt;1000,10,MATCH(O2191,Cargas,1))),Coluna_fih,1,1))*(1+0.13*0.25)*(PI()*(fi_h/1000)^2/4)*SQRT(2*9.81*(O2191/100-fi_h/2/1000))*1000)),"",IF(O2191&lt;fi_h/20,0,(OFFSET('Base de dados'!$A$5,IF(O2191&lt;20,1,IF(O2191&gt;1000,10,MATCH(O2191,Cargas,1))),Coluna_fih,1,1))*(PI()*(fi_h/1000)^2/4)*SQRT(2*9.81*(O2191/100-fi_h/2/1000))*1000))</f>
        <v>62.750677792207085</v>
      </c>
      <c r="Q2191" s="19">
        <f ca="1">IF(O2191="","",IF(Tipo_Vertedor="Retangular",IF(O2191&lt;=cota_s*100,0,IF(Tipo_Vertedor="Retangular",Cd_sr*Lef_sr*((O2191/100-cota_s)^(3/2))*1000)),IF(O2191&lt;=cota_s*100+fi_s/20,0,(OFFSET('Base de dados'!$A$4,IF(O2191&lt;20,1,IF(O2191&gt;1000,10,MATCH(O2191,Cargas,1))),Coluna_fis,1,1))*(PI()*(fi_s/1000)^2/4)*(2*9.81*(O2191/100-cota_s-fi_s/2/1000))^0.5*1000)))</f>
        <v>11818.551994309095</v>
      </c>
      <c r="R2191" s="19">
        <f t="shared" ca="1" si="255"/>
        <v>11881.302672101301</v>
      </c>
      <c r="S2191" s="19">
        <f t="shared" ca="1" si="256"/>
        <v>13673.987887839035</v>
      </c>
    </row>
    <row r="2192" spans="13:19">
      <c r="M2192" s="81">
        <f t="shared" ca="1" si="253"/>
        <v>25571.419244673838</v>
      </c>
      <c r="N2192" s="19">
        <f t="shared" si="254"/>
        <v>410.43029217609217</v>
      </c>
      <c r="O2192" s="17">
        <f t="shared" si="252"/>
        <v>547.75</v>
      </c>
      <c r="P2192" s="19">
        <f ca="1">IF(ISERROR(IF(O2192&lt;fi_h/20,0,(OFFSET('Base de dados'!$A$5,IF(O2192&lt;20,1,IF(O2192&gt;1000,10,MATCH(O2192,Cargas,1))),Coluna_fih,1,1))*(1+0.13*0.25)*(PI()*(fi_h/1000)^2/4)*SQRT(2*9.81*(O2192/100-fi_h/2/1000))*1000)),"",IF(O2192&lt;fi_h/20,0,(OFFSET('Base de dados'!$A$5,IF(O2192&lt;20,1,IF(O2192&gt;1000,10,MATCH(O2192,Cargas,1))),Coluna_fih,1,1))*(PI()*(fi_h/1000)^2/4)*SQRT(2*9.81*(O2192/100-fi_h/2/1000))*1000))</f>
        <v>62.765151881820181</v>
      </c>
      <c r="Q2192" s="19">
        <f ca="1">IF(O2192="","",IF(Tipo_Vertedor="Retangular",IF(O2192&lt;=cota_s*100,0,IF(Tipo_Vertedor="Retangular",Cd_sr*Lef_sr*((O2192/100-cota_s)^(3/2))*1000)),IF(O2192&lt;=cota_s*100+fi_s/20,0,(OFFSET('Base de dados'!$A$4,IF(O2192&lt;20,1,IF(O2192&gt;1000,10,MATCH(O2192,Cargas,1))),Coluna_fis,1,1))*(PI()*(fi_s/1000)^2/4)*(2*9.81*(O2192/100-cota_s-fi_s/2/1000))^0.5*1000)))</f>
        <v>11827.644353588945</v>
      </c>
      <c r="R2192" s="19">
        <f t="shared" ca="1" si="255"/>
        <v>11890.409505470765</v>
      </c>
      <c r="S2192" s="19">
        <f t="shared" ca="1" si="256"/>
        <v>13681.009739203071</v>
      </c>
    </row>
    <row r="2193" spans="13:19">
      <c r="M2193" s="81">
        <f t="shared" ca="1" si="253"/>
        <v>25587.550655803345</v>
      </c>
      <c r="N2193" s="19">
        <f t="shared" si="254"/>
        <v>410.64095969466814</v>
      </c>
      <c r="O2193" s="17">
        <f t="shared" si="252"/>
        <v>548</v>
      </c>
      <c r="P2193" s="19">
        <f ca="1">IF(ISERROR(IF(O2193&lt;fi_h/20,0,(OFFSET('Base de dados'!$A$5,IF(O2193&lt;20,1,IF(O2193&gt;1000,10,MATCH(O2193,Cargas,1))),Coluna_fih,1,1))*(1+0.13*0.25)*(PI()*(fi_h/1000)^2/4)*SQRT(2*9.81*(O2193/100-fi_h/2/1000))*1000)),"",IF(O2193&lt;fi_h/20,0,(OFFSET('Base de dados'!$A$5,IF(O2193&lt;20,1,IF(O2193&gt;1000,10,MATCH(O2193,Cargas,1))),Coluna_fih,1,1))*(PI()*(fi_h/1000)^2/4)*SQRT(2*9.81*(O2193/100-fi_h/2/1000))*1000))</f>
        <v>62.779622634374896</v>
      </c>
      <c r="Q2193" s="19">
        <f ca="1">IF(O2193="","",IF(Tipo_Vertedor="Retangular",IF(O2193&lt;=cota_s*100,0,IF(Tipo_Vertedor="Retangular",Cd_sr*Lef_sr*((O2193/100-cota_s)^(3/2))*1000)),IF(O2193&lt;=cota_s*100+fi_s/20,0,(OFFSET('Base de dados'!$A$4,IF(O2193&lt;20,1,IF(O2193&gt;1000,10,MATCH(O2193,Cargas,1))),Coluna_fis,1,1))*(PI()*(fi_s/1000)^2/4)*(2*9.81*(O2193/100-cota_s-fi_s/2/1000))^0.5*1000)))</f>
        <v>11836.739043346699</v>
      </c>
      <c r="R2193" s="19">
        <f t="shared" ca="1" si="255"/>
        <v>11899.518665981073</v>
      </c>
      <c r="S2193" s="19">
        <f t="shared" ca="1" si="256"/>
        <v>13688.031989822271</v>
      </c>
    </row>
    <row r="2194" spans="13:19">
      <c r="M2194" s="81">
        <f t="shared" ca="1" si="253"/>
        <v>25603.68479257467</v>
      </c>
      <c r="N2194" s="19">
        <f t="shared" si="254"/>
        <v>410.85163918611516</v>
      </c>
      <c r="O2194" s="17">
        <f t="shared" si="252"/>
        <v>548.25</v>
      </c>
      <c r="P2194" s="19">
        <f ca="1">IF(ISERROR(IF(O2194&lt;fi_h/20,0,(OFFSET('Base de dados'!$A$5,IF(O2194&lt;20,1,IF(O2194&gt;1000,10,MATCH(O2194,Cargas,1))),Coluna_fih,1,1))*(1+0.13*0.25)*(PI()*(fi_h/1000)^2/4)*SQRT(2*9.81*(O2194/100-fi_h/2/1000))*1000)),"",IF(O2194&lt;fi_h/20,0,(OFFSET('Base de dados'!$A$5,IF(O2194&lt;20,1,IF(O2194&gt;1000,10,MATCH(O2194,Cargas,1))),Coluna_fih,1,1))*(PI()*(fi_h/1000)^2/4)*SQRT(2*9.81*(O2194/100-fi_h/2/1000))*1000))</f>
        <v>62.794090052178298</v>
      </c>
      <c r="Q2194" s="19">
        <f ca="1">IF(O2194="","",IF(Tipo_Vertedor="Retangular",IF(O2194&lt;=cota_s*100,0,IF(Tipo_Vertedor="Retangular",Cd_sr*Lef_sr*((O2194/100-cota_s)^(3/2))*1000)),IF(O2194&lt;=cota_s*100+fi_s/20,0,(OFFSET('Base de dados'!$A$4,IF(O2194&lt;20,1,IF(O2194&gt;1000,10,MATCH(O2194,Cargas,1))),Coluna_fis,1,1))*(PI()*(fi_s/1000)^2/4)*(2*9.81*(O2194/100-cota_s-fi_s/2/1000))^0.5*1000)))</f>
        <v>11845.83606298532</v>
      </c>
      <c r="R2194" s="19">
        <f t="shared" ca="1" si="255"/>
        <v>11908.630153037499</v>
      </c>
      <c r="S2194" s="19">
        <f t="shared" ca="1" si="256"/>
        <v>13695.054639537173</v>
      </c>
    </row>
    <row r="2195" spans="13:19">
      <c r="M2195" s="81">
        <f t="shared" ca="1" si="253"/>
        <v>25619.821654234256</v>
      </c>
      <c r="N2195" s="19">
        <f t="shared" si="254"/>
        <v>411.06233064565362</v>
      </c>
      <c r="O2195" s="17">
        <f t="shared" ref="O2195:O2258" si="257">IF(ISERROR(IF(O2194+passo_altura&gt;h_max_puls*100,"",O2194+passo_altura)),"",IF(O2194+passo_altura&gt;h_max_puls*100,"",O2194+passo_altura))</f>
        <v>548.5</v>
      </c>
      <c r="P2195" s="19">
        <f ca="1">IF(ISERROR(IF(O2195&lt;fi_h/20,0,(OFFSET('Base de dados'!$A$5,IF(O2195&lt;20,1,IF(O2195&gt;1000,10,MATCH(O2195,Cargas,1))),Coluna_fih,1,1))*(1+0.13*0.25)*(PI()*(fi_h/1000)^2/4)*SQRT(2*9.81*(O2195/100-fi_h/2/1000))*1000)),"",IF(O2195&lt;fi_h/20,0,(OFFSET('Base de dados'!$A$5,IF(O2195&lt;20,1,IF(O2195&gt;1000,10,MATCH(O2195,Cargas,1))),Coluna_fih,1,1))*(PI()*(fi_h/1000)^2/4)*SQRT(2*9.81*(O2195/100-fi_h/2/1000))*1000))</f>
        <v>62.808554137534806</v>
      </c>
      <c r="Q2195" s="19">
        <f ca="1">IF(O2195="","",IF(Tipo_Vertedor="Retangular",IF(O2195&lt;=cota_s*100,0,IF(Tipo_Vertedor="Retangular",Cd_sr*Lef_sr*((O2195/100-cota_s)^(3/2))*1000)),IF(O2195&lt;=cota_s*100+fi_s/20,0,(OFFSET('Base de dados'!$A$4,IF(O2195&lt;20,1,IF(O2195&gt;1000,10,MATCH(O2195,Cargas,1))),Coluna_fis,1,1))*(PI()*(fi_s/1000)^2/4)*(2*9.81*(O2195/100-cota_s-fi_s/2/1000))^0.5*1000)))</f>
        <v>11854.935411908267</v>
      </c>
      <c r="R2195" s="19">
        <f t="shared" ca="1" si="255"/>
        <v>11917.743966045802</v>
      </c>
      <c r="S2195" s="19">
        <f t="shared" ca="1" si="256"/>
        <v>13702.077688188454</v>
      </c>
    </row>
    <row r="2196" spans="13:19">
      <c r="M2196" s="81">
        <f t="shared" ca="1" si="253"/>
        <v>25635.961240029101</v>
      </c>
      <c r="N2196" s="19">
        <f t="shared" si="254"/>
        <v>411.27303406850808</v>
      </c>
      <c r="O2196" s="17">
        <f t="shared" si="257"/>
        <v>548.75</v>
      </c>
      <c r="P2196" s="19">
        <f ca="1">IF(ISERROR(IF(O2196&lt;fi_h/20,0,(OFFSET('Base de dados'!$A$5,IF(O2196&lt;20,1,IF(O2196&gt;1000,10,MATCH(O2196,Cargas,1))),Coluna_fih,1,1))*(1+0.13*0.25)*(PI()*(fi_h/1000)^2/4)*SQRT(2*9.81*(O2196/100-fi_h/2/1000))*1000)),"",IF(O2196&lt;fi_h/20,0,(OFFSET('Base de dados'!$A$5,IF(O2196&lt;20,1,IF(O2196&gt;1000,10,MATCH(O2196,Cargas,1))),Coluna_fih,1,1))*(PI()*(fi_h/1000)^2/4)*SQRT(2*9.81*(O2196/100-fi_h/2/1000))*1000))</f>
        <v>62.823014892746137</v>
      </c>
      <c r="Q2196" s="19">
        <f ca="1">IF(O2196="","",IF(Tipo_Vertedor="Retangular",IF(O2196&lt;=cota_s*100,0,IF(Tipo_Vertedor="Retangular",Cd_sr*Lef_sr*((O2196/100-cota_s)^(3/2))*1000)),IF(O2196&lt;=cota_s*100+fi_s/20,0,(OFFSET('Base de dados'!$A$4,IF(O2196&lt;20,1,IF(O2196&gt;1000,10,MATCH(O2196,Cargas,1))),Coluna_fis,1,1))*(PI()*(fi_s/1000)^2/4)*(2*9.81*(O2196/100-cota_s-fi_s/2/1000))^0.5*1000)))</f>
        <v>11864.037089519416</v>
      </c>
      <c r="R2196" s="19">
        <f t="shared" ca="1" si="255"/>
        <v>11926.860104412162</v>
      </c>
      <c r="S2196" s="19">
        <f t="shared" ca="1" si="256"/>
        <v>13709.101135616937</v>
      </c>
    </row>
    <row r="2197" spans="13:19">
      <c r="M2197" s="81">
        <f t="shared" ca="1" si="253"/>
        <v>25652.103549206804</v>
      </c>
      <c r="N2197" s="19">
        <f t="shared" si="254"/>
        <v>411.48374944990718</v>
      </c>
      <c r="O2197" s="17">
        <f t="shared" si="257"/>
        <v>549</v>
      </c>
      <c r="P2197" s="19">
        <f ca="1">IF(ISERROR(IF(O2197&lt;fi_h/20,0,(OFFSET('Base de dados'!$A$5,IF(O2197&lt;20,1,IF(O2197&gt;1000,10,MATCH(O2197,Cargas,1))),Coluna_fih,1,1))*(1+0.13*0.25)*(PI()*(fi_h/1000)^2/4)*SQRT(2*9.81*(O2197/100-fi_h/2/1000))*1000)),"",IF(O2197&lt;fi_h/20,0,(OFFSET('Base de dados'!$A$5,IF(O2197&lt;20,1,IF(O2197&gt;1000,10,MATCH(O2197,Cargas,1))),Coluna_fih,1,1))*(PI()*(fi_h/1000)^2/4)*SQRT(2*9.81*(O2197/100-fi_h/2/1000))*1000))</f>
        <v>62.837472320111402</v>
      </c>
      <c r="Q2197" s="19">
        <f ca="1">IF(O2197="","",IF(Tipo_Vertedor="Retangular",IF(O2197&lt;=cota_s*100,0,IF(Tipo_Vertedor="Retangular",Cd_sr*Lef_sr*((O2197/100-cota_s)^(3/2))*1000)),IF(O2197&lt;=cota_s*100+fi_s/20,0,(OFFSET('Base de dados'!$A$4,IF(O2197&lt;20,1,IF(O2197&gt;1000,10,MATCH(O2197,Cargas,1))),Coluna_fis,1,1))*(PI()*(fi_s/1000)^2/4)*(2*9.81*(O2197/100-cota_s-fi_s/2/1000))^0.5*1000)))</f>
        <v>11873.14109522312</v>
      </c>
      <c r="R2197" s="19">
        <f t="shared" ca="1" si="255"/>
        <v>11935.978567543232</v>
      </c>
      <c r="S2197" s="19">
        <f t="shared" ca="1" si="256"/>
        <v>13716.124981663572</v>
      </c>
    </row>
    <row r="2198" spans="13:19">
      <c r="M2198" s="81">
        <f t="shared" ca="1" si="253"/>
        <v>25668.248581015563</v>
      </c>
      <c r="N2198" s="19">
        <f t="shared" si="254"/>
        <v>411.69447678508328</v>
      </c>
      <c r="O2198" s="17">
        <f t="shared" si="257"/>
        <v>549.25</v>
      </c>
      <c r="P2198" s="19">
        <f ca="1">IF(ISERROR(IF(O2198&lt;fi_h/20,0,(OFFSET('Base de dados'!$A$5,IF(O2198&lt;20,1,IF(O2198&gt;1000,10,MATCH(O2198,Cargas,1))),Coluna_fih,1,1))*(1+0.13*0.25)*(PI()*(fi_h/1000)^2/4)*SQRT(2*9.81*(O2198/100-fi_h/2/1000))*1000)),"",IF(O2198&lt;fi_h/20,0,(OFFSET('Base de dados'!$A$5,IF(O2198&lt;20,1,IF(O2198&gt;1000,10,MATCH(O2198,Cargas,1))),Coluna_fih,1,1))*(PI()*(fi_h/1000)^2/4)*SQRT(2*9.81*(O2198/100-fi_h/2/1000))*1000))</f>
        <v>62.851926421927026</v>
      </c>
      <c r="Q2198" s="19">
        <f ca="1">IF(O2198="","",IF(Tipo_Vertedor="Retangular",IF(O2198&lt;=cota_s*100,0,IF(Tipo_Vertedor="Retangular",Cd_sr*Lef_sr*((O2198/100-cota_s)^(3/2))*1000)),IF(O2198&lt;=cota_s*100+fi_s/20,0,(OFFSET('Base de dados'!$A$4,IF(O2198&lt;20,1,IF(O2198&gt;1000,10,MATCH(O2198,Cargas,1))),Coluna_fis,1,1))*(PI()*(fi_s/1000)^2/4)*(2*9.81*(O2198/100-cota_s-fi_s/2/1000))^0.5*1000)))</f>
        <v>11882.247428424191</v>
      </c>
      <c r="R2198" s="19">
        <f t="shared" ca="1" si="255"/>
        <v>11945.099354846117</v>
      </c>
      <c r="S2198" s="19">
        <f t="shared" ca="1" si="256"/>
        <v>13723.149226169444</v>
      </c>
    </row>
    <row r="2199" spans="13:19">
      <c r="M2199" s="81">
        <f t="shared" ref="M2199:M2262" ca="1" si="258">IF(O2199="","",2*N2199*1000/(Passo*60)+R2199)</f>
        <v>25684.396334704172</v>
      </c>
      <c r="N2199" s="19">
        <f t="shared" ref="N2199:N2262" si="259">IF(O2199="","",b_0*(O2199/100)^c_0)</f>
        <v>411.90521606927359</v>
      </c>
      <c r="O2199" s="17">
        <f t="shared" si="257"/>
        <v>549.5</v>
      </c>
      <c r="P2199" s="19">
        <f ca="1">IF(ISERROR(IF(O2199&lt;fi_h/20,0,(OFFSET('Base de dados'!$A$5,IF(O2199&lt;20,1,IF(O2199&gt;1000,10,MATCH(O2199,Cargas,1))),Coluna_fih,1,1))*(1+0.13*0.25)*(PI()*(fi_h/1000)^2/4)*SQRT(2*9.81*(O2199/100-fi_h/2/1000))*1000)),"",IF(O2199&lt;fi_h/20,0,(OFFSET('Base de dados'!$A$5,IF(O2199&lt;20,1,IF(O2199&gt;1000,10,MATCH(O2199,Cargas,1))),Coluna_fih,1,1))*(PI()*(fi_h/1000)^2/4)*SQRT(2*9.81*(O2199/100-fi_h/2/1000))*1000))</f>
        <v>62.866377200486838</v>
      </c>
      <c r="Q2199" s="19">
        <f ca="1">IF(O2199="","",IF(Tipo_Vertedor="Retangular",IF(O2199&lt;=cota_s*100,0,IF(Tipo_Vertedor="Retangular",Cd_sr*Lef_sr*((O2199/100-cota_s)^(3/2))*1000)),IF(O2199&lt;=cota_s*100+fi_s/20,0,(OFFSET('Base de dados'!$A$4,IF(O2199&lt;20,1,IF(O2199&gt;1000,10,MATCH(O2199,Cargas,1))),Coluna_fis,1,1))*(PI()*(fi_s/1000)^2/4)*(2*9.81*(O2199/100-cota_s-fi_s/2/1000))^0.5*1000)))</f>
        <v>11891.356088527898</v>
      </c>
      <c r="R2199" s="19">
        <f t="shared" ref="R2199:R2262" ca="1" si="260">IF(O2199="","",Q2199+P2199)</f>
        <v>11954.222465728386</v>
      </c>
      <c r="S2199" s="19">
        <f t="shared" ref="S2199:S2262" ca="1" si="261">IF(M2199="","",2*N2199*1000/(Passo*60))</f>
        <v>13730.173868975786</v>
      </c>
    </row>
    <row r="2200" spans="13:19">
      <c r="M2200" s="81">
        <f t="shared" ca="1" si="258"/>
        <v>25700.546809521984</v>
      </c>
      <c r="N2200" s="19">
        <f t="shared" si="259"/>
        <v>412.11596729771844</v>
      </c>
      <c r="O2200" s="17">
        <f t="shared" si="257"/>
        <v>549.75</v>
      </c>
      <c r="P2200" s="19">
        <f ca="1">IF(ISERROR(IF(O2200&lt;fi_h/20,0,(OFFSET('Base de dados'!$A$5,IF(O2200&lt;20,1,IF(O2200&gt;1000,10,MATCH(O2200,Cargas,1))),Coluna_fih,1,1))*(1+0.13*0.25)*(PI()*(fi_h/1000)^2/4)*SQRT(2*9.81*(O2200/100-fi_h/2/1000))*1000)),"",IF(O2200&lt;fi_h/20,0,(OFFSET('Base de dados'!$A$5,IF(O2200&lt;20,1,IF(O2200&gt;1000,10,MATCH(O2200,Cargas,1))),Coluna_fih,1,1))*(PI()*(fi_h/1000)^2/4)*SQRT(2*9.81*(O2200/100-fi_h/2/1000))*1000))</f>
        <v>62.880824658081991</v>
      </c>
      <c r="Q2200" s="19">
        <f ca="1">IF(O2200="","",IF(Tipo_Vertedor="Retangular",IF(O2200&lt;=cota_s*100,0,IF(Tipo_Vertedor="Retangular",Cd_sr*Lef_sr*((O2200/100-cota_s)^(3/2))*1000)),IF(O2200&lt;=cota_s*100+fi_s/20,0,(OFFSET('Base de dados'!$A$4,IF(O2200&lt;20,1,IF(O2200&gt;1000,10,MATCH(O2200,Cargas,1))),Coluna_fis,1,1))*(PI()*(fi_s/1000)^2/4)*(2*9.81*(O2200/100-cota_s-fi_s/2/1000))^0.5*1000)))</f>
        <v>11900.467074939956</v>
      </c>
      <c r="R2200" s="19">
        <f t="shared" ca="1" si="260"/>
        <v>11963.347899598037</v>
      </c>
      <c r="S2200" s="19">
        <f t="shared" ca="1" si="261"/>
        <v>13737.198909923949</v>
      </c>
    </row>
    <row r="2201" spans="13:19">
      <c r="M2201" s="81">
        <f t="shared" ca="1" si="258"/>
        <v>25716.700004718972</v>
      </c>
      <c r="N2201" s="19">
        <f t="shared" si="259"/>
        <v>412.32673046566288</v>
      </c>
      <c r="O2201" s="17">
        <f t="shared" si="257"/>
        <v>550</v>
      </c>
      <c r="P2201" s="19">
        <f ca="1">IF(ISERROR(IF(O2201&lt;fi_h/20,0,(OFFSET('Base de dados'!$A$5,IF(O2201&lt;20,1,IF(O2201&gt;1000,10,MATCH(O2201,Cargas,1))),Coluna_fih,1,1))*(1+0.13*0.25)*(PI()*(fi_h/1000)^2/4)*SQRT(2*9.81*(O2201/100-fi_h/2/1000))*1000)),"",IF(O2201&lt;fi_h/20,0,(OFFSET('Base de dados'!$A$5,IF(O2201&lt;20,1,IF(O2201&gt;1000,10,MATCH(O2201,Cargas,1))),Coluna_fih,1,1))*(PI()*(fi_h/1000)^2/4)*SQRT(2*9.81*(O2201/100-fi_h/2/1000))*1000))</f>
        <v>62.895268797001052</v>
      </c>
      <c r="Q2201" s="19">
        <f ca="1">IF(O2201="","",IF(Tipo_Vertedor="Retangular",IF(O2201&lt;=cota_s*100,0,IF(Tipo_Vertedor="Retangular",Cd_sr*Lef_sr*((O2201/100-cota_s)^(3/2))*1000)),IF(O2201&lt;=cota_s*100+fi_s/20,0,(OFFSET('Base de dados'!$A$4,IF(O2201&lt;20,1,IF(O2201&gt;1000,10,MATCH(O2201,Cargas,1))),Coluna_fis,1,1))*(PI()*(fi_s/1000)^2/4)*(2*9.81*(O2201/100-cota_s-fi_s/2/1000))^0.5*1000)))</f>
        <v>11909.580387066542</v>
      </c>
      <c r="R2201" s="19">
        <f t="shared" ca="1" si="260"/>
        <v>11972.475655863544</v>
      </c>
      <c r="S2201" s="19">
        <f t="shared" ca="1" si="261"/>
        <v>13744.22434885543</v>
      </c>
    </row>
    <row r="2202" spans="13:19">
      <c r="M2202" s="81">
        <f t="shared" ca="1" si="258"/>
        <v>25732.855919545669</v>
      </c>
      <c r="N2202" s="19">
        <f t="shared" si="259"/>
        <v>412.53750556835575</v>
      </c>
      <c r="O2202" s="17">
        <f t="shared" si="257"/>
        <v>550.25</v>
      </c>
      <c r="P2202" s="19">
        <f ca="1">IF(ISERROR(IF(O2202&lt;fi_h/20,0,(OFFSET('Base de dados'!$A$5,IF(O2202&lt;20,1,IF(O2202&gt;1000,10,MATCH(O2202,Cargas,1))),Coluna_fih,1,1))*(1+0.13*0.25)*(PI()*(fi_h/1000)^2/4)*SQRT(2*9.81*(O2202/100-fi_h/2/1000))*1000)),"",IF(O2202&lt;fi_h/20,0,(OFFSET('Base de dados'!$A$5,IF(O2202&lt;20,1,IF(O2202&gt;1000,10,MATCH(O2202,Cargas,1))),Coluna_fih,1,1))*(PI()*(fi_h/1000)^2/4)*SQRT(2*9.81*(O2202/100-fi_h/2/1000))*1000))</f>
        <v>62.90970961952992</v>
      </c>
      <c r="Q2202" s="19">
        <f ca="1">IF(O2202="","",IF(Tipo_Vertedor="Retangular",IF(O2202&lt;=cota_s*100,0,IF(Tipo_Vertedor="Retangular",Cd_sr*Lef_sr*((O2202/100-cota_s)^(3/2))*1000)),IF(O2202&lt;=cota_s*100+fi_s/20,0,(OFFSET('Base de dados'!$A$4,IF(O2202&lt;20,1,IF(O2202&gt;1000,10,MATCH(O2202,Cargas,1))),Coluna_fis,1,1))*(PI()*(fi_s/1000)^2/4)*(2*9.81*(O2202/100-cota_s-fi_s/2/1000))^0.5*1000)))</f>
        <v>11918.696024314282</v>
      </c>
      <c r="R2202" s="19">
        <f t="shared" ca="1" si="260"/>
        <v>11981.605733933811</v>
      </c>
      <c r="S2202" s="19">
        <f t="shared" ca="1" si="261"/>
        <v>13751.250185611858</v>
      </c>
    </row>
    <row r="2203" spans="13:19">
      <c r="M2203" s="81">
        <f t="shared" ca="1" si="258"/>
        <v>25749.014553253211</v>
      </c>
      <c r="N2203" s="19">
        <f t="shared" si="259"/>
        <v>412.7482926010498</v>
      </c>
      <c r="O2203" s="17">
        <f t="shared" si="257"/>
        <v>550.5</v>
      </c>
      <c r="P2203" s="19">
        <f ca="1">IF(ISERROR(IF(O2203&lt;fi_h/20,0,(OFFSET('Base de dados'!$A$5,IF(O2203&lt;20,1,IF(O2203&gt;1000,10,MATCH(O2203,Cargas,1))),Coluna_fih,1,1))*(1+0.13*0.25)*(PI()*(fi_h/1000)^2/4)*SQRT(2*9.81*(O2203/100-fi_h/2/1000))*1000)),"",IF(O2203&lt;fi_h/20,0,(OFFSET('Base de dados'!$A$5,IF(O2203&lt;20,1,IF(O2203&gt;1000,10,MATCH(O2203,Cargas,1))),Coluna_fih,1,1))*(PI()*(fi_h/1000)^2/4)*SQRT(2*9.81*(O2203/100-fi_h/2/1000))*1000))</f>
        <v>62.924147127951912</v>
      </c>
      <c r="Q2203" s="19">
        <f ca="1">IF(O2203="","",IF(Tipo_Vertedor="Retangular",IF(O2203&lt;=cota_s*100,0,IF(Tipo_Vertedor="Retangular",Cd_sr*Lef_sr*((O2203/100-cota_s)^(3/2))*1000)),IF(O2203&lt;=cota_s*100+fi_s/20,0,(OFFSET('Base de dados'!$A$4,IF(O2203&lt;20,1,IF(O2203&gt;1000,10,MATCH(O2203,Cargas,1))),Coluna_fis,1,1))*(PI()*(fi_s/1000)^2/4)*(2*9.81*(O2203/100-cota_s-fi_s/2/1000))^0.5*1000)))</f>
        <v>11927.813986090268</v>
      </c>
      <c r="R2203" s="19">
        <f t="shared" ca="1" si="260"/>
        <v>11990.738133218219</v>
      </c>
      <c r="S2203" s="19">
        <f t="shared" ca="1" si="261"/>
        <v>13758.276420034994</v>
      </c>
    </row>
    <row r="2204" spans="13:19">
      <c r="M2204" s="81">
        <f t="shared" ca="1" si="258"/>
        <v>25765.175905093325</v>
      </c>
      <c r="N2204" s="19">
        <f t="shared" si="259"/>
        <v>412.95909155900233</v>
      </c>
      <c r="O2204" s="17">
        <f t="shared" si="257"/>
        <v>550.75</v>
      </c>
      <c r="P2204" s="19">
        <f ca="1">IF(ISERROR(IF(O2204&lt;fi_h/20,0,(OFFSET('Base de dados'!$A$5,IF(O2204&lt;20,1,IF(O2204&gt;1000,10,MATCH(O2204,Cargas,1))),Coluna_fih,1,1))*(1+0.13*0.25)*(PI()*(fi_h/1000)^2/4)*SQRT(2*9.81*(O2204/100-fi_h/2/1000))*1000)),"",IF(O2204&lt;fi_h/20,0,(OFFSET('Base de dados'!$A$5,IF(O2204&lt;20,1,IF(O2204&gt;1000,10,MATCH(O2204,Cargas,1))),Coluna_fih,1,1))*(PI()*(fi_h/1000)^2/4)*SQRT(2*9.81*(O2204/100-fi_h/2/1000))*1000))</f>
        <v>62.938581324547677</v>
      </c>
      <c r="Q2204" s="19">
        <f ca="1">IF(O2204="","",IF(Tipo_Vertedor="Retangular",IF(O2204&lt;=cota_s*100,0,IF(Tipo_Vertedor="Retangular",Cd_sr*Lef_sr*((O2204/100-cota_s)^(3/2))*1000)),IF(O2204&lt;=cota_s*100+fi_s/20,0,(OFFSET('Base de dados'!$A$4,IF(O2204&lt;20,1,IF(O2204&gt;1000,10,MATCH(O2204,Cargas,1))),Coluna_fis,1,1))*(PI()*(fi_s/1000)^2/4)*(2*9.81*(O2204/100-cota_s-fi_s/2/1000))^0.5*1000)))</f>
        <v>11936.934271802031</v>
      </c>
      <c r="R2204" s="19">
        <f t="shared" ca="1" si="260"/>
        <v>11999.872853126579</v>
      </c>
      <c r="S2204" s="19">
        <f t="shared" ca="1" si="261"/>
        <v>13765.303051966745</v>
      </c>
    </row>
    <row r="2205" spans="13:19">
      <c r="M2205" s="81">
        <f t="shared" ca="1" si="258"/>
        <v>25781.339974318289</v>
      </c>
      <c r="N2205" s="19">
        <f t="shared" si="259"/>
        <v>413.16990243747426</v>
      </c>
      <c r="O2205" s="17">
        <f t="shared" si="257"/>
        <v>551</v>
      </c>
      <c r="P2205" s="19">
        <f ca="1">IF(ISERROR(IF(O2205&lt;fi_h/20,0,(OFFSET('Base de dados'!$A$5,IF(O2205&lt;20,1,IF(O2205&gt;1000,10,MATCH(O2205,Cargas,1))),Coluna_fih,1,1))*(1+0.13*0.25)*(PI()*(fi_h/1000)^2/4)*SQRT(2*9.81*(O2205/100-fi_h/2/1000))*1000)),"",IF(O2205&lt;fi_h/20,0,(OFFSET('Base de dados'!$A$5,IF(O2205&lt;20,1,IF(O2205&gt;1000,10,MATCH(O2205,Cargas,1))),Coluna_fih,1,1))*(PI()*(fi_h/1000)^2/4)*SQRT(2*9.81*(O2205/100-fi_h/2/1000))*1000))</f>
        <v>62.953012211595258</v>
      </c>
      <c r="Q2205" s="19">
        <f ca="1">IF(O2205="","",IF(Tipo_Vertedor="Retangular",IF(O2205&lt;=cota_s*100,0,IF(Tipo_Vertedor="Retangular",Cd_sr*Lef_sr*((O2205/100-cota_s)^(3/2))*1000)),IF(O2205&lt;=cota_s*100+fi_s/20,0,(OFFSET('Base de dados'!$A$4,IF(O2205&lt;20,1,IF(O2205&gt;1000,10,MATCH(O2205,Cargas,1))),Coluna_fis,1,1))*(PI()*(fi_s/1000)^2/4)*(2*9.81*(O2205/100-cota_s-fi_s/2/1000))^0.5*1000)))</f>
        <v>11946.05688085755</v>
      </c>
      <c r="R2205" s="19">
        <f t="shared" ca="1" si="260"/>
        <v>12009.009893069146</v>
      </c>
      <c r="S2205" s="19">
        <f t="shared" ca="1" si="261"/>
        <v>13772.330081249143</v>
      </c>
    </row>
    <row r="2206" spans="13:19">
      <c r="M2206" s="81">
        <f t="shared" ca="1" si="258"/>
        <v>25797.506760181011</v>
      </c>
      <c r="N2206" s="19">
        <f t="shared" si="259"/>
        <v>413.38072523173065</v>
      </c>
      <c r="O2206" s="17">
        <f t="shared" si="257"/>
        <v>551.25</v>
      </c>
      <c r="P2206" s="19">
        <f ca="1">IF(ISERROR(IF(O2206&lt;fi_h/20,0,(OFFSET('Base de dados'!$A$5,IF(O2206&lt;20,1,IF(O2206&gt;1000,10,MATCH(O2206,Cargas,1))),Coluna_fih,1,1))*(1+0.13*0.25)*(PI()*(fi_h/1000)^2/4)*SQRT(2*9.81*(O2206/100-fi_h/2/1000))*1000)),"",IF(O2206&lt;fi_h/20,0,(OFFSET('Base de dados'!$A$5,IF(O2206&lt;20,1,IF(O2206&gt;1000,10,MATCH(O2206,Cargas,1))),Coluna_fih,1,1))*(PI()*(fi_h/1000)^2/4)*SQRT(2*9.81*(O2206/100-fi_h/2/1000))*1000))</f>
        <v>62.967439791370147</v>
      </c>
      <c r="Q2206" s="19">
        <f ca="1">IF(O2206="","",IF(Tipo_Vertedor="Retangular",IF(O2206&lt;=cota_s*100,0,IF(Tipo_Vertedor="Retangular",Cd_sr*Lef_sr*((O2206/100-cota_s)^(3/2))*1000)),IF(O2206&lt;=cota_s*100+fi_s/20,0,(OFFSET('Base de dados'!$A$4,IF(O2206&lt;20,1,IF(O2206&gt;1000,10,MATCH(O2206,Cargas,1))),Coluna_fis,1,1))*(PI()*(fi_s/1000)^2/4)*(2*9.81*(O2206/100-cota_s-fi_s/2/1000))^0.5*1000)))</f>
        <v>11955.181812665287</v>
      </c>
      <c r="R2206" s="19">
        <f t="shared" ca="1" si="260"/>
        <v>12018.149252456657</v>
      </c>
      <c r="S2206" s="19">
        <f t="shared" ca="1" si="261"/>
        <v>13779.357507724355</v>
      </c>
    </row>
    <row r="2207" spans="13:19">
      <c r="M2207" s="81">
        <f t="shared" ca="1" si="258"/>
        <v>25813.676261934947</v>
      </c>
      <c r="N2207" s="19">
        <f t="shared" si="259"/>
        <v>413.59155993704036</v>
      </c>
      <c r="O2207" s="17">
        <f t="shared" si="257"/>
        <v>551.5</v>
      </c>
      <c r="P2207" s="19">
        <f ca="1">IF(ISERROR(IF(O2207&lt;fi_h/20,0,(OFFSET('Base de dados'!$A$5,IF(O2207&lt;20,1,IF(O2207&gt;1000,10,MATCH(O2207,Cargas,1))),Coluna_fih,1,1))*(1+0.13*0.25)*(PI()*(fi_h/1000)^2/4)*SQRT(2*9.81*(O2207/100-fi_h/2/1000))*1000)),"",IF(O2207&lt;fi_h/20,0,(OFFSET('Base de dados'!$A$5,IF(O2207&lt;20,1,IF(O2207&gt;1000,10,MATCH(O2207,Cargas,1))),Coluna_fih,1,1))*(PI()*(fi_h/1000)^2/4)*SQRT(2*9.81*(O2207/100-fi_h/2/1000))*1000))</f>
        <v>62.981864066145157</v>
      </c>
      <c r="Q2207" s="19">
        <f ca="1">IF(O2207="","",IF(Tipo_Vertedor="Retangular",IF(O2207&lt;=cota_s*100,0,IF(Tipo_Vertedor="Retangular",Cd_sr*Lef_sr*((O2207/100-cota_s)^(3/2))*1000)),IF(O2207&lt;=cota_s*100+fi_s/20,0,(OFFSET('Base de dados'!$A$4,IF(O2207&lt;20,1,IF(O2207&gt;1000,10,MATCH(O2207,Cargas,1))),Coluna_fis,1,1))*(PI()*(fi_s/1000)^2/4)*(2*9.81*(O2207/100-cota_s-fi_s/2/1000))^0.5*1000)))</f>
        <v>11964.309066634123</v>
      </c>
      <c r="R2207" s="19">
        <f t="shared" ca="1" si="260"/>
        <v>12027.290930700268</v>
      </c>
      <c r="S2207" s="19">
        <f t="shared" ca="1" si="261"/>
        <v>13786.38533123468</v>
      </c>
    </row>
    <row r="2208" spans="13:19">
      <c r="M2208" s="81">
        <f t="shared" ca="1" si="258"/>
        <v>25829.848478834159</v>
      </c>
      <c r="N2208" s="19">
        <f t="shared" si="259"/>
        <v>413.8024065486768</v>
      </c>
      <c r="O2208" s="17">
        <f t="shared" si="257"/>
        <v>551.75</v>
      </c>
      <c r="P2208" s="19">
        <f ca="1">IF(ISERROR(IF(O2208&lt;fi_h/20,0,(OFFSET('Base de dados'!$A$5,IF(O2208&lt;20,1,IF(O2208&gt;1000,10,MATCH(O2208,Cargas,1))),Coluna_fih,1,1))*(1+0.13*0.25)*(PI()*(fi_h/1000)^2/4)*SQRT(2*9.81*(O2208/100-fi_h/2/1000))*1000)),"",IF(O2208&lt;fi_h/20,0,(OFFSET('Base de dados'!$A$5,IF(O2208&lt;20,1,IF(O2208&gt;1000,10,MATCH(O2208,Cargas,1))),Coluna_fih,1,1))*(PI()*(fi_h/1000)^2/4)*SQRT(2*9.81*(O2208/100-fi_h/2/1000))*1000))</f>
        <v>62.996285038190535</v>
      </c>
      <c r="Q2208" s="19">
        <f ca="1">IF(O2208="","",IF(Tipo_Vertedor="Retangular",IF(O2208&lt;=cota_s*100,0,IF(Tipo_Vertedor="Retangular",Cd_sr*Lef_sr*((O2208/100-cota_s)^(3/2))*1000)),IF(O2208&lt;=cota_s*100+fi_s/20,0,(OFFSET('Base de dados'!$A$4,IF(O2208&lt;20,1,IF(O2208&gt;1000,10,MATCH(O2208,Cargas,1))),Coluna_fis,1,1))*(PI()*(fi_s/1000)^2/4)*(2*9.81*(O2208/100-cota_s-fi_s/2/1000))^0.5*1000)))</f>
        <v>11973.438642173411</v>
      </c>
      <c r="R2208" s="19">
        <f t="shared" ca="1" si="260"/>
        <v>12036.434927211601</v>
      </c>
      <c r="S2208" s="19">
        <f t="shared" ca="1" si="261"/>
        <v>13793.41355162256</v>
      </c>
    </row>
    <row r="2209" spans="13:19">
      <c r="M2209" s="81">
        <f t="shared" ca="1" si="258"/>
        <v>25846.023410133275</v>
      </c>
      <c r="N2209" s="19">
        <f t="shared" si="259"/>
        <v>414.01326506191691</v>
      </c>
      <c r="O2209" s="17">
        <f t="shared" si="257"/>
        <v>552</v>
      </c>
      <c r="P2209" s="19">
        <f ca="1">IF(ISERROR(IF(O2209&lt;fi_h/20,0,(OFFSET('Base de dados'!$A$5,IF(O2209&lt;20,1,IF(O2209&gt;1000,10,MATCH(O2209,Cargas,1))),Coluna_fih,1,1))*(1+0.13*0.25)*(PI()*(fi_h/1000)^2/4)*SQRT(2*9.81*(O2209/100-fi_h/2/1000))*1000)),"",IF(O2209&lt;fi_h/20,0,(OFFSET('Base de dados'!$A$5,IF(O2209&lt;20,1,IF(O2209&gt;1000,10,MATCH(O2209,Cargas,1))),Coluna_fih,1,1))*(PI()*(fi_h/1000)^2/4)*SQRT(2*9.81*(O2209/100-fi_h/2/1000))*1000))</f>
        <v>63.010702709773923</v>
      </c>
      <c r="Q2209" s="19">
        <f ca="1">IF(O2209="","",IF(Tipo_Vertedor="Retangular",IF(O2209&lt;=cota_s*100,0,IF(Tipo_Vertedor="Retangular",Cd_sr*Lef_sr*((O2209/100-cota_s)^(3/2))*1000)),IF(O2209&lt;=cota_s*100+fi_s/20,0,(OFFSET('Base de dados'!$A$4,IF(O2209&lt;20,1,IF(O2209&gt;1000,10,MATCH(O2209,Cargas,1))),Coluna_fis,1,1))*(PI()*(fi_s/1000)^2/4)*(2*9.81*(O2209/100-cota_s-fi_s/2/1000))^0.5*1000)))</f>
        <v>11982.570538692938</v>
      </c>
      <c r="R2209" s="19">
        <f t="shared" ca="1" si="260"/>
        <v>12045.581241402713</v>
      </c>
      <c r="S2209" s="19">
        <f t="shared" ca="1" si="261"/>
        <v>13800.442168730564</v>
      </c>
    </row>
    <row r="2210" spans="13:19">
      <c r="M2210" s="81">
        <f t="shared" ca="1" si="258"/>
        <v>25862.201055087513</v>
      </c>
      <c r="N2210" s="19">
        <f t="shared" si="259"/>
        <v>414.22413547204189</v>
      </c>
      <c r="O2210" s="17">
        <f t="shared" si="257"/>
        <v>552.25</v>
      </c>
      <c r="P2210" s="19">
        <f ca="1">IF(ISERROR(IF(O2210&lt;fi_h/20,0,(OFFSET('Base de dados'!$A$5,IF(O2210&lt;20,1,IF(O2210&gt;1000,10,MATCH(O2210,Cargas,1))),Coluna_fih,1,1))*(1+0.13*0.25)*(PI()*(fi_h/1000)^2/4)*SQRT(2*9.81*(O2210/100-fi_h/2/1000))*1000)),"",IF(O2210&lt;fi_h/20,0,(OFFSET('Base de dados'!$A$5,IF(O2210&lt;20,1,IF(O2210&gt;1000,10,MATCH(O2210,Cargas,1))),Coluna_fih,1,1))*(PI()*(fi_h/1000)^2/4)*SQRT(2*9.81*(O2210/100-fi_h/2/1000))*1000))</f>
        <v>63.025117083160374</v>
      </c>
      <c r="Q2210" s="19">
        <f ca="1">IF(O2210="","",IF(Tipo_Vertedor="Retangular",IF(O2210&lt;=cota_s*100,0,IF(Tipo_Vertedor="Retangular",Cd_sr*Lef_sr*((O2210/100-cota_s)^(3/2))*1000)),IF(O2210&lt;=cota_s*100+fi_s/20,0,(OFFSET('Base de dados'!$A$4,IF(O2210&lt;20,1,IF(O2210&gt;1000,10,MATCH(O2210,Cargas,1))),Coluna_fis,1,1))*(PI()*(fi_s/1000)^2/4)*(2*9.81*(O2210/100-cota_s-fi_s/2/1000))^0.5*1000)))</f>
        <v>11991.704755602957</v>
      </c>
      <c r="R2210" s="19">
        <f t="shared" ca="1" si="260"/>
        <v>12054.729872686117</v>
      </c>
      <c r="S2210" s="19">
        <f t="shared" ca="1" si="261"/>
        <v>13807.471182401398</v>
      </c>
    </row>
    <row r="2211" spans="13:19">
      <c r="M2211" s="81">
        <f t="shared" ca="1" si="258"/>
        <v>25878.381412952673</v>
      </c>
      <c r="N2211" s="19">
        <f t="shared" si="259"/>
        <v>414.43501777433693</v>
      </c>
      <c r="O2211" s="17">
        <f t="shared" si="257"/>
        <v>552.5</v>
      </c>
      <c r="P2211" s="19">
        <f ca="1">IF(ISERROR(IF(O2211&lt;fi_h/20,0,(OFFSET('Base de dados'!$A$5,IF(O2211&lt;20,1,IF(O2211&gt;1000,10,MATCH(O2211,Cargas,1))),Coluna_fih,1,1))*(1+0.13*0.25)*(PI()*(fi_h/1000)^2/4)*SQRT(2*9.81*(O2211/100-fi_h/2/1000))*1000)),"",IF(O2211&lt;fi_h/20,0,(OFFSET('Base de dados'!$A$5,IF(O2211&lt;20,1,IF(O2211&gt;1000,10,MATCH(O2211,Cargas,1))),Coluna_fih,1,1))*(PI()*(fi_h/1000)^2/4)*SQRT(2*9.81*(O2211/100-fi_h/2/1000))*1000))</f>
        <v>63.039528160612342</v>
      </c>
      <c r="Q2211" s="19">
        <f ca="1">IF(O2211="","",IF(Tipo_Vertedor="Retangular",IF(O2211&lt;=cota_s*100,0,IF(Tipo_Vertedor="Retangular",Cd_sr*Lef_sr*((O2211/100-cota_s)^(3/2))*1000)),IF(O2211&lt;=cota_s*100+fi_s/20,0,(OFFSET('Base de dados'!$A$4,IF(O2211&lt;20,1,IF(O2211&gt;1000,10,MATCH(O2211,Cargas,1))),Coluna_fis,1,1))*(PI()*(fi_s/1000)^2/4)*(2*9.81*(O2211/100-cota_s-fi_s/2/1000))^0.5*1000)))</f>
        <v>12000.84129231416</v>
      </c>
      <c r="R2211" s="19">
        <f t="shared" ca="1" si="260"/>
        <v>12063.880820474773</v>
      </c>
      <c r="S2211" s="19">
        <f t="shared" ca="1" si="261"/>
        <v>13814.500592477898</v>
      </c>
    </row>
    <row r="2212" spans="13:19">
      <c r="M2212" s="81">
        <f t="shared" ca="1" si="258"/>
        <v>25894.564482985108</v>
      </c>
      <c r="N2212" s="19">
        <f t="shared" si="259"/>
        <v>414.64591196409094</v>
      </c>
      <c r="O2212" s="17">
        <f t="shared" si="257"/>
        <v>552.75</v>
      </c>
      <c r="P2212" s="19">
        <f ca="1">IF(ISERROR(IF(O2212&lt;fi_h/20,0,(OFFSET('Base de dados'!$A$5,IF(O2212&lt;20,1,IF(O2212&gt;1000,10,MATCH(O2212,Cargas,1))),Coluna_fih,1,1))*(1+0.13*0.25)*(PI()*(fi_h/1000)^2/4)*SQRT(2*9.81*(O2212/100-fi_h/2/1000))*1000)),"",IF(O2212&lt;fi_h/20,0,(OFFSET('Base de dados'!$A$5,IF(O2212&lt;20,1,IF(O2212&gt;1000,10,MATCH(O2212,Cargas,1))),Coluna_fih,1,1))*(PI()*(fi_h/1000)^2/4)*SQRT(2*9.81*(O2212/100-fi_h/2/1000))*1000))</f>
        <v>63.053935944389686</v>
      </c>
      <c r="Q2212" s="19">
        <f ca="1">IF(O2212="","",IF(Tipo_Vertedor="Retangular",IF(O2212&lt;=cota_s*100,0,IF(Tipo_Vertedor="Retangular",Cd_sr*Lef_sr*((O2212/100-cota_s)^(3/2))*1000)),IF(O2212&lt;=cota_s*100+fi_s/20,0,(OFFSET('Base de dados'!$A$4,IF(O2212&lt;20,1,IF(O2212&gt;1000,10,MATCH(O2212,Cargas,1))),Coluna_fis,1,1))*(PI()*(fi_s/1000)^2/4)*(2*9.81*(O2212/100-cota_s-fi_s/2/1000))^0.5*1000)))</f>
        <v>12009.980148237684</v>
      </c>
      <c r="R2212" s="19">
        <f t="shared" ca="1" si="260"/>
        <v>12073.034084182074</v>
      </c>
      <c r="S2212" s="19">
        <f t="shared" ca="1" si="261"/>
        <v>13821.530398803032</v>
      </c>
    </row>
    <row r="2213" spans="13:19">
      <c r="M2213" s="81">
        <f t="shared" ca="1" si="258"/>
        <v>25910.750264441791</v>
      </c>
      <c r="N2213" s="19">
        <f t="shared" si="259"/>
        <v>414.8568180365973</v>
      </c>
      <c r="O2213" s="17">
        <f t="shared" si="257"/>
        <v>553</v>
      </c>
      <c r="P2213" s="19">
        <f ca="1">IF(ISERROR(IF(O2213&lt;fi_h/20,0,(OFFSET('Base de dados'!$A$5,IF(O2213&lt;20,1,IF(O2213&gt;1000,10,MATCH(O2213,Cargas,1))),Coluna_fih,1,1))*(1+0.13*0.25)*(PI()*(fi_h/1000)^2/4)*SQRT(2*9.81*(O2213/100-fi_h/2/1000))*1000)),"",IF(O2213&lt;fi_h/20,0,(OFFSET('Base de dados'!$A$5,IF(O2213&lt;20,1,IF(O2213&gt;1000,10,MATCH(O2213,Cargas,1))),Coluna_fih,1,1))*(PI()*(fi_h/1000)^2/4)*SQRT(2*9.81*(O2213/100-fi_h/2/1000))*1000))</f>
        <v>63.068340436749722</v>
      </c>
      <c r="Q2213" s="19">
        <f ca="1">IF(O2213="","",IF(Tipo_Vertedor="Retangular",IF(O2213&lt;=cota_s*100,0,IF(Tipo_Vertedor="Retangular",Cd_sr*Lef_sr*((O2213/100-cota_s)^(3/2))*1000)),IF(O2213&lt;=cota_s*100+fi_s/20,0,(OFFSET('Base de dados'!$A$4,IF(O2213&lt;20,1,IF(O2213&gt;1000,10,MATCH(O2213,Cargas,1))),Coluna_fis,1,1))*(PI()*(fi_s/1000)^2/4)*(2*9.81*(O2213/100-cota_s-fi_s/2/1000))^0.5*1000)))</f>
        <v>12019.121322785129</v>
      </c>
      <c r="R2213" s="19">
        <f t="shared" ca="1" si="260"/>
        <v>12082.18966322188</v>
      </c>
      <c r="S2213" s="19">
        <f t="shared" ca="1" si="261"/>
        <v>13828.56060121991</v>
      </c>
    </row>
    <row r="2214" spans="13:19">
      <c r="M2214" s="81">
        <f t="shared" ca="1" si="258"/>
        <v>25926.938756580239</v>
      </c>
      <c r="N2214" s="19">
        <f t="shared" si="259"/>
        <v>415.06773598715313</v>
      </c>
      <c r="O2214" s="17">
        <f t="shared" si="257"/>
        <v>553.25</v>
      </c>
      <c r="P2214" s="19">
        <f ca="1">IF(ISERROR(IF(O2214&lt;fi_h/20,0,(OFFSET('Base de dados'!$A$5,IF(O2214&lt;20,1,IF(O2214&gt;1000,10,MATCH(O2214,Cargas,1))),Coluna_fih,1,1))*(1+0.13*0.25)*(PI()*(fi_h/1000)^2/4)*SQRT(2*9.81*(O2214/100-fi_h/2/1000))*1000)),"",IF(O2214&lt;fi_h/20,0,(OFFSET('Base de dados'!$A$5,IF(O2214&lt;20,1,IF(O2214&gt;1000,10,MATCH(O2214,Cargas,1))),Coluna_fih,1,1))*(PI()*(fi_h/1000)^2/4)*SQRT(2*9.81*(O2214/100-fi_h/2/1000))*1000))</f>
        <v>63.082741639947137</v>
      </c>
      <c r="Q2214" s="19">
        <f ca="1">IF(O2214="","",IF(Tipo_Vertedor="Retangular",IF(O2214&lt;=cota_s*100,0,IF(Tipo_Vertedor="Retangular",Cd_sr*Lef_sr*((O2214/100-cota_s)^(3/2))*1000)),IF(O2214&lt;=cota_s*100+fi_s/20,0,(OFFSET('Base de dados'!$A$4,IF(O2214&lt;20,1,IF(O2214&gt;1000,10,MATCH(O2214,Cargas,1))),Coluna_fis,1,1))*(PI()*(fi_s/1000)^2/4)*(2*9.81*(O2214/100-cota_s-fi_s/2/1000))^0.5*1000)))</f>
        <v>12028.264815368522</v>
      </c>
      <c r="R2214" s="19">
        <f t="shared" ca="1" si="260"/>
        <v>12091.34755700847</v>
      </c>
      <c r="S2214" s="19">
        <f t="shared" ca="1" si="261"/>
        <v>13835.591199571771</v>
      </c>
    </row>
    <row r="2215" spans="13:19">
      <c r="M2215" s="81">
        <f t="shared" ca="1" si="258"/>
        <v>25943.129958658574</v>
      </c>
      <c r="N2215" s="19">
        <f t="shared" si="259"/>
        <v>415.2786658110594</v>
      </c>
      <c r="O2215" s="17">
        <f t="shared" si="257"/>
        <v>553.5</v>
      </c>
      <c r="P2215" s="19">
        <f ca="1">IF(ISERROR(IF(O2215&lt;fi_h/20,0,(OFFSET('Base de dados'!$A$5,IF(O2215&lt;20,1,IF(O2215&gt;1000,10,MATCH(O2215,Cargas,1))),Coluna_fih,1,1))*(1+0.13*0.25)*(PI()*(fi_h/1000)^2/4)*SQRT(2*9.81*(O2215/100-fi_h/2/1000))*1000)),"",IF(O2215&lt;fi_h/20,0,(OFFSET('Base de dados'!$A$5,IF(O2215&lt;20,1,IF(O2215&gt;1000,10,MATCH(O2215,Cargas,1))),Coluna_fih,1,1))*(PI()*(fi_h/1000)^2/4)*SQRT(2*9.81*(O2215/100-fi_h/2/1000))*1000))</f>
        <v>63.097139556234112</v>
      </c>
      <c r="Q2215" s="19">
        <f ca="1">IF(O2215="","",IF(Tipo_Vertedor="Retangular",IF(O2215&lt;=cota_s*100,0,IF(Tipo_Vertedor="Retangular",Cd_sr*Lef_sr*((O2215/100-cota_s)^(3/2))*1000)),IF(O2215&lt;=cota_s*100+fi_s/20,0,(OFFSET('Base de dados'!$A$4,IF(O2215&lt;20,1,IF(O2215&gt;1000,10,MATCH(O2215,Cargas,1))),Coluna_fis,1,1))*(PI()*(fi_s/1000)^2/4)*(2*9.81*(O2215/100-cota_s-fi_s/2/1000))^0.5*1000)))</f>
        <v>12037.410625400362</v>
      </c>
      <c r="R2215" s="19">
        <f t="shared" ca="1" si="260"/>
        <v>12100.507764956596</v>
      </c>
      <c r="S2215" s="19">
        <f t="shared" ca="1" si="261"/>
        <v>13842.62219370198</v>
      </c>
    </row>
    <row r="2216" spans="13:19">
      <c r="M2216" s="81">
        <f t="shared" ca="1" si="258"/>
        <v>25959.323869935477</v>
      </c>
      <c r="N2216" s="19">
        <f t="shared" si="259"/>
        <v>415.48960750362119</v>
      </c>
      <c r="O2216" s="17">
        <f t="shared" si="257"/>
        <v>553.75</v>
      </c>
      <c r="P2216" s="19">
        <f ca="1">IF(ISERROR(IF(O2216&lt;fi_h/20,0,(OFFSET('Base de dados'!$A$5,IF(O2216&lt;20,1,IF(O2216&gt;1000,10,MATCH(O2216,Cargas,1))),Coluna_fih,1,1))*(1+0.13*0.25)*(PI()*(fi_h/1000)^2/4)*SQRT(2*9.81*(O2216/100-fi_h/2/1000))*1000)),"",IF(O2216&lt;fi_h/20,0,(OFFSET('Base de dados'!$A$5,IF(O2216&lt;20,1,IF(O2216&gt;1000,10,MATCH(O2216,Cargas,1))),Coluna_fih,1,1))*(PI()*(fi_h/1000)^2/4)*SQRT(2*9.81*(O2216/100-fi_h/2/1000))*1000))</f>
        <v>63.11153418786018</v>
      </c>
      <c r="Q2216" s="19">
        <f ca="1">IF(O2216="","",IF(Tipo_Vertedor="Retangular",IF(O2216&lt;=cota_s*100,0,IF(Tipo_Vertedor="Retangular",Cd_sr*Lef_sr*((O2216/100-cota_s)^(3/2))*1000)),IF(O2216&lt;=cota_s*100+fi_s/20,0,(OFFSET('Base de dados'!$A$4,IF(O2216&lt;20,1,IF(O2216&gt;1000,10,MATCH(O2216,Cargas,1))),Coluna_fis,1,1))*(PI()*(fi_s/1000)^2/4)*(2*9.81*(O2216/100-cota_s-fi_s/2/1000))^0.5*1000)))</f>
        <v>12046.558752293577</v>
      </c>
      <c r="R2216" s="19">
        <f t="shared" ca="1" si="260"/>
        <v>12109.670286481436</v>
      </c>
      <c r="S2216" s="19">
        <f t="shared" ca="1" si="261"/>
        <v>13849.653583454039</v>
      </c>
    </row>
    <row r="2217" spans="13:19">
      <c r="M2217" s="81">
        <f t="shared" ca="1" si="258"/>
        <v>25975.520489670209</v>
      </c>
      <c r="N2217" s="19">
        <f t="shared" si="259"/>
        <v>415.70056106014766</v>
      </c>
      <c r="O2217" s="17">
        <f t="shared" si="257"/>
        <v>554</v>
      </c>
      <c r="P2217" s="19">
        <f ca="1">IF(ISERROR(IF(O2217&lt;fi_h/20,0,(OFFSET('Base de dados'!$A$5,IF(O2217&lt;20,1,IF(O2217&gt;1000,10,MATCH(O2217,Cargas,1))),Coluna_fih,1,1))*(1+0.13*0.25)*(PI()*(fi_h/1000)^2/4)*SQRT(2*9.81*(O2217/100-fi_h/2/1000))*1000)),"",IF(O2217&lt;fi_h/20,0,(OFFSET('Base de dados'!$A$5,IF(O2217&lt;20,1,IF(O2217&gt;1000,10,MATCH(O2217,Cargas,1))),Coluna_fih,1,1))*(PI()*(fi_h/1000)^2/4)*SQRT(2*9.81*(O2217/100-fi_h/2/1000))*1000))</f>
        <v>63.125925537072384</v>
      </c>
      <c r="Q2217" s="19">
        <f ca="1">IF(O2217="","",IF(Tipo_Vertedor="Retangular",IF(O2217&lt;=cota_s*100,0,IF(Tipo_Vertedor="Retangular",Cd_sr*Lef_sr*((O2217/100-cota_s)^(3/2))*1000)),IF(O2217&lt;=cota_s*100+fi_s/20,0,(OFFSET('Base de dados'!$A$4,IF(O2217&lt;20,1,IF(O2217&gt;1000,10,MATCH(O2217,Cargas,1))),Coluna_fis,1,1))*(PI()*(fi_s/1000)^2/4)*(2*9.81*(O2217/100-cota_s-fi_s/2/1000))^0.5*1000)))</f>
        <v>12055.709195461548</v>
      </c>
      <c r="R2217" s="19">
        <f t="shared" ca="1" si="260"/>
        <v>12118.835120998621</v>
      </c>
      <c r="S2217" s="19">
        <f t="shared" ca="1" si="261"/>
        <v>13856.685368671588</v>
      </c>
    </row>
    <row r="2218" spans="13:19">
      <c r="M2218" s="81">
        <f t="shared" ca="1" si="258"/>
        <v>25991.719817122597</v>
      </c>
      <c r="N2218" s="19">
        <f t="shared" si="259"/>
        <v>415.91152647595186</v>
      </c>
      <c r="O2218" s="17">
        <f t="shared" si="257"/>
        <v>554.25</v>
      </c>
      <c r="P2218" s="19">
        <f ca="1">IF(ISERROR(IF(O2218&lt;fi_h/20,0,(OFFSET('Base de dados'!$A$5,IF(O2218&lt;20,1,IF(O2218&gt;1000,10,MATCH(O2218,Cargas,1))),Coluna_fih,1,1))*(1+0.13*0.25)*(PI()*(fi_h/1000)^2/4)*SQRT(2*9.81*(O2218/100-fi_h/2/1000))*1000)),"",IF(O2218&lt;fi_h/20,0,(OFFSET('Base de dados'!$A$5,IF(O2218&lt;20,1,IF(O2218&gt;1000,10,MATCH(O2218,Cargas,1))),Coluna_fih,1,1))*(PI()*(fi_h/1000)^2/4)*SQRT(2*9.81*(O2218/100-fi_h/2/1000))*1000))</f>
        <v>63.14031360611515</v>
      </c>
      <c r="Q2218" s="19">
        <f ca="1">IF(O2218="","",IF(Tipo_Vertedor="Retangular",IF(O2218&lt;=cota_s*100,0,IF(Tipo_Vertedor="Retangular",Cd_sr*Lef_sr*((O2218/100-cota_s)^(3/2))*1000)),IF(O2218&lt;=cota_s*100+fi_s/20,0,(OFFSET('Base de dados'!$A$4,IF(O2218&lt;20,1,IF(O2218&gt;1000,10,MATCH(O2218,Cargas,1))),Coluna_fis,1,1))*(PI()*(fi_s/1000)^2/4)*(2*9.81*(O2218/100-cota_s-fi_s/2/1000))^0.5*1000)))</f>
        <v>12064.861954318088</v>
      </c>
      <c r="R2218" s="19">
        <f t="shared" ca="1" si="260"/>
        <v>12128.002267924203</v>
      </c>
      <c r="S2218" s="19">
        <f t="shared" ca="1" si="261"/>
        <v>13863.717549198394</v>
      </c>
    </row>
    <row r="2219" spans="13:19">
      <c r="M2219" s="81">
        <f t="shared" ca="1" si="258"/>
        <v>26007.92185155307</v>
      </c>
      <c r="N2219" s="19">
        <f t="shared" si="259"/>
        <v>416.12250374635073</v>
      </c>
      <c r="O2219" s="17">
        <f t="shared" si="257"/>
        <v>554.5</v>
      </c>
      <c r="P2219" s="19">
        <f ca="1">IF(ISERROR(IF(O2219&lt;fi_h/20,0,(OFFSET('Base de dados'!$A$5,IF(O2219&lt;20,1,IF(O2219&gt;1000,10,MATCH(O2219,Cargas,1))),Coluna_fih,1,1))*(1+0.13*0.25)*(PI()*(fi_h/1000)^2/4)*SQRT(2*9.81*(O2219/100-fi_h/2/1000))*1000)),"",IF(O2219&lt;fi_h/20,0,(OFFSET('Base de dados'!$A$5,IF(O2219&lt;20,1,IF(O2219&gt;1000,10,MATCH(O2219,Cargas,1))),Coluna_fih,1,1))*(PI()*(fi_h/1000)^2/4)*SQRT(2*9.81*(O2219/100-fi_h/2/1000))*1000))</f>
        <v>63.154698397230369</v>
      </c>
      <c r="Q2219" s="19">
        <f ca="1">IF(O2219="","",IF(Tipo_Vertedor="Retangular",IF(O2219&lt;=cota_s*100,0,IF(Tipo_Vertedor="Retangular",Cd_sr*Lef_sr*((O2219/100-cota_s)^(3/2))*1000)),IF(O2219&lt;=cota_s*100+fi_s/20,0,(OFFSET('Base de dados'!$A$4,IF(O2219&lt;20,1,IF(O2219&gt;1000,10,MATCH(O2219,Cargas,1))),Coluna_fis,1,1))*(PI()*(fi_s/1000)^2/4)*(2*9.81*(O2219/100-cota_s-fi_s/2/1000))^0.5*1000)))</f>
        <v>12074.017028277482</v>
      </c>
      <c r="R2219" s="19">
        <f t="shared" ca="1" si="260"/>
        <v>12137.171726674713</v>
      </c>
      <c r="S2219" s="19">
        <f t="shared" ca="1" si="261"/>
        <v>13870.750124878357</v>
      </c>
    </row>
    <row r="2220" spans="13:19">
      <c r="M2220" s="81">
        <f t="shared" ca="1" si="258"/>
        <v>26024.126592222598</v>
      </c>
      <c r="N2220" s="19">
        <f t="shared" si="259"/>
        <v>416.33349286666532</v>
      </c>
      <c r="O2220" s="17">
        <f t="shared" si="257"/>
        <v>554.75</v>
      </c>
      <c r="P2220" s="19">
        <f ca="1">IF(ISERROR(IF(O2220&lt;fi_h/20,0,(OFFSET('Base de dados'!$A$5,IF(O2220&lt;20,1,IF(O2220&gt;1000,10,MATCH(O2220,Cargas,1))),Coluna_fih,1,1))*(1+0.13*0.25)*(PI()*(fi_h/1000)^2/4)*SQRT(2*9.81*(O2220/100-fi_h/2/1000))*1000)),"",IF(O2220&lt;fi_h/20,0,(OFFSET('Base de dados'!$A$5,IF(O2220&lt;20,1,IF(O2220&gt;1000,10,MATCH(O2220,Cargas,1))),Coluna_fih,1,1))*(PI()*(fi_h/1000)^2/4)*SQRT(2*9.81*(O2220/100-fi_h/2/1000))*1000))</f>
        <v>63.169079912657381</v>
      </c>
      <c r="Q2220" s="19">
        <f ca="1">IF(O2220="","",IF(Tipo_Vertedor="Retangular",IF(O2220&lt;=cota_s*100,0,IF(Tipo_Vertedor="Retangular",Cd_sr*Lef_sr*((O2220/100-cota_s)^(3/2))*1000)),IF(O2220&lt;=cota_s*100+fi_s/20,0,(OFFSET('Base de dados'!$A$4,IF(O2220&lt;20,1,IF(O2220&gt;1000,10,MATCH(O2220,Cargas,1))),Coluna_fis,1,1))*(PI()*(fi_s/1000)^2/4)*(2*9.81*(O2220/100-cota_s-fi_s/2/1000))^0.5*1000)))</f>
        <v>12083.174416754431</v>
      </c>
      <c r="R2220" s="19">
        <f t="shared" ca="1" si="260"/>
        <v>12146.343496667088</v>
      </c>
      <c r="S2220" s="19">
        <f t="shared" ca="1" si="261"/>
        <v>13877.783095555509</v>
      </c>
    </row>
    <row r="2221" spans="13:19">
      <c r="M2221" s="81">
        <f t="shared" ca="1" si="258"/>
        <v>26040.334038392739</v>
      </c>
      <c r="N2221" s="19">
        <f t="shared" si="259"/>
        <v>416.54449383222033</v>
      </c>
      <c r="O2221" s="17">
        <f t="shared" si="257"/>
        <v>555</v>
      </c>
      <c r="P2221" s="19">
        <f ca="1">IF(ISERROR(IF(O2221&lt;fi_h/20,0,(OFFSET('Base de dados'!$A$5,IF(O2221&lt;20,1,IF(O2221&gt;1000,10,MATCH(O2221,Cargas,1))),Coluna_fih,1,1))*(1+0.13*0.25)*(PI()*(fi_h/1000)^2/4)*SQRT(2*9.81*(O2221/100-fi_h/2/1000))*1000)),"",IF(O2221&lt;fi_h/20,0,(OFFSET('Base de dados'!$A$5,IF(O2221&lt;20,1,IF(O2221&gt;1000,10,MATCH(O2221,Cargas,1))),Coluna_fih,1,1))*(PI()*(fi_h/1000)^2/4)*SQRT(2*9.81*(O2221/100-fi_h/2/1000))*1000))</f>
        <v>63.183458154632973</v>
      </c>
      <c r="Q2221" s="19">
        <f ca="1">IF(O2221="","",IF(Tipo_Vertedor="Retangular",IF(O2221&lt;=cota_s*100,0,IF(Tipo_Vertedor="Retangular",Cd_sr*Lef_sr*((O2221/100-cota_s)^(3/2))*1000)),IF(O2221&lt;=cota_s*100+fi_s/20,0,(OFFSET('Base de dados'!$A$4,IF(O2221&lt;20,1,IF(O2221&gt;1000,10,MATCH(O2221,Cargas,1))),Coluna_fis,1,1))*(PI()*(fi_s/1000)^2/4)*(2*9.81*(O2221/100-cota_s-fi_s/2/1000))^0.5*1000)))</f>
        <v>12092.334119164094</v>
      </c>
      <c r="R2221" s="19">
        <f t="shared" ca="1" si="260"/>
        <v>12155.517577318727</v>
      </c>
      <c r="S2221" s="19">
        <f t="shared" ca="1" si="261"/>
        <v>13884.816461074011</v>
      </c>
    </row>
    <row r="2222" spans="13:19">
      <c r="M2222" s="81">
        <f t="shared" ca="1" si="258"/>
        <v>26056.544189325636</v>
      </c>
      <c r="N2222" s="19">
        <f t="shared" si="259"/>
        <v>416.75550663834497</v>
      </c>
      <c r="O2222" s="17">
        <f t="shared" si="257"/>
        <v>555.25</v>
      </c>
      <c r="P2222" s="19">
        <f ca="1">IF(ISERROR(IF(O2222&lt;fi_h/20,0,(OFFSET('Base de dados'!$A$5,IF(O2222&lt;20,1,IF(O2222&gt;1000,10,MATCH(O2222,Cargas,1))),Coluna_fih,1,1))*(1+0.13*0.25)*(PI()*(fi_h/1000)^2/4)*SQRT(2*9.81*(O2222/100-fi_h/2/1000))*1000)),"",IF(O2222&lt;fi_h/20,0,(OFFSET('Base de dados'!$A$5,IF(O2222&lt;20,1,IF(O2222&gt;1000,10,MATCH(O2222,Cargas,1))),Coluna_fih,1,1))*(PI()*(fi_h/1000)^2/4)*SQRT(2*9.81*(O2222/100-fi_h/2/1000))*1000))</f>
        <v>63.197833125391398</v>
      </c>
      <c r="Q2222" s="19">
        <f ca="1">IF(O2222="","",IF(Tipo_Vertedor="Retangular",IF(O2222&lt;=cota_s*100,0,IF(Tipo_Vertedor="Retangular",Cd_sr*Lef_sr*((O2222/100-cota_s)^(3/2))*1000)),IF(O2222&lt;=cota_s*100+fi_s/20,0,(OFFSET('Base de dados'!$A$4,IF(O2222&lt;20,1,IF(O2222&gt;1000,10,MATCH(O2222,Cargas,1))),Coluna_fis,1,1))*(PI()*(fi_s/1000)^2/4)*(2*9.81*(O2222/100-cota_s-fi_s/2/1000))^0.5*1000)))</f>
        <v>12101.496134922076</v>
      </c>
      <c r="R2222" s="19">
        <f t="shared" ca="1" si="260"/>
        <v>12164.693968047468</v>
      </c>
      <c r="S2222" s="19">
        <f t="shared" ca="1" si="261"/>
        <v>13891.850221278166</v>
      </c>
    </row>
    <row r="2223" spans="13:19">
      <c r="M2223" s="81">
        <f t="shared" ca="1" si="258"/>
        <v>26072.757044283964</v>
      </c>
      <c r="N2223" s="19">
        <f t="shared" si="259"/>
        <v>416.96653128037173</v>
      </c>
      <c r="O2223" s="17">
        <f t="shared" si="257"/>
        <v>555.5</v>
      </c>
      <c r="P2223" s="19">
        <f ca="1">IF(ISERROR(IF(O2223&lt;fi_h/20,0,(OFFSET('Base de dados'!$A$5,IF(O2223&lt;20,1,IF(O2223&gt;1000,10,MATCH(O2223,Cargas,1))),Coluna_fih,1,1))*(1+0.13*0.25)*(PI()*(fi_h/1000)^2/4)*SQRT(2*9.81*(O2223/100-fi_h/2/1000))*1000)),"",IF(O2223&lt;fi_h/20,0,(OFFSET('Base de dados'!$A$5,IF(O2223&lt;20,1,IF(O2223&gt;1000,10,MATCH(O2223,Cargas,1))),Coluna_fih,1,1))*(PI()*(fi_h/1000)^2/4)*SQRT(2*9.81*(O2223/100-fi_h/2/1000))*1000))</f>
        <v>63.212204827164356</v>
      </c>
      <c r="Q2223" s="19">
        <f ca="1">IF(O2223="","",IF(Tipo_Vertedor="Retangular",IF(O2223&lt;=cota_s*100,0,IF(Tipo_Vertedor="Retangular",Cd_sr*Lef_sr*((O2223/100-cota_s)^(3/2))*1000)),IF(O2223&lt;=cota_s*100+fi_s/20,0,(OFFSET('Base de dados'!$A$4,IF(O2223&lt;20,1,IF(O2223&gt;1000,10,MATCH(O2223,Cargas,1))),Coluna_fis,1,1))*(PI()*(fi_s/1000)^2/4)*(2*9.81*(O2223/100-cota_s-fi_s/2/1000))^0.5*1000)))</f>
        <v>12110.660463444408</v>
      </c>
      <c r="R2223" s="19">
        <f t="shared" ca="1" si="260"/>
        <v>12173.872668271573</v>
      </c>
      <c r="S2223" s="19">
        <f t="shared" ca="1" si="261"/>
        <v>13898.884376012391</v>
      </c>
    </row>
    <row r="2224" spans="13:19">
      <c r="M2224" s="81">
        <f t="shared" ca="1" si="258"/>
        <v>26088.972602531023</v>
      </c>
      <c r="N2224" s="19">
        <f t="shared" si="259"/>
        <v>417.1775677536375</v>
      </c>
      <c r="O2224" s="17">
        <f t="shared" si="257"/>
        <v>555.75</v>
      </c>
      <c r="P2224" s="19">
        <f ca="1">IF(ISERROR(IF(O2224&lt;fi_h/20,0,(OFFSET('Base de dados'!$A$5,IF(O2224&lt;20,1,IF(O2224&gt;1000,10,MATCH(O2224,Cargas,1))),Coluna_fih,1,1))*(1+0.13*0.25)*(PI()*(fi_h/1000)^2/4)*SQRT(2*9.81*(O2224/100-fi_h/2/1000))*1000)),"",IF(O2224&lt;fi_h/20,0,(OFFSET('Base de dados'!$A$5,IF(O2224&lt;20,1,IF(O2224&gt;1000,10,MATCH(O2224,Cargas,1))),Coluna_fih,1,1))*(PI()*(fi_h/1000)^2/4)*SQRT(2*9.81*(O2224/100-fi_h/2/1000))*1000))</f>
        <v>63.226573262181006</v>
      </c>
      <c r="Q2224" s="19">
        <f ca="1">IF(O2224="","",IF(Tipo_Vertedor="Retangular",IF(O2224&lt;=cota_s*100,0,IF(Tipo_Vertedor="Retangular",Cd_sr*Lef_sr*((O2224/100-cota_s)^(3/2))*1000)),IF(O2224&lt;=cota_s*100+fi_s/20,0,(OFFSET('Base de dados'!$A$4,IF(O2224&lt;20,1,IF(O2224&gt;1000,10,MATCH(O2224,Cargas,1))),Coluna_fis,1,1))*(PI()*(fi_s/1000)^2/4)*(2*9.81*(O2224/100-cota_s-fi_s/2/1000))^0.5*1000)))</f>
        <v>12119.827104147589</v>
      </c>
      <c r="R2224" s="19">
        <f t="shared" ca="1" si="260"/>
        <v>12183.053677409771</v>
      </c>
      <c r="S2224" s="19">
        <f t="shared" ca="1" si="261"/>
        <v>13905.91892512125</v>
      </c>
    </row>
    <row r="2225" spans="13:19">
      <c r="M2225" s="81">
        <f t="shared" ca="1" si="258"/>
        <v>26105.19086333063</v>
      </c>
      <c r="N2225" s="19">
        <f t="shared" si="259"/>
        <v>417.38861605348296</v>
      </c>
      <c r="O2225" s="17">
        <f t="shared" si="257"/>
        <v>556</v>
      </c>
      <c r="P2225" s="19">
        <f ca="1">IF(ISERROR(IF(O2225&lt;fi_h/20,0,(OFFSET('Base de dados'!$A$5,IF(O2225&lt;20,1,IF(O2225&gt;1000,10,MATCH(O2225,Cargas,1))),Coluna_fih,1,1))*(1+0.13*0.25)*(PI()*(fi_h/1000)^2/4)*SQRT(2*9.81*(O2225/100-fi_h/2/1000))*1000)),"",IF(O2225&lt;fi_h/20,0,(OFFSET('Base de dados'!$A$5,IF(O2225&lt;20,1,IF(O2225&gt;1000,10,MATCH(O2225,Cargas,1))),Coluna_fih,1,1))*(PI()*(fi_h/1000)^2/4)*SQRT(2*9.81*(O2225/100-fi_h/2/1000))*1000))</f>
        <v>63.24093843266801</v>
      </c>
      <c r="Q2225" s="19">
        <f ca="1">IF(O2225="","",IF(Tipo_Vertedor="Retangular",IF(O2225&lt;=cota_s*100,0,IF(Tipo_Vertedor="Retangular",Cd_sr*Lef_sr*((O2225/100-cota_s)^(3/2))*1000)),IF(O2225&lt;=cota_s*100+fi_s/20,0,(OFFSET('Base de dados'!$A$4,IF(O2225&lt;20,1,IF(O2225&gt;1000,10,MATCH(O2225,Cargas,1))),Coluna_fis,1,1))*(PI()*(fi_s/1000)^2/4)*(2*9.81*(O2225/100-cota_s-fi_s/2/1000))^0.5*1000)))</f>
        <v>12128.99605644853</v>
      </c>
      <c r="R2225" s="19">
        <f t="shared" ca="1" si="260"/>
        <v>12192.236994881197</v>
      </c>
      <c r="S2225" s="19">
        <f t="shared" ca="1" si="261"/>
        <v>13912.953868449433</v>
      </c>
    </row>
    <row r="2226" spans="13:19">
      <c r="M2226" s="81">
        <f t="shared" ca="1" si="258"/>
        <v>26121.411825947223</v>
      </c>
      <c r="N2226" s="19">
        <f t="shared" si="259"/>
        <v>417.59967617525268</v>
      </c>
      <c r="O2226" s="17">
        <f t="shared" si="257"/>
        <v>556.25</v>
      </c>
      <c r="P2226" s="19">
        <f ca="1">IF(ISERROR(IF(O2226&lt;fi_h/20,0,(OFFSET('Base de dados'!$A$5,IF(O2226&lt;20,1,IF(O2226&gt;1000,10,MATCH(O2226,Cargas,1))),Coluna_fih,1,1))*(1+0.13*0.25)*(PI()*(fi_h/1000)^2/4)*SQRT(2*9.81*(O2226/100-fi_h/2/1000))*1000)),"",IF(O2226&lt;fi_h/20,0,(OFFSET('Base de dados'!$A$5,IF(O2226&lt;20,1,IF(O2226&gt;1000,10,MATCH(O2226,Cargas,1))),Coluna_fih,1,1))*(PI()*(fi_h/1000)^2/4)*SQRT(2*9.81*(O2226/100-fi_h/2/1000))*1000))</f>
        <v>63.255300340849431</v>
      </c>
      <c r="Q2226" s="19">
        <f ca="1">IF(O2226="","",IF(Tipo_Vertedor="Retangular",IF(O2226&lt;=cota_s*100,0,IF(Tipo_Vertedor="Retangular",Cd_sr*Lef_sr*((O2226/100-cota_s)^(3/2))*1000)),IF(O2226&lt;=cota_s*100+fi_s/20,0,(OFFSET('Base de dados'!$A$4,IF(O2226&lt;20,1,IF(O2226&gt;1000,10,MATCH(O2226,Cargas,1))),Coluna_fis,1,1))*(PI()*(fi_s/1000)^2/4)*(2*9.81*(O2226/100-cota_s-fi_s/2/1000))^0.5*1000)))</f>
        <v>12138.167319764614</v>
      </c>
      <c r="R2226" s="19">
        <f t="shared" ca="1" si="260"/>
        <v>12201.422620105464</v>
      </c>
      <c r="S2226" s="19">
        <f t="shared" ca="1" si="261"/>
        <v>13919.989205841757</v>
      </c>
    </row>
    <row r="2227" spans="13:19">
      <c r="M2227" s="81">
        <f t="shared" ca="1" si="258"/>
        <v>26137.635489645756</v>
      </c>
      <c r="N2227" s="19">
        <f t="shared" si="259"/>
        <v>417.81074811429534</v>
      </c>
      <c r="O2227" s="17">
        <f t="shared" si="257"/>
        <v>556.5</v>
      </c>
      <c r="P2227" s="19">
        <f ca="1">IF(ISERROR(IF(O2227&lt;fi_h/20,0,(OFFSET('Base de dados'!$A$5,IF(O2227&lt;20,1,IF(O2227&gt;1000,10,MATCH(O2227,Cargas,1))),Coluna_fih,1,1))*(1+0.13*0.25)*(PI()*(fi_h/1000)^2/4)*SQRT(2*9.81*(O2227/100-fi_h/2/1000))*1000)),"",IF(O2227&lt;fi_h/20,0,(OFFSET('Base de dados'!$A$5,IF(O2227&lt;20,1,IF(O2227&gt;1000,10,MATCH(O2227,Cargas,1))),Coluna_fih,1,1))*(PI()*(fi_h/1000)^2/4)*SQRT(2*9.81*(O2227/100-fi_h/2/1000))*1000))</f>
        <v>63.269658988946901</v>
      </c>
      <c r="Q2227" s="19">
        <f ca="1">IF(O2227="","",IF(Tipo_Vertedor="Retangular",IF(O2227&lt;=cota_s*100,0,IF(Tipo_Vertedor="Retangular",Cd_sr*Lef_sr*((O2227/100-cota_s)^(3/2))*1000)),IF(O2227&lt;=cota_s*100+fi_s/20,0,(OFFSET('Base de dados'!$A$4,IF(O2227&lt;20,1,IF(O2227&gt;1000,10,MATCH(O2227,Cargas,1))),Coluna_fis,1,1))*(PI()*(fi_s/1000)^2/4)*(2*9.81*(O2227/100-cota_s-fi_s/2/1000))^0.5*1000)))</f>
        <v>12147.34089351363</v>
      </c>
      <c r="R2227" s="19">
        <f t="shared" ca="1" si="260"/>
        <v>12210.610552502578</v>
      </c>
      <c r="S2227" s="19">
        <f t="shared" ca="1" si="261"/>
        <v>13927.024937143178</v>
      </c>
    </row>
    <row r="2228" spans="13:19">
      <c r="M2228" s="81">
        <f t="shared" ca="1" si="258"/>
        <v>26153.861853691797</v>
      </c>
      <c r="N2228" s="19">
        <f t="shared" si="259"/>
        <v>418.02183186596318</v>
      </c>
      <c r="O2228" s="17">
        <f t="shared" si="257"/>
        <v>556.75</v>
      </c>
      <c r="P2228" s="19">
        <f ca="1">IF(ISERROR(IF(O2228&lt;fi_h/20,0,(OFFSET('Base de dados'!$A$5,IF(O2228&lt;20,1,IF(O2228&gt;1000,10,MATCH(O2228,Cargas,1))),Coluna_fih,1,1))*(1+0.13*0.25)*(PI()*(fi_h/1000)^2/4)*SQRT(2*9.81*(O2228/100-fi_h/2/1000))*1000)),"",IF(O2228&lt;fi_h/20,0,(OFFSET('Base de dados'!$A$5,IF(O2228&lt;20,1,IF(O2228&gt;1000,10,MATCH(O2228,Cargas,1))),Coluna_fih,1,1))*(PI()*(fi_h/1000)^2/4)*SQRT(2*9.81*(O2228/100-fi_h/2/1000))*1000))</f>
        <v>63.284014379179439</v>
      </c>
      <c r="Q2228" s="19">
        <f ca="1">IF(O2228="","",IF(Tipo_Vertedor="Retangular",IF(O2228&lt;=cota_s*100,0,IF(Tipo_Vertedor="Retangular",Cd_sr*Lef_sr*((O2228/100-cota_s)^(3/2))*1000)),IF(O2228&lt;=cota_s*100+fi_s/20,0,(OFFSET('Base de dados'!$A$4,IF(O2228&lt;20,1,IF(O2228&gt;1000,10,MATCH(O2228,Cargas,1))),Coluna_fis,1,1))*(PI()*(fi_s/1000)^2/4)*(2*9.81*(O2228/100-cota_s-fi_s/2/1000))^0.5*1000)))</f>
        <v>12156.516777113844</v>
      </c>
      <c r="R2228" s="19">
        <f t="shared" ca="1" si="260"/>
        <v>12219.800791493024</v>
      </c>
      <c r="S2228" s="19">
        <f t="shared" ca="1" si="261"/>
        <v>13934.061062198773</v>
      </c>
    </row>
    <row r="2229" spans="13:19">
      <c r="M2229" s="81">
        <f t="shared" ca="1" si="258"/>
        <v>26170.090917351445</v>
      </c>
      <c r="N2229" s="19">
        <f t="shared" si="259"/>
        <v>418.23292742561279</v>
      </c>
      <c r="O2229" s="17">
        <f t="shared" si="257"/>
        <v>557</v>
      </c>
      <c r="P2229" s="19">
        <f ca="1">IF(ISERROR(IF(O2229&lt;fi_h/20,0,(OFFSET('Base de dados'!$A$5,IF(O2229&lt;20,1,IF(O2229&gt;1000,10,MATCH(O2229,Cargas,1))),Coluna_fih,1,1))*(1+0.13*0.25)*(PI()*(fi_h/1000)^2/4)*SQRT(2*9.81*(O2229/100-fi_h/2/1000))*1000)),"",IF(O2229&lt;fi_h/20,0,(OFFSET('Base de dados'!$A$5,IF(O2229&lt;20,1,IF(O2229&gt;1000,10,MATCH(O2229,Cargas,1))),Coluna_fih,1,1))*(PI()*(fi_h/1000)^2/4)*SQRT(2*9.81*(O2229/100-fi_h/2/1000))*1000))</f>
        <v>63.298366513763625</v>
      </c>
      <c r="Q2229" s="19">
        <f ca="1">IF(O2229="","",IF(Tipo_Vertedor="Retangular",IF(O2229&lt;=cota_s*100,0,IF(Tipo_Vertedor="Retangular",Cd_sr*Lef_sr*((O2229/100-cota_s)^(3/2))*1000)),IF(O2229&lt;=cota_s*100+fi_s/20,0,(OFFSET('Base de dados'!$A$4,IF(O2229&lt;20,1,IF(O2229&gt;1000,10,MATCH(O2229,Cargas,1))),Coluna_fis,1,1))*(PI()*(fi_s/1000)^2/4)*(2*9.81*(O2229/100-cota_s-fi_s/2/1000))^0.5*1000)))</f>
        <v>12165.694969983919</v>
      </c>
      <c r="R2229" s="19">
        <f t="shared" ca="1" si="260"/>
        <v>12228.993336497682</v>
      </c>
      <c r="S2229" s="19">
        <f t="shared" ca="1" si="261"/>
        <v>13941.097580853761</v>
      </c>
    </row>
    <row r="2230" spans="13:19">
      <c r="M2230" s="81">
        <f t="shared" ca="1" si="258"/>
        <v>26186.322679891386</v>
      </c>
      <c r="N2230" s="19">
        <f t="shared" si="259"/>
        <v>418.44403478860426</v>
      </c>
      <c r="O2230" s="17">
        <f t="shared" si="257"/>
        <v>557.25</v>
      </c>
      <c r="P2230" s="19">
        <f ca="1">IF(ISERROR(IF(O2230&lt;fi_h/20,0,(OFFSET('Base de dados'!$A$5,IF(O2230&lt;20,1,IF(O2230&gt;1000,10,MATCH(O2230,Cargas,1))),Coluna_fih,1,1))*(1+0.13*0.25)*(PI()*(fi_h/1000)^2/4)*SQRT(2*9.81*(O2230/100-fi_h/2/1000))*1000)),"",IF(O2230&lt;fi_h/20,0,(OFFSET('Base de dados'!$A$5,IF(O2230&lt;20,1,IF(O2230&gt;1000,10,MATCH(O2230,Cargas,1))),Coluna_fih,1,1))*(PI()*(fi_h/1000)^2/4)*SQRT(2*9.81*(O2230/100-fi_h/2/1000))*1000))</f>
        <v>63.312715394913482</v>
      </c>
      <c r="Q2230" s="19">
        <f ca="1">IF(O2230="","",IF(Tipo_Vertedor="Retangular",IF(O2230&lt;=cota_s*100,0,IF(Tipo_Vertedor="Retangular",Cd_sr*Lef_sr*((O2230/100-cota_s)^(3/2))*1000)),IF(O2230&lt;=cota_s*100+fi_s/20,0,(OFFSET('Base de dados'!$A$4,IF(O2230&lt;20,1,IF(O2230&gt;1000,10,MATCH(O2230,Cargas,1))),Coluna_fis,1,1))*(PI()*(fi_s/1000)^2/4)*(2*9.81*(O2230/100-cota_s-fi_s/2/1000))^0.5*1000)))</f>
        <v>12174.875471542997</v>
      </c>
      <c r="R2230" s="19">
        <f t="shared" ca="1" si="260"/>
        <v>12238.18818693791</v>
      </c>
      <c r="S2230" s="19">
        <f t="shared" ca="1" si="261"/>
        <v>13948.134492953475</v>
      </c>
    </row>
    <row r="2231" spans="13:19">
      <c r="M2231" s="81">
        <f t="shared" ca="1" si="258"/>
        <v>26202.557140578872</v>
      </c>
      <c r="N2231" s="19">
        <f t="shared" si="259"/>
        <v>418.65515395030189</v>
      </c>
      <c r="O2231" s="17">
        <f t="shared" si="257"/>
        <v>557.5</v>
      </c>
      <c r="P2231" s="19">
        <f ca="1">IF(ISERROR(IF(O2231&lt;fi_h/20,0,(OFFSET('Base de dados'!$A$5,IF(O2231&lt;20,1,IF(O2231&gt;1000,10,MATCH(O2231,Cargas,1))),Coluna_fih,1,1))*(1+0.13*0.25)*(PI()*(fi_h/1000)^2/4)*SQRT(2*9.81*(O2231/100-fi_h/2/1000))*1000)),"",IF(O2231&lt;fi_h/20,0,(OFFSET('Base de dados'!$A$5,IF(O2231&lt;20,1,IF(O2231&gt;1000,10,MATCH(O2231,Cargas,1))),Coluna_fih,1,1))*(PI()*(fi_h/1000)^2/4)*SQRT(2*9.81*(O2231/100-fi_h/2/1000))*1000))</f>
        <v>63.327061024840539</v>
      </c>
      <c r="Q2231" s="19">
        <f ca="1">IF(O2231="","",IF(Tipo_Vertedor="Retangular",IF(O2231&lt;=cota_s*100,0,IF(Tipo_Vertedor="Retangular",Cd_sr*Lef_sr*((O2231/100-cota_s)^(3/2))*1000)),IF(O2231&lt;=cota_s*100+fi_s/20,0,(OFFSET('Base de dados'!$A$4,IF(O2231&lt;20,1,IF(O2231&gt;1000,10,MATCH(O2231,Cargas,1))),Coluna_fis,1,1))*(PI()*(fi_s/1000)^2/4)*(2*9.81*(O2231/100-cota_s-fi_s/2/1000))^0.5*1000)))</f>
        <v>12184.058281210639</v>
      </c>
      <c r="R2231" s="19">
        <f t="shared" ca="1" si="260"/>
        <v>12247.385342235479</v>
      </c>
      <c r="S2231" s="19">
        <f t="shared" ca="1" si="261"/>
        <v>13955.171798343395</v>
      </c>
    </row>
    <row r="2232" spans="13:19">
      <c r="M2232" s="81">
        <f t="shared" ca="1" si="258"/>
        <v>26218.794298681718</v>
      </c>
      <c r="N2232" s="19">
        <f t="shared" si="259"/>
        <v>418.86628490607364</v>
      </c>
      <c r="O2232" s="17">
        <f t="shared" si="257"/>
        <v>557.75</v>
      </c>
      <c r="P2232" s="19">
        <f ca="1">IF(ISERROR(IF(O2232&lt;fi_h/20,0,(OFFSET('Base de dados'!$A$5,IF(O2232&lt;20,1,IF(O2232&gt;1000,10,MATCH(O2232,Cargas,1))),Coluna_fih,1,1))*(1+0.13*0.25)*(PI()*(fi_h/1000)^2/4)*SQRT(2*9.81*(O2232/100-fi_h/2/1000))*1000)),"",IF(O2232&lt;fi_h/20,0,(OFFSET('Base de dados'!$A$5,IF(O2232&lt;20,1,IF(O2232&gt;1000,10,MATCH(O2232,Cargas,1))),Coluna_fih,1,1))*(PI()*(fi_h/1000)^2/4)*SQRT(2*9.81*(O2232/100-fi_h/2/1000))*1000))</f>
        <v>63.341403405753795</v>
      </c>
      <c r="Q2232" s="19">
        <f ca="1">IF(O2232="","",IF(Tipo_Vertedor="Retangular",IF(O2232&lt;=cota_s*100,0,IF(Tipo_Vertedor="Retangular",Cd_sr*Lef_sr*((O2232/100-cota_s)^(3/2))*1000)),IF(O2232&lt;=cota_s*100+fi_s/20,0,(OFFSET('Base de dados'!$A$4,IF(O2232&lt;20,1,IF(O2232&gt;1000,10,MATCH(O2232,Cargas,1))),Coluna_fis,1,1))*(PI()*(fi_s/1000)^2/4)*(2*9.81*(O2232/100-cota_s-fi_s/2/1000))^0.5*1000)))</f>
        <v>12193.243398406843</v>
      </c>
      <c r="R2232" s="19">
        <f t="shared" ca="1" si="260"/>
        <v>12256.584801812596</v>
      </c>
      <c r="S2232" s="19">
        <f t="shared" ca="1" si="261"/>
        <v>13962.209496869122</v>
      </c>
    </row>
    <row r="2233" spans="13:19">
      <c r="M2233" s="81">
        <f t="shared" ca="1" si="258"/>
        <v>26235.034153468288</v>
      </c>
      <c r="N2233" s="19">
        <f t="shared" si="259"/>
        <v>419.07742765129166</v>
      </c>
      <c r="O2233" s="17">
        <f t="shared" si="257"/>
        <v>558</v>
      </c>
      <c r="P2233" s="19">
        <f ca="1">IF(ISERROR(IF(O2233&lt;fi_h/20,0,(OFFSET('Base de dados'!$A$5,IF(O2233&lt;20,1,IF(O2233&gt;1000,10,MATCH(O2233,Cargas,1))),Coluna_fih,1,1))*(1+0.13*0.25)*(PI()*(fi_h/1000)^2/4)*SQRT(2*9.81*(O2233/100-fi_h/2/1000))*1000)),"",IF(O2233&lt;fi_h/20,0,(OFFSET('Base de dados'!$A$5,IF(O2233&lt;20,1,IF(O2233&gt;1000,10,MATCH(O2233,Cargas,1))),Coluna_fih,1,1))*(PI()*(fi_h/1000)^2/4)*SQRT(2*9.81*(O2233/100-fi_h/2/1000))*1000))</f>
        <v>63.355742539859804</v>
      </c>
      <c r="Q2233" s="19">
        <f ca="1">IF(O2233="","",IF(Tipo_Vertedor="Retangular",IF(O2233&lt;=cota_s*100,0,IF(Tipo_Vertedor="Retangular",Cd_sr*Lef_sr*((O2233/100-cota_s)^(3/2))*1000)),IF(O2233&lt;=cota_s*100+fi_s/20,0,(OFFSET('Base de dados'!$A$4,IF(O2233&lt;20,1,IF(O2233&gt;1000,10,MATCH(O2233,Cargas,1))),Coluna_fis,1,1))*(PI()*(fi_s/1000)^2/4)*(2*9.81*(O2233/100-cota_s-fi_s/2/1000))^0.5*1000)))</f>
        <v>12202.430822552038</v>
      </c>
      <c r="R2233" s="19">
        <f t="shared" ca="1" si="260"/>
        <v>12265.786565091898</v>
      </c>
      <c r="S2233" s="19">
        <f t="shared" ca="1" si="261"/>
        <v>13969.247588376389</v>
      </c>
    </row>
    <row r="2234" spans="13:19">
      <c r="M2234" s="81">
        <f t="shared" ca="1" si="258"/>
        <v>26251.276704207528</v>
      </c>
      <c r="N2234" s="19">
        <f t="shared" si="259"/>
        <v>419.28858218133161</v>
      </c>
      <c r="O2234" s="17">
        <f t="shared" si="257"/>
        <v>558.25</v>
      </c>
      <c r="P2234" s="19">
        <f ca="1">IF(ISERROR(IF(O2234&lt;fi_h/20,0,(OFFSET('Base de dados'!$A$5,IF(O2234&lt;20,1,IF(O2234&gt;1000,10,MATCH(O2234,Cargas,1))),Coluna_fih,1,1))*(1+0.13*0.25)*(PI()*(fi_h/1000)^2/4)*SQRT(2*9.81*(O2234/100-fi_h/2/1000))*1000)),"",IF(O2234&lt;fi_h/20,0,(OFFSET('Base de dados'!$A$5,IF(O2234&lt;20,1,IF(O2234&gt;1000,10,MATCH(O2234,Cargas,1))),Coluna_fih,1,1))*(PI()*(fi_h/1000)^2/4)*SQRT(2*9.81*(O2234/100-fi_h/2/1000))*1000))</f>
        <v>63.370078429362572</v>
      </c>
      <c r="Q2234" s="19">
        <f ca="1">IF(O2234="","",IF(Tipo_Vertedor="Retangular",IF(O2234&lt;=cota_s*100,0,IF(Tipo_Vertedor="Retangular",Cd_sr*Lef_sr*((O2234/100-cota_s)^(3/2))*1000)),IF(O2234&lt;=cota_s*100+fi_s/20,0,(OFFSET('Base de dados'!$A$4,IF(O2234&lt;20,1,IF(O2234&gt;1000,10,MATCH(O2234,Cargas,1))),Coluna_fis,1,1))*(PI()*(fi_s/1000)^2/4)*(2*9.81*(O2234/100-cota_s-fi_s/2/1000))^0.5*1000)))</f>
        <v>12211.620553067112</v>
      </c>
      <c r="R2234" s="19">
        <f t="shared" ca="1" si="260"/>
        <v>12274.990631496476</v>
      </c>
      <c r="S2234" s="19">
        <f t="shared" ca="1" si="261"/>
        <v>13976.286072711053</v>
      </c>
    </row>
    <row r="2235" spans="13:19">
      <c r="M2235" s="81">
        <f t="shared" ca="1" si="258"/>
        <v>26267.521950168939</v>
      </c>
      <c r="N2235" s="19">
        <f t="shared" si="259"/>
        <v>419.49974849157337</v>
      </c>
      <c r="O2235" s="17">
        <f t="shared" si="257"/>
        <v>558.5</v>
      </c>
      <c r="P2235" s="19">
        <f ca="1">IF(ISERROR(IF(O2235&lt;fi_h/20,0,(OFFSET('Base de dados'!$A$5,IF(O2235&lt;20,1,IF(O2235&gt;1000,10,MATCH(O2235,Cargas,1))),Coluna_fih,1,1))*(1+0.13*0.25)*(PI()*(fi_h/1000)^2/4)*SQRT(2*9.81*(O2235/100-fi_h/2/1000))*1000)),"",IF(O2235&lt;fi_h/20,0,(OFFSET('Base de dados'!$A$5,IF(O2235&lt;20,1,IF(O2235&gt;1000,10,MATCH(O2235,Cargas,1))),Coluna_fih,1,1))*(PI()*(fi_h/1000)^2/4)*SQRT(2*9.81*(O2235/100-fi_h/2/1000))*1000))</f>
        <v>63.384411076463628</v>
      </c>
      <c r="Q2235" s="19">
        <f ca="1">IF(O2235="","",IF(Tipo_Vertedor="Retangular",IF(O2235&lt;=cota_s*100,0,IF(Tipo_Vertedor="Retangular",Cd_sr*Lef_sr*((O2235/100-cota_s)^(3/2))*1000)),IF(O2235&lt;=cota_s*100+fi_s/20,0,(OFFSET('Base de dados'!$A$4,IF(O2235&lt;20,1,IF(O2235&gt;1000,10,MATCH(O2235,Cargas,1))),Coluna_fis,1,1))*(PI()*(fi_s/1000)^2/4)*(2*9.81*(O2235/100-cota_s-fi_s/2/1000))^0.5*1000)))</f>
        <v>12220.812589373363</v>
      </c>
      <c r="R2235" s="19">
        <f t="shared" ca="1" si="260"/>
        <v>12284.197000449827</v>
      </c>
      <c r="S2235" s="19">
        <f t="shared" ca="1" si="261"/>
        <v>13983.324949719112</v>
      </c>
    </row>
    <row r="2236" spans="13:19">
      <c r="M2236" s="81">
        <f t="shared" ca="1" si="258"/>
        <v>26283.769890622607</v>
      </c>
      <c r="N2236" s="19">
        <f t="shared" si="259"/>
        <v>419.7109265774007</v>
      </c>
      <c r="O2236" s="17">
        <f t="shared" si="257"/>
        <v>558.75</v>
      </c>
      <c r="P2236" s="19">
        <f ca="1">IF(ISERROR(IF(O2236&lt;fi_h/20,0,(OFFSET('Base de dados'!$A$5,IF(O2236&lt;20,1,IF(O2236&gt;1000,10,MATCH(O2236,Cargas,1))),Coluna_fih,1,1))*(1+0.13*0.25)*(PI()*(fi_h/1000)^2/4)*SQRT(2*9.81*(O2236/100-fi_h/2/1000))*1000)),"",IF(O2236&lt;fi_h/20,0,(OFFSET('Base de dados'!$A$5,IF(O2236&lt;20,1,IF(O2236&gt;1000,10,MATCH(O2236,Cargas,1))),Coluna_fih,1,1))*(PI()*(fi_h/1000)^2/4)*SQRT(2*9.81*(O2236/100-fi_h/2/1000))*1000))</f>
        <v>63.398740483362026</v>
      </c>
      <c r="Q2236" s="19">
        <f ca="1">IF(O2236="","",IF(Tipo_Vertedor="Retangular",IF(O2236&lt;=cota_s*100,0,IF(Tipo_Vertedor="Retangular",Cd_sr*Lef_sr*((O2236/100-cota_s)^(3/2))*1000)),IF(O2236&lt;=cota_s*100+fi_s/20,0,(OFFSET('Base de dados'!$A$4,IF(O2236&lt;20,1,IF(O2236&gt;1000,10,MATCH(O2236,Cargas,1))),Coluna_fis,1,1))*(PI()*(fi_s/1000)^2/4)*(2*9.81*(O2236/100-cota_s-fi_s/2/1000))^0.5*1000)))</f>
        <v>12230.006930892554</v>
      </c>
      <c r="R2236" s="19">
        <f t="shared" ca="1" si="260"/>
        <v>12293.405671375916</v>
      </c>
      <c r="S2236" s="19">
        <f t="shared" ca="1" si="261"/>
        <v>13990.36421924669</v>
      </c>
    </row>
    <row r="2237" spans="13:19">
      <c r="M2237" s="81">
        <f t="shared" ca="1" si="258"/>
        <v>26300.020524839114</v>
      </c>
      <c r="N2237" s="19">
        <f t="shared" si="259"/>
        <v>419.9221164342008</v>
      </c>
      <c r="O2237" s="17">
        <f t="shared" si="257"/>
        <v>559</v>
      </c>
      <c r="P2237" s="19">
        <f ca="1">IF(ISERROR(IF(O2237&lt;fi_h/20,0,(OFFSET('Base de dados'!$A$5,IF(O2237&lt;20,1,IF(O2237&gt;1000,10,MATCH(O2237,Cargas,1))),Coluna_fih,1,1))*(1+0.13*0.25)*(PI()*(fi_h/1000)^2/4)*SQRT(2*9.81*(O2237/100-fi_h/2/1000))*1000)),"",IF(O2237&lt;fi_h/20,0,(OFFSET('Base de dados'!$A$5,IF(O2237&lt;20,1,IF(O2237&gt;1000,10,MATCH(O2237,Cargas,1))),Coluna_fih,1,1))*(PI()*(fi_h/1000)^2/4)*SQRT(2*9.81*(O2237/100-fi_h/2/1000))*1000))</f>
        <v>63.413066652254322</v>
      </c>
      <c r="Q2237" s="19">
        <f ca="1">IF(O2237="","",IF(Tipo_Vertedor="Retangular",IF(O2237&lt;=cota_s*100,0,IF(Tipo_Vertedor="Retangular",Cd_sr*Lef_sr*((O2237/100-cota_s)^(3/2))*1000)),IF(O2237&lt;=cota_s*100+fi_s/20,0,(OFFSET('Base de dados'!$A$4,IF(O2237&lt;20,1,IF(O2237&gt;1000,10,MATCH(O2237,Cargas,1))),Coluna_fis,1,1))*(PI()*(fi_s/1000)^2/4)*(2*9.81*(O2237/100-cota_s-fi_s/2/1000))^0.5*1000)))</f>
        <v>12239.203577046834</v>
      </c>
      <c r="R2237" s="19">
        <f t="shared" ca="1" si="260"/>
        <v>12302.616643699088</v>
      </c>
      <c r="S2237" s="19">
        <f t="shared" ca="1" si="261"/>
        <v>13997.403881140026</v>
      </c>
    </row>
    <row r="2238" spans="13:19">
      <c r="M2238" s="81">
        <f t="shared" ca="1" si="258"/>
        <v>26316.273852089682</v>
      </c>
      <c r="N2238" s="19">
        <f t="shared" si="259"/>
        <v>420.1333180573651</v>
      </c>
      <c r="O2238" s="17">
        <f t="shared" si="257"/>
        <v>559.25</v>
      </c>
      <c r="P2238" s="19">
        <f ca="1">IF(ISERROR(IF(O2238&lt;fi_h/20,0,(OFFSET('Base de dados'!$A$5,IF(O2238&lt;20,1,IF(O2238&gt;1000,10,MATCH(O2238,Cargas,1))),Coluna_fih,1,1))*(1+0.13*0.25)*(PI()*(fi_h/1000)^2/4)*SQRT(2*9.81*(O2238/100-fi_h/2/1000))*1000)),"",IF(O2238&lt;fi_h/20,0,(OFFSET('Base de dados'!$A$5,IF(O2238&lt;20,1,IF(O2238&gt;1000,10,MATCH(O2238,Cargas,1))),Coluna_fih,1,1))*(PI()*(fi_h/1000)^2/4)*SQRT(2*9.81*(O2238/100-fi_h/2/1000))*1000))</f>
        <v>63.427389585334602</v>
      </c>
      <c r="Q2238" s="19">
        <f ca="1">IF(O2238="","",IF(Tipo_Vertedor="Retangular",IF(O2238&lt;=cota_s*100,0,IF(Tipo_Vertedor="Retangular",Cd_sr*Lef_sr*((O2238/100-cota_s)^(3/2))*1000)),IF(O2238&lt;=cota_s*100+fi_s/20,0,(OFFSET('Base de dados'!$A$4,IF(O2238&lt;20,1,IF(O2238&gt;1000,10,MATCH(O2238,Cargas,1))),Coluna_fis,1,1))*(PI()*(fi_s/1000)^2/4)*(2*9.81*(O2238/100-cota_s-fi_s/2/1000))^0.5*1000)))</f>
        <v>12248.402527258844</v>
      </c>
      <c r="R2238" s="19">
        <f t="shared" ca="1" si="260"/>
        <v>12311.829916844179</v>
      </c>
      <c r="S2238" s="19">
        <f t="shared" ca="1" si="261"/>
        <v>14004.443935245503</v>
      </c>
    </row>
    <row r="2239" spans="13:19">
      <c r="M2239" s="81">
        <f t="shared" ca="1" si="258"/>
        <v>26332.52987164606</v>
      </c>
      <c r="N2239" s="19">
        <f t="shared" si="259"/>
        <v>420.34453144228911</v>
      </c>
      <c r="O2239" s="17">
        <f t="shared" si="257"/>
        <v>559.5</v>
      </c>
      <c r="P2239" s="19">
        <f ca="1">IF(ISERROR(IF(O2239&lt;fi_h/20,0,(OFFSET('Base de dados'!$A$5,IF(O2239&lt;20,1,IF(O2239&gt;1000,10,MATCH(O2239,Cargas,1))),Coluna_fih,1,1))*(1+0.13*0.25)*(PI()*(fi_h/1000)^2/4)*SQRT(2*9.81*(O2239/100-fi_h/2/1000))*1000)),"",IF(O2239&lt;fi_h/20,0,(OFFSET('Base de dados'!$A$5,IF(O2239&lt;20,1,IF(O2239&gt;1000,10,MATCH(O2239,Cargas,1))),Coluna_fih,1,1))*(PI()*(fi_h/1000)^2/4)*SQRT(2*9.81*(O2239/100-fi_h/2/1000))*1000))</f>
        <v>63.441709284794435</v>
      </c>
      <c r="Q2239" s="19">
        <f ca="1">IF(O2239="","",IF(Tipo_Vertedor="Retangular",IF(O2239&lt;=cota_s*100,0,IF(Tipo_Vertedor="Retangular",Cd_sr*Lef_sr*((O2239/100-cota_s)^(3/2))*1000)),IF(O2239&lt;=cota_s*100+fi_s/20,0,(OFFSET('Base de dados'!$A$4,IF(O2239&lt;20,1,IF(O2239&gt;1000,10,MATCH(O2239,Cargas,1))),Coluna_fis,1,1))*(PI()*(fi_s/1000)^2/4)*(2*9.81*(O2239/100-cota_s-fi_s/2/1000))^0.5*1000)))</f>
        <v>12257.603780951627</v>
      </c>
      <c r="R2239" s="19">
        <f t="shared" ca="1" si="260"/>
        <v>12321.045490236422</v>
      </c>
      <c r="S2239" s="19">
        <f t="shared" ca="1" si="261"/>
        <v>14011.484381409637</v>
      </c>
    </row>
    <row r="2240" spans="13:19">
      <c r="M2240" s="81">
        <f t="shared" ca="1" si="258"/>
        <v>26348.788582780529</v>
      </c>
      <c r="N2240" s="19">
        <f t="shared" si="259"/>
        <v>420.55575658437158</v>
      </c>
      <c r="O2240" s="17">
        <f t="shared" si="257"/>
        <v>559.75</v>
      </c>
      <c r="P2240" s="19">
        <f ca="1">IF(ISERROR(IF(O2240&lt;fi_h/20,0,(OFFSET('Base de dados'!$A$5,IF(O2240&lt;20,1,IF(O2240&gt;1000,10,MATCH(O2240,Cargas,1))),Coluna_fih,1,1))*(1+0.13*0.25)*(PI()*(fi_h/1000)^2/4)*SQRT(2*9.81*(O2240/100-fi_h/2/1000))*1000)),"",IF(O2240&lt;fi_h/20,0,(OFFSET('Base de dados'!$A$5,IF(O2240&lt;20,1,IF(O2240&gt;1000,10,MATCH(O2240,Cargas,1))),Coluna_fih,1,1))*(PI()*(fi_h/1000)^2/4)*SQRT(2*9.81*(O2240/100-fi_h/2/1000))*1000))</f>
        <v>63.45602575282301</v>
      </c>
      <c r="Q2240" s="19">
        <f ca="1">IF(O2240="","",IF(Tipo_Vertedor="Retangular",IF(O2240&lt;=cota_s*100,0,IF(Tipo_Vertedor="Retangular",Cd_sr*Lef_sr*((O2240/100-cota_s)^(3/2))*1000)),IF(O2240&lt;=cota_s*100+fi_s/20,0,(OFFSET('Base de dados'!$A$4,IF(O2240&lt;20,1,IF(O2240&gt;1000,10,MATCH(O2240,Cargas,1))),Coluna_fis,1,1))*(PI()*(fi_s/1000)^2/4)*(2*9.81*(O2240/100-cota_s-fi_s/2/1000))^0.5*1000)))</f>
        <v>12266.807337548657</v>
      </c>
      <c r="R2240" s="19">
        <f t="shared" ca="1" si="260"/>
        <v>12330.263363301479</v>
      </c>
      <c r="S2240" s="19">
        <f t="shared" ca="1" si="261"/>
        <v>14018.525219479052</v>
      </c>
    </row>
    <row r="2241" spans="13:19">
      <c r="M2241" s="81">
        <f t="shared" ca="1" si="258"/>
        <v>26365.049984765974</v>
      </c>
      <c r="N2241" s="19">
        <f t="shared" si="259"/>
        <v>420.7669934790157</v>
      </c>
      <c r="O2241" s="17">
        <f t="shared" si="257"/>
        <v>560</v>
      </c>
      <c r="P2241" s="19">
        <f ca="1">IF(ISERROR(IF(O2241&lt;fi_h/20,0,(OFFSET('Base de dados'!$A$5,IF(O2241&lt;20,1,IF(O2241&gt;1000,10,MATCH(O2241,Cargas,1))),Coluna_fih,1,1))*(1+0.13*0.25)*(PI()*(fi_h/1000)^2/4)*SQRT(2*9.81*(O2241/100-fi_h/2/1000))*1000)),"",IF(O2241&lt;fi_h/20,0,(OFFSET('Base de dados'!$A$5,IF(O2241&lt;20,1,IF(O2241&gt;1000,10,MATCH(O2241,Cargas,1))),Coluna_fih,1,1))*(PI()*(fi_h/1000)^2/4)*SQRT(2*9.81*(O2241/100-fi_h/2/1000))*1000))</f>
        <v>63.470338991606923</v>
      </c>
      <c r="Q2241" s="19">
        <f ca="1">IF(O2241="","",IF(Tipo_Vertedor="Retangular",IF(O2241&lt;=cota_s*100,0,IF(Tipo_Vertedor="Retangular",Cd_sr*Lef_sr*((O2241/100-cota_s)^(3/2))*1000)),IF(O2241&lt;=cota_s*100+fi_s/20,0,(OFFSET('Base de dados'!$A$4,IF(O2241&lt;20,1,IF(O2241&gt;1000,10,MATCH(O2241,Cargas,1))),Coluna_fis,1,1))*(PI()*(fi_s/1000)^2/4)*(2*9.81*(O2241/100-cota_s-fi_s/2/1000))^0.5*1000)))</f>
        <v>12276.013196473843</v>
      </c>
      <c r="R2241" s="19">
        <f t="shared" ca="1" si="260"/>
        <v>12339.48353546545</v>
      </c>
      <c r="S2241" s="19">
        <f t="shared" ca="1" si="261"/>
        <v>14025.566449300524</v>
      </c>
    </row>
    <row r="2242" spans="13:19">
      <c r="M2242" s="81">
        <f t="shared" ca="1" si="258"/>
        <v>26381.31407687582</v>
      </c>
      <c r="N2242" s="19">
        <f t="shared" si="259"/>
        <v>420.97824212162817</v>
      </c>
      <c r="O2242" s="17">
        <f t="shared" si="257"/>
        <v>560.25</v>
      </c>
      <c r="P2242" s="19">
        <f ca="1">IF(ISERROR(IF(O2242&lt;fi_h/20,0,(OFFSET('Base de dados'!$A$5,IF(O2242&lt;20,1,IF(O2242&gt;1000,10,MATCH(O2242,Cargas,1))),Coluna_fih,1,1))*(1+0.13*0.25)*(PI()*(fi_h/1000)^2/4)*SQRT(2*9.81*(O2242/100-fi_h/2/1000))*1000)),"",IF(O2242&lt;fi_h/20,0,(OFFSET('Base de dados'!$A$5,IF(O2242&lt;20,1,IF(O2242&gt;1000,10,MATCH(O2242,Cargas,1))),Coluna_fih,1,1))*(PI()*(fi_h/1000)^2/4)*SQRT(2*9.81*(O2242/100-fi_h/2/1000))*1000))</f>
        <v>63.484649003330411</v>
      </c>
      <c r="Q2242" s="19">
        <f ca="1">IF(O2242="","",IF(Tipo_Vertedor="Retangular",IF(O2242&lt;=cota_s*100,0,IF(Tipo_Vertedor="Retangular",Cd_sr*Lef_sr*((O2242/100-cota_s)^(3/2))*1000)),IF(O2242&lt;=cota_s*100+fi_s/20,0,(OFFSET('Base de dados'!$A$4,IF(O2242&lt;20,1,IF(O2242&gt;1000,10,MATCH(O2242,Cargas,1))),Coluna_fis,1,1))*(PI()*(fi_s/1000)^2/4)*(2*9.81*(O2242/100-cota_s-fi_s/2/1000))^0.5*1000)))</f>
        <v>12285.221357151549</v>
      </c>
      <c r="R2242" s="19">
        <f t="shared" ca="1" si="260"/>
        <v>12348.70600615488</v>
      </c>
      <c r="S2242" s="19">
        <f t="shared" ca="1" si="261"/>
        <v>14032.60807072094</v>
      </c>
    </row>
    <row r="2243" spans="13:19">
      <c r="M2243" s="81">
        <f t="shared" ca="1" si="258"/>
        <v>26397.580858384041</v>
      </c>
      <c r="N2243" s="19">
        <f t="shared" si="259"/>
        <v>421.18950250761952</v>
      </c>
      <c r="O2243" s="17">
        <f t="shared" si="257"/>
        <v>560.5</v>
      </c>
      <c r="P2243" s="19">
        <f ca="1">IF(ISERROR(IF(O2243&lt;fi_h/20,0,(OFFSET('Base de dados'!$A$5,IF(O2243&lt;20,1,IF(O2243&gt;1000,10,MATCH(O2243,Cargas,1))),Coluna_fih,1,1))*(1+0.13*0.25)*(PI()*(fi_h/1000)^2/4)*SQRT(2*9.81*(O2243/100-fi_h/2/1000))*1000)),"",IF(O2243&lt;fi_h/20,0,(OFFSET('Base de dados'!$A$5,IF(O2243&lt;20,1,IF(O2243&gt;1000,10,MATCH(O2243,Cargas,1))),Coluna_fih,1,1))*(PI()*(fi_h/1000)^2/4)*SQRT(2*9.81*(O2243/100-fi_h/2/1000))*1000))</f>
        <v>63.498955790175188</v>
      </c>
      <c r="Q2243" s="19">
        <f ca="1">IF(O2243="","",IF(Tipo_Vertedor="Retangular",IF(O2243&lt;=cota_s*100,0,IF(Tipo_Vertedor="Retangular",Cd_sr*Lef_sr*((O2243/100-cota_s)^(3/2))*1000)),IF(O2243&lt;=cota_s*100+fi_s/20,0,(OFFSET('Base de dados'!$A$4,IF(O2243&lt;20,1,IF(O2243&gt;1000,10,MATCH(O2243,Cargas,1))),Coluna_fis,1,1))*(PI()*(fi_s/1000)^2/4)*(2*9.81*(O2243/100-cota_s-fi_s/2/1000))^0.5*1000)))</f>
        <v>12294.431819006548</v>
      </c>
      <c r="R2243" s="19">
        <f t="shared" ca="1" si="260"/>
        <v>12357.930774796723</v>
      </c>
      <c r="S2243" s="19">
        <f t="shared" ca="1" si="261"/>
        <v>14039.650083587318</v>
      </c>
    </row>
    <row r="2244" spans="13:19">
      <c r="M2244" s="81">
        <f t="shared" ca="1" si="258"/>
        <v>26413.850328565168</v>
      </c>
      <c r="N2244" s="19">
        <f t="shared" si="259"/>
        <v>421.40077463240453</v>
      </c>
      <c r="O2244" s="17">
        <f t="shared" si="257"/>
        <v>560.75</v>
      </c>
      <c r="P2244" s="19">
        <f ca="1">IF(ISERROR(IF(O2244&lt;fi_h/20,0,(OFFSET('Base de dados'!$A$5,IF(O2244&lt;20,1,IF(O2244&gt;1000,10,MATCH(O2244,Cargas,1))),Coluna_fih,1,1))*(1+0.13*0.25)*(PI()*(fi_h/1000)^2/4)*SQRT(2*9.81*(O2244/100-fi_h/2/1000))*1000)),"",IF(O2244&lt;fi_h/20,0,(OFFSET('Base de dados'!$A$5,IF(O2244&lt;20,1,IF(O2244&gt;1000,10,MATCH(O2244,Cargas,1))),Coluna_fih,1,1))*(PI()*(fi_h/1000)^2/4)*SQRT(2*9.81*(O2244/100-fi_h/2/1000))*1000))</f>
        <v>63.513259354320532</v>
      </c>
      <c r="Q2244" s="19">
        <f ca="1">IF(O2244="","",IF(Tipo_Vertedor="Retangular",IF(O2244&lt;=cota_s*100,0,IF(Tipo_Vertedor="Retangular",Cd_sr*Lef_sr*((O2244/100-cota_s)^(3/2))*1000)),IF(O2244&lt;=cota_s*100+fi_s/20,0,(OFFSET('Base de dados'!$A$4,IF(O2244&lt;20,1,IF(O2244&gt;1000,10,MATCH(O2244,Cargas,1))),Coluna_fis,1,1))*(PI()*(fi_s/1000)^2/4)*(2*9.81*(O2244/100-cota_s-fi_s/2/1000))^0.5*1000)))</f>
        <v>12303.644581464028</v>
      </c>
      <c r="R2244" s="19">
        <f t="shared" ca="1" si="260"/>
        <v>12367.157840818349</v>
      </c>
      <c r="S2244" s="19">
        <f t="shared" ca="1" si="261"/>
        <v>14046.692487746819</v>
      </c>
    </row>
    <row r="2245" spans="13:19">
      <c r="M2245" s="81">
        <f t="shared" ca="1" si="258"/>
        <v>26430.122486694308</v>
      </c>
      <c r="N2245" s="19">
        <f t="shared" si="259"/>
        <v>421.61205849140123</v>
      </c>
      <c r="O2245" s="17">
        <f t="shared" si="257"/>
        <v>561</v>
      </c>
      <c r="P2245" s="19">
        <f ca="1">IF(ISERROR(IF(O2245&lt;fi_h/20,0,(OFFSET('Base de dados'!$A$5,IF(O2245&lt;20,1,IF(O2245&gt;1000,10,MATCH(O2245,Cargas,1))),Coluna_fih,1,1))*(1+0.13*0.25)*(PI()*(fi_h/1000)^2/4)*SQRT(2*9.81*(O2245/100-fi_h/2/1000))*1000)),"",IF(O2245&lt;fi_h/20,0,(OFFSET('Base de dados'!$A$5,IF(O2245&lt;20,1,IF(O2245&gt;1000,10,MATCH(O2245,Cargas,1))),Coluna_fih,1,1))*(PI()*(fi_h/1000)^2/4)*SQRT(2*9.81*(O2245/100-fi_h/2/1000))*1000))</f>
        <v>63.527559697943268</v>
      </c>
      <c r="Q2245" s="19">
        <f ca="1">IF(O2245="","",IF(Tipo_Vertedor="Retangular",IF(O2245&lt;=cota_s*100,0,IF(Tipo_Vertedor="Retangular",Cd_sr*Lef_sr*((O2245/100-cota_s)^(3/2))*1000)),IF(O2245&lt;=cota_s*100+fi_s/20,0,(OFFSET('Base de dados'!$A$4,IF(O2245&lt;20,1,IF(O2245&gt;1000,10,MATCH(O2245,Cargas,1))),Coluna_fis,1,1))*(PI()*(fi_s/1000)^2/4)*(2*9.81*(O2245/100-cota_s-fi_s/2/1000))^0.5*1000)))</f>
        <v>12312.85964394966</v>
      </c>
      <c r="R2245" s="19">
        <f t="shared" ca="1" si="260"/>
        <v>12376.387203647602</v>
      </c>
      <c r="S2245" s="19">
        <f t="shared" ca="1" si="261"/>
        <v>14053.735283046706</v>
      </c>
    </row>
    <row r="2246" spans="13:19">
      <c r="M2246" s="81">
        <f t="shared" ca="1" si="258"/>
        <v>26446.397332047094</v>
      </c>
      <c r="N2246" s="19">
        <f t="shared" si="259"/>
        <v>421.82335408003178</v>
      </c>
      <c r="O2246" s="17">
        <f t="shared" si="257"/>
        <v>561.25</v>
      </c>
      <c r="P2246" s="19">
        <f ca="1">IF(ISERROR(IF(O2246&lt;fi_h/20,0,(OFFSET('Base de dados'!$A$5,IF(O2246&lt;20,1,IF(O2246&gt;1000,10,MATCH(O2246,Cargas,1))),Coluna_fih,1,1))*(1+0.13*0.25)*(PI()*(fi_h/1000)^2/4)*SQRT(2*9.81*(O2246/100-fi_h/2/1000))*1000)),"",IF(O2246&lt;fi_h/20,0,(OFFSET('Base de dados'!$A$5,IF(O2246&lt;20,1,IF(O2246&gt;1000,10,MATCH(O2246,Cargas,1))),Coluna_fih,1,1))*(PI()*(fi_h/1000)^2/4)*SQRT(2*9.81*(O2246/100-fi_h/2/1000))*1000))</f>
        <v>63.541856823217792</v>
      </c>
      <c r="Q2246" s="19">
        <f ca="1">IF(O2246="","",IF(Tipo_Vertedor="Retangular",IF(O2246&lt;=cota_s*100,0,IF(Tipo_Vertedor="Retangular",Cd_sr*Lef_sr*((O2246/100-cota_s)^(3/2))*1000)),IF(O2246&lt;=cota_s*100+fi_s/20,0,(OFFSET('Base de dados'!$A$4,IF(O2246&lt;20,1,IF(O2246&gt;1000,10,MATCH(O2246,Cargas,1))),Coluna_fis,1,1))*(PI()*(fi_s/1000)^2/4)*(2*9.81*(O2246/100-cota_s-fi_s/2/1000))^0.5*1000)))</f>
        <v>12322.077005889483</v>
      </c>
      <c r="R2246" s="19">
        <f t="shared" ca="1" si="260"/>
        <v>12385.618862712701</v>
      </c>
      <c r="S2246" s="19">
        <f t="shared" ca="1" si="261"/>
        <v>14060.778469334393</v>
      </c>
    </row>
    <row r="2247" spans="13:19">
      <c r="M2247" s="81">
        <f t="shared" ca="1" si="258"/>
        <v>26462.674863899741</v>
      </c>
      <c r="N2247" s="19">
        <f t="shared" si="259"/>
        <v>422.03466139372222</v>
      </c>
      <c r="O2247" s="17">
        <f t="shared" si="257"/>
        <v>561.5</v>
      </c>
      <c r="P2247" s="19">
        <f ca="1">IF(ISERROR(IF(O2247&lt;fi_h/20,0,(OFFSET('Base de dados'!$A$5,IF(O2247&lt;20,1,IF(O2247&gt;1000,10,MATCH(O2247,Cargas,1))),Coluna_fih,1,1))*(1+0.13*0.25)*(PI()*(fi_h/1000)^2/4)*SQRT(2*9.81*(O2247/100-fi_h/2/1000))*1000)),"",IF(O2247&lt;fi_h/20,0,(OFFSET('Base de dados'!$A$5,IF(O2247&lt;20,1,IF(O2247&gt;1000,10,MATCH(O2247,Cargas,1))),Coluna_fih,1,1))*(PI()*(fi_h/1000)^2/4)*SQRT(2*9.81*(O2247/100-fi_h/2/1000))*1000))</f>
        <v>63.556150732315992</v>
      </c>
      <c r="Q2247" s="19">
        <f ca="1">IF(O2247="","",IF(Tipo_Vertedor="Retangular",IF(O2247&lt;=cota_s*100,0,IF(Tipo_Vertedor="Retangular",Cd_sr*Lef_sr*((O2247/100-cota_s)^(3/2))*1000)),IF(O2247&lt;=cota_s*100+fi_s/20,0,(OFFSET('Base de dados'!$A$4,IF(O2247&lt;20,1,IF(O2247&gt;1000,10,MATCH(O2247,Cargas,1))),Coluna_fis,1,1))*(PI()*(fi_s/1000)^2/4)*(2*9.81*(O2247/100-cota_s-fi_s/2/1000))^0.5*1000)))</f>
        <v>12331.296666710017</v>
      </c>
      <c r="R2247" s="19">
        <f t="shared" ca="1" si="260"/>
        <v>12394.852817442334</v>
      </c>
      <c r="S2247" s="19">
        <f t="shared" ca="1" si="261"/>
        <v>14067.822046457408</v>
      </c>
    </row>
    <row r="2248" spans="13:19">
      <c r="M2248" s="81">
        <f t="shared" ca="1" si="258"/>
        <v>26478.955081528999</v>
      </c>
      <c r="N2248" s="19">
        <f t="shared" si="259"/>
        <v>422.24598042790234</v>
      </c>
      <c r="O2248" s="17">
        <f t="shared" si="257"/>
        <v>561.75</v>
      </c>
      <c r="P2248" s="19">
        <f ca="1">IF(ISERROR(IF(O2248&lt;fi_h/20,0,(OFFSET('Base de dados'!$A$5,IF(O2248&lt;20,1,IF(O2248&gt;1000,10,MATCH(O2248,Cargas,1))),Coluna_fih,1,1))*(1+0.13*0.25)*(PI()*(fi_h/1000)^2/4)*SQRT(2*9.81*(O2248/100-fi_h/2/1000))*1000)),"",IF(O2248&lt;fi_h/20,0,(OFFSET('Base de dados'!$A$5,IF(O2248&lt;20,1,IF(O2248&gt;1000,10,MATCH(O2248,Cargas,1))),Coluna_fih,1,1))*(PI()*(fi_h/1000)^2/4)*SQRT(2*9.81*(O2248/100-fi_h/2/1000))*1000))</f>
        <v>63.570441427407395</v>
      </c>
      <c r="Q2248" s="19">
        <f ca="1">IF(O2248="","",IF(Tipo_Vertedor="Retangular",IF(O2248&lt;=cota_s*100,0,IF(Tipo_Vertedor="Retangular",Cd_sr*Lef_sr*((O2248/100-cota_s)^(3/2))*1000)),IF(O2248&lt;=cota_s*100+fi_s/20,0,(OFFSET('Base de dados'!$A$4,IF(O2248&lt;20,1,IF(O2248&gt;1000,10,MATCH(O2248,Cargas,1))),Coluna_fis,1,1))*(PI()*(fi_s/1000)^2/4)*(2*9.81*(O2248/100-cota_s-fi_s/2/1000))^0.5*1000)))</f>
        <v>12340.518625838178</v>
      </c>
      <c r="R2248" s="19">
        <f t="shared" ca="1" si="260"/>
        <v>12404.089067265586</v>
      </c>
      <c r="S2248" s="19">
        <f t="shared" ca="1" si="261"/>
        <v>14074.866014263413</v>
      </c>
    </row>
    <row r="2249" spans="13:19">
      <c r="M2249" s="81">
        <f t="shared" ca="1" si="258"/>
        <v>26495.237984212177</v>
      </c>
      <c r="N2249" s="19">
        <f t="shared" si="259"/>
        <v>422.45731117800574</v>
      </c>
      <c r="O2249" s="17">
        <f t="shared" si="257"/>
        <v>562</v>
      </c>
      <c r="P2249" s="19">
        <f ca="1">IF(ISERROR(IF(O2249&lt;fi_h/20,0,(OFFSET('Base de dados'!$A$5,IF(O2249&lt;20,1,IF(O2249&gt;1000,10,MATCH(O2249,Cargas,1))),Coluna_fih,1,1))*(1+0.13*0.25)*(PI()*(fi_h/1000)^2/4)*SQRT(2*9.81*(O2249/100-fi_h/2/1000))*1000)),"",IF(O2249&lt;fi_h/20,0,(OFFSET('Base de dados'!$A$5,IF(O2249&lt;20,1,IF(O2249&gt;1000,10,MATCH(O2249,Cargas,1))),Coluna_fih,1,1))*(PI()*(fi_h/1000)^2/4)*SQRT(2*9.81*(O2249/100-fi_h/2/1000))*1000))</f>
        <v>63.584728910659017</v>
      </c>
      <c r="Q2249" s="19">
        <f ca="1">IF(O2249="","",IF(Tipo_Vertedor="Retangular",IF(O2249&lt;=cota_s*100,0,IF(Tipo_Vertedor="Retangular",Cd_sr*Lef_sr*((O2249/100-cota_s)^(3/2))*1000)),IF(O2249&lt;=cota_s*100+fi_s/20,0,(OFFSET('Base de dados'!$A$4,IF(O2249&lt;20,1,IF(O2249&gt;1000,10,MATCH(O2249,Cargas,1))),Coluna_fis,1,1))*(PI()*(fi_s/1000)^2/4)*(2*9.81*(O2249/100-cota_s-fi_s/2/1000))^0.5*1000)))</f>
        <v>12349.742882701326</v>
      </c>
      <c r="R2249" s="19">
        <f t="shared" ca="1" si="260"/>
        <v>12413.327611611985</v>
      </c>
      <c r="S2249" s="19">
        <f t="shared" ca="1" si="261"/>
        <v>14081.910372600192</v>
      </c>
    </row>
    <row r="2250" spans="13:19">
      <c r="M2250" s="81">
        <f t="shared" ca="1" si="258"/>
        <v>26511.523571227142</v>
      </c>
      <c r="N2250" s="19">
        <f t="shared" si="259"/>
        <v>422.66865363946988</v>
      </c>
      <c r="O2250" s="17">
        <f t="shared" si="257"/>
        <v>562.25</v>
      </c>
      <c r="P2250" s="19">
        <f ca="1">IF(ISERROR(IF(O2250&lt;fi_h/20,0,(OFFSET('Base de dados'!$A$5,IF(O2250&lt;20,1,IF(O2250&gt;1000,10,MATCH(O2250,Cargas,1))),Coluna_fih,1,1))*(1+0.13*0.25)*(PI()*(fi_h/1000)^2/4)*SQRT(2*9.81*(O2250/100-fi_h/2/1000))*1000)),"",IF(O2250&lt;fi_h/20,0,(OFFSET('Base de dados'!$A$5,IF(O2250&lt;20,1,IF(O2250&gt;1000,10,MATCH(O2250,Cargas,1))),Coluna_fih,1,1))*(PI()*(fi_h/1000)^2/4)*SQRT(2*9.81*(O2250/100-fi_h/2/1000))*1000))</f>
        <v>63.599013184235467</v>
      </c>
      <c r="Q2250" s="19">
        <f ca="1">IF(O2250="","",IF(Tipo_Vertedor="Retangular",IF(O2250&lt;=cota_s*100,0,IF(Tipo_Vertedor="Retangular",Cd_sr*Lef_sr*((O2250/100-cota_s)^(3/2))*1000)),IF(O2250&lt;=cota_s*100+fi_s/20,0,(OFFSET('Base de dados'!$A$4,IF(O2250&lt;20,1,IF(O2250&gt;1000,10,MATCH(O2250,Cargas,1))),Coluna_fis,1,1))*(PI()*(fi_s/1000)^2/4)*(2*9.81*(O2250/100-cota_s-fi_s/2/1000))^0.5*1000)))</f>
        <v>12358.969436727244</v>
      </c>
      <c r="R2250" s="19">
        <f t="shared" ca="1" si="260"/>
        <v>12422.56844991148</v>
      </c>
      <c r="S2250" s="19">
        <f t="shared" ca="1" si="261"/>
        <v>14088.955121315663</v>
      </c>
    </row>
    <row r="2251" spans="13:19">
      <c r="M2251" s="81">
        <f t="shared" ca="1" si="258"/>
        <v>26527.811841852301</v>
      </c>
      <c r="N2251" s="19">
        <f t="shared" si="259"/>
        <v>422.88000780773592</v>
      </c>
      <c r="O2251" s="17">
        <f t="shared" si="257"/>
        <v>562.5</v>
      </c>
      <c r="P2251" s="19">
        <f ca="1">IF(ISERROR(IF(O2251&lt;fi_h/20,0,(OFFSET('Base de dados'!$A$5,IF(O2251&lt;20,1,IF(O2251&gt;1000,10,MATCH(O2251,Cargas,1))),Coluna_fih,1,1))*(1+0.13*0.25)*(PI()*(fi_h/1000)^2/4)*SQRT(2*9.81*(O2251/100-fi_h/2/1000))*1000)),"",IF(O2251&lt;fi_h/20,0,(OFFSET('Base de dados'!$A$5,IF(O2251&lt;20,1,IF(O2251&gt;1000,10,MATCH(O2251,Cargas,1))),Coluna_fih,1,1))*(PI()*(fi_h/1000)^2/4)*SQRT(2*9.81*(O2251/100-fi_h/2/1000))*1000))</f>
        <v>63.613294250298978</v>
      </c>
      <c r="Q2251" s="19">
        <f ca="1">IF(O2251="","",IF(Tipo_Vertedor="Retangular",IF(O2251&lt;=cota_s*100,0,IF(Tipo_Vertedor="Retangular",Cd_sr*Lef_sr*((O2251/100-cota_s)^(3/2))*1000)),IF(O2251&lt;=cota_s*100+fi_s/20,0,(OFFSET('Base de dados'!$A$4,IF(O2251&lt;20,1,IF(O2251&gt;1000,10,MATCH(O2251,Cargas,1))),Coluna_fis,1,1))*(PI()*(fi_s/1000)^2/4)*(2*9.81*(O2251/100-cota_s-fi_s/2/1000))^0.5*1000)))</f>
        <v>12368.198287344139</v>
      </c>
      <c r="R2251" s="19">
        <f t="shared" ca="1" si="260"/>
        <v>12431.811581594438</v>
      </c>
      <c r="S2251" s="19">
        <f t="shared" ca="1" si="261"/>
        <v>14096.000260257864</v>
      </c>
    </row>
    <row r="2252" spans="13:19">
      <c r="M2252" s="81">
        <f t="shared" ca="1" si="258"/>
        <v>26544.102795366627</v>
      </c>
      <c r="N2252" s="19">
        <f t="shared" si="259"/>
        <v>423.09137367824883</v>
      </c>
      <c r="O2252" s="17">
        <f t="shared" si="257"/>
        <v>562.75</v>
      </c>
      <c r="P2252" s="19">
        <f ca="1">IF(ISERROR(IF(O2252&lt;fi_h/20,0,(OFFSET('Base de dados'!$A$5,IF(O2252&lt;20,1,IF(O2252&gt;1000,10,MATCH(O2252,Cargas,1))),Coluna_fih,1,1))*(1+0.13*0.25)*(PI()*(fi_h/1000)^2/4)*SQRT(2*9.81*(O2252/100-fi_h/2/1000))*1000)),"",IF(O2252&lt;fi_h/20,0,(OFFSET('Base de dados'!$A$5,IF(O2252&lt;20,1,IF(O2252&gt;1000,10,MATCH(O2252,Cargas,1))),Coluna_fih,1,1))*(PI()*(fi_h/1000)^2/4)*SQRT(2*9.81*(O2252/100-fi_h/2/1000))*1000))</f>
        <v>63.62757211100925</v>
      </c>
      <c r="Q2252" s="19">
        <f ca="1">IF(O2252="","",IF(Tipo_Vertedor="Retangular",IF(O2252&lt;=cota_s*100,0,IF(Tipo_Vertedor="Retangular",Cd_sr*Lef_sr*((O2252/100-cota_s)^(3/2))*1000)),IF(O2252&lt;=cota_s*100+fi_s/20,0,(OFFSET('Base de dados'!$A$4,IF(O2252&lt;20,1,IF(O2252&gt;1000,10,MATCH(O2252,Cargas,1))),Coluna_fis,1,1))*(PI()*(fi_s/1000)^2/4)*(2*9.81*(O2252/100-cota_s-fi_s/2/1000))^0.5*1000)))</f>
        <v>12377.429433980657</v>
      </c>
      <c r="R2252" s="19">
        <f t="shared" ca="1" si="260"/>
        <v>12441.057006091665</v>
      </c>
      <c r="S2252" s="19">
        <f t="shared" ca="1" si="261"/>
        <v>14103.045789274962</v>
      </c>
    </row>
    <row r="2253" spans="13:19">
      <c r="M2253" s="81">
        <f t="shared" ca="1" si="258"/>
        <v>26560.396431049623</v>
      </c>
      <c r="N2253" s="19">
        <f t="shared" si="259"/>
        <v>423.30275124645749</v>
      </c>
      <c r="O2253" s="17">
        <f t="shared" si="257"/>
        <v>563</v>
      </c>
      <c r="P2253" s="19">
        <f ca="1">IF(ISERROR(IF(O2253&lt;fi_h/20,0,(OFFSET('Base de dados'!$A$5,IF(O2253&lt;20,1,IF(O2253&gt;1000,10,MATCH(O2253,Cargas,1))),Coluna_fih,1,1))*(1+0.13*0.25)*(PI()*(fi_h/1000)^2/4)*SQRT(2*9.81*(O2253/100-fi_h/2/1000))*1000)),"",IF(O2253&lt;fi_h/20,0,(OFFSET('Base de dados'!$A$5,IF(O2253&lt;20,1,IF(O2253&gt;1000,10,MATCH(O2253,Cargas,1))),Coluna_fih,1,1))*(PI()*(fi_h/1000)^2/4)*SQRT(2*9.81*(O2253/100-fi_h/2/1000))*1000))</f>
        <v>63.641846768523649</v>
      </c>
      <c r="Q2253" s="19">
        <f ca="1">IF(O2253="","",IF(Tipo_Vertedor="Retangular",IF(O2253&lt;=cota_s*100,0,IF(Tipo_Vertedor="Retangular",Cd_sr*Lef_sr*((O2253/100-cota_s)^(3/2))*1000)),IF(O2253&lt;=cota_s*100+fi_s/20,0,(OFFSET('Base de dados'!$A$4,IF(O2253&lt;20,1,IF(O2253&gt;1000,10,MATCH(O2253,Cargas,1))),Coluna_fis,1,1))*(PI()*(fi_s/1000)^2/4)*(2*9.81*(O2253/100-cota_s-fi_s/2/1000))^0.5*1000)))</f>
        <v>12386.662876065851</v>
      </c>
      <c r="R2253" s="19">
        <f t="shared" ca="1" si="260"/>
        <v>12450.304722834375</v>
      </c>
      <c r="S2253" s="19">
        <f t="shared" ca="1" si="261"/>
        <v>14110.09170821525</v>
      </c>
    </row>
    <row r="2254" spans="13:19">
      <c r="M2254" s="81">
        <f t="shared" ca="1" si="258"/>
        <v>26576.692748181369</v>
      </c>
      <c r="N2254" s="19">
        <f t="shared" si="259"/>
        <v>423.51414050781437</v>
      </c>
      <c r="O2254" s="17">
        <f t="shared" si="257"/>
        <v>563.25</v>
      </c>
      <c r="P2254" s="19">
        <f ca="1">IF(ISERROR(IF(O2254&lt;fi_h/20,0,(OFFSET('Base de dados'!$A$5,IF(O2254&lt;20,1,IF(O2254&gt;1000,10,MATCH(O2254,Cargas,1))),Coluna_fih,1,1))*(1+0.13*0.25)*(PI()*(fi_h/1000)^2/4)*SQRT(2*9.81*(O2254/100-fi_h/2/1000))*1000)),"",IF(O2254&lt;fi_h/20,0,(OFFSET('Base de dados'!$A$5,IF(O2254&lt;20,1,IF(O2254&gt;1000,10,MATCH(O2254,Cargas,1))),Coluna_fih,1,1))*(PI()*(fi_h/1000)^2/4)*SQRT(2*9.81*(O2254/100-fi_h/2/1000))*1000))</f>
        <v>63.656118224997087</v>
      </c>
      <c r="Q2254" s="19">
        <f ca="1">IF(O2254="","",IF(Tipo_Vertedor="Retangular",IF(O2254&lt;=cota_s*100,0,IF(Tipo_Vertedor="Retangular",Cd_sr*Lef_sr*((O2254/100-cota_s)^(3/2))*1000)),IF(O2254&lt;=cota_s*100+fi_s/20,0,(OFFSET('Base de dados'!$A$4,IF(O2254&lt;20,1,IF(O2254&gt;1000,10,MATCH(O2254,Cargas,1))),Coluna_fis,1,1))*(PI()*(fi_s/1000)^2/4)*(2*9.81*(O2254/100-cota_s-fi_s/2/1000))^0.5*1000)))</f>
        <v>12395.898613029229</v>
      </c>
      <c r="R2254" s="19">
        <f t="shared" ca="1" si="260"/>
        <v>12459.554731254226</v>
      </c>
      <c r="S2254" s="19">
        <f t="shared" ca="1" si="261"/>
        <v>14117.138016927145</v>
      </c>
    </row>
    <row r="2255" spans="13:19">
      <c r="M2255" s="81">
        <f t="shared" ca="1" si="258"/>
        <v>26592.991746042462</v>
      </c>
      <c r="N2255" s="19">
        <f t="shared" si="259"/>
        <v>423.72554145777593</v>
      </c>
      <c r="O2255" s="17">
        <f t="shared" si="257"/>
        <v>563.5</v>
      </c>
      <c r="P2255" s="19">
        <f ca="1">IF(ISERROR(IF(O2255&lt;fi_h/20,0,(OFFSET('Base de dados'!$A$5,IF(O2255&lt;20,1,IF(O2255&gt;1000,10,MATCH(O2255,Cargas,1))),Coluna_fih,1,1))*(1+0.13*0.25)*(PI()*(fi_h/1000)^2/4)*SQRT(2*9.81*(O2255/100-fi_h/2/1000))*1000)),"",IF(O2255&lt;fi_h/20,0,(OFFSET('Base de dados'!$A$5,IF(O2255&lt;20,1,IF(O2255&gt;1000,10,MATCH(O2255,Cargas,1))),Coluna_fih,1,1))*(PI()*(fi_h/1000)^2/4)*SQRT(2*9.81*(O2255/100-fi_h/2/1000))*1000))</f>
        <v>63.670386482582053</v>
      </c>
      <c r="Q2255" s="19">
        <f ca="1">IF(O2255="","",IF(Tipo_Vertedor="Retangular",IF(O2255&lt;=cota_s*100,0,IF(Tipo_Vertedor="Retangular",Cd_sr*Lef_sr*((O2255/100-cota_s)^(3/2))*1000)),IF(O2255&lt;=cota_s*100+fi_s/20,0,(OFFSET('Base de dados'!$A$4,IF(O2255&lt;20,1,IF(O2255&gt;1000,10,MATCH(O2255,Cargas,1))),Coluna_fis,1,1))*(PI()*(fi_s/1000)^2/4)*(2*9.81*(O2255/100-cota_s-fi_s/2/1000))^0.5*1000)))</f>
        <v>12405.136644300683</v>
      </c>
      <c r="R2255" s="19">
        <f t="shared" ca="1" si="260"/>
        <v>12468.807030783264</v>
      </c>
      <c r="S2255" s="19">
        <f t="shared" ca="1" si="261"/>
        <v>14124.184715259198</v>
      </c>
    </row>
    <row r="2256" spans="13:19">
      <c r="M2256" s="81">
        <f t="shared" ca="1" si="258"/>
        <v>26609.293423914074</v>
      </c>
      <c r="N2256" s="19">
        <f t="shared" si="259"/>
        <v>423.93695409180253</v>
      </c>
      <c r="O2256" s="17">
        <f t="shared" si="257"/>
        <v>563.75</v>
      </c>
      <c r="P2256" s="19">
        <f ca="1">IF(ISERROR(IF(O2256&lt;fi_h/20,0,(OFFSET('Base de dados'!$A$5,IF(O2256&lt;20,1,IF(O2256&gt;1000,10,MATCH(O2256,Cargas,1))),Coluna_fih,1,1))*(1+0.13*0.25)*(PI()*(fi_h/1000)^2/4)*SQRT(2*9.81*(O2256/100-fi_h/2/1000))*1000)),"",IF(O2256&lt;fi_h/20,0,(OFFSET('Base de dados'!$A$5,IF(O2256&lt;20,1,IF(O2256&gt;1000,10,MATCH(O2256,Cargas,1))),Coluna_fih,1,1))*(PI()*(fi_h/1000)^2/4)*SQRT(2*9.81*(O2256/100-fi_h/2/1000))*1000))</f>
        <v>63.684651543428657</v>
      </c>
      <c r="Q2256" s="19">
        <f ca="1">IF(O2256="","",IF(Tipo_Vertedor="Retangular",IF(O2256&lt;=cota_s*100,0,IF(Tipo_Vertedor="Retangular",Cd_sr*Lef_sr*((O2256/100-cota_s)^(3/2))*1000)),IF(O2256&lt;=cota_s*100+fi_s/20,0,(OFFSET('Base de dados'!$A$4,IF(O2256&lt;20,1,IF(O2256&gt;1000,10,MATCH(O2256,Cargas,1))),Coluna_fis,1,1))*(PI()*(fi_s/1000)^2/4)*(2*9.81*(O2256/100-cota_s-fi_s/2/1000))^0.5*1000)))</f>
        <v>12414.376969310564</v>
      </c>
      <c r="R2256" s="19">
        <f t="shared" ca="1" si="260"/>
        <v>12478.061620853992</v>
      </c>
      <c r="S2256" s="19">
        <f t="shared" ca="1" si="261"/>
        <v>14131.231803060084</v>
      </c>
    </row>
    <row r="2257" spans="13:19">
      <c r="M2257" s="81">
        <f t="shared" ca="1" si="258"/>
        <v>26625.597781077908</v>
      </c>
      <c r="N2257" s="19">
        <f t="shared" si="259"/>
        <v>424.14837840535773</v>
      </c>
      <c r="O2257" s="17">
        <f t="shared" si="257"/>
        <v>564</v>
      </c>
      <c r="P2257" s="19">
        <f ca="1">IF(ISERROR(IF(O2257&lt;fi_h/20,0,(OFFSET('Base de dados'!$A$5,IF(O2257&lt;20,1,IF(O2257&gt;1000,10,MATCH(O2257,Cargas,1))),Coluna_fih,1,1))*(1+0.13*0.25)*(PI()*(fi_h/1000)^2/4)*SQRT(2*9.81*(O2257/100-fi_h/2/1000))*1000)),"",IF(O2257&lt;fi_h/20,0,(OFFSET('Base de dados'!$A$5,IF(O2257&lt;20,1,IF(O2257&gt;1000,10,MATCH(O2257,Cargas,1))),Coluna_fih,1,1))*(PI()*(fi_h/1000)^2/4)*SQRT(2*9.81*(O2257/100-fi_h/2/1000))*1000))</f>
        <v>63.698913409684558</v>
      </c>
      <c r="Q2257" s="19">
        <f ca="1">IF(O2257="","",IF(Tipo_Vertedor="Retangular",IF(O2257&lt;=cota_s*100,0,IF(Tipo_Vertedor="Retangular",Cd_sr*Lef_sr*((O2257/100-cota_s)^(3/2))*1000)),IF(O2257&lt;=cota_s*100+fi_s/20,0,(OFFSET('Base de dados'!$A$4,IF(O2257&lt;20,1,IF(O2257&gt;1000,10,MATCH(O2257,Cargas,1))),Coluna_fis,1,1))*(PI()*(fi_s/1000)^2/4)*(2*9.81*(O2257/100-cota_s-fi_s/2/1000))^0.5*1000)))</f>
        <v>12423.619587489633</v>
      </c>
      <c r="R2257" s="19">
        <f t="shared" ca="1" si="260"/>
        <v>12487.318500899317</v>
      </c>
      <c r="S2257" s="19">
        <f t="shared" ca="1" si="261"/>
        <v>14138.279280178591</v>
      </c>
    </row>
    <row r="2258" spans="13:19">
      <c r="M2258" s="81">
        <f t="shared" ca="1" si="258"/>
        <v>26641.90481681623</v>
      </c>
      <c r="N2258" s="19">
        <f t="shared" si="259"/>
        <v>424.35981439390969</v>
      </c>
      <c r="O2258" s="17">
        <f t="shared" si="257"/>
        <v>564.25</v>
      </c>
      <c r="P2258" s="19">
        <f ca="1">IF(ISERROR(IF(O2258&lt;fi_h/20,0,(OFFSET('Base de dados'!$A$5,IF(O2258&lt;20,1,IF(O2258&gt;1000,10,MATCH(O2258,Cargas,1))),Coluna_fih,1,1))*(1+0.13*0.25)*(PI()*(fi_h/1000)^2/4)*SQRT(2*9.81*(O2258/100-fi_h/2/1000))*1000)),"",IF(O2258&lt;fi_h/20,0,(OFFSET('Base de dados'!$A$5,IF(O2258&lt;20,1,IF(O2258&gt;1000,10,MATCH(O2258,Cargas,1))),Coluna_fih,1,1))*(PI()*(fi_h/1000)^2/4)*SQRT(2*9.81*(O2258/100-fi_h/2/1000))*1000))</f>
        <v>63.71317208349506</v>
      </c>
      <c r="Q2258" s="19">
        <f ca="1">IF(O2258="","",IF(Tipo_Vertedor="Retangular",IF(O2258&lt;=cota_s*100,0,IF(Tipo_Vertedor="Retangular",Cd_sr*Lef_sr*((O2258/100-cota_s)^(3/2))*1000)),IF(O2258&lt;=cota_s*100+fi_s/20,0,(OFFSET('Base de dados'!$A$4,IF(O2258&lt;20,1,IF(O2258&gt;1000,10,MATCH(O2258,Cargas,1))),Coluna_fis,1,1))*(PI()*(fi_s/1000)^2/4)*(2*9.81*(O2258/100-cota_s-fi_s/2/1000))^0.5*1000)))</f>
        <v>12432.864498269078</v>
      </c>
      <c r="R2258" s="19">
        <f t="shared" ca="1" si="260"/>
        <v>12496.577670352573</v>
      </c>
      <c r="S2258" s="19">
        <f t="shared" ca="1" si="261"/>
        <v>14145.327146463656</v>
      </c>
    </row>
    <row r="2259" spans="13:19">
      <c r="M2259" s="81">
        <f t="shared" ca="1" si="258"/>
        <v>26658.214530411824</v>
      </c>
      <c r="N2259" s="19">
        <f t="shared" si="259"/>
        <v>424.57126205292934</v>
      </c>
      <c r="O2259" s="17">
        <f t="shared" ref="O2259:O2322" si="262">IF(ISERROR(IF(O2258+passo_altura&gt;h_max_puls*100,"",O2258+passo_altura)),"",IF(O2258+passo_altura&gt;h_max_puls*100,"",O2258+passo_altura))</f>
        <v>564.5</v>
      </c>
      <c r="P2259" s="19">
        <f ca="1">IF(ISERROR(IF(O2259&lt;fi_h/20,0,(OFFSET('Base de dados'!$A$5,IF(O2259&lt;20,1,IF(O2259&gt;1000,10,MATCH(O2259,Cargas,1))),Coluna_fih,1,1))*(1+0.13*0.25)*(PI()*(fi_h/1000)^2/4)*SQRT(2*9.81*(O2259/100-fi_h/2/1000))*1000)),"",IF(O2259&lt;fi_h/20,0,(OFFSET('Base de dados'!$A$5,IF(O2259&lt;20,1,IF(O2259&gt;1000,10,MATCH(O2259,Cargas,1))),Coluna_fih,1,1))*(PI()*(fi_h/1000)^2/4)*SQRT(2*9.81*(O2259/100-fi_h/2/1000))*1000))</f>
        <v>63.727427567003019</v>
      </c>
      <c r="Q2259" s="19">
        <f ca="1">IF(O2259="","",IF(Tipo_Vertedor="Retangular",IF(O2259&lt;=cota_s*100,0,IF(Tipo_Vertedor="Retangular",Cd_sr*Lef_sr*((O2259/100-cota_s)^(3/2))*1000)),IF(O2259&lt;=cota_s*100+fi_s/20,0,(OFFSET('Base de dados'!$A$4,IF(O2259&lt;20,1,IF(O2259&gt;1000,10,MATCH(O2259,Cargas,1))),Coluna_fis,1,1))*(PI()*(fi_s/1000)^2/4)*(2*9.81*(O2259/100-cota_s-fi_s/2/1000))^0.5*1000)))</f>
        <v>12442.111701080508</v>
      </c>
      <c r="R2259" s="19">
        <f t="shared" ca="1" si="260"/>
        <v>12505.839128647511</v>
      </c>
      <c r="S2259" s="19">
        <f t="shared" ca="1" si="261"/>
        <v>14152.375401764311</v>
      </c>
    </row>
    <row r="2260" spans="13:19">
      <c r="M2260" s="81">
        <f t="shared" ca="1" si="258"/>
        <v>26674.526921148063</v>
      </c>
      <c r="N2260" s="19">
        <f t="shared" si="259"/>
        <v>424.78272137789264</v>
      </c>
      <c r="O2260" s="17">
        <f t="shared" si="262"/>
        <v>564.75</v>
      </c>
      <c r="P2260" s="19">
        <f ca="1">IF(ISERROR(IF(O2260&lt;fi_h/20,0,(OFFSET('Base de dados'!$A$5,IF(O2260&lt;20,1,IF(O2260&gt;1000,10,MATCH(O2260,Cargas,1))),Coluna_fih,1,1))*(1+0.13*0.25)*(PI()*(fi_h/1000)^2/4)*SQRT(2*9.81*(O2260/100-fi_h/2/1000))*1000)),"",IF(O2260&lt;fi_h/20,0,(OFFSET('Base de dados'!$A$5,IF(O2260&lt;20,1,IF(O2260&gt;1000,10,MATCH(O2260,Cargas,1))),Coluna_fih,1,1))*(PI()*(fi_h/1000)^2/4)*SQRT(2*9.81*(O2260/100-fi_h/2/1000))*1000))</f>
        <v>63.741679862348924</v>
      </c>
      <c r="Q2260" s="19">
        <f ca="1">IF(O2260="","",IF(Tipo_Vertedor="Retangular",IF(O2260&lt;=cota_s*100,0,IF(Tipo_Vertedor="Retangular",Cd_sr*Lef_sr*((O2260/100-cota_s)^(3/2))*1000)),IF(O2260&lt;=cota_s*100+fi_s/20,0,(OFFSET('Base de dados'!$A$4,IF(O2260&lt;20,1,IF(O2260&gt;1000,10,MATCH(O2260,Cargas,1))),Coluna_fis,1,1))*(PI()*(fi_s/1000)^2/4)*(2*9.81*(O2260/100-cota_s-fi_s/2/1000))^0.5*1000)))</f>
        <v>12451.361195355961</v>
      </c>
      <c r="R2260" s="19">
        <f t="shared" ca="1" si="260"/>
        <v>12515.10287521831</v>
      </c>
      <c r="S2260" s="19">
        <f t="shared" ca="1" si="261"/>
        <v>14159.424045929754</v>
      </c>
    </row>
    <row r="2261" spans="13:19">
      <c r="M2261" s="81">
        <f t="shared" ca="1" si="258"/>
        <v>26690.841988308825</v>
      </c>
      <c r="N2261" s="19">
        <f t="shared" si="259"/>
        <v>424.99419236427798</v>
      </c>
      <c r="O2261" s="17">
        <f t="shared" si="262"/>
        <v>565</v>
      </c>
      <c r="P2261" s="19">
        <f ca="1">IF(ISERROR(IF(O2261&lt;fi_h/20,0,(OFFSET('Base de dados'!$A$5,IF(O2261&lt;20,1,IF(O2261&gt;1000,10,MATCH(O2261,Cargas,1))),Coluna_fih,1,1))*(1+0.13*0.25)*(PI()*(fi_h/1000)^2/4)*SQRT(2*9.81*(O2261/100-fi_h/2/1000))*1000)),"",IF(O2261&lt;fi_h/20,0,(OFFSET('Base de dados'!$A$5,IF(O2261&lt;20,1,IF(O2261&gt;1000,10,MATCH(O2261,Cargas,1))),Coluna_fih,1,1))*(PI()*(fi_h/1000)^2/4)*SQRT(2*9.81*(O2261/100-fi_h/2/1000))*1000))</f>
        <v>63.755928971670869</v>
      </c>
      <c r="Q2261" s="19">
        <f ca="1">IF(O2261="","",IF(Tipo_Vertedor="Retangular",IF(O2261&lt;=cota_s*100,0,IF(Tipo_Vertedor="Retangular",Cd_sr*Lef_sr*((O2261/100-cota_s)^(3/2))*1000)),IF(O2261&lt;=cota_s*100+fi_s/20,0,(OFFSET('Base de dados'!$A$4,IF(O2261&lt;20,1,IF(O2261&gt;1000,10,MATCH(O2261,Cargas,1))),Coluna_fis,1,1))*(PI()*(fi_s/1000)^2/4)*(2*9.81*(O2261/100-cota_s-fi_s/2/1000))^0.5*1000)))</f>
        <v>12460.612980527889</v>
      </c>
      <c r="R2261" s="19">
        <f t="shared" ca="1" si="260"/>
        <v>12524.368909499559</v>
      </c>
      <c r="S2261" s="19">
        <f t="shared" ca="1" si="261"/>
        <v>14166.473078809266</v>
      </c>
    </row>
    <row r="2262" spans="13:19">
      <c r="M2262" s="81">
        <f t="shared" ca="1" si="258"/>
        <v>26707.159731178537</v>
      </c>
      <c r="N2262" s="19">
        <f t="shared" si="259"/>
        <v>425.20567500756812</v>
      </c>
      <c r="O2262" s="17">
        <f t="shared" si="262"/>
        <v>565.25</v>
      </c>
      <c r="P2262" s="19">
        <f ca="1">IF(ISERROR(IF(O2262&lt;fi_h/20,0,(OFFSET('Base de dados'!$A$5,IF(O2262&lt;20,1,IF(O2262&gt;1000,10,MATCH(O2262,Cargas,1))),Coluna_fih,1,1))*(1+0.13*0.25)*(PI()*(fi_h/1000)^2/4)*SQRT(2*9.81*(O2262/100-fi_h/2/1000))*1000)),"",IF(O2262&lt;fi_h/20,0,(OFFSET('Base de dados'!$A$5,IF(O2262&lt;20,1,IF(O2262&gt;1000,10,MATCH(O2262,Cargas,1))),Coluna_fih,1,1))*(PI()*(fi_h/1000)^2/4)*SQRT(2*9.81*(O2262/100-fi_h/2/1000))*1000))</f>
        <v>63.770174897104539</v>
      </c>
      <c r="Q2262" s="19">
        <f ca="1">IF(O2262="","",IF(Tipo_Vertedor="Retangular",IF(O2262&lt;=cota_s*100,0,IF(Tipo_Vertedor="Retangular",Cd_sr*Lef_sr*((O2262/100-cota_s)^(3/2))*1000)),IF(O2262&lt;=cota_s*100+fi_s/20,0,(OFFSET('Base de dados'!$A$4,IF(O2262&lt;20,1,IF(O2262&gt;1000,10,MATCH(O2262,Cargas,1))),Coluna_fis,1,1))*(PI()*(fi_s/1000)^2/4)*(2*9.81*(O2262/100-cota_s-fi_s/2/1000))^0.5*1000)))</f>
        <v>12469.867056029165</v>
      </c>
      <c r="R2262" s="19">
        <f t="shared" ca="1" si="260"/>
        <v>12533.63723092627</v>
      </c>
      <c r="S2262" s="19">
        <f t="shared" ca="1" si="261"/>
        <v>14173.522500252269</v>
      </c>
    </row>
    <row r="2263" spans="13:19">
      <c r="M2263" s="81">
        <f t="shared" ref="M2263:M2326" ca="1" si="263">IF(O2263="","",2*N2263*1000/(Passo*60)+R2263)</f>
        <v>26723.480149042196</v>
      </c>
      <c r="N2263" s="19">
        <f t="shared" ref="N2263:N2326" si="264">IF(O2263="","",b_0*(O2263/100)^c_0)</f>
        <v>425.41716930325003</v>
      </c>
      <c r="O2263" s="17">
        <f t="shared" si="262"/>
        <v>565.5</v>
      </c>
      <c r="P2263" s="19">
        <f ca="1">IF(ISERROR(IF(O2263&lt;fi_h/20,0,(OFFSET('Base de dados'!$A$5,IF(O2263&lt;20,1,IF(O2263&gt;1000,10,MATCH(O2263,Cargas,1))),Coluna_fih,1,1))*(1+0.13*0.25)*(PI()*(fi_h/1000)^2/4)*SQRT(2*9.81*(O2263/100-fi_h/2/1000))*1000)),"",IF(O2263&lt;fi_h/20,0,(OFFSET('Base de dados'!$A$5,IF(O2263&lt;20,1,IF(O2263&gt;1000,10,MATCH(O2263,Cargas,1))),Coluna_fih,1,1))*(PI()*(fi_h/1000)^2/4)*SQRT(2*9.81*(O2263/100-fi_h/2/1000))*1000))</f>
        <v>63.784417640783282</v>
      </c>
      <c r="Q2263" s="19">
        <f ca="1">IF(O2263="","",IF(Tipo_Vertedor="Retangular",IF(O2263&lt;=cota_s*100,0,IF(Tipo_Vertedor="Retangular",Cd_sr*Lef_sr*((O2263/100-cota_s)^(3/2))*1000)),IF(O2263&lt;=cota_s*100+fi_s/20,0,(OFFSET('Base de dados'!$A$4,IF(O2263&lt;20,1,IF(O2263&gt;1000,10,MATCH(O2263,Cargas,1))),Coluna_fis,1,1))*(PI()*(fi_s/1000)^2/4)*(2*9.81*(O2263/100-cota_s-fi_s/2/1000))^0.5*1000)))</f>
        <v>12479.123421293079</v>
      </c>
      <c r="R2263" s="19">
        <f t="shared" ref="R2263:R2326" ca="1" si="265">IF(O2263="","",Q2263+P2263)</f>
        <v>12542.907838933863</v>
      </c>
      <c r="S2263" s="19">
        <f t="shared" ref="S2263:S2326" ca="1" si="266">IF(M2263="","",2*N2263*1000/(Passo*60))</f>
        <v>14180.572310108335</v>
      </c>
    </row>
    <row r="2264" spans="13:19">
      <c r="M2264" s="81">
        <f t="shared" ca="1" si="263"/>
        <v>26739.80324118532</v>
      </c>
      <c r="N2264" s="19">
        <f t="shared" si="264"/>
        <v>425.62867524681343</v>
      </c>
      <c r="O2264" s="17">
        <f t="shared" si="262"/>
        <v>565.75</v>
      </c>
      <c r="P2264" s="19">
        <f ca="1">IF(ISERROR(IF(O2264&lt;fi_h/20,0,(OFFSET('Base de dados'!$A$5,IF(O2264&lt;20,1,IF(O2264&gt;1000,10,MATCH(O2264,Cargas,1))),Coluna_fih,1,1))*(1+0.13*0.25)*(PI()*(fi_h/1000)^2/4)*SQRT(2*9.81*(O2264/100-fi_h/2/1000))*1000)),"",IF(O2264&lt;fi_h/20,0,(OFFSET('Base de dados'!$A$5,IF(O2264&lt;20,1,IF(O2264&gt;1000,10,MATCH(O2264,Cargas,1))),Coluna_fih,1,1))*(PI()*(fi_h/1000)^2/4)*SQRT(2*9.81*(O2264/100-fi_h/2/1000))*1000))</f>
        <v>63.798657204837987</v>
      </c>
      <c r="Q2264" s="19">
        <f ca="1">IF(O2264="","",IF(Tipo_Vertedor="Retangular",IF(O2264&lt;=cota_s*100,0,IF(Tipo_Vertedor="Retangular",Cd_sr*Lef_sr*((O2264/100-cota_s)^(3/2))*1000)),IF(O2264&lt;=cota_s*100+fi_s/20,0,(OFFSET('Base de dados'!$A$4,IF(O2264&lt;20,1,IF(O2264&gt;1000,10,MATCH(O2264,Cargas,1))),Coluna_fis,1,1))*(PI()*(fi_s/1000)^2/4)*(2*9.81*(O2264/100-cota_s-fi_s/2/1000))^0.5*1000)))</f>
        <v>12488.382075753367</v>
      </c>
      <c r="R2264" s="19">
        <f t="shared" ca="1" si="265"/>
        <v>12552.180732958204</v>
      </c>
      <c r="S2264" s="19">
        <f t="shared" ca="1" si="266"/>
        <v>14187.622508227116</v>
      </c>
    </row>
    <row r="2265" spans="13:19">
      <c r="M2265" s="81">
        <f t="shared" ca="1" si="263"/>
        <v>26756.129006893978</v>
      </c>
      <c r="N2265" s="19">
        <f t="shared" si="264"/>
        <v>425.84019283375261</v>
      </c>
      <c r="O2265" s="17">
        <f t="shared" si="262"/>
        <v>566</v>
      </c>
      <c r="P2265" s="19">
        <f ca="1">IF(ISERROR(IF(O2265&lt;fi_h/20,0,(OFFSET('Base de dados'!$A$5,IF(O2265&lt;20,1,IF(O2265&gt;1000,10,MATCH(O2265,Cargas,1))),Coluna_fih,1,1))*(1+0.13*0.25)*(PI()*(fi_h/1000)^2/4)*SQRT(2*9.81*(O2265/100-fi_h/2/1000))*1000)),"",IF(O2265&lt;fi_h/20,0,(OFFSET('Base de dados'!$A$5,IF(O2265&lt;20,1,IF(O2265&gt;1000,10,MATCH(O2265,Cargas,1))),Coluna_fih,1,1))*(PI()*(fi_h/1000)^2/4)*SQRT(2*9.81*(O2265/100-fi_h/2/1000))*1000))</f>
        <v>63.812893591397263</v>
      </c>
      <c r="Q2265" s="19">
        <f ca="1">IF(O2265="","",IF(Tipo_Vertedor="Retangular",IF(O2265&lt;=cota_s*100,0,IF(Tipo_Vertedor="Retangular",Cd_sr*Lef_sr*((O2265/100-cota_s)^(3/2))*1000)),IF(O2265&lt;=cota_s*100+fi_s/20,0,(OFFSET('Base de dados'!$A$4,IF(O2265&lt;20,1,IF(O2265&gt;1000,10,MATCH(O2265,Cargas,1))),Coluna_fis,1,1))*(PI()*(fi_s/1000)^2/4)*(2*9.81*(O2265/100-cota_s-fi_s/2/1000))^0.5*1000)))</f>
        <v>12497.643018844161</v>
      </c>
      <c r="R2265" s="19">
        <f t="shared" ca="1" si="265"/>
        <v>12561.455912435558</v>
      </c>
      <c r="S2265" s="19">
        <f t="shared" ca="1" si="266"/>
        <v>14194.67309445842</v>
      </c>
    </row>
    <row r="2266" spans="13:19">
      <c r="M2266" s="81">
        <f t="shared" ca="1" si="263"/>
        <v>26772.457445454762</v>
      </c>
      <c r="N2266" s="19">
        <f t="shared" si="264"/>
        <v>426.05172205956524</v>
      </c>
      <c r="O2266" s="17">
        <f t="shared" si="262"/>
        <v>566.25</v>
      </c>
      <c r="P2266" s="19">
        <f ca="1">IF(ISERROR(IF(O2266&lt;fi_h/20,0,(OFFSET('Base de dados'!$A$5,IF(O2266&lt;20,1,IF(O2266&gt;1000,10,MATCH(O2266,Cargas,1))),Coluna_fih,1,1))*(1+0.13*0.25)*(PI()*(fi_h/1000)^2/4)*SQRT(2*9.81*(O2266/100-fi_h/2/1000))*1000)),"",IF(O2266&lt;fi_h/20,0,(OFFSET('Base de dados'!$A$5,IF(O2266&lt;20,1,IF(O2266&gt;1000,10,MATCH(O2266,Cargas,1))),Coluna_fih,1,1))*(PI()*(fi_h/1000)^2/4)*SQRT(2*9.81*(O2266/100-fi_h/2/1000))*1000))</f>
        <v>63.827126802587244</v>
      </c>
      <c r="Q2266" s="19">
        <f ca="1">IF(O2266="","",IF(Tipo_Vertedor="Retangular",IF(O2266&lt;=cota_s*100,0,IF(Tipo_Vertedor="Retangular",Cd_sr*Lef_sr*((O2266/100-cota_s)^(3/2))*1000)),IF(O2266&lt;=cota_s*100+fi_s/20,0,(OFFSET('Base de dados'!$A$4,IF(O2266&lt;20,1,IF(O2266&gt;1000,10,MATCH(O2266,Cargas,1))),Coluna_fis,1,1))*(PI()*(fi_s/1000)^2/4)*(2*9.81*(O2266/100-cota_s-fi_s/2/1000))^0.5*1000)))</f>
        <v>12506.90625</v>
      </c>
      <c r="R2266" s="19">
        <f t="shared" ca="1" si="265"/>
        <v>12570.733376802587</v>
      </c>
      <c r="S2266" s="19">
        <f t="shared" ca="1" si="266"/>
        <v>14201.724068652175</v>
      </c>
    </row>
    <row r="2267" spans="13:19">
      <c r="M2267" s="81">
        <f t="shared" ca="1" si="263"/>
        <v>26788.788556154832</v>
      </c>
      <c r="N2267" s="19">
        <f t="shared" si="264"/>
        <v>426.26326291975255</v>
      </c>
      <c r="O2267" s="17">
        <f t="shared" si="262"/>
        <v>566.5</v>
      </c>
      <c r="P2267" s="19">
        <f ca="1">IF(ISERROR(IF(O2267&lt;fi_h/20,0,(OFFSET('Base de dados'!$A$5,IF(O2267&lt;20,1,IF(O2267&gt;1000,10,MATCH(O2267,Cargas,1))),Coluna_fih,1,1))*(1+0.13*0.25)*(PI()*(fi_h/1000)^2/4)*SQRT(2*9.81*(O2267/100-fi_h/2/1000))*1000)),"",IF(O2267&lt;fi_h/20,0,(OFFSET('Base de dados'!$A$5,IF(O2267&lt;20,1,IF(O2267&gt;1000,10,MATCH(O2267,Cargas,1))),Coluna_fih,1,1))*(PI()*(fi_h/1000)^2/4)*SQRT(2*9.81*(O2267/100-fi_h/2/1000))*1000))</f>
        <v>63.841356840531773</v>
      </c>
      <c r="Q2267" s="19">
        <f ca="1">IF(O2267="","",IF(Tipo_Vertedor="Retangular",IF(O2267&lt;=cota_s*100,0,IF(Tipo_Vertedor="Retangular",Cd_sr*Lef_sr*((O2267/100-cota_s)^(3/2))*1000)),IF(O2267&lt;=cota_s*100+fi_s/20,0,(OFFSET('Base de dados'!$A$4,IF(O2267&lt;20,1,IF(O2267&gt;1000,10,MATCH(O2267,Cargas,1))),Coluna_fis,1,1))*(PI()*(fi_s/1000)^2/4)*(2*9.81*(O2267/100-cota_s-fi_s/2/1000))^0.5*1000)))</f>
        <v>12516.17176865588</v>
      </c>
      <c r="R2267" s="19">
        <f t="shared" ca="1" si="265"/>
        <v>12580.013125496413</v>
      </c>
      <c r="S2267" s="19">
        <f t="shared" ca="1" si="266"/>
        <v>14208.775430658419</v>
      </c>
    </row>
    <row r="2268" spans="13:19">
      <c r="M2268" s="81">
        <f t="shared" ca="1" si="263"/>
        <v>26805.122338281879</v>
      </c>
      <c r="N2268" s="19">
        <f t="shared" si="264"/>
        <v>426.47481540982005</v>
      </c>
      <c r="O2268" s="17">
        <f t="shared" si="262"/>
        <v>566.75</v>
      </c>
      <c r="P2268" s="19">
        <f ca="1">IF(ISERROR(IF(O2268&lt;fi_h/20,0,(OFFSET('Base de dados'!$A$5,IF(O2268&lt;20,1,IF(O2268&gt;1000,10,MATCH(O2268,Cargas,1))),Coluna_fih,1,1))*(1+0.13*0.25)*(PI()*(fi_h/1000)^2/4)*SQRT(2*9.81*(O2268/100-fi_h/2/1000))*1000)),"",IF(O2268&lt;fi_h/20,0,(OFFSET('Base de dados'!$A$5,IF(O2268&lt;20,1,IF(O2268&gt;1000,10,MATCH(O2268,Cargas,1))),Coluna_fih,1,1))*(PI()*(fi_h/1000)^2/4)*SQRT(2*9.81*(O2268/100-fi_h/2/1000))*1000))</f>
        <v>63.855583707352295</v>
      </c>
      <c r="Q2268" s="19">
        <f ca="1">IF(O2268="","",IF(Tipo_Vertedor="Retangular",IF(O2268&lt;=cota_s*100,0,IF(Tipo_Vertedor="Retangular",Cd_sr*Lef_sr*((O2268/100-cota_s)^(3/2))*1000)),IF(O2268&lt;=cota_s*100+fi_s/20,0,(OFFSET('Base de dados'!$A$4,IF(O2268&lt;20,1,IF(O2268&gt;1000,10,MATCH(O2268,Cargas,1))),Coluna_fis,1,1))*(PI()*(fi_s/1000)^2/4)*(2*9.81*(O2268/100-cota_s-fi_s/2/1000))^0.5*1000)))</f>
        <v>12525.439574247193</v>
      </c>
      <c r="R2268" s="19">
        <f t="shared" ca="1" si="265"/>
        <v>12589.295157954546</v>
      </c>
      <c r="S2268" s="19">
        <f t="shared" ca="1" si="266"/>
        <v>14215.827180327335</v>
      </c>
    </row>
    <row r="2269" spans="13:19">
      <c r="M2269" s="81">
        <f t="shared" ca="1" si="263"/>
        <v>26821.458791124132</v>
      </c>
      <c r="N2269" s="19">
        <f t="shared" si="264"/>
        <v>426.68637952527638</v>
      </c>
      <c r="O2269" s="17">
        <f t="shared" si="262"/>
        <v>567</v>
      </c>
      <c r="P2269" s="19">
        <f ca="1">IF(ISERROR(IF(O2269&lt;fi_h/20,0,(OFFSET('Base de dados'!$A$5,IF(O2269&lt;20,1,IF(O2269&gt;1000,10,MATCH(O2269,Cargas,1))),Coluna_fih,1,1))*(1+0.13*0.25)*(PI()*(fi_h/1000)^2/4)*SQRT(2*9.81*(O2269/100-fi_h/2/1000))*1000)),"",IF(O2269&lt;fi_h/20,0,(OFFSET('Base de dados'!$A$5,IF(O2269&lt;20,1,IF(O2269&gt;1000,10,MATCH(O2269,Cargas,1))),Coluna_fih,1,1))*(PI()*(fi_h/1000)^2/4)*SQRT(2*9.81*(O2269/100-fi_h/2/1000))*1000))</f>
        <v>63.869807405167869</v>
      </c>
      <c r="Q2269" s="19">
        <f ca="1">IF(O2269="","",IF(Tipo_Vertedor="Retangular",IF(O2269&lt;=cota_s*100,0,IF(Tipo_Vertedor="Retangular",Cd_sr*Lef_sr*((O2269/100-cota_s)^(3/2))*1000)),IF(O2269&lt;=cota_s*100+fi_s/20,0,(OFFSET('Base de dados'!$A$4,IF(O2269&lt;20,1,IF(O2269&gt;1000,10,MATCH(O2269,Cargas,1))),Coluna_fis,1,1))*(PI()*(fi_s/1000)^2/4)*(2*9.81*(O2269/100-cota_s-fi_s/2/1000))^0.5*1000)))</f>
        <v>12534.70966620975</v>
      </c>
      <c r="R2269" s="19">
        <f t="shared" ca="1" si="265"/>
        <v>12598.579473614918</v>
      </c>
      <c r="S2269" s="19">
        <f t="shared" ca="1" si="266"/>
        <v>14222.879317509212</v>
      </c>
    </row>
    <row r="2270" spans="13:19">
      <c r="M2270" s="81">
        <f t="shared" ca="1" si="263"/>
        <v>26837.797913970331</v>
      </c>
      <c r="N2270" s="19">
        <f t="shared" si="264"/>
        <v>426.89795526163408</v>
      </c>
      <c r="O2270" s="17">
        <f t="shared" si="262"/>
        <v>567.25</v>
      </c>
      <c r="P2270" s="19">
        <f ca="1">IF(ISERROR(IF(O2270&lt;fi_h/20,0,(OFFSET('Base de dados'!$A$5,IF(O2270&lt;20,1,IF(O2270&gt;1000,10,MATCH(O2270,Cargas,1))),Coluna_fih,1,1))*(1+0.13*0.25)*(PI()*(fi_h/1000)^2/4)*SQRT(2*9.81*(O2270/100-fi_h/2/1000))*1000)),"",IF(O2270&lt;fi_h/20,0,(OFFSET('Base de dados'!$A$5,IF(O2270&lt;20,1,IF(O2270&gt;1000,10,MATCH(O2270,Cargas,1))),Coluna_fih,1,1))*(PI()*(fi_h/1000)^2/4)*SQRT(2*9.81*(O2270/100-fi_h/2/1000))*1000))</f>
        <v>63.884027936095265</v>
      </c>
      <c r="Q2270" s="19">
        <f ca="1">IF(O2270="","",IF(Tipo_Vertedor="Retangular",IF(O2270&lt;=cota_s*100,0,IF(Tipo_Vertedor="Retangular",Cd_sr*Lef_sr*((O2270/100-cota_s)^(3/2))*1000)),IF(O2270&lt;=cota_s*100+fi_s/20,0,(OFFSET('Base de dados'!$A$4,IF(O2270&lt;20,1,IF(O2270&gt;1000,10,MATCH(O2270,Cargas,1))),Coluna_fis,1,1))*(PI()*(fi_s/1000)^2/4)*(2*9.81*(O2270/100-cota_s-fi_s/2/1000))^0.5*1000)))</f>
        <v>12543.982043979768</v>
      </c>
      <c r="R2270" s="19">
        <f t="shared" ca="1" si="265"/>
        <v>12607.866071915863</v>
      </c>
      <c r="S2270" s="19">
        <f t="shared" ca="1" si="266"/>
        <v>14229.93184205447</v>
      </c>
    </row>
    <row r="2271" spans="13:19">
      <c r="M2271" s="81">
        <f t="shared" ca="1" si="263"/>
        <v>26854.139706109811</v>
      </c>
      <c r="N2271" s="19">
        <f t="shared" si="264"/>
        <v>427.10954261440952</v>
      </c>
      <c r="O2271" s="17">
        <f t="shared" si="262"/>
        <v>567.5</v>
      </c>
      <c r="P2271" s="19">
        <f ca="1">IF(ISERROR(IF(O2271&lt;fi_h/20,0,(OFFSET('Base de dados'!$A$5,IF(O2271&lt;20,1,IF(O2271&gt;1000,10,MATCH(O2271,Cargas,1))),Coluna_fih,1,1))*(1+0.13*0.25)*(PI()*(fi_h/1000)^2/4)*SQRT(2*9.81*(O2271/100-fi_h/2/1000))*1000)),"",IF(O2271&lt;fi_h/20,0,(OFFSET('Base de dados'!$A$5,IF(O2271&lt;20,1,IF(O2271&gt;1000,10,MATCH(O2271,Cargas,1))),Coluna_fih,1,1))*(PI()*(fi_h/1000)^2/4)*SQRT(2*9.81*(O2271/100-fi_h/2/1000))*1000))</f>
        <v>63.898245302248803</v>
      </c>
      <c r="Q2271" s="19">
        <f ca="1">IF(O2271="","",IF(Tipo_Vertedor="Retangular",IF(O2271&lt;=cota_s*100,0,IF(Tipo_Vertedor="Retangular",Cd_sr*Lef_sr*((O2271/100-cota_s)^(3/2))*1000)),IF(O2271&lt;=cota_s*100+fi_s/20,0,(OFFSET('Base de dados'!$A$4,IF(O2271&lt;20,1,IF(O2271&gt;1000,10,MATCH(O2271,Cargas,1))),Coluna_fis,1,1))*(PI()*(fi_s/1000)^2/4)*(2*9.81*(O2271/100-cota_s-fi_s/2/1000))^0.5*1000)))</f>
        <v>12553.256706993909</v>
      </c>
      <c r="R2271" s="19">
        <f t="shared" ca="1" si="265"/>
        <v>12617.154952296158</v>
      </c>
      <c r="S2271" s="19">
        <f t="shared" ca="1" si="266"/>
        <v>14236.984753813651</v>
      </c>
    </row>
    <row r="2272" spans="13:19">
      <c r="M2272" s="81">
        <f t="shared" ca="1" si="263"/>
        <v>26870.484166832401</v>
      </c>
      <c r="N2272" s="19">
        <f t="shared" si="264"/>
        <v>427.32114157912292</v>
      </c>
      <c r="O2272" s="17">
        <f t="shared" si="262"/>
        <v>567.75</v>
      </c>
      <c r="P2272" s="19">
        <f ca="1">IF(ISERROR(IF(O2272&lt;fi_h/20,0,(OFFSET('Base de dados'!$A$5,IF(O2272&lt;20,1,IF(O2272&gt;1000,10,MATCH(O2272,Cargas,1))),Coluna_fih,1,1))*(1+0.13*0.25)*(PI()*(fi_h/1000)^2/4)*SQRT(2*9.81*(O2272/100-fi_h/2/1000))*1000)),"",IF(O2272&lt;fi_h/20,0,(OFFSET('Base de dados'!$A$5,IF(O2272&lt;20,1,IF(O2272&gt;1000,10,MATCH(O2272,Cargas,1))),Coluna_fih,1,1))*(PI()*(fi_h/1000)^2/4)*SQRT(2*9.81*(O2272/100-fi_h/2/1000))*1000))</f>
        <v>63.912459505740536</v>
      </c>
      <c r="Q2272" s="19">
        <f ca="1">IF(O2272="","",IF(Tipo_Vertedor="Retangular",IF(O2272&lt;=cota_s*100,0,IF(Tipo_Vertedor="Retangular",Cd_sr*Lef_sr*((O2272/100-cota_s)^(3/2))*1000)),IF(O2272&lt;=cota_s*100+fi_s/20,0,(OFFSET('Base de dados'!$A$4,IF(O2272&lt;20,1,IF(O2272&gt;1000,10,MATCH(O2272,Cargas,1))),Coluna_fis,1,1))*(PI()*(fi_s/1000)^2/4)*(2*9.81*(O2272/100-cota_s-fi_s/2/1000))^0.5*1000)))</f>
        <v>12562.533654689232</v>
      </c>
      <c r="R2272" s="19">
        <f t="shared" ca="1" si="265"/>
        <v>12626.446114194972</v>
      </c>
      <c r="S2272" s="19">
        <f t="shared" ca="1" si="266"/>
        <v>14244.03805263743</v>
      </c>
    </row>
    <row r="2273" spans="13:19">
      <c r="M2273" s="81">
        <f t="shared" ca="1" si="263"/>
        <v>26886.831295428477</v>
      </c>
      <c r="N2273" s="19">
        <f t="shared" si="264"/>
        <v>427.53275215129759</v>
      </c>
      <c r="O2273" s="17">
        <f t="shared" si="262"/>
        <v>568</v>
      </c>
      <c r="P2273" s="19">
        <f ca="1">IF(ISERROR(IF(O2273&lt;fi_h/20,0,(OFFSET('Base de dados'!$A$5,IF(O2273&lt;20,1,IF(O2273&gt;1000,10,MATCH(O2273,Cargas,1))),Coluna_fih,1,1))*(1+0.13*0.25)*(PI()*(fi_h/1000)^2/4)*SQRT(2*9.81*(O2273/100-fi_h/2/1000))*1000)),"",IF(O2273&lt;fi_h/20,0,(OFFSET('Base de dados'!$A$5,IF(O2273&lt;20,1,IF(O2273&gt;1000,10,MATCH(O2273,Cargas,1))),Coluna_fih,1,1))*(PI()*(fi_h/1000)^2/4)*SQRT(2*9.81*(O2273/100-fi_h/2/1000))*1000))</f>
        <v>63.926670548680121</v>
      </c>
      <c r="Q2273" s="19">
        <f ca="1">IF(O2273="","",IF(Tipo_Vertedor="Retangular",IF(O2273&lt;=cota_s*100,0,IF(Tipo_Vertedor="Retangular",Cd_sr*Lef_sr*((O2273/100-cota_s)^(3/2))*1000)),IF(O2273&lt;=cota_s*100+fi_s/20,0,(OFFSET('Base de dados'!$A$4,IF(O2273&lt;20,1,IF(O2273&gt;1000,10,MATCH(O2273,Cargas,1))),Coluna_fis,1,1))*(PI()*(fi_s/1000)^2/4)*(2*9.81*(O2273/100-cota_s-fi_s/2/1000))^0.5*1000)))</f>
        <v>12571.812886503209</v>
      </c>
      <c r="R2273" s="19">
        <f t="shared" ca="1" si="265"/>
        <v>12635.739557051889</v>
      </c>
      <c r="S2273" s="19">
        <f t="shared" ca="1" si="266"/>
        <v>14251.091738376586</v>
      </c>
    </row>
    <row r="2274" spans="13:19">
      <c r="M2274" s="81">
        <f t="shared" ca="1" si="263"/>
        <v>26903.181091188948</v>
      </c>
      <c r="N2274" s="19">
        <f t="shared" si="264"/>
        <v>427.74437432646113</v>
      </c>
      <c r="O2274" s="17">
        <f t="shared" si="262"/>
        <v>568.25</v>
      </c>
      <c r="P2274" s="19">
        <f ca="1">IF(ISERROR(IF(O2274&lt;fi_h/20,0,(OFFSET('Base de dados'!$A$5,IF(O2274&lt;20,1,IF(O2274&gt;1000,10,MATCH(O2274,Cargas,1))),Coluna_fih,1,1))*(1+0.13*0.25)*(PI()*(fi_h/1000)^2/4)*SQRT(2*9.81*(O2274/100-fi_h/2/1000))*1000)),"",IF(O2274&lt;fi_h/20,0,(OFFSET('Base de dados'!$A$5,IF(O2274&lt;20,1,IF(O2274&gt;1000,10,MATCH(O2274,Cargas,1))),Coluna_fih,1,1))*(PI()*(fi_h/1000)^2/4)*SQRT(2*9.81*(O2274/100-fi_h/2/1000))*1000))</f>
        <v>63.940878433174881</v>
      </c>
      <c r="Q2274" s="19">
        <f ca="1">IF(O2274="","",IF(Tipo_Vertedor="Retangular",IF(O2274&lt;=cota_s*100,0,IF(Tipo_Vertedor="Retangular",Cd_sr*Lef_sr*((O2274/100-cota_s)^(3/2))*1000)),IF(O2274&lt;=cota_s*100+fi_s/20,0,(OFFSET('Base de dados'!$A$4,IF(O2274&lt;20,1,IF(O2274&gt;1000,10,MATCH(O2274,Cargas,1))),Coluna_fis,1,1))*(PI()*(fi_s/1000)^2/4)*(2*9.81*(O2274/100-cota_s-fi_s/2/1000))^0.5*1000)))</f>
        <v>12581.094401873737</v>
      </c>
      <c r="R2274" s="19">
        <f t="shared" ca="1" si="265"/>
        <v>12645.035280306913</v>
      </c>
      <c r="S2274" s="19">
        <f t="shared" ca="1" si="266"/>
        <v>14258.145810882037</v>
      </c>
    </row>
    <row r="2275" spans="13:19">
      <c r="M2275" s="81">
        <f t="shared" ca="1" si="263"/>
        <v>26919.533553405272</v>
      </c>
      <c r="N2275" s="19">
        <f t="shared" si="264"/>
        <v>427.9560081001448</v>
      </c>
      <c r="O2275" s="17">
        <f t="shared" si="262"/>
        <v>568.5</v>
      </c>
      <c r="P2275" s="19">
        <f ca="1">IF(ISERROR(IF(O2275&lt;fi_h/20,0,(OFFSET('Base de dados'!$A$5,IF(O2275&lt;20,1,IF(O2275&gt;1000,10,MATCH(O2275,Cargas,1))),Coluna_fih,1,1))*(1+0.13*0.25)*(PI()*(fi_h/1000)^2/4)*SQRT(2*9.81*(O2275/100-fi_h/2/1000))*1000)),"",IF(O2275&lt;fi_h/20,0,(OFFSET('Base de dados'!$A$5,IF(O2275&lt;20,1,IF(O2275&gt;1000,10,MATCH(O2275,Cargas,1))),Coluna_fih,1,1))*(PI()*(fi_h/1000)^2/4)*SQRT(2*9.81*(O2275/100-fi_h/2/1000))*1000))</f>
        <v>63.955083161329796</v>
      </c>
      <c r="Q2275" s="19">
        <f ca="1">IF(O2275="","",IF(Tipo_Vertedor="Retangular",IF(O2275&lt;=cota_s*100,0,IF(Tipo_Vertedor="Retangular",Cd_sr*Lef_sr*((O2275/100-cota_s)^(3/2))*1000)),IF(O2275&lt;=cota_s*100+fi_s/20,0,(OFFSET('Base de dados'!$A$4,IF(O2275&lt;20,1,IF(O2275&gt;1000,10,MATCH(O2275,Cargas,1))),Coluna_fis,1,1))*(PI()*(fi_s/1000)^2/4)*(2*9.81*(O2275/100-cota_s-fi_s/2/1000))^0.5*1000)))</f>
        <v>12590.378200239116</v>
      </c>
      <c r="R2275" s="19">
        <f t="shared" ca="1" si="265"/>
        <v>12654.333283400447</v>
      </c>
      <c r="S2275" s="19">
        <f t="shared" ca="1" si="266"/>
        <v>14265.200270004827</v>
      </c>
    </row>
    <row r="2276" spans="13:19">
      <c r="M2276" s="81">
        <f t="shared" ca="1" si="263"/>
        <v>26935.888681369448</v>
      </c>
      <c r="N2276" s="19">
        <f t="shared" si="264"/>
        <v>428.1676534678831</v>
      </c>
      <c r="O2276" s="17">
        <f t="shared" si="262"/>
        <v>568.75</v>
      </c>
      <c r="P2276" s="19">
        <f ca="1">IF(ISERROR(IF(O2276&lt;fi_h/20,0,(OFFSET('Base de dados'!$A$5,IF(O2276&lt;20,1,IF(O2276&gt;1000,10,MATCH(O2276,Cargas,1))),Coluna_fih,1,1))*(1+0.13*0.25)*(PI()*(fi_h/1000)^2/4)*SQRT(2*9.81*(O2276/100-fi_h/2/1000))*1000)),"",IF(O2276&lt;fi_h/20,0,(OFFSET('Base de dados'!$A$5,IF(O2276&lt;20,1,IF(O2276&gt;1000,10,MATCH(O2276,Cargas,1))),Coluna_fih,1,1))*(PI()*(fi_h/1000)^2/4)*SQRT(2*9.81*(O2276/100-fi_h/2/1000))*1000))</f>
        <v>63.969284735247534</v>
      </c>
      <c r="Q2276" s="19">
        <f ca="1">IF(O2276="","",IF(Tipo_Vertedor="Retangular",IF(O2276&lt;=cota_s*100,0,IF(Tipo_Vertedor="Retangular",Cd_sr*Lef_sr*((O2276/100-cota_s)^(3/2))*1000)),IF(O2276&lt;=cota_s*100+fi_s/20,0,(OFFSET('Base de dados'!$A$4,IF(O2276&lt;20,1,IF(O2276&gt;1000,10,MATCH(O2276,Cargas,1))),Coluna_fis,1,1))*(PI()*(fi_s/1000)^2/4)*(2*9.81*(O2276/100-cota_s-fi_s/2/1000))^0.5*1000)))</f>
        <v>12599.664281038094</v>
      </c>
      <c r="R2276" s="19">
        <f t="shared" ca="1" si="265"/>
        <v>12663.633565773342</v>
      </c>
      <c r="S2276" s="19">
        <f t="shared" ca="1" si="266"/>
        <v>14272.255115596105</v>
      </c>
    </row>
    <row r="2277" spans="13:19">
      <c r="M2277" s="81">
        <f t="shared" ca="1" si="263"/>
        <v>26952.246474373973</v>
      </c>
      <c r="N2277" s="19">
        <f t="shared" si="264"/>
        <v>428.37931042521467</v>
      </c>
      <c r="O2277" s="17">
        <f t="shared" si="262"/>
        <v>569</v>
      </c>
      <c r="P2277" s="19">
        <f ca="1">IF(ISERROR(IF(O2277&lt;fi_h/20,0,(OFFSET('Base de dados'!$A$5,IF(O2277&lt;20,1,IF(O2277&gt;1000,10,MATCH(O2277,Cargas,1))),Coluna_fih,1,1))*(1+0.13*0.25)*(PI()*(fi_h/1000)^2/4)*SQRT(2*9.81*(O2277/100-fi_h/2/1000))*1000)),"",IF(O2277&lt;fi_h/20,0,(OFFSET('Base de dados'!$A$5,IF(O2277&lt;20,1,IF(O2277&gt;1000,10,MATCH(O2277,Cargas,1))),Coluna_fih,1,1))*(PI()*(fi_h/1000)^2/4)*SQRT(2*9.81*(O2277/100-fi_h/2/1000))*1000))</f>
        <v>63.983483157028381</v>
      </c>
      <c r="Q2277" s="19">
        <f ca="1">IF(O2277="","",IF(Tipo_Vertedor="Retangular",IF(O2277&lt;=cota_s*100,0,IF(Tipo_Vertedor="Retangular",Cd_sr*Lef_sr*((O2277/100-cota_s)^(3/2))*1000)),IF(O2277&lt;=cota_s*100+fi_s/20,0,(OFFSET('Base de dados'!$A$4,IF(O2277&lt;20,1,IF(O2277&gt;1000,10,MATCH(O2277,Cargas,1))),Coluna_fis,1,1))*(PI()*(fi_s/1000)^2/4)*(2*9.81*(O2277/100-cota_s-fi_s/2/1000))^0.5*1000)))</f>
        <v>12608.95264370979</v>
      </c>
      <c r="R2277" s="19">
        <f t="shared" ca="1" si="265"/>
        <v>12672.936126866818</v>
      </c>
      <c r="S2277" s="19">
        <f t="shared" ca="1" si="266"/>
        <v>14279.310347507155</v>
      </c>
    </row>
    <row r="2278" spans="13:19">
      <c r="M2278" s="81">
        <f t="shared" ca="1" si="263"/>
        <v>26968.606931711904</v>
      </c>
      <c r="N2278" s="19">
        <f t="shared" si="264"/>
        <v>428.59097896768145</v>
      </c>
      <c r="O2278" s="17">
        <f t="shared" si="262"/>
        <v>569.25</v>
      </c>
      <c r="P2278" s="19">
        <f ca="1">IF(ISERROR(IF(O2278&lt;fi_h/20,0,(OFFSET('Base de dados'!$A$5,IF(O2278&lt;20,1,IF(O2278&gt;1000,10,MATCH(O2278,Cargas,1))),Coluna_fih,1,1))*(1+0.13*0.25)*(PI()*(fi_h/1000)^2/4)*SQRT(2*9.81*(O2278/100-fi_h/2/1000))*1000)),"",IF(O2278&lt;fi_h/20,0,(OFFSET('Base de dados'!$A$5,IF(O2278&lt;20,1,IF(O2278&gt;1000,10,MATCH(O2278,Cargas,1))),Coluna_fih,1,1))*(PI()*(fi_h/1000)^2/4)*SQRT(2*9.81*(O2278/100-fi_h/2/1000))*1000))</f>
        <v>63.997678428770342</v>
      </c>
      <c r="Q2278" s="19">
        <f ca="1">IF(O2278="","",IF(Tipo_Vertedor="Retangular",IF(O2278&lt;=cota_s*100,0,IF(Tipo_Vertedor="Retangular",Cd_sr*Lef_sr*((O2278/100-cota_s)^(3/2))*1000)),IF(O2278&lt;=cota_s*100+fi_s/20,0,(OFFSET('Base de dados'!$A$4,IF(O2278&lt;20,1,IF(O2278&gt;1000,10,MATCH(O2278,Cargas,1))),Coluna_fis,1,1))*(PI()*(fi_s/1000)^2/4)*(2*9.81*(O2278/100-cota_s-fi_s/2/1000))^0.5*1000)))</f>
        <v>12618.243287693751</v>
      </c>
      <c r="R2278" s="19">
        <f t="shared" ca="1" si="265"/>
        <v>12682.240966122521</v>
      </c>
      <c r="S2278" s="19">
        <f t="shared" ca="1" si="266"/>
        <v>14286.365965589383</v>
      </c>
    </row>
    <row r="2279" spans="13:19">
      <c r="M2279" s="81">
        <f t="shared" ca="1" si="263"/>
        <v>26984.970052676828</v>
      </c>
      <c r="N2279" s="19">
        <f t="shared" si="264"/>
        <v>428.80265909082948</v>
      </c>
      <c r="O2279" s="17">
        <f t="shared" si="262"/>
        <v>569.5</v>
      </c>
      <c r="P2279" s="19">
        <f ca="1">IF(ISERROR(IF(O2279&lt;fi_h/20,0,(OFFSET('Base de dados'!$A$5,IF(O2279&lt;20,1,IF(O2279&gt;1000,10,MATCH(O2279,Cargas,1))),Coluna_fih,1,1))*(1+0.13*0.25)*(PI()*(fi_h/1000)^2/4)*SQRT(2*9.81*(O2279/100-fi_h/2/1000))*1000)),"",IF(O2279&lt;fi_h/20,0,(OFFSET('Base de dados'!$A$5,IF(O2279&lt;20,1,IF(O2279&gt;1000,10,MATCH(O2279,Cargas,1))),Coluna_fih,1,1))*(PI()*(fi_h/1000)^2/4)*SQRT(2*9.81*(O2279/100-fi_h/2/1000))*1000))</f>
        <v>64.011870552569079</v>
      </c>
      <c r="Q2279" s="19">
        <f ca="1">IF(O2279="","",IF(Tipo_Vertedor="Retangular",IF(O2279&lt;=cota_s*100,0,IF(Tipo_Vertedor="Retangular",Cd_sr*Lef_sr*((O2279/100-cota_s)^(3/2))*1000)),IF(O2279&lt;=cota_s*100+fi_s/20,0,(OFFSET('Base de dados'!$A$4,IF(O2279&lt;20,1,IF(O2279&gt;1000,10,MATCH(O2279,Cargas,1))),Coluna_fis,1,1))*(PI()*(fi_s/1000)^2/4)*(2*9.81*(O2279/100-cota_s-fi_s/2/1000))^0.5*1000)))</f>
        <v>12627.536212429941</v>
      </c>
      <c r="R2279" s="19">
        <f t="shared" ca="1" si="265"/>
        <v>12691.54808298251</v>
      </c>
      <c r="S2279" s="19">
        <f t="shared" ca="1" si="266"/>
        <v>14293.421969694316</v>
      </c>
    </row>
    <row r="2280" spans="13:19">
      <c r="M2280" s="81">
        <f t="shared" ca="1" si="263"/>
        <v>27001.335836562866</v>
      </c>
      <c r="N2280" s="19">
        <f t="shared" si="264"/>
        <v>429.01435079020803</v>
      </c>
      <c r="O2280" s="17">
        <f t="shared" si="262"/>
        <v>569.75</v>
      </c>
      <c r="P2280" s="19">
        <f ca="1">IF(ISERROR(IF(O2280&lt;fi_h/20,0,(OFFSET('Base de dados'!$A$5,IF(O2280&lt;20,1,IF(O2280&gt;1000,10,MATCH(O2280,Cargas,1))),Coluna_fih,1,1))*(1+0.13*0.25)*(PI()*(fi_h/1000)^2/4)*SQRT(2*9.81*(O2280/100-fi_h/2/1000))*1000)),"",IF(O2280&lt;fi_h/20,0,(OFFSET('Base de dados'!$A$5,IF(O2280&lt;20,1,IF(O2280&gt;1000,10,MATCH(O2280,Cargas,1))),Coluna_fih,1,1))*(PI()*(fi_h/1000)^2/4)*SQRT(2*9.81*(O2280/100-fi_h/2/1000))*1000))</f>
        <v>64.026059530517884</v>
      </c>
      <c r="Q2280" s="19">
        <f ca="1">IF(O2280="","",IF(Tipo_Vertedor="Retangular",IF(O2280&lt;=cota_s*100,0,IF(Tipo_Vertedor="Retangular",Cd_sr*Lef_sr*((O2280/100-cota_s)^(3/2))*1000)),IF(O2280&lt;=cota_s*100+fi_s/20,0,(OFFSET('Base de dados'!$A$4,IF(O2280&lt;20,1,IF(O2280&gt;1000,10,MATCH(O2280,Cargas,1))),Coluna_fis,1,1))*(PI()*(fi_s/1000)^2/4)*(2*9.81*(O2280/100-cota_s-fi_s/2/1000))^0.5*1000)))</f>
        <v>12636.831417358746</v>
      </c>
      <c r="R2280" s="19">
        <f t="shared" ca="1" si="265"/>
        <v>12700.857476889263</v>
      </c>
      <c r="S2280" s="19">
        <f t="shared" ca="1" si="266"/>
        <v>14300.478359673602</v>
      </c>
    </row>
    <row r="2281" spans="13:19">
      <c r="M2281" s="81">
        <f t="shared" ca="1" si="263"/>
        <v>27017.704282664658</v>
      </c>
      <c r="N2281" s="19">
        <f t="shared" si="264"/>
        <v>429.22605406137046</v>
      </c>
      <c r="O2281" s="17">
        <f t="shared" si="262"/>
        <v>570</v>
      </c>
      <c r="P2281" s="19">
        <f ca="1">IF(ISERROR(IF(O2281&lt;fi_h/20,0,(OFFSET('Base de dados'!$A$5,IF(O2281&lt;20,1,IF(O2281&gt;1000,10,MATCH(O2281,Cargas,1))),Coluna_fih,1,1))*(1+0.13*0.25)*(PI()*(fi_h/1000)^2/4)*SQRT(2*9.81*(O2281/100-fi_h/2/1000))*1000)),"",IF(O2281&lt;fi_h/20,0,(OFFSET('Base de dados'!$A$5,IF(O2281&lt;20,1,IF(O2281&gt;1000,10,MATCH(O2281,Cargas,1))),Coluna_fih,1,1))*(PI()*(fi_h/1000)^2/4)*SQRT(2*9.81*(O2281/100-fi_h/2/1000))*1000))</f>
        <v>64.040245364707843</v>
      </c>
      <c r="Q2281" s="19">
        <f ca="1">IF(O2281="","",IF(Tipo_Vertedor="Retangular",IF(O2281&lt;=cota_s*100,0,IF(Tipo_Vertedor="Retangular",Cd_sr*Lef_sr*((O2281/100-cota_s)^(3/2))*1000)),IF(O2281&lt;=cota_s*100+fi_s/20,0,(OFFSET('Base de dados'!$A$4,IF(O2281&lt;20,1,IF(O2281&gt;1000,10,MATCH(O2281,Cargas,1))),Coluna_fis,1,1))*(PI()*(fi_s/1000)^2/4)*(2*9.81*(O2281/100-cota_s-fi_s/2/1000))^0.5*1000)))</f>
        <v>12646.128901920938</v>
      </c>
      <c r="R2281" s="19">
        <f t="shared" ca="1" si="265"/>
        <v>12710.169147285646</v>
      </c>
      <c r="S2281" s="19">
        <f t="shared" ca="1" si="266"/>
        <v>14307.535135379014</v>
      </c>
    </row>
    <row r="2282" spans="13:19">
      <c r="M2282" s="81">
        <f t="shared" ca="1" si="263"/>
        <v>27034.075390277383</v>
      </c>
      <c r="N2282" s="19">
        <f t="shared" si="264"/>
        <v>429.43776889987311</v>
      </c>
      <c r="O2282" s="17">
        <f t="shared" si="262"/>
        <v>570.25</v>
      </c>
      <c r="P2282" s="19">
        <f ca="1">IF(ISERROR(IF(O2282&lt;fi_h/20,0,(OFFSET('Base de dados'!$A$5,IF(O2282&lt;20,1,IF(O2282&gt;1000,10,MATCH(O2282,Cargas,1))),Coluna_fih,1,1))*(1+0.13*0.25)*(PI()*(fi_h/1000)^2/4)*SQRT(2*9.81*(O2282/100-fi_h/2/1000))*1000)),"",IF(O2282&lt;fi_h/20,0,(OFFSET('Base de dados'!$A$5,IF(O2282&lt;20,1,IF(O2282&gt;1000,10,MATCH(O2282,Cargas,1))),Coluna_fih,1,1))*(PI()*(fi_h/1000)^2/4)*SQRT(2*9.81*(O2282/100-fi_h/2/1000))*1000))</f>
        <v>64.054428057227597</v>
      </c>
      <c r="Q2282" s="19">
        <f ca="1">IF(O2282="","",IF(Tipo_Vertedor="Retangular",IF(O2282&lt;=cota_s*100,0,IF(Tipo_Vertedor="Retangular",Cd_sr*Lef_sr*((O2282/100-cota_s)^(3/2))*1000)),IF(O2282&lt;=cota_s*100+fi_s/20,0,(OFFSET('Base de dados'!$A$4,IF(O2282&lt;20,1,IF(O2282&gt;1000,10,MATCH(O2282,Cargas,1))),Coluna_fis,1,1))*(PI()*(fi_s/1000)^2/4)*(2*9.81*(O2282/100-cota_s-fi_s/2/1000))^0.5*1000)))</f>
        <v>12655.428665557718</v>
      </c>
      <c r="R2282" s="19">
        <f t="shared" ca="1" si="265"/>
        <v>12719.483093614945</v>
      </c>
      <c r="S2282" s="19">
        <f t="shared" ca="1" si="266"/>
        <v>14314.592296662438</v>
      </c>
    </row>
    <row r="2283" spans="13:19">
      <c r="M2283" s="81">
        <f t="shared" ca="1" si="263"/>
        <v>27050.449158696778</v>
      </c>
      <c r="N2283" s="19">
        <f t="shared" si="264"/>
        <v>429.64949530127717</v>
      </c>
      <c r="O2283" s="17">
        <f t="shared" si="262"/>
        <v>570.5</v>
      </c>
      <c r="P2283" s="19">
        <f ca="1">IF(ISERROR(IF(O2283&lt;fi_h/20,0,(OFFSET('Base de dados'!$A$5,IF(O2283&lt;20,1,IF(O2283&gt;1000,10,MATCH(O2283,Cargas,1))),Coluna_fih,1,1))*(1+0.13*0.25)*(PI()*(fi_h/1000)^2/4)*SQRT(2*9.81*(O2283/100-fi_h/2/1000))*1000)),"",IF(O2283&lt;fi_h/20,0,(OFFSET('Base de dados'!$A$5,IF(O2283&lt;20,1,IF(O2283&gt;1000,10,MATCH(O2283,Cargas,1))),Coluna_fih,1,1))*(PI()*(fi_h/1000)^2/4)*SQRT(2*9.81*(O2283/100-fi_h/2/1000))*1000))</f>
        <v>64.068607610163554</v>
      </c>
      <c r="Q2283" s="19">
        <f ca="1">IF(O2283="","",IF(Tipo_Vertedor="Retangular",IF(O2283&lt;=cota_s*100,0,IF(Tipo_Vertedor="Retangular",Cd_sr*Lef_sr*((O2283/100-cota_s)^(3/2))*1000)),IF(O2283&lt;=cota_s*100+fi_s/20,0,(OFFSET('Base de dados'!$A$4,IF(O2283&lt;20,1,IF(O2283&gt;1000,10,MATCH(O2283,Cargas,1))),Coluna_fis,1,1))*(PI()*(fi_s/1000)^2/4)*(2*9.81*(O2283/100-cota_s-fi_s/2/1000))^0.5*1000)))</f>
        <v>12664.730707710709</v>
      </c>
      <c r="R2283" s="19">
        <f t="shared" ca="1" si="265"/>
        <v>12728.799315320872</v>
      </c>
      <c r="S2283" s="19">
        <f t="shared" ca="1" si="266"/>
        <v>14321.649843375904</v>
      </c>
    </row>
    <row r="2284" spans="13:19">
      <c r="M2284" s="81">
        <f t="shared" ca="1" si="263"/>
        <v>27066.825587219042</v>
      </c>
      <c r="N2284" s="19">
        <f t="shared" si="264"/>
        <v>429.86123326114597</v>
      </c>
      <c r="O2284" s="17">
        <f t="shared" si="262"/>
        <v>570.75</v>
      </c>
      <c r="P2284" s="19">
        <f ca="1">IF(ISERROR(IF(O2284&lt;fi_h/20,0,(OFFSET('Base de dados'!$A$5,IF(O2284&lt;20,1,IF(O2284&gt;1000,10,MATCH(O2284,Cargas,1))),Coluna_fih,1,1))*(1+0.13*0.25)*(PI()*(fi_h/1000)^2/4)*SQRT(2*9.81*(O2284/100-fi_h/2/1000))*1000)),"",IF(O2284&lt;fi_h/20,0,(OFFSET('Base de dados'!$A$5,IF(O2284&lt;20,1,IF(O2284&gt;1000,10,MATCH(O2284,Cargas,1))),Coluna_fih,1,1))*(PI()*(fi_h/1000)^2/4)*SQRT(2*9.81*(O2284/100-fi_h/2/1000))*1000))</f>
        <v>64.082784025599807</v>
      </c>
      <c r="Q2284" s="19">
        <f ca="1">IF(O2284="","",IF(Tipo_Vertedor="Retangular",IF(O2284&lt;=cota_s*100,0,IF(Tipo_Vertedor="Retangular",Cd_sr*Lef_sr*((O2284/100-cota_s)^(3/2))*1000)),IF(O2284&lt;=cota_s*100+fi_s/20,0,(OFFSET('Base de dados'!$A$4,IF(O2284&lt;20,1,IF(O2284&gt;1000,10,MATCH(O2284,Cargas,1))),Coluna_fis,1,1))*(PI()*(fi_s/1000)^2/4)*(2*9.81*(O2284/100-cota_s-fi_s/2/1000))^0.5*1000)))</f>
        <v>12674.03502782191</v>
      </c>
      <c r="R2284" s="19">
        <f t="shared" ca="1" si="265"/>
        <v>12738.117811847511</v>
      </c>
      <c r="S2284" s="19">
        <f t="shared" ca="1" si="266"/>
        <v>14328.707775371531</v>
      </c>
    </row>
    <row r="2285" spans="13:19">
      <c r="M2285" s="81">
        <f t="shared" ca="1" si="263"/>
        <v>27083.204675140973</v>
      </c>
      <c r="N2285" s="19">
        <f t="shared" si="264"/>
        <v>430.07298277504776</v>
      </c>
      <c r="O2285" s="17">
        <f t="shared" si="262"/>
        <v>571</v>
      </c>
      <c r="P2285" s="19">
        <f ca="1">IF(ISERROR(IF(O2285&lt;fi_h/20,0,(OFFSET('Base de dados'!$A$5,IF(O2285&lt;20,1,IF(O2285&gt;1000,10,MATCH(O2285,Cargas,1))),Coluna_fih,1,1))*(1+0.13*0.25)*(PI()*(fi_h/1000)^2/4)*SQRT(2*9.81*(O2285/100-fi_h/2/1000))*1000)),"",IF(O2285&lt;fi_h/20,0,(OFFSET('Base de dados'!$A$5,IF(O2285&lt;20,1,IF(O2285&gt;1000,10,MATCH(O2285,Cargas,1))),Coluna_fih,1,1))*(PI()*(fi_h/1000)^2/4)*SQRT(2*9.81*(O2285/100-fi_h/2/1000))*1000))</f>
        <v>64.096957305618105</v>
      </c>
      <c r="Q2285" s="19">
        <f ca="1">IF(O2285="","",IF(Tipo_Vertedor="Retangular",IF(O2285&lt;=cota_s*100,0,IF(Tipo_Vertedor="Retangular",Cd_sr*Lef_sr*((O2285/100-cota_s)^(3/2))*1000)),IF(O2285&lt;=cota_s*100+fi_s/20,0,(OFFSET('Base de dados'!$A$4,IF(O2285&lt;20,1,IF(O2285&gt;1000,10,MATCH(O2285,Cargas,1))),Coluna_fis,1,1))*(PI()*(fi_s/1000)^2/4)*(2*9.81*(O2285/100-cota_s-fi_s/2/1000))^0.5*1000)))</f>
        <v>12683.341625333762</v>
      </c>
      <c r="R2285" s="19">
        <f t="shared" ca="1" si="265"/>
        <v>12747.438582639379</v>
      </c>
      <c r="S2285" s="19">
        <f t="shared" ca="1" si="266"/>
        <v>14335.766092501592</v>
      </c>
    </row>
    <row r="2286" spans="13:19">
      <c r="M2286" s="81">
        <f t="shared" ca="1" si="263"/>
        <v>27099.586421759857</v>
      </c>
      <c r="N2286" s="19">
        <f t="shared" si="264"/>
        <v>430.28474383855371</v>
      </c>
      <c r="O2286" s="17">
        <f t="shared" si="262"/>
        <v>571.25</v>
      </c>
      <c r="P2286" s="19">
        <f ca="1">IF(ISERROR(IF(O2286&lt;fi_h/20,0,(OFFSET('Base de dados'!$A$5,IF(O2286&lt;20,1,IF(O2286&gt;1000,10,MATCH(O2286,Cargas,1))),Coluna_fih,1,1))*(1+0.13*0.25)*(PI()*(fi_h/1000)^2/4)*SQRT(2*9.81*(O2286/100-fi_h/2/1000))*1000)),"",IF(O2286&lt;fi_h/20,0,(OFFSET('Base de dados'!$A$5,IF(O2286&lt;20,1,IF(O2286&gt;1000,10,MATCH(O2286,Cargas,1))),Coluna_fih,1,1))*(PI()*(fi_h/1000)^2/4)*SQRT(2*9.81*(O2286/100-fi_h/2/1000))*1000))</f>
        <v>64.111127452297964</v>
      </c>
      <c r="Q2286" s="19">
        <f ca="1">IF(O2286="","",IF(Tipo_Vertedor="Retangular",IF(O2286&lt;=cota_s*100,0,IF(Tipo_Vertedor="Retangular",Cd_sr*Lef_sr*((O2286/100-cota_s)^(3/2))*1000)),IF(O2286&lt;=cota_s*100+fi_s/20,0,(OFFSET('Base de dados'!$A$4,IF(O2286&lt;20,1,IF(O2286&gt;1000,10,MATCH(O2286,Cargas,1))),Coluna_fis,1,1))*(PI()*(fi_s/1000)^2/4)*(2*9.81*(O2286/100-cota_s-fi_s/2/1000))^0.5*1000)))</f>
        <v>12692.6504996891</v>
      </c>
      <c r="R2286" s="19">
        <f t="shared" ca="1" si="265"/>
        <v>12756.761627141397</v>
      </c>
      <c r="S2286" s="19">
        <f t="shared" ca="1" si="266"/>
        <v>14342.824794618458</v>
      </c>
    </row>
    <row r="2287" spans="13:19">
      <c r="M2287" s="81">
        <f t="shared" ca="1" si="263"/>
        <v>27115.970826373508</v>
      </c>
      <c r="N2287" s="19">
        <f t="shared" si="264"/>
        <v>430.49651644723883</v>
      </c>
      <c r="O2287" s="17">
        <f t="shared" si="262"/>
        <v>571.5</v>
      </c>
      <c r="P2287" s="19">
        <f ca="1">IF(ISERROR(IF(O2287&lt;fi_h/20,0,(OFFSET('Base de dados'!$A$5,IF(O2287&lt;20,1,IF(O2287&gt;1000,10,MATCH(O2287,Cargas,1))),Coluna_fih,1,1))*(1+0.13*0.25)*(PI()*(fi_h/1000)^2/4)*SQRT(2*9.81*(O2287/100-fi_h/2/1000))*1000)),"",IF(O2287&lt;fi_h/20,0,(OFFSET('Base de dados'!$A$5,IF(O2287&lt;20,1,IF(O2287&gt;1000,10,MATCH(O2287,Cargas,1))),Coluna_fih,1,1))*(PI()*(fi_h/1000)^2/4)*SQRT(2*9.81*(O2287/100-fi_h/2/1000))*1000))</f>
        <v>64.125294467716515</v>
      </c>
      <c r="Q2287" s="19">
        <f ca="1">IF(O2287="","",IF(Tipo_Vertedor="Retangular",IF(O2287&lt;=cota_s*100,0,IF(Tipo_Vertedor="Retangular",Cd_sr*Lef_sr*((O2287/100-cota_s)^(3/2))*1000)),IF(O2287&lt;=cota_s*100+fi_s/20,0,(OFFSET('Base de dados'!$A$4,IF(O2287&lt;20,1,IF(O2287&gt;1000,10,MATCH(O2287,Cargas,1))),Coluna_fis,1,1))*(PI()*(fi_s/1000)^2/4)*(2*9.81*(O2287/100-cota_s-fi_s/2/1000))^0.5*1000)))</f>
        <v>12701.961650331161</v>
      </c>
      <c r="R2287" s="19">
        <f t="shared" ca="1" si="265"/>
        <v>12766.086944798877</v>
      </c>
      <c r="S2287" s="19">
        <f t="shared" ca="1" si="266"/>
        <v>14349.883881574629</v>
      </c>
    </row>
    <row r="2288" spans="13:19">
      <c r="M2288" s="81">
        <f t="shared" ca="1" si="263"/>
        <v>27132.35788828029</v>
      </c>
      <c r="N2288" s="19">
        <f t="shared" si="264"/>
        <v>430.7083005966818</v>
      </c>
      <c r="O2288" s="17">
        <f t="shared" si="262"/>
        <v>571.75</v>
      </c>
      <c r="P2288" s="19">
        <f ca="1">IF(ISERROR(IF(O2288&lt;fi_h/20,0,(OFFSET('Base de dados'!$A$5,IF(O2288&lt;20,1,IF(O2288&gt;1000,10,MATCH(O2288,Cargas,1))),Coluna_fih,1,1))*(1+0.13*0.25)*(PI()*(fi_h/1000)^2/4)*SQRT(2*9.81*(O2288/100-fi_h/2/1000))*1000)),"",IF(O2288&lt;fi_h/20,0,(OFFSET('Base de dados'!$A$5,IF(O2288&lt;20,1,IF(O2288&gt;1000,10,MATCH(O2288,Cargas,1))),Coluna_fih,1,1))*(PI()*(fi_h/1000)^2/4)*SQRT(2*9.81*(O2288/100-fi_h/2/1000))*1000))</f>
        <v>64.139458353948683</v>
      </c>
      <c r="Q2288" s="19">
        <f ca="1">IF(O2288="","",IF(Tipo_Vertedor="Retangular",IF(O2288&lt;=cota_s*100,0,IF(Tipo_Vertedor="Retangular",Cd_sr*Lef_sr*((O2288/100-cota_s)^(3/2))*1000)),IF(O2288&lt;=cota_s*100+fi_s/20,0,(OFFSET('Base de dados'!$A$4,IF(O2288&lt;20,1,IF(O2288&gt;1000,10,MATCH(O2288,Cargas,1))),Coluna_fis,1,1))*(PI()*(fi_s/1000)^2/4)*(2*9.81*(O2288/100-cota_s-fi_s/2/1000))^0.5*1000)))</f>
        <v>12711.275076703614</v>
      </c>
      <c r="R2288" s="19">
        <f t="shared" ca="1" si="265"/>
        <v>12775.414535057564</v>
      </c>
      <c r="S2288" s="19">
        <f t="shared" ca="1" si="266"/>
        <v>14356.943353222725</v>
      </c>
    </row>
    <row r="2289" spans="13:19">
      <c r="M2289" s="81">
        <f t="shared" ca="1" si="263"/>
        <v>27148.74760677907</v>
      </c>
      <c r="N2289" s="19">
        <f t="shared" si="264"/>
        <v>430.92009628246473</v>
      </c>
      <c r="O2289" s="17">
        <f t="shared" si="262"/>
        <v>572</v>
      </c>
      <c r="P2289" s="19">
        <f ca="1">IF(ISERROR(IF(O2289&lt;fi_h/20,0,(OFFSET('Base de dados'!$A$5,IF(O2289&lt;20,1,IF(O2289&gt;1000,10,MATCH(O2289,Cargas,1))),Coluna_fih,1,1))*(1+0.13*0.25)*(PI()*(fi_h/1000)^2/4)*SQRT(2*9.81*(O2289/100-fi_h/2/1000))*1000)),"",IF(O2289&lt;fi_h/20,0,(OFFSET('Base de dados'!$A$5,IF(O2289&lt;20,1,IF(O2289&gt;1000,10,MATCH(O2289,Cargas,1))),Coluna_fih,1,1))*(PI()*(fi_h/1000)^2/4)*SQRT(2*9.81*(O2289/100-fi_h/2/1000))*1000))</f>
        <v>64.153619113067023</v>
      </c>
      <c r="Q2289" s="19">
        <f ca="1">IF(O2289="","",IF(Tipo_Vertedor="Retangular",IF(O2289&lt;=cota_s*100,0,IF(Tipo_Vertedor="Retangular",Cd_sr*Lef_sr*((O2289/100-cota_s)^(3/2))*1000)),IF(O2289&lt;=cota_s*100+fi_s/20,0,(OFFSET('Base de dados'!$A$4,IF(O2289&lt;20,1,IF(O2289&gt;1000,10,MATCH(O2289,Cargas,1))),Coluna_fis,1,1))*(PI()*(fi_s/1000)^2/4)*(2*9.81*(O2289/100-cota_s-fi_s/2/1000))^0.5*1000)))</f>
        <v>12720.590778250511</v>
      </c>
      <c r="R2289" s="19">
        <f t="shared" ca="1" si="265"/>
        <v>12784.744397363578</v>
      </c>
      <c r="S2289" s="19">
        <f t="shared" ca="1" si="266"/>
        <v>14364.003209415492</v>
      </c>
    </row>
    <row r="2290" spans="13:19">
      <c r="M2290" s="81">
        <f t="shared" ca="1" si="263"/>
        <v>27165.139981169279</v>
      </c>
      <c r="N2290" s="19">
        <f t="shared" si="264"/>
        <v>431.13190350017396</v>
      </c>
      <c r="O2290" s="17">
        <f t="shared" si="262"/>
        <v>572.25</v>
      </c>
      <c r="P2290" s="19">
        <f ca="1">IF(ISERROR(IF(O2290&lt;fi_h/20,0,(OFFSET('Base de dados'!$A$5,IF(O2290&lt;20,1,IF(O2290&gt;1000,10,MATCH(O2290,Cargas,1))),Coluna_fih,1,1))*(1+0.13*0.25)*(PI()*(fi_h/1000)^2/4)*SQRT(2*9.81*(O2290/100-fi_h/2/1000))*1000)),"",IF(O2290&lt;fi_h/20,0,(OFFSET('Base de dados'!$A$5,IF(O2290&lt;20,1,IF(O2290&gt;1000,10,MATCH(O2290,Cargas,1))),Coluna_fih,1,1))*(PI()*(fi_h/1000)^2/4)*SQRT(2*9.81*(O2290/100-fi_h/2/1000))*1000))</f>
        <v>64.167776747141886</v>
      </c>
      <c r="Q2290" s="19">
        <f ca="1">IF(O2290="","",IF(Tipo_Vertedor="Retangular",IF(O2290&lt;=cota_s*100,0,IF(Tipo_Vertedor="Retangular",Cd_sr*Lef_sr*((O2290/100-cota_s)^(3/2))*1000)),IF(O2290&lt;=cota_s*100+fi_s/20,0,(OFFSET('Base de dados'!$A$4,IF(O2290&lt;20,1,IF(O2290&gt;1000,10,MATCH(O2290,Cargas,1))),Coluna_fis,1,1))*(PI()*(fi_s/1000)^2/4)*(2*9.81*(O2290/100-cota_s-fi_s/2/1000))^0.5*1000)))</f>
        <v>12729.908754416339</v>
      </c>
      <c r="R2290" s="19">
        <f t="shared" ca="1" si="265"/>
        <v>12794.07653116348</v>
      </c>
      <c r="S2290" s="19">
        <f t="shared" ca="1" si="266"/>
        <v>14371.063450005799</v>
      </c>
    </row>
    <row r="2291" spans="13:19">
      <c r="M2291" s="81">
        <f t="shared" ca="1" si="263"/>
        <v>27181.535010750806</v>
      </c>
      <c r="N2291" s="19">
        <f t="shared" si="264"/>
        <v>431.34372224539845</v>
      </c>
      <c r="O2291" s="17">
        <f t="shared" si="262"/>
        <v>572.5</v>
      </c>
      <c r="P2291" s="19">
        <f ca="1">IF(ISERROR(IF(O2291&lt;fi_h/20,0,(OFFSET('Base de dados'!$A$5,IF(O2291&lt;20,1,IF(O2291&gt;1000,10,MATCH(O2291,Cargas,1))),Coluna_fih,1,1))*(1+0.13*0.25)*(PI()*(fi_h/1000)^2/4)*SQRT(2*9.81*(O2291/100-fi_h/2/1000))*1000)),"",IF(O2291&lt;fi_h/20,0,(OFFSET('Base de dados'!$A$5,IF(O2291&lt;20,1,IF(O2291&gt;1000,10,MATCH(O2291,Cargas,1))),Coluna_fih,1,1))*(PI()*(fi_h/1000)^2/4)*SQRT(2*9.81*(O2291/100-fi_h/2/1000))*1000))</f>
        <v>64.181931258241249</v>
      </c>
      <c r="Q2291" s="19">
        <f ca="1">IF(O2291="","",IF(Tipo_Vertedor="Retangular",IF(O2291&lt;=cota_s*100,0,IF(Tipo_Vertedor="Retangular",Cd_sr*Lef_sr*((O2291/100-cota_s)^(3/2))*1000)),IF(O2291&lt;=cota_s*100+fi_s/20,0,(OFFSET('Base de dados'!$A$4,IF(O2291&lt;20,1,IF(O2291&gt;1000,10,MATCH(O2291,Cargas,1))),Coluna_fis,1,1))*(PI()*(fi_s/1000)^2/4)*(2*9.81*(O2291/100-cota_s-fi_s/2/1000))^0.5*1000)))</f>
        <v>12739.229004645947</v>
      </c>
      <c r="R2291" s="19">
        <f t="shared" ca="1" si="265"/>
        <v>12803.410935904189</v>
      </c>
      <c r="S2291" s="19">
        <f t="shared" ca="1" si="266"/>
        <v>14378.124074846615</v>
      </c>
    </row>
    <row r="2292" spans="13:19">
      <c r="M2292" s="81">
        <f t="shared" ca="1" si="263"/>
        <v>27197.932694824129</v>
      </c>
      <c r="N2292" s="19">
        <f t="shared" si="264"/>
        <v>431.55555251373175</v>
      </c>
      <c r="O2292" s="17">
        <f t="shared" si="262"/>
        <v>572.75</v>
      </c>
      <c r="P2292" s="19">
        <f ca="1">IF(ISERROR(IF(O2292&lt;fi_h/20,0,(OFFSET('Base de dados'!$A$5,IF(O2292&lt;20,1,IF(O2292&gt;1000,10,MATCH(O2292,Cargas,1))),Coluna_fih,1,1))*(1+0.13*0.25)*(PI()*(fi_h/1000)^2/4)*SQRT(2*9.81*(O2292/100-fi_h/2/1000))*1000)),"",IF(O2292&lt;fi_h/20,0,(OFFSET('Base de dados'!$A$5,IF(O2292&lt;20,1,IF(O2292&gt;1000,10,MATCH(O2292,Cargas,1))),Coluna_fih,1,1))*(PI()*(fi_h/1000)^2/4)*SQRT(2*9.81*(O2292/100-fi_h/2/1000))*1000))</f>
        <v>64.19608264843086</v>
      </c>
      <c r="Q2292" s="19">
        <f ca="1">IF(O2292="","",IF(Tipo_Vertedor="Retangular",IF(O2292&lt;=cota_s*100,0,IF(Tipo_Vertedor="Retangular",Cd_sr*Lef_sr*((O2292/100-cota_s)^(3/2))*1000)),IF(O2292&lt;=cota_s*100+fi_s/20,0,(OFFSET('Base de dados'!$A$4,IF(O2292&lt;20,1,IF(O2292&gt;1000,10,MATCH(O2292,Cargas,1))),Coluna_fis,1,1))*(PI()*(fi_s/1000)^2/4)*(2*9.81*(O2292/100-cota_s-fi_s/2/1000))^0.5*1000)))</f>
        <v>12748.55152838464</v>
      </c>
      <c r="R2292" s="19">
        <f t="shared" ca="1" si="265"/>
        <v>12812.74761103307</v>
      </c>
      <c r="S2292" s="19">
        <f t="shared" ca="1" si="266"/>
        <v>14385.185083791059</v>
      </c>
    </row>
    <row r="2293" spans="13:19">
      <c r="M2293" s="81">
        <f t="shared" ca="1" si="263"/>
        <v>27214.333032690211</v>
      </c>
      <c r="N2293" s="19">
        <f t="shared" si="264"/>
        <v>431.76739430077038</v>
      </c>
      <c r="O2293" s="17">
        <f t="shared" si="262"/>
        <v>573</v>
      </c>
      <c r="P2293" s="19">
        <f ca="1">IF(ISERROR(IF(O2293&lt;fi_h/20,0,(OFFSET('Base de dados'!$A$5,IF(O2293&lt;20,1,IF(O2293&gt;1000,10,MATCH(O2293,Cargas,1))),Coluna_fih,1,1))*(1+0.13*0.25)*(PI()*(fi_h/1000)^2/4)*SQRT(2*9.81*(O2293/100-fi_h/2/1000))*1000)),"",IF(O2293&lt;fi_h/20,0,(OFFSET('Base de dados'!$A$5,IF(O2293&lt;20,1,IF(O2293&gt;1000,10,MATCH(O2293,Cargas,1))),Coluna_fih,1,1))*(PI()*(fi_h/1000)^2/4)*SQRT(2*9.81*(O2293/100-fi_h/2/1000))*1000))</f>
        <v>64.210230919774219</v>
      </c>
      <c r="Q2293" s="19">
        <f ca="1">IF(O2293="","",IF(Tipo_Vertedor="Retangular",IF(O2293&lt;=cota_s*100,0,IF(Tipo_Vertedor="Retangular",Cd_sr*Lef_sr*((O2293/100-cota_s)^(3/2))*1000)),IF(O2293&lt;=cota_s*100+fi_s/20,0,(OFFSET('Base de dados'!$A$4,IF(O2293&lt;20,1,IF(O2293&gt;1000,10,MATCH(O2293,Cargas,1))),Coluna_fis,1,1))*(PI()*(fi_s/1000)^2/4)*(2*9.81*(O2293/100-cota_s-fi_s/2/1000))^0.5*1000)))</f>
        <v>12757.87632507809</v>
      </c>
      <c r="R2293" s="19">
        <f t="shared" ca="1" si="265"/>
        <v>12822.086555997865</v>
      </c>
      <c r="S2293" s="19">
        <f t="shared" ca="1" si="266"/>
        <v>14392.246476692346</v>
      </c>
    </row>
    <row r="2294" spans="13:19">
      <c r="M2294" s="81">
        <f t="shared" ca="1" si="263"/>
        <v>27230.736023650563</v>
      </c>
      <c r="N2294" s="19">
        <f t="shared" si="264"/>
        <v>431.9792476021147</v>
      </c>
      <c r="O2294" s="17">
        <f t="shared" si="262"/>
        <v>573.25</v>
      </c>
      <c r="P2294" s="19">
        <f ca="1">IF(ISERROR(IF(O2294&lt;fi_h/20,0,(OFFSET('Base de dados'!$A$5,IF(O2294&lt;20,1,IF(O2294&gt;1000,10,MATCH(O2294,Cargas,1))),Coluna_fih,1,1))*(1+0.13*0.25)*(PI()*(fi_h/1000)^2/4)*SQRT(2*9.81*(O2294/100-fi_h/2/1000))*1000)),"",IF(O2294&lt;fi_h/20,0,(OFFSET('Base de dados'!$A$5,IF(O2294&lt;20,1,IF(O2294&gt;1000,10,MATCH(O2294,Cargas,1))),Coluna_fih,1,1))*(PI()*(fi_h/1000)^2/4)*SQRT(2*9.81*(O2294/100-fi_h/2/1000))*1000))</f>
        <v>64.224376074332483</v>
      </c>
      <c r="Q2294" s="19">
        <f ca="1">IF(O2294="","",IF(Tipo_Vertedor="Retangular",IF(O2294&lt;=cota_s*100,0,IF(Tipo_Vertedor="Retangular",Cd_sr*Lef_sr*((O2294/100-cota_s)^(3/2))*1000)),IF(O2294&lt;=cota_s*100+fi_s/20,0,(OFFSET('Base de dados'!$A$4,IF(O2294&lt;20,1,IF(O2294&gt;1000,10,MATCH(O2294,Cargas,1))),Coluna_fis,1,1))*(PI()*(fi_s/1000)^2/4)*(2*9.81*(O2294/100-cota_s-fi_s/2/1000))^0.5*1000)))</f>
        <v>12767.203394172408</v>
      </c>
      <c r="R2294" s="19">
        <f t="shared" ca="1" si="265"/>
        <v>12831.427770246741</v>
      </c>
      <c r="S2294" s="19">
        <f t="shared" ca="1" si="266"/>
        <v>14399.308253403822</v>
      </c>
    </row>
    <row r="2295" spans="13:19">
      <c r="M2295" s="81">
        <f t="shared" ca="1" si="263"/>
        <v>27247.141667007199</v>
      </c>
      <c r="N2295" s="19">
        <f t="shared" si="264"/>
        <v>432.19111241336861</v>
      </c>
      <c r="O2295" s="17">
        <f t="shared" si="262"/>
        <v>573.5</v>
      </c>
      <c r="P2295" s="19">
        <f ca="1">IF(ISERROR(IF(O2295&lt;fi_h/20,0,(OFFSET('Base de dados'!$A$5,IF(O2295&lt;20,1,IF(O2295&gt;1000,10,MATCH(O2295,Cargas,1))),Coluna_fih,1,1))*(1+0.13*0.25)*(PI()*(fi_h/1000)^2/4)*SQRT(2*9.81*(O2295/100-fi_h/2/1000))*1000)),"",IF(O2295&lt;fi_h/20,0,(OFFSET('Base de dados'!$A$5,IF(O2295&lt;20,1,IF(O2295&gt;1000,10,MATCH(O2295,Cargas,1))),Coluna_fih,1,1))*(PI()*(fi_h/1000)^2/4)*SQRT(2*9.81*(O2295/100-fi_h/2/1000))*1000))</f>
        <v>64.238518114164592</v>
      </c>
      <c r="Q2295" s="19">
        <f ca="1">IF(O2295="","",IF(Tipo_Vertedor="Retangular",IF(O2295&lt;=cota_s*100,0,IF(Tipo_Vertedor="Retangular",Cd_sr*Lef_sr*((O2295/100-cota_s)^(3/2))*1000)),IF(O2295&lt;=cota_s*100+fi_s/20,0,(OFFSET('Base de dados'!$A$4,IF(O2295&lt;20,1,IF(O2295&gt;1000,10,MATCH(O2295,Cargas,1))),Coluna_fis,1,1))*(PI()*(fi_s/1000)^2/4)*(2*9.81*(O2295/100-cota_s-fi_s/2/1000))^0.5*1000)))</f>
        <v>12776.532735114079</v>
      </c>
      <c r="R2295" s="19">
        <f t="shared" ca="1" si="265"/>
        <v>12840.771253228244</v>
      </c>
      <c r="S2295" s="19">
        <f t="shared" ca="1" si="266"/>
        <v>14406.370413778954</v>
      </c>
    </row>
    <row r="2296" spans="13:19">
      <c r="M2296" s="81">
        <f t="shared" ca="1" si="263"/>
        <v>27263.549962062651</v>
      </c>
      <c r="N2296" s="19">
        <f t="shared" si="264"/>
        <v>432.4029887301395</v>
      </c>
      <c r="O2296" s="17">
        <f t="shared" si="262"/>
        <v>573.75</v>
      </c>
      <c r="P2296" s="19">
        <f ca="1">IF(ISERROR(IF(O2296&lt;fi_h/20,0,(OFFSET('Base de dados'!$A$5,IF(O2296&lt;20,1,IF(O2296&gt;1000,10,MATCH(O2296,Cargas,1))),Coluna_fih,1,1))*(1+0.13*0.25)*(PI()*(fi_h/1000)^2/4)*SQRT(2*9.81*(O2296/100-fi_h/2/1000))*1000)),"",IF(O2296&lt;fi_h/20,0,(OFFSET('Base de dados'!$A$5,IF(O2296&lt;20,1,IF(O2296&gt;1000,10,MATCH(O2296,Cargas,1))),Coluna_fih,1,1))*(PI()*(fi_h/1000)^2/4)*SQRT(2*9.81*(O2296/100-fi_h/2/1000))*1000))</f>
        <v>64.252657041327211</v>
      </c>
      <c r="Q2296" s="19">
        <f ca="1">IF(O2296="","",IF(Tipo_Vertedor="Retangular",IF(O2296&lt;=cota_s*100,0,IF(Tipo_Vertedor="Retangular",Cd_sr*Lef_sr*((O2296/100-cota_s)^(3/2))*1000)),IF(O2296&lt;=cota_s*100+fi_s/20,0,(OFFSET('Base de dados'!$A$4,IF(O2296&lt;20,1,IF(O2296&gt;1000,10,MATCH(O2296,Cargas,1))),Coluna_fis,1,1))*(PI()*(fi_s/1000)^2/4)*(2*9.81*(O2296/100-cota_s-fi_s/2/1000))^0.5*1000)))</f>
        <v>12785.864347350005</v>
      </c>
      <c r="R2296" s="19">
        <f t="shared" ca="1" si="265"/>
        <v>12850.117004391332</v>
      </c>
      <c r="S2296" s="19">
        <f t="shared" ca="1" si="266"/>
        <v>14413.432957671317</v>
      </c>
    </row>
    <row r="2297" spans="13:19">
      <c r="M2297" s="81">
        <f t="shared" ca="1" si="263"/>
        <v>27279.960908120003</v>
      </c>
      <c r="N2297" s="19">
        <f t="shared" si="264"/>
        <v>432.61487654803881</v>
      </c>
      <c r="O2297" s="17">
        <f t="shared" si="262"/>
        <v>574</v>
      </c>
      <c r="P2297" s="19">
        <f ca="1">IF(ISERROR(IF(O2297&lt;fi_h/20,0,(OFFSET('Base de dados'!$A$5,IF(O2297&lt;20,1,IF(O2297&gt;1000,10,MATCH(O2297,Cargas,1))),Coluna_fih,1,1))*(1+0.13*0.25)*(PI()*(fi_h/1000)^2/4)*SQRT(2*9.81*(O2297/100-fi_h/2/1000))*1000)),"",IF(O2297&lt;fi_h/20,0,(OFFSET('Base de dados'!$A$5,IF(O2297&lt;20,1,IF(O2297&gt;1000,10,MATCH(O2297,Cargas,1))),Coluna_fih,1,1))*(PI()*(fi_h/1000)^2/4)*SQRT(2*9.81*(O2297/100-fi_h/2/1000))*1000))</f>
        <v>64.266792857874719</v>
      </c>
      <c r="Q2297" s="19">
        <f ca="1">IF(O2297="","",IF(Tipo_Vertedor="Retangular",IF(O2297&lt;=cota_s*100,0,IF(Tipo_Vertedor="Retangular",Cd_sr*Lef_sr*((O2297/100-cota_s)^(3/2))*1000)),IF(O2297&lt;=cota_s*100+fi_s/20,0,(OFFSET('Base de dados'!$A$4,IF(O2297&lt;20,1,IF(O2297&gt;1000,10,MATCH(O2297,Cargas,1))),Coluna_fis,1,1))*(PI()*(fi_s/1000)^2/4)*(2*9.81*(O2297/100-cota_s-fi_s/2/1000))^0.5*1000)))</f>
        <v>12795.198230327505</v>
      </c>
      <c r="R2297" s="19">
        <f t="shared" ca="1" si="265"/>
        <v>12859.465023185379</v>
      </c>
      <c r="S2297" s="19">
        <f t="shared" ca="1" si="266"/>
        <v>14420.495884934626</v>
      </c>
    </row>
    <row r="2298" spans="13:19">
      <c r="M2298" s="81">
        <f t="shared" ca="1" si="263"/>
        <v>27296.374504482839</v>
      </c>
      <c r="N2298" s="19">
        <f t="shared" si="264"/>
        <v>432.82677586268113</v>
      </c>
      <c r="O2298" s="17">
        <f t="shared" si="262"/>
        <v>574.25</v>
      </c>
      <c r="P2298" s="19">
        <f ca="1">IF(ISERROR(IF(O2298&lt;fi_h/20,0,(OFFSET('Base de dados'!$A$5,IF(O2298&lt;20,1,IF(O2298&gt;1000,10,MATCH(O2298,Cargas,1))),Coluna_fih,1,1))*(1+0.13*0.25)*(PI()*(fi_h/1000)^2/4)*SQRT(2*9.81*(O2298/100-fi_h/2/1000))*1000)),"",IF(O2298&lt;fi_h/20,0,(OFFSET('Base de dados'!$A$5,IF(O2298&lt;20,1,IF(O2298&gt;1000,10,MATCH(O2298,Cargas,1))),Coluna_fih,1,1))*(PI()*(fi_h/1000)^2/4)*SQRT(2*9.81*(O2298/100-fi_h/2/1000))*1000))</f>
        <v>64.280925565859263</v>
      </c>
      <c r="Q2298" s="19">
        <f ca="1">IF(O2298="","",IF(Tipo_Vertedor="Retangular",IF(O2298&lt;=cota_s*100,0,IF(Tipo_Vertedor="Retangular",Cd_sr*Lef_sr*((O2298/100-cota_s)^(3/2))*1000)),IF(O2298&lt;=cota_s*100+fi_s/20,0,(OFFSET('Base de dados'!$A$4,IF(O2298&lt;20,1,IF(O2298&gt;1000,10,MATCH(O2298,Cargas,1))),Coluna_fis,1,1))*(PI()*(fi_s/1000)^2/4)*(2*9.81*(O2298/100-cota_s-fi_s/2/1000))^0.5*1000)))</f>
        <v>12804.534383494274</v>
      </c>
      <c r="R2298" s="19">
        <f t="shared" ca="1" si="265"/>
        <v>12868.815309060134</v>
      </c>
      <c r="S2298" s="19">
        <f t="shared" ca="1" si="266"/>
        <v>14427.559195422706</v>
      </c>
    </row>
    <row r="2299" spans="13:19">
      <c r="M2299" s="81">
        <f t="shared" ca="1" si="263"/>
        <v>27312.79075045525</v>
      </c>
      <c r="N2299" s="19">
        <f t="shared" si="264"/>
        <v>433.03868666968464</v>
      </c>
      <c r="O2299" s="17">
        <f t="shared" si="262"/>
        <v>574.5</v>
      </c>
      <c r="P2299" s="19">
        <f ca="1">IF(ISERROR(IF(O2299&lt;fi_h/20,0,(OFFSET('Base de dados'!$A$5,IF(O2299&lt;20,1,IF(O2299&gt;1000,10,MATCH(O2299,Cargas,1))),Coluna_fih,1,1))*(1+0.13*0.25)*(PI()*(fi_h/1000)^2/4)*SQRT(2*9.81*(O2299/100-fi_h/2/1000))*1000)),"",IF(O2299&lt;fi_h/20,0,(OFFSET('Base de dados'!$A$5,IF(O2299&lt;20,1,IF(O2299&gt;1000,10,MATCH(O2299,Cargas,1))),Coluna_fih,1,1))*(PI()*(fi_h/1000)^2/4)*SQRT(2*9.81*(O2299/100-fi_h/2/1000))*1000))</f>
        <v>64.295055167330716</v>
      </c>
      <c r="Q2299" s="19">
        <f ca="1">IF(O2299="","",IF(Tipo_Vertedor="Retangular",IF(O2299&lt;=cota_s*100,0,IF(Tipo_Vertedor="Retangular",Cd_sr*Lef_sr*((O2299/100-cota_s)^(3/2))*1000)),IF(O2299&lt;=cota_s*100+fi_s/20,0,(OFFSET('Base de dados'!$A$4,IF(O2299&lt;20,1,IF(O2299&gt;1000,10,MATCH(O2299,Cargas,1))),Coluna_fis,1,1))*(PI()*(fi_s/1000)^2/4)*(2*9.81*(O2299/100-cota_s-fi_s/2/1000))^0.5*1000)))</f>
        <v>12813.872806298432</v>
      </c>
      <c r="R2299" s="19">
        <f t="shared" ca="1" si="265"/>
        <v>12878.167861465763</v>
      </c>
      <c r="S2299" s="19">
        <f t="shared" ca="1" si="266"/>
        <v>14434.622888989488</v>
      </c>
    </row>
    <row r="2300" spans="13:19">
      <c r="M2300" s="81">
        <f t="shared" ca="1" si="263"/>
        <v>27329.209645341874</v>
      </c>
      <c r="N2300" s="19">
        <f t="shared" si="264"/>
        <v>433.25060896467119</v>
      </c>
      <c r="O2300" s="17">
        <f t="shared" si="262"/>
        <v>574.75</v>
      </c>
      <c r="P2300" s="19">
        <f ca="1">IF(ISERROR(IF(O2300&lt;fi_h/20,0,(OFFSET('Base de dados'!$A$5,IF(O2300&lt;20,1,IF(O2300&gt;1000,10,MATCH(O2300,Cargas,1))),Coluna_fih,1,1))*(1+0.13*0.25)*(PI()*(fi_h/1000)^2/4)*SQRT(2*9.81*(O2300/100-fi_h/2/1000))*1000)),"",IF(O2300&lt;fi_h/20,0,(OFFSET('Base de dados'!$A$5,IF(O2300&lt;20,1,IF(O2300&gt;1000,10,MATCH(O2300,Cargas,1))),Coluna_fih,1,1))*(PI()*(fi_h/1000)^2/4)*SQRT(2*9.81*(O2300/100-fi_h/2/1000))*1000))</f>
        <v>64.30918166433672</v>
      </c>
      <c r="Q2300" s="19">
        <f ca="1">IF(O2300="","",IF(Tipo_Vertedor="Retangular",IF(O2300&lt;=cota_s*100,0,IF(Tipo_Vertedor="Retangular",Cd_sr*Lef_sr*((O2300/100-cota_s)^(3/2))*1000)),IF(O2300&lt;=cota_s*100+fi_s/20,0,(OFFSET('Base de dados'!$A$4,IF(O2300&lt;20,1,IF(O2300&gt;1000,10,MATCH(O2300,Cargas,1))),Coluna_fis,1,1))*(PI()*(fi_s/1000)^2/4)*(2*9.81*(O2300/100-cota_s-fi_s/2/1000))^0.5*1000)))</f>
        <v>12823.213498188497</v>
      </c>
      <c r="R2300" s="19">
        <f t="shared" ca="1" si="265"/>
        <v>12887.522679852835</v>
      </c>
      <c r="S2300" s="19">
        <f t="shared" ca="1" si="266"/>
        <v>14441.68696548904</v>
      </c>
    </row>
    <row r="2301" spans="13:19">
      <c r="M2301" s="81">
        <f t="shared" ca="1" si="263"/>
        <v>27345.631188447849</v>
      </c>
      <c r="N2301" s="19">
        <f t="shared" si="264"/>
        <v>433.46254274326634</v>
      </c>
      <c r="O2301" s="17">
        <f t="shared" si="262"/>
        <v>575</v>
      </c>
      <c r="P2301" s="19">
        <f ca="1">IF(ISERROR(IF(O2301&lt;fi_h/20,0,(OFFSET('Base de dados'!$A$5,IF(O2301&lt;20,1,IF(O2301&gt;1000,10,MATCH(O2301,Cargas,1))),Coluna_fih,1,1))*(1+0.13*0.25)*(PI()*(fi_h/1000)^2/4)*SQRT(2*9.81*(O2301/100-fi_h/2/1000))*1000)),"",IF(O2301&lt;fi_h/20,0,(OFFSET('Base de dados'!$A$5,IF(O2301&lt;20,1,IF(O2301&gt;1000,10,MATCH(O2301,Cargas,1))),Coluna_fih,1,1))*(PI()*(fi_h/1000)^2/4)*SQRT(2*9.81*(O2301/100-fi_h/2/1000))*1000))</f>
        <v>64.323305058922656</v>
      </c>
      <c r="Q2301" s="19">
        <f ca="1">IF(O2301="","",IF(Tipo_Vertedor="Retangular",IF(O2301&lt;=cota_s*100,0,IF(Tipo_Vertedor="Retangular",Cd_sr*Lef_sr*((O2301/100-cota_s)^(3/2))*1000)),IF(O2301&lt;=cota_s*100+fi_s/20,0,(OFFSET('Base de dados'!$A$4,IF(O2301&lt;20,1,IF(O2301&gt;1000,10,MATCH(O2301,Cargas,1))),Coluna_fis,1,1))*(PI()*(fi_s/1000)^2/4)*(2*9.81*(O2301/100-cota_s-fi_s/2/1000))^0.5*1000)))</f>
        <v>12832.556458613384</v>
      </c>
      <c r="R2301" s="19">
        <f t="shared" ca="1" si="265"/>
        <v>12896.879763672307</v>
      </c>
      <c r="S2301" s="19">
        <f t="shared" ca="1" si="266"/>
        <v>14448.751424775544</v>
      </c>
    </row>
    <row r="2302" spans="13:19">
      <c r="M2302" s="81">
        <f t="shared" ca="1" si="263"/>
        <v>27362.055379078829</v>
      </c>
      <c r="N2302" s="19">
        <f t="shared" si="264"/>
        <v>433.67448800109878</v>
      </c>
      <c r="O2302" s="17">
        <f t="shared" si="262"/>
        <v>575.25</v>
      </c>
      <c r="P2302" s="19">
        <f ca="1">IF(ISERROR(IF(O2302&lt;fi_h/20,0,(OFFSET('Base de dados'!$A$5,IF(O2302&lt;20,1,IF(O2302&gt;1000,10,MATCH(O2302,Cargas,1))),Coluna_fih,1,1))*(1+0.13*0.25)*(PI()*(fi_h/1000)^2/4)*SQRT(2*9.81*(O2302/100-fi_h/2/1000))*1000)),"",IF(O2302&lt;fi_h/20,0,(OFFSET('Base de dados'!$A$5,IF(O2302&lt;20,1,IF(O2302&gt;1000,10,MATCH(O2302,Cargas,1))),Coluna_fih,1,1))*(PI()*(fi_h/1000)^2/4)*SQRT(2*9.81*(O2302/100-fi_h/2/1000))*1000))</f>
        <v>64.33742535313165</v>
      </c>
      <c r="Q2302" s="19">
        <f ca="1">IF(O2302="","",IF(Tipo_Vertedor="Retangular",IF(O2302&lt;=cota_s*100,0,IF(Tipo_Vertedor="Retangular",Cd_sr*Lef_sr*((O2302/100-cota_s)^(3/2))*1000)),IF(O2302&lt;=cota_s*100+fi_s/20,0,(OFFSET('Base de dados'!$A$4,IF(O2302&lt;20,1,IF(O2302&gt;1000,10,MATCH(O2302,Cargas,1))),Coluna_fis,1,1))*(PI()*(fi_s/1000)^2/4)*(2*9.81*(O2302/100-cota_s-fi_s/2/1000))^0.5*1000)))</f>
        <v>12841.901687022404</v>
      </c>
      <c r="R2302" s="19">
        <f t="shared" ca="1" si="265"/>
        <v>12906.239112375535</v>
      </c>
      <c r="S2302" s="19">
        <f t="shared" ca="1" si="266"/>
        <v>14455.816266703294</v>
      </c>
    </row>
    <row r="2303" spans="13:19">
      <c r="M2303" s="81">
        <f t="shared" ca="1" si="263"/>
        <v>27378.482216541001</v>
      </c>
      <c r="N2303" s="19">
        <f t="shared" si="264"/>
        <v>433.88644473380145</v>
      </c>
      <c r="O2303" s="17">
        <f t="shared" si="262"/>
        <v>575.5</v>
      </c>
      <c r="P2303" s="19">
        <f ca="1">IF(ISERROR(IF(O2303&lt;fi_h/20,0,(OFFSET('Base de dados'!$A$5,IF(O2303&lt;20,1,IF(O2303&gt;1000,10,MATCH(O2303,Cargas,1))),Coluna_fih,1,1))*(1+0.13*0.25)*(PI()*(fi_h/1000)^2/4)*SQRT(2*9.81*(O2303/100-fi_h/2/1000))*1000)),"",IF(O2303&lt;fi_h/20,0,(OFFSET('Base de dados'!$A$5,IF(O2303&lt;20,1,IF(O2303&gt;1000,10,MATCH(O2303,Cargas,1))),Coluna_fih,1,1))*(PI()*(fi_h/1000)^2/4)*SQRT(2*9.81*(O2303/100-fi_h/2/1000))*1000))</f>
        <v>64.351542549004591</v>
      </c>
      <c r="Q2303" s="19">
        <f ca="1">IF(O2303="","",IF(Tipo_Vertedor="Retangular",IF(O2303&lt;=cota_s*100,0,IF(Tipo_Vertedor="Retangular",Cd_sr*Lef_sr*((O2303/100-cota_s)^(3/2))*1000)),IF(O2303&lt;=cota_s*100+fi_s/20,0,(OFFSET('Base de dados'!$A$4,IF(O2303&lt;20,1,IF(O2303&gt;1000,10,MATCH(O2303,Cargas,1))),Coluna_fis,1,1))*(PI()*(fi_s/1000)^2/4)*(2*9.81*(O2303/100-cota_s-fi_s/2/1000))^0.5*1000)))</f>
        <v>12851.24918286528</v>
      </c>
      <c r="R2303" s="19">
        <f t="shared" ca="1" si="265"/>
        <v>12915.600725414284</v>
      </c>
      <c r="S2303" s="19">
        <f t="shared" ca="1" si="266"/>
        <v>14462.881491126716</v>
      </c>
    </row>
    <row r="2304" spans="13:19">
      <c r="M2304" s="81">
        <f t="shared" ca="1" si="263"/>
        <v>27394.911700141056</v>
      </c>
      <c r="N2304" s="19">
        <f t="shared" si="264"/>
        <v>434.09841293701021</v>
      </c>
      <c r="O2304" s="17">
        <f t="shared" si="262"/>
        <v>575.75</v>
      </c>
      <c r="P2304" s="19">
        <f ca="1">IF(ISERROR(IF(O2304&lt;fi_h/20,0,(OFFSET('Base de dados'!$A$5,IF(O2304&lt;20,1,IF(O2304&gt;1000,10,MATCH(O2304,Cargas,1))),Coluna_fih,1,1))*(1+0.13*0.25)*(PI()*(fi_h/1000)^2/4)*SQRT(2*9.81*(O2304/100-fi_h/2/1000))*1000)),"",IF(O2304&lt;fi_h/20,0,(OFFSET('Base de dados'!$A$5,IF(O2304&lt;20,1,IF(O2304&gt;1000,10,MATCH(O2304,Cargas,1))),Coluna_fih,1,1))*(PI()*(fi_h/1000)^2/4)*SQRT(2*9.81*(O2304/100-fi_h/2/1000))*1000))</f>
        <v>64.365656648580156</v>
      </c>
      <c r="Q2304" s="19">
        <f ca="1">IF(O2304="","",IF(Tipo_Vertedor="Retangular",IF(O2304&lt;=cota_s*100,0,IF(Tipo_Vertedor="Retangular",Cd_sr*Lef_sr*((O2304/100-cota_s)^(3/2))*1000)),IF(O2304&lt;=cota_s*100+fi_s/20,0,(OFFSET('Base de dados'!$A$4,IF(O2304&lt;20,1,IF(O2304&gt;1000,10,MATCH(O2304,Cargas,1))),Coluna_fis,1,1))*(PI()*(fi_s/1000)^2/4)*(2*9.81*(O2304/100-cota_s-fi_s/2/1000))^0.5*1000)))</f>
        <v>12860.598945592134</v>
      </c>
      <c r="R2304" s="19">
        <f t="shared" ca="1" si="265"/>
        <v>12924.964602240714</v>
      </c>
      <c r="S2304" s="19">
        <f t="shared" ca="1" si="266"/>
        <v>14469.947097900342</v>
      </c>
    </row>
    <row r="2305" spans="13:19">
      <c r="M2305" s="81">
        <f t="shared" ca="1" si="263"/>
        <v>27411.343829186204</v>
      </c>
      <c r="N2305" s="19">
        <f t="shared" si="264"/>
        <v>434.31039260636499</v>
      </c>
      <c r="O2305" s="17">
        <f t="shared" si="262"/>
        <v>576</v>
      </c>
      <c r="P2305" s="19">
        <f ca="1">IF(ISERROR(IF(O2305&lt;fi_h/20,0,(OFFSET('Base de dados'!$A$5,IF(O2305&lt;20,1,IF(O2305&gt;1000,10,MATCH(O2305,Cargas,1))),Coluna_fih,1,1))*(1+0.13*0.25)*(PI()*(fi_h/1000)^2/4)*SQRT(2*9.81*(O2305/100-fi_h/2/1000))*1000)),"",IF(O2305&lt;fi_h/20,0,(OFFSET('Base de dados'!$A$5,IF(O2305&lt;20,1,IF(O2305&gt;1000,10,MATCH(O2305,Cargas,1))),Coluna_fih,1,1))*(PI()*(fi_h/1000)^2/4)*SQRT(2*9.81*(O2305/100-fi_h/2/1000))*1000))</f>
        <v>64.379767653894746</v>
      </c>
      <c r="Q2305" s="19">
        <f ca="1">IF(O2305="","",IF(Tipo_Vertedor="Retangular",IF(O2305&lt;=cota_s*100,0,IF(Tipo_Vertedor="Retangular",Cd_sr*Lef_sr*((O2305/100-cota_s)^(3/2))*1000)),IF(O2305&lt;=cota_s*100+fi_s/20,0,(OFFSET('Base de dados'!$A$4,IF(O2305&lt;20,1,IF(O2305&gt;1000,10,MATCH(O2305,Cargas,1))),Coluna_fis,1,1))*(PI()*(fi_s/1000)^2/4)*(2*9.81*(O2305/100-cota_s-fi_s/2/1000))^0.5*1000)))</f>
        <v>12869.950974653475</v>
      </c>
      <c r="R2305" s="19">
        <f t="shared" ca="1" si="265"/>
        <v>12934.330742307369</v>
      </c>
      <c r="S2305" s="19">
        <f t="shared" ca="1" si="266"/>
        <v>14477.013086878833</v>
      </c>
    </row>
    <row r="2306" spans="13:19">
      <c r="M2306" s="81">
        <f t="shared" ca="1" si="263"/>
        <v>27427.778602984177</v>
      </c>
      <c r="N2306" s="19">
        <f t="shared" si="264"/>
        <v>434.52238373750856</v>
      </c>
      <c r="O2306" s="17">
        <f t="shared" si="262"/>
        <v>576.25</v>
      </c>
      <c r="P2306" s="19">
        <f ca="1">IF(ISERROR(IF(O2306&lt;fi_h/20,0,(OFFSET('Base de dados'!$A$5,IF(O2306&lt;20,1,IF(O2306&gt;1000,10,MATCH(O2306,Cargas,1))),Coluna_fih,1,1))*(1+0.13*0.25)*(PI()*(fi_h/1000)^2/4)*SQRT(2*9.81*(O2306/100-fi_h/2/1000))*1000)),"",IF(O2306&lt;fi_h/20,0,(OFFSET('Base de dados'!$A$5,IF(O2306&lt;20,1,IF(O2306&gt;1000,10,MATCH(O2306,Cargas,1))),Coluna_fih,1,1))*(PI()*(fi_h/1000)^2/4)*SQRT(2*9.81*(O2306/100-fi_h/2/1000))*1000))</f>
        <v>64.393875566982572</v>
      </c>
      <c r="Q2306" s="19">
        <f ca="1">IF(O2306="","",IF(Tipo_Vertedor="Retangular",IF(O2306&lt;=cota_s*100,0,IF(Tipo_Vertedor="Retangular",Cd_sr*Lef_sr*((O2306/100-cota_s)^(3/2))*1000)),IF(O2306&lt;=cota_s*100+fi_s/20,0,(OFFSET('Base de dados'!$A$4,IF(O2306&lt;20,1,IF(O2306&gt;1000,10,MATCH(O2306,Cargas,1))),Coluna_fis,1,1))*(PI()*(fi_s/1000)^2/4)*(2*9.81*(O2306/100-cota_s-fi_s/2/1000))^0.5*1000)))</f>
        <v>12879.305269500243</v>
      </c>
      <c r="R2306" s="19">
        <f t="shared" ca="1" si="265"/>
        <v>12943.699145067225</v>
      </c>
      <c r="S2306" s="19">
        <f t="shared" ca="1" si="266"/>
        <v>14484.079457916952</v>
      </c>
    </row>
    <row r="2307" spans="13:19">
      <c r="M2307" s="81">
        <f t="shared" ca="1" si="263"/>
        <v>27444.216020843196</v>
      </c>
      <c r="N2307" s="19">
        <f t="shared" si="264"/>
        <v>434.73438632608793</v>
      </c>
      <c r="O2307" s="17">
        <f t="shared" si="262"/>
        <v>576.5</v>
      </c>
      <c r="P2307" s="19">
        <f ca="1">IF(ISERROR(IF(O2307&lt;fi_h/20,0,(OFFSET('Base de dados'!$A$5,IF(O2307&lt;20,1,IF(O2307&gt;1000,10,MATCH(O2307,Cargas,1))),Coluna_fih,1,1))*(1+0.13*0.25)*(PI()*(fi_h/1000)^2/4)*SQRT(2*9.81*(O2307/100-fi_h/2/1000))*1000)),"",IF(O2307&lt;fi_h/20,0,(OFFSET('Base de dados'!$A$5,IF(O2307&lt;20,1,IF(O2307&gt;1000,10,MATCH(O2307,Cargas,1))),Coluna_fih,1,1))*(PI()*(fi_h/1000)^2/4)*SQRT(2*9.81*(O2307/100-fi_h/2/1000))*1000))</f>
        <v>64.407980389875576</v>
      </c>
      <c r="Q2307" s="19">
        <f ca="1">IF(O2307="","",IF(Tipo_Vertedor="Retangular",IF(O2307&lt;=cota_s*100,0,IF(Tipo_Vertedor="Retangular",Cd_sr*Lef_sr*((O2307/100-cota_s)^(3/2))*1000)),IF(O2307&lt;=cota_s*100+fi_s/20,0,(OFFSET('Base de dados'!$A$4,IF(O2307&lt;20,1,IF(O2307&gt;1000,10,MATCH(O2307,Cargas,1))),Coluna_fis,1,1))*(PI()*(fi_s/1000)^2/4)*(2*9.81*(O2307/100-cota_s-fi_s/2/1000))^0.5*1000)))</f>
        <v>12888.661829583722</v>
      </c>
      <c r="R2307" s="19">
        <f t="shared" ca="1" si="265"/>
        <v>12953.069809973596</v>
      </c>
      <c r="S2307" s="19">
        <f t="shared" ca="1" si="266"/>
        <v>14491.146210869598</v>
      </c>
    </row>
    <row r="2308" spans="13:19">
      <c r="M2308" s="81">
        <f t="shared" ca="1" si="263"/>
        <v>27460.656082072055</v>
      </c>
      <c r="N2308" s="19">
        <f t="shared" si="264"/>
        <v>434.94640036775371</v>
      </c>
      <c r="O2308" s="17">
        <f t="shared" si="262"/>
        <v>576.75</v>
      </c>
      <c r="P2308" s="19">
        <f ca="1">IF(ISERROR(IF(O2308&lt;fi_h/20,0,(OFFSET('Base de dados'!$A$5,IF(O2308&lt;20,1,IF(O2308&gt;1000,10,MATCH(O2308,Cargas,1))),Coluna_fih,1,1))*(1+0.13*0.25)*(PI()*(fi_h/1000)^2/4)*SQRT(2*9.81*(O2308/100-fi_h/2/1000))*1000)),"",IF(O2308&lt;fi_h/20,0,(OFFSET('Base de dados'!$A$5,IF(O2308&lt;20,1,IF(O2308&gt;1000,10,MATCH(O2308,Cargas,1))),Coluna_fih,1,1))*(PI()*(fi_h/1000)^2/4)*SQRT(2*9.81*(O2308/100-fi_h/2/1000))*1000))</f>
        <v>64.42208212460352</v>
      </c>
      <c r="Q2308" s="19">
        <f ca="1">IF(O2308="","",IF(Tipo_Vertedor="Retangular",IF(O2308&lt;=cota_s*100,0,IF(Tipo_Vertedor="Retangular",Cd_sr*Lef_sr*((O2308/100-cota_s)^(3/2))*1000)),IF(O2308&lt;=cota_s*100+fi_s/20,0,(OFFSET('Base de dados'!$A$4,IF(O2308&lt;20,1,IF(O2308&gt;1000,10,MATCH(O2308,Cargas,1))),Coluna_fis,1,1))*(PI()*(fi_s/1000)^2/4)*(2*9.81*(O2308/100-cota_s-fi_s/2/1000))^0.5*1000)))</f>
        <v>12898.020654355663</v>
      </c>
      <c r="R2308" s="19">
        <f t="shared" ca="1" si="265"/>
        <v>12962.442736480267</v>
      </c>
      <c r="S2308" s="19">
        <f t="shared" ca="1" si="266"/>
        <v>14498.21334559179</v>
      </c>
    </row>
    <row r="2309" spans="13:19">
      <c r="M2309" s="81">
        <f t="shared" ca="1" si="263"/>
        <v>27477.098785979982</v>
      </c>
      <c r="N2309" s="19">
        <f t="shared" si="264"/>
        <v>435.15842585815921</v>
      </c>
      <c r="O2309" s="17">
        <f t="shared" si="262"/>
        <v>577</v>
      </c>
      <c r="P2309" s="19">
        <f ca="1">IF(ISERROR(IF(O2309&lt;fi_h/20,0,(OFFSET('Base de dados'!$A$5,IF(O2309&lt;20,1,IF(O2309&gt;1000,10,MATCH(O2309,Cargas,1))),Coluna_fih,1,1))*(1+0.13*0.25)*(PI()*(fi_h/1000)^2/4)*SQRT(2*9.81*(O2309/100-fi_h/2/1000))*1000)),"",IF(O2309&lt;fi_h/20,0,(OFFSET('Base de dados'!$A$5,IF(O2309&lt;20,1,IF(O2309&gt;1000,10,MATCH(O2309,Cargas,1))),Coluna_fih,1,1))*(PI()*(fi_h/1000)^2/4)*SQRT(2*9.81*(O2309/100-fi_h/2/1000))*1000))</f>
        <v>64.436180773193897</v>
      </c>
      <c r="Q2309" s="19">
        <f ca="1">IF(O2309="","",IF(Tipo_Vertedor="Retangular",IF(O2309&lt;=cota_s*100,0,IF(Tipo_Vertedor="Retangular",Cd_sr*Lef_sr*((O2309/100-cota_s)^(3/2))*1000)),IF(O2309&lt;=cota_s*100+fi_s/20,0,(OFFSET('Base de dados'!$A$4,IF(O2309&lt;20,1,IF(O2309&gt;1000,10,MATCH(O2309,Cargas,1))),Coluna_fis,1,1))*(PI()*(fi_s/1000)^2/4)*(2*9.81*(O2309/100-cota_s-fi_s/2/1000))^0.5*1000)))</f>
        <v>12907.381743268148</v>
      </c>
      <c r="R2309" s="19">
        <f t="shared" ca="1" si="265"/>
        <v>12971.817924041343</v>
      </c>
      <c r="S2309" s="19">
        <f t="shared" ca="1" si="266"/>
        <v>14505.28086193864</v>
      </c>
    </row>
    <row r="2310" spans="13:19">
      <c r="M2310" s="81">
        <f t="shared" ca="1" si="263"/>
        <v>27493.544131876792</v>
      </c>
      <c r="N2310" s="19">
        <f t="shared" si="264"/>
        <v>435.37046279296214</v>
      </c>
      <c r="O2310" s="17">
        <f t="shared" si="262"/>
        <v>577.25</v>
      </c>
      <c r="P2310" s="19">
        <f ca="1">IF(ISERROR(IF(O2310&lt;fi_h/20,0,(OFFSET('Base de dados'!$A$5,IF(O2310&lt;20,1,IF(O2310&gt;1000,10,MATCH(O2310,Cargas,1))),Coluna_fih,1,1))*(1+0.13*0.25)*(PI()*(fi_h/1000)^2/4)*SQRT(2*9.81*(O2310/100-fi_h/2/1000))*1000)),"",IF(O2310&lt;fi_h/20,0,(OFFSET('Base de dados'!$A$5,IF(O2310&lt;20,1,IF(O2310&gt;1000,10,MATCH(O2310,Cargas,1))),Coluna_fih,1,1))*(PI()*(fi_h/1000)^2/4)*SQRT(2*9.81*(O2310/100-fi_h/2/1000))*1000))</f>
        <v>64.450276337672008</v>
      </c>
      <c r="Q2310" s="19">
        <f ca="1">IF(O2310="","",IF(Tipo_Vertedor="Retangular",IF(O2310&lt;=cota_s*100,0,IF(Tipo_Vertedor="Retangular",Cd_sr*Lef_sr*((O2310/100-cota_s)^(3/2))*1000)),IF(O2310&lt;=cota_s*100+fi_s/20,0,(OFFSET('Base de dados'!$A$4,IF(O2310&lt;20,1,IF(O2310&gt;1000,10,MATCH(O2310,Cargas,1))),Coluna_fis,1,1))*(PI()*(fi_s/1000)^2/4)*(2*9.81*(O2310/100-cota_s-fi_s/2/1000))^0.5*1000)))</f>
        <v>12916.745095773715</v>
      </c>
      <c r="R2310" s="19">
        <f t="shared" ca="1" si="265"/>
        <v>12981.195372111386</v>
      </c>
      <c r="S2310" s="19">
        <f t="shared" ca="1" si="266"/>
        <v>14512.348759765406</v>
      </c>
    </row>
    <row r="2311" spans="13:19">
      <c r="M2311" s="81">
        <f t="shared" ca="1" si="263"/>
        <v>27509.992119072762</v>
      </c>
      <c r="N2311" s="19">
        <f t="shared" si="264"/>
        <v>435.58251116782321</v>
      </c>
      <c r="O2311" s="17">
        <f t="shared" si="262"/>
        <v>577.5</v>
      </c>
      <c r="P2311" s="19">
        <f ca="1">IF(ISERROR(IF(O2311&lt;fi_h/20,0,(OFFSET('Base de dados'!$A$5,IF(O2311&lt;20,1,IF(O2311&gt;1000,10,MATCH(O2311,Cargas,1))),Coluna_fih,1,1))*(1+0.13*0.25)*(PI()*(fi_h/1000)^2/4)*SQRT(2*9.81*(O2311/100-fi_h/2/1000))*1000)),"",IF(O2311&lt;fi_h/20,0,(OFFSET('Base de dados'!$A$5,IF(O2311&lt;20,1,IF(O2311&gt;1000,10,MATCH(O2311,Cargas,1))),Coluna_fih,1,1))*(PI()*(fi_h/1000)^2/4)*SQRT(2*9.81*(O2311/100-fi_h/2/1000))*1000))</f>
        <v>64.464368820060955</v>
      </c>
      <c r="Q2311" s="19">
        <f ca="1">IF(O2311="","",IF(Tipo_Vertedor="Retangular",IF(O2311&lt;=cota_s*100,0,IF(Tipo_Vertedor="Retangular",Cd_sr*Lef_sr*((O2311/100-cota_s)^(3/2))*1000)),IF(O2311&lt;=cota_s*100+fi_s/20,0,(OFFSET('Base de dados'!$A$4,IF(O2311&lt;20,1,IF(O2311&gt;1000,10,MATCH(O2311,Cargas,1))),Coluna_fis,1,1))*(PI()*(fi_s/1000)^2/4)*(2*9.81*(O2311/100-cota_s-fi_s/2/1000))^0.5*1000)))</f>
        <v>12926.11071132526</v>
      </c>
      <c r="R2311" s="19">
        <f t="shared" ca="1" si="265"/>
        <v>12990.575080145321</v>
      </c>
      <c r="S2311" s="19">
        <f t="shared" ca="1" si="266"/>
        <v>14519.41703892744</v>
      </c>
    </row>
    <row r="2312" spans="13:19">
      <c r="M2312" s="81">
        <f t="shared" ca="1" si="263"/>
        <v>27526.442746878696</v>
      </c>
      <c r="N2312" s="19">
        <f t="shared" si="264"/>
        <v>435.79457097840697</v>
      </c>
      <c r="O2312" s="17">
        <f t="shared" si="262"/>
        <v>577.75</v>
      </c>
      <c r="P2312" s="19">
        <f ca="1">IF(ISERROR(IF(O2312&lt;fi_h/20,0,(OFFSET('Base de dados'!$A$5,IF(O2312&lt;20,1,IF(O2312&gt;1000,10,MATCH(O2312,Cargas,1))),Coluna_fih,1,1))*(1+0.13*0.25)*(PI()*(fi_h/1000)^2/4)*SQRT(2*9.81*(O2312/100-fi_h/2/1000))*1000)),"",IF(O2312&lt;fi_h/20,0,(OFFSET('Base de dados'!$A$5,IF(O2312&lt;20,1,IF(O2312&gt;1000,10,MATCH(O2312,Cargas,1))),Coluna_fih,1,1))*(PI()*(fi_h/1000)^2/4)*SQRT(2*9.81*(O2312/100-fi_h/2/1000))*1000))</f>
        <v>64.478458222381605</v>
      </c>
      <c r="Q2312" s="19">
        <f ca="1">IF(O2312="","",IF(Tipo_Vertedor="Retangular",IF(O2312&lt;=cota_s*100,0,IF(Tipo_Vertedor="Retangular",Cd_sr*Lef_sr*((O2312/100-cota_s)^(3/2))*1000)),IF(O2312&lt;=cota_s*100+fi_s/20,0,(OFFSET('Base de dados'!$A$4,IF(O2312&lt;20,1,IF(O2312&gt;1000,10,MATCH(O2312,Cargas,1))),Coluna_fis,1,1))*(PI()*(fi_s/1000)^2/4)*(2*9.81*(O2312/100-cota_s-fi_s/2/1000))^0.5*1000)))</f>
        <v>12935.478589376082</v>
      </c>
      <c r="R2312" s="19">
        <f t="shared" ca="1" si="265"/>
        <v>12999.957047598464</v>
      </c>
      <c r="S2312" s="19">
        <f t="shared" ca="1" si="266"/>
        <v>14526.485699280232</v>
      </c>
    </row>
    <row r="2313" spans="13:19">
      <c r="M2313" s="81">
        <f t="shared" ca="1" si="263"/>
        <v>27542.896014605918</v>
      </c>
      <c r="N2313" s="19">
        <f t="shared" si="264"/>
        <v>436.00664222038131</v>
      </c>
      <c r="O2313" s="17">
        <f t="shared" si="262"/>
        <v>578</v>
      </c>
      <c r="P2313" s="19">
        <f ca="1">IF(ISERROR(IF(O2313&lt;fi_h/20,0,(OFFSET('Base de dados'!$A$5,IF(O2313&lt;20,1,IF(O2313&gt;1000,10,MATCH(O2313,Cargas,1))),Coluna_fih,1,1))*(1+0.13*0.25)*(PI()*(fi_h/1000)^2/4)*SQRT(2*9.81*(O2313/100-fi_h/2/1000))*1000)),"",IF(O2313&lt;fi_h/20,0,(OFFSET('Base de dados'!$A$5,IF(O2313&lt;20,1,IF(O2313&gt;1000,10,MATCH(O2313,Cargas,1))),Coluna_fih,1,1))*(PI()*(fi_h/1000)^2/4)*SQRT(2*9.81*(O2313/100-fi_h/2/1000))*1000))</f>
        <v>64.49254454665261</v>
      </c>
      <c r="Q2313" s="19">
        <f ca="1">IF(O2313="","",IF(Tipo_Vertedor="Retangular",IF(O2313&lt;=cota_s*100,0,IF(Tipo_Vertedor="Retangular",Cd_sr*Lef_sr*((O2313/100-cota_s)^(3/2))*1000)),IF(O2313&lt;=cota_s*100+fi_s/20,0,(OFFSET('Base de dados'!$A$4,IF(O2313&lt;20,1,IF(O2313&gt;1000,10,MATCH(O2313,Cargas,1))),Coluna_fis,1,1))*(PI()*(fi_s/1000)^2/4)*(2*9.81*(O2313/100-cota_s-fi_s/2/1000))^0.5*1000)))</f>
        <v>12944.848729379888</v>
      </c>
      <c r="R2313" s="19">
        <f t="shared" ca="1" si="265"/>
        <v>13009.34127392654</v>
      </c>
      <c r="S2313" s="19">
        <f t="shared" ca="1" si="266"/>
        <v>14533.554740679376</v>
      </c>
    </row>
    <row r="2314" spans="13:19">
      <c r="M2314" s="81">
        <f t="shared" ca="1" si="263"/>
        <v>27559.351921566245</v>
      </c>
      <c r="N2314" s="19">
        <f t="shared" si="264"/>
        <v>436.21872488941756</v>
      </c>
      <c r="O2314" s="17">
        <f t="shared" si="262"/>
        <v>578.25</v>
      </c>
      <c r="P2314" s="19">
        <f ca="1">IF(ISERROR(IF(O2314&lt;fi_h/20,0,(OFFSET('Base de dados'!$A$5,IF(O2314&lt;20,1,IF(O2314&gt;1000,10,MATCH(O2314,Cargas,1))),Coluna_fih,1,1))*(1+0.13*0.25)*(PI()*(fi_h/1000)^2/4)*SQRT(2*9.81*(O2314/100-fi_h/2/1000))*1000)),"",IF(O2314&lt;fi_h/20,0,(OFFSET('Base de dados'!$A$5,IF(O2314&lt;20,1,IF(O2314&gt;1000,10,MATCH(O2314,Cargas,1))),Coluna_fih,1,1))*(PI()*(fi_h/1000)^2/4)*SQRT(2*9.81*(O2314/100-fi_h/2/1000))*1000))</f>
        <v>64.506627794890463</v>
      </c>
      <c r="Q2314" s="19">
        <f ca="1">IF(O2314="","",IF(Tipo_Vertedor="Retangular",IF(O2314&lt;=cota_s*100,0,IF(Tipo_Vertedor="Retangular",Cd_sr*Lef_sr*((O2314/100-cota_s)^(3/2))*1000)),IF(O2314&lt;=cota_s*100+fi_s/20,0,(OFFSET('Base de dados'!$A$4,IF(O2314&lt;20,1,IF(O2314&gt;1000,10,MATCH(O2314,Cargas,1))),Coluna_fis,1,1))*(PI()*(fi_s/1000)^2/4)*(2*9.81*(O2314/100-cota_s-fi_s/2/1000))^0.5*1000)))</f>
        <v>12954.221130790769</v>
      </c>
      <c r="R2314" s="19">
        <f t="shared" ca="1" si="265"/>
        <v>13018.727758585659</v>
      </c>
      <c r="S2314" s="19">
        <f t="shared" ca="1" si="266"/>
        <v>14540.624162980586</v>
      </c>
    </row>
    <row r="2315" spans="13:19">
      <c r="M2315" s="81">
        <f t="shared" ca="1" si="263"/>
        <v>27575.810467072039</v>
      </c>
      <c r="N2315" s="19">
        <f t="shared" si="264"/>
        <v>436.43081898119101</v>
      </c>
      <c r="O2315" s="17">
        <f t="shared" si="262"/>
        <v>578.5</v>
      </c>
      <c r="P2315" s="19">
        <f ca="1">IF(ISERROR(IF(O2315&lt;fi_h/20,0,(OFFSET('Base de dados'!$A$5,IF(O2315&lt;20,1,IF(O2315&gt;1000,10,MATCH(O2315,Cargas,1))),Coluna_fih,1,1))*(1+0.13*0.25)*(PI()*(fi_h/1000)^2/4)*SQRT(2*9.81*(O2315/100-fi_h/2/1000))*1000)),"",IF(O2315&lt;fi_h/20,0,(OFFSET('Base de dados'!$A$5,IF(O2315&lt;20,1,IF(O2315&gt;1000,10,MATCH(O2315,Cargas,1))),Coluna_fih,1,1))*(PI()*(fi_h/1000)^2/4)*SQRT(2*9.81*(O2315/100-fi_h/2/1000))*1000))</f>
        <v>64.520707969109381</v>
      </c>
      <c r="Q2315" s="19">
        <f ca="1">IF(O2315="","",IF(Tipo_Vertedor="Retangular",IF(O2315&lt;=cota_s*100,0,IF(Tipo_Vertedor="Retangular",Cd_sr*Lef_sr*((O2315/100-cota_s)^(3/2))*1000)),IF(O2315&lt;=cota_s*100+fi_s/20,0,(OFFSET('Base de dados'!$A$4,IF(O2315&lt;20,1,IF(O2315&gt;1000,10,MATCH(O2315,Cargas,1))),Coluna_fis,1,1))*(PI()*(fi_s/1000)^2/4)*(2*9.81*(O2315/100-cota_s-fi_s/2/1000))^0.5*1000)))</f>
        <v>12963.595793063228</v>
      </c>
      <c r="R2315" s="19">
        <f t="shared" ca="1" si="265"/>
        <v>13028.116501032338</v>
      </c>
      <c r="S2315" s="19">
        <f t="shared" ca="1" si="266"/>
        <v>14547.6939660397</v>
      </c>
    </row>
    <row r="2316" spans="13:19">
      <c r="M2316" s="81">
        <f t="shared" ca="1" si="263"/>
        <v>27592.271650436116</v>
      </c>
      <c r="N2316" s="19">
        <f t="shared" si="264"/>
        <v>436.64292449137974</v>
      </c>
      <c r="O2316" s="17">
        <f t="shared" si="262"/>
        <v>578.75</v>
      </c>
      <c r="P2316" s="19">
        <f ca="1">IF(ISERROR(IF(O2316&lt;fi_h/20,0,(OFFSET('Base de dados'!$A$5,IF(O2316&lt;20,1,IF(O2316&gt;1000,10,MATCH(O2316,Cargas,1))),Coluna_fih,1,1))*(1+0.13*0.25)*(PI()*(fi_h/1000)^2/4)*SQRT(2*9.81*(O2316/100-fi_h/2/1000))*1000)),"",IF(O2316&lt;fi_h/20,0,(OFFSET('Base de dados'!$A$5,IF(O2316&lt;20,1,IF(O2316&gt;1000,10,MATCH(O2316,Cargas,1))),Coluna_fih,1,1))*(PI()*(fi_h/1000)^2/4)*SQRT(2*9.81*(O2316/100-fi_h/2/1000))*1000))</f>
        <v>64.53478507132148</v>
      </c>
      <c r="Q2316" s="19">
        <f ca="1">IF(O2316="","",IF(Tipo_Vertedor="Retangular",IF(O2316&lt;=cota_s*100,0,IF(Tipo_Vertedor="Retangular",Cd_sr*Lef_sr*((O2316/100-cota_s)^(3/2))*1000)),IF(O2316&lt;=cota_s*100+fi_s/20,0,(OFFSET('Base de dados'!$A$4,IF(O2316&lt;20,1,IF(O2316&gt;1000,10,MATCH(O2316,Cargas,1))),Coluna_fis,1,1))*(PI()*(fi_s/1000)^2/4)*(2*9.81*(O2316/100-cota_s-fi_s/2/1000))^0.5*1000)))</f>
        <v>12972.972715652135</v>
      </c>
      <c r="R2316" s="19">
        <f t="shared" ca="1" si="265"/>
        <v>13037.507500723455</v>
      </c>
      <c r="S2316" s="19">
        <f t="shared" ca="1" si="266"/>
        <v>14554.764149712659</v>
      </c>
    </row>
    <row r="2317" spans="13:19">
      <c r="M2317" s="81">
        <f t="shared" ca="1" si="263"/>
        <v>27608.735470971849</v>
      </c>
      <c r="N2317" s="19">
        <f t="shared" si="264"/>
        <v>436.85504141566594</v>
      </c>
      <c r="O2317" s="17">
        <f t="shared" si="262"/>
        <v>579</v>
      </c>
      <c r="P2317" s="19">
        <f ca="1">IF(ISERROR(IF(O2317&lt;fi_h/20,0,(OFFSET('Base de dados'!$A$5,IF(O2317&lt;20,1,IF(O2317&gt;1000,10,MATCH(O2317,Cargas,1))),Coluna_fih,1,1))*(1+0.13*0.25)*(PI()*(fi_h/1000)^2/4)*SQRT(2*9.81*(O2317/100-fi_h/2/1000))*1000)),"",IF(O2317&lt;fi_h/20,0,(OFFSET('Base de dados'!$A$5,IF(O2317&lt;20,1,IF(O2317&gt;1000,10,MATCH(O2317,Cargas,1))),Coluna_fih,1,1))*(PI()*(fi_h/1000)^2/4)*SQRT(2*9.81*(O2317/100-fi_h/2/1000))*1000))</f>
        <v>64.5488591035366</v>
      </c>
      <c r="Q2317" s="19">
        <f ca="1">IF(O2317="","",IF(Tipo_Vertedor="Retangular",IF(O2317&lt;=cota_s*100,0,IF(Tipo_Vertedor="Retangular",Cd_sr*Lef_sr*((O2317/100-cota_s)^(3/2))*1000)),IF(O2317&lt;=cota_s*100+fi_s/20,0,(OFFSET('Base de dados'!$A$4,IF(O2317&lt;20,1,IF(O2317&gt;1000,10,MATCH(O2317,Cargas,1))),Coluna_fis,1,1))*(PI()*(fi_s/1000)^2/4)*(2*9.81*(O2317/100-cota_s-fi_s/2/1000))^0.5*1000)))</f>
        <v>12982.351898012779</v>
      </c>
      <c r="R2317" s="19">
        <f t="shared" ca="1" si="265"/>
        <v>13046.900757116317</v>
      </c>
      <c r="S2317" s="19">
        <f t="shared" ca="1" si="266"/>
        <v>14561.834713855531</v>
      </c>
    </row>
    <row r="2318" spans="13:19">
      <c r="M2318" s="81">
        <f t="shared" ca="1" si="263"/>
        <v>27625.201927993112</v>
      </c>
      <c r="N2318" s="19">
        <f t="shared" si="264"/>
        <v>437.06716974973523</v>
      </c>
      <c r="O2318" s="17">
        <f t="shared" si="262"/>
        <v>579.25</v>
      </c>
      <c r="P2318" s="19">
        <f ca="1">IF(ISERROR(IF(O2318&lt;fi_h/20,0,(OFFSET('Base de dados'!$A$5,IF(O2318&lt;20,1,IF(O2318&gt;1000,10,MATCH(O2318,Cargas,1))),Coluna_fih,1,1))*(1+0.13*0.25)*(PI()*(fi_h/1000)^2/4)*SQRT(2*9.81*(O2318/100-fi_h/2/1000))*1000)),"",IF(O2318&lt;fi_h/20,0,(OFFSET('Base de dados'!$A$5,IF(O2318&lt;20,1,IF(O2318&gt;1000,10,MATCH(O2318,Cargas,1))),Coluna_fih,1,1))*(PI()*(fi_h/1000)^2/4)*SQRT(2*9.81*(O2318/100-fi_h/2/1000))*1000))</f>
        <v>64.562930067762423</v>
      </c>
      <c r="Q2318" s="19">
        <f ca="1">IF(O2318="","",IF(Tipo_Vertedor="Retangular",IF(O2318&lt;=cota_s*100,0,IF(Tipo_Vertedor="Retangular",Cd_sr*Lef_sr*((O2318/100-cota_s)^(3/2))*1000)),IF(O2318&lt;=cota_s*100+fi_s/20,0,(OFFSET('Base de dados'!$A$4,IF(O2318&lt;20,1,IF(O2318&gt;1000,10,MATCH(O2318,Cargas,1))),Coluna_fis,1,1))*(PI()*(fi_s/1000)^2/4)*(2*9.81*(O2318/100-cota_s-fi_s/2/1000))^0.5*1000)))</f>
        <v>12991.73333960084</v>
      </c>
      <c r="R2318" s="19">
        <f t="shared" ca="1" si="265"/>
        <v>13056.296269668603</v>
      </c>
      <c r="S2318" s="19">
        <f t="shared" ca="1" si="266"/>
        <v>14568.905658324507</v>
      </c>
    </row>
    <row r="2319" spans="13:19">
      <c r="M2319" s="81">
        <f t="shared" ca="1" si="263"/>
        <v>27641.671020814239</v>
      </c>
      <c r="N2319" s="19">
        <f t="shared" si="264"/>
        <v>437.2793094892761</v>
      </c>
      <c r="O2319" s="17">
        <f t="shared" si="262"/>
        <v>579.5</v>
      </c>
      <c r="P2319" s="19">
        <f ca="1">IF(ISERROR(IF(O2319&lt;fi_h/20,0,(OFFSET('Base de dados'!$A$5,IF(O2319&lt;20,1,IF(O2319&gt;1000,10,MATCH(O2319,Cargas,1))),Coluna_fih,1,1))*(1+0.13*0.25)*(PI()*(fi_h/1000)^2/4)*SQRT(2*9.81*(O2319/100-fi_h/2/1000))*1000)),"",IF(O2319&lt;fi_h/20,0,(OFFSET('Base de dados'!$A$5,IF(O2319&lt;20,1,IF(O2319&gt;1000,10,MATCH(O2319,Cargas,1))),Coluna_fih,1,1))*(PI()*(fi_h/1000)^2/4)*SQRT(2*9.81*(O2319/100-fi_h/2/1000))*1000))</f>
        <v>64.576997966004456</v>
      </c>
      <c r="Q2319" s="19">
        <f ca="1">IF(O2319="","",IF(Tipo_Vertedor="Retangular",IF(O2319&lt;=cota_s*100,0,IF(Tipo_Vertedor="Retangular",Cd_sr*Lef_sr*((O2319/100-cota_s)^(3/2))*1000)),IF(O2319&lt;=cota_s*100+fi_s/20,0,(OFFSET('Base de dados'!$A$4,IF(O2319&lt;20,1,IF(O2319&gt;1000,10,MATCH(O2319,Cargas,1))),Coluna_fis,1,1))*(PI()*(fi_s/1000)^2/4)*(2*9.81*(O2319/100-cota_s-fi_s/2/1000))^0.5*1000)))</f>
        <v>13001.117039872364</v>
      </c>
      <c r="R2319" s="19">
        <f t="shared" ca="1" si="265"/>
        <v>13065.69403783837</v>
      </c>
      <c r="S2319" s="19">
        <f t="shared" ca="1" si="266"/>
        <v>14575.97698297587</v>
      </c>
    </row>
    <row r="2320" spans="13:19">
      <c r="M2320" s="81">
        <f t="shared" ca="1" si="263"/>
        <v>27658.142748750146</v>
      </c>
      <c r="N2320" s="19">
        <f t="shared" si="264"/>
        <v>437.49146062998142</v>
      </c>
      <c r="O2320" s="17">
        <f t="shared" si="262"/>
        <v>579.75</v>
      </c>
      <c r="P2320" s="19">
        <f ca="1">IF(ISERROR(IF(O2320&lt;fi_h/20,0,(OFFSET('Base de dados'!$A$5,IF(O2320&lt;20,1,IF(O2320&gt;1000,10,MATCH(O2320,Cargas,1))),Coluna_fih,1,1))*(1+0.13*0.25)*(PI()*(fi_h/1000)^2/4)*SQRT(2*9.81*(O2320/100-fi_h/2/1000))*1000)),"",IF(O2320&lt;fi_h/20,0,(OFFSET('Base de dados'!$A$5,IF(O2320&lt;20,1,IF(O2320&gt;1000,10,MATCH(O2320,Cargas,1))),Coluna_fih,1,1))*(PI()*(fi_h/1000)^2/4)*SQRT(2*9.81*(O2320/100-fi_h/2/1000))*1000))</f>
        <v>64.591062800266002</v>
      </c>
      <c r="Q2320" s="19">
        <f ca="1">IF(O2320="","",IF(Tipo_Vertedor="Retangular",IF(O2320&lt;=cota_s*100,0,IF(Tipo_Vertedor="Retangular",Cd_sr*Lef_sr*((O2320/100-cota_s)^(3/2))*1000)),IF(O2320&lt;=cota_s*100+fi_s/20,0,(OFFSET('Base de dados'!$A$4,IF(O2320&lt;20,1,IF(O2320&gt;1000,10,MATCH(O2320,Cargas,1))),Coluna_fis,1,1))*(PI()*(fi_s/1000)^2/4)*(2*9.81*(O2320/100-cota_s-fi_s/2/1000))^0.5*1000)))</f>
        <v>13010.502998283833</v>
      </c>
      <c r="R2320" s="19">
        <f t="shared" ca="1" si="265"/>
        <v>13075.094061084099</v>
      </c>
      <c r="S2320" s="19">
        <f t="shared" ca="1" si="266"/>
        <v>14583.048687666047</v>
      </c>
    </row>
    <row r="2321" spans="13:19">
      <c r="M2321" s="81">
        <f t="shared" ca="1" si="263"/>
        <v>27674.617111116182</v>
      </c>
      <c r="N2321" s="19">
        <f t="shared" si="264"/>
        <v>437.70362316754688</v>
      </c>
      <c r="O2321" s="17">
        <f t="shared" si="262"/>
        <v>580</v>
      </c>
      <c r="P2321" s="19">
        <f ca="1">IF(ISERROR(IF(O2321&lt;fi_h/20,0,(OFFSET('Base de dados'!$A$5,IF(O2321&lt;20,1,IF(O2321&gt;1000,10,MATCH(O2321,Cargas,1))),Coluna_fih,1,1))*(1+0.13*0.25)*(PI()*(fi_h/1000)^2/4)*SQRT(2*9.81*(O2321/100-fi_h/2/1000))*1000)),"",IF(O2321&lt;fi_h/20,0,(OFFSET('Base de dados'!$A$5,IF(O2321&lt;20,1,IF(O2321&gt;1000,10,MATCH(O2321,Cargas,1))),Coluna_fih,1,1))*(PI()*(fi_h/1000)^2/4)*SQRT(2*9.81*(O2321/100-fi_h/2/1000))*1000))</f>
        <v>64.605124572548178</v>
      </c>
      <c r="Q2321" s="19">
        <f ca="1">IF(O2321="","",IF(Tipo_Vertedor="Retangular",IF(O2321&lt;=cota_s*100,0,IF(Tipo_Vertedor="Retangular",Cd_sr*Lef_sr*((O2321/100-cota_s)^(3/2))*1000)),IF(O2321&lt;=cota_s*100+fi_s/20,0,(OFFSET('Base de dados'!$A$4,IF(O2321&lt;20,1,IF(O2321&gt;1000,10,MATCH(O2321,Cargas,1))),Coluna_fis,1,1))*(PI()*(fi_s/1000)^2/4)*(2*9.81*(O2321/100-cota_s-fi_s/2/1000))^0.5*1000)))</f>
        <v>13019.891214292073</v>
      </c>
      <c r="R2321" s="19">
        <f t="shared" ca="1" si="265"/>
        <v>13084.496338864621</v>
      </c>
      <c r="S2321" s="19">
        <f t="shared" ca="1" si="266"/>
        <v>14590.120772251563</v>
      </c>
    </row>
    <row r="2322" spans="13:19">
      <c r="M2322" s="81">
        <f t="shared" ca="1" si="263"/>
        <v>27691.094107228284</v>
      </c>
      <c r="N2322" s="19">
        <f t="shared" si="264"/>
        <v>437.91579709767211</v>
      </c>
      <c r="O2322" s="17">
        <f t="shared" si="262"/>
        <v>580.25</v>
      </c>
      <c r="P2322" s="19">
        <f ca="1">IF(ISERROR(IF(O2322&lt;fi_h/20,0,(OFFSET('Base de dados'!$A$5,IF(O2322&lt;20,1,IF(O2322&gt;1000,10,MATCH(O2322,Cargas,1))),Coluna_fih,1,1))*(1+0.13*0.25)*(PI()*(fi_h/1000)^2/4)*SQRT(2*9.81*(O2322/100-fi_h/2/1000))*1000)),"",IF(O2322&lt;fi_h/20,0,(OFFSET('Base de dados'!$A$5,IF(O2322&lt;20,1,IF(O2322&gt;1000,10,MATCH(O2322,Cargas,1))),Coluna_fih,1,1))*(PI()*(fi_h/1000)^2/4)*SQRT(2*9.81*(O2322/100-fi_h/2/1000))*1000))</f>
        <v>64.619183284849953</v>
      </c>
      <c r="Q2322" s="19">
        <f ca="1">IF(O2322="","",IF(Tipo_Vertedor="Retangular",IF(O2322&lt;=cota_s*100,0,IF(Tipo_Vertedor="Retangular",Cd_sr*Lef_sr*((O2322/100-cota_s)^(3/2))*1000)),IF(O2322&lt;=cota_s*100+fi_s/20,0,(OFFSET('Base de dados'!$A$4,IF(O2322&lt;20,1,IF(O2322&gt;1000,10,MATCH(O2322,Cargas,1))),Coluna_fis,1,1))*(PI()*(fi_s/1000)^2/4)*(2*9.81*(O2322/100-cota_s-fi_s/2/1000))^0.5*1000)))</f>
        <v>13029.281687354362</v>
      </c>
      <c r="R2322" s="19">
        <f t="shared" ca="1" si="265"/>
        <v>13093.900870639212</v>
      </c>
      <c r="S2322" s="19">
        <f t="shared" ca="1" si="266"/>
        <v>14597.193236589072</v>
      </c>
    </row>
    <row r="2323" spans="13:19">
      <c r="M2323" s="81">
        <f t="shared" ca="1" si="263"/>
        <v>27707.573736402795</v>
      </c>
      <c r="N2323" s="19">
        <f t="shared" si="264"/>
        <v>438.12798241605969</v>
      </c>
      <c r="O2323" s="17">
        <f t="shared" ref="O2323:O2386" si="267">IF(ISERROR(IF(O2322+passo_altura&gt;h_max_puls*100,"",O2322+passo_altura)),"",IF(O2322+passo_altura&gt;h_max_puls*100,"",O2322+passo_altura))</f>
        <v>580.5</v>
      </c>
      <c r="P2323" s="19">
        <f ca="1">IF(ISERROR(IF(O2323&lt;fi_h/20,0,(OFFSET('Base de dados'!$A$5,IF(O2323&lt;20,1,IF(O2323&gt;1000,10,MATCH(O2323,Cargas,1))),Coluna_fih,1,1))*(1+0.13*0.25)*(PI()*(fi_h/1000)^2/4)*SQRT(2*9.81*(O2323/100-fi_h/2/1000))*1000)),"",IF(O2323&lt;fi_h/20,0,(OFFSET('Base de dados'!$A$5,IF(O2323&lt;20,1,IF(O2323&gt;1000,10,MATCH(O2323,Cargas,1))),Coluna_fih,1,1))*(PI()*(fi_h/1000)^2/4)*SQRT(2*9.81*(O2323/100-fi_h/2/1000))*1000))</f>
        <v>64.633238939168066</v>
      </c>
      <c r="Q2323" s="19">
        <f ca="1">IF(O2323="","",IF(Tipo_Vertedor="Retangular",IF(O2323&lt;=cota_s*100,0,IF(Tipo_Vertedor="Retangular",Cd_sr*Lef_sr*((O2323/100-cota_s)^(3/2))*1000)),IF(O2323&lt;=cota_s*100+fi_s/20,0,(OFFSET('Base de dados'!$A$4,IF(O2323&lt;20,1,IF(O2323&gt;1000,10,MATCH(O2323,Cargas,1))),Coluna_fis,1,1))*(PI()*(fi_s/1000)^2/4)*(2*9.81*(O2323/100-cota_s-fi_s/2/1000))^0.5*1000)))</f>
        <v>13038.674416928303</v>
      </c>
      <c r="R2323" s="19">
        <f t="shared" ca="1" si="265"/>
        <v>13103.307655867471</v>
      </c>
      <c r="S2323" s="19">
        <f t="shared" ca="1" si="266"/>
        <v>14604.266080535324</v>
      </c>
    </row>
    <row r="2324" spans="13:19">
      <c r="M2324" s="81">
        <f t="shared" ca="1" si="263"/>
        <v>27724.055997956642</v>
      </c>
      <c r="N2324" s="19">
        <f t="shared" si="264"/>
        <v>438.3401791184163</v>
      </c>
      <c r="O2324" s="17">
        <f t="shared" si="267"/>
        <v>580.75</v>
      </c>
      <c r="P2324" s="19">
        <f ca="1">IF(ISERROR(IF(O2324&lt;fi_h/20,0,(OFFSET('Base de dados'!$A$5,IF(O2324&lt;20,1,IF(O2324&gt;1000,10,MATCH(O2324,Cargas,1))),Coluna_fih,1,1))*(1+0.13*0.25)*(PI()*(fi_h/1000)^2/4)*SQRT(2*9.81*(O2324/100-fi_h/2/1000))*1000)),"",IF(O2324&lt;fi_h/20,0,(OFFSET('Base de dados'!$A$5,IF(O2324&lt;20,1,IF(O2324&gt;1000,10,MATCH(O2324,Cargas,1))),Coluna_fih,1,1))*(PI()*(fi_h/1000)^2/4)*SQRT(2*9.81*(O2324/100-fi_h/2/1000))*1000))</f>
        <v>64.647291537497168</v>
      </c>
      <c r="Q2324" s="19">
        <f ca="1">IF(O2324="","",IF(Tipo_Vertedor="Retangular",IF(O2324&lt;=cota_s*100,0,IF(Tipo_Vertedor="Retangular",Cd_sr*Lef_sr*((O2324/100-cota_s)^(3/2))*1000)),IF(O2324&lt;=cota_s*100+fi_s/20,0,(OFFSET('Base de dados'!$A$4,IF(O2324&lt;20,1,IF(O2324&gt;1000,10,MATCH(O2324,Cargas,1))),Coluna_fis,1,1))*(PI()*(fi_s/1000)^2/4)*(2*9.81*(O2324/100-cota_s-fi_s/2/1000))^0.5*1000)))</f>
        <v>13048.069402471934</v>
      </c>
      <c r="R2324" s="19">
        <f t="shared" ca="1" si="265"/>
        <v>13112.716694009432</v>
      </c>
      <c r="S2324" s="19">
        <f t="shared" ca="1" si="266"/>
        <v>14611.33930394721</v>
      </c>
    </row>
    <row r="2325" spans="13:19">
      <c r="M2325" s="81">
        <f t="shared" ca="1" si="263"/>
        <v>27740.540891207209</v>
      </c>
      <c r="N2325" s="19">
        <f t="shared" si="264"/>
        <v>438.55238720045139</v>
      </c>
      <c r="O2325" s="17">
        <f t="shared" si="267"/>
        <v>581</v>
      </c>
      <c r="P2325" s="19">
        <f ca="1">IF(ISERROR(IF(O2325&lt;fi_h/20,0,(OFFSET('Base de dados'!$A$5,IF(O2325&lt;20,1,IF(O2325&gt;1000,10,MATCH(O2325,Cargas,1))),Coluna_fih,1,1))*(1+0.13*0.25)*(PI()*(fi_h/1000)^2/4)*SQRT(2*9.81*(O2325/100-fi_h/2/1000))*1000)),"",IF(O2325&lt;fi_h/20,0,(OFFSET('Base de dados'!$A$5,IF(O2325&lt;20,1,IF(O2325&gt;1000,10,MATCH(O2325,Cargas,1))),Coluna_fih,1,1))*(PI()*(fi_h/1000)^2/4)*SQRT(2*9.81*(O2325/100-fi_h/2/1000))*1000))</f>
        <v>64.661341081829676</v>
      </c>
      <c r="Q2325" s="19">
        <f ca="1">IF(O2325="","",IF(Tipo_Vertedor="Retangular",IF(O2325&lt;=cota_s*100,0,IF(Tipo_Vertedor="Retangular",Cd_sr*Lef_sr*((O2325/100-cota_s)^(3/2))*1000)),IF(O2325&lt;=cota_s*100+fi_s/20,0,(OFFSET('Base de dados'!$A$4,IF(O2325&lt;20,1,IF(O2325&gt;1000,10,MATCH(O2325,Cargas,1))),Coluna_fis,1,1))*(PI()*(fi_s/1000)^2/4)*(2*9.81*(O2325/100-cota_s-fi_s/2/1000))^0.5*1000)))</f>
        <v>13057.466643443664</v>
      </c>
      <c r="R2325" s="19">
        <f t="shared" ca="1" si="265"/>
        <v>13122.127984525494</v>
      </c>
      <c r="S2325" s="19">
        <f t="shared" ca="1" si="266"/>
        <v>14618.412906681713</v>
      </c>
    </row>
    <row r="2326" spans="13:19">
      <c r="M2326" s="81">
        <f t="shared" ca="1" si="263"/>
        <v>27757.028415472425</v>
      </c>
      <c r="N2326" s="19">
        <f t="shared" si="264"/>
        <v>438.76460665787863</v>
      </c>
      <c r="O2326" s="17">
        <f t="shared" si="267"/>
        <v>581.25</v>
      </c>
      <c r="P2326" s="19">
        <f ca="1">IF(ISERROR(IF(O2326&lt;fi_h/20,0,(OFFSET('Base de dados'!$A$5,IF(O2326&lt;20,1,IF(O2326&gt;1000,10,MATCH(O2326,Cargas,1))),Coluna_fih,1,1))*(1+0.13*0.25)*(PI()*(fi_h/1000)^2/4)*SQRT(2*9.81*(O2326/100-fi_h/2/1000))*1000)),"",IF(O2326&lt;fi_h/20,0,(OFFSET('Base de dados'!$A$5,IF(O2326&lt;20,1,IF(O2326&gt;1000,10,MATCH(O2326,Cargas,1))),Coluna_fih,1,1))*(PI()*(fi_h/1000)^2/4)*SQRT(2*9.81*(O2326/100-fi_h/2/1000))*1000))</f>
        <v>64.675387574155891</v>
      </c>
      <c r="Q2326" s="19">
        <f ca="1">IF(O2326="","",IF(Tipo_Vertedor="Retangular",IF(O2326&lt;=cota_s*100,0,IF(Tipo_Vertedor="Retangular",Cd_sr*Lef_sr*((O2326/100-cota_s)^(3/2))*1000)),IF(O2326&lt;=cota_s*100+fi_s/20,0,(OFFSET('Base de dados'!$A$4,IF(O2326&lt;20,1,IF(O2326&gt;1000,10,MATCH(O2326,Cargas,1))),Coluna_fis,1,1))*(PI()*(fi_s/1000)^2/4)*(2*9.81*(O2326/100-cota_s-fi_s/2/1000))^0.5*1000)))</f>
        <v>13066.866139302316</v>
      </c>
      <c r="R2326" s="19">
        <f t="shared" ca="1" si="265"/>
        <v>13131.541526876472</v>
      </c>
      <c r="S2326" s="19">
        <f t="shared" ca="1" si="266"/>
        <v>14625.486888595953</v>
      </c>
    </row>
    <row r="2327" spans="13:19">
      <c r="M2327" s="81">
        <f t="shared" ref="M2327:M2390" ca="1" si="268">IF(O2327="","",2*N2327*1000/(Passo*60)+R2327)</f>
        <v>27773.51857007069</v>
      </c>
      <c r="N2327" s="19">
        <f t="shared" ref="N2327:N2390" si="269">IF(O2327="","",b_0*(O2327/100)^c_0)</f>
        <v>438.97683748641475</v>
      </c>
      <c r="O2327" s="17">
        <f t="shared" si="267"/>
        <v>581.5</v>
      </c>
      <c r="P2327" s="19">
        <f ca="1">IF(ISERROR(IF(O2327&lt;fi_h/20,0,(OFFSET('Base de dados'!$A$5,IF(O2327&lt;20,1,IF(O2327&gt;1000,10,MATCH(O2327,Cargas,1))),Coluna_fih,1,1))*(1+0.13*0.25)*(PI()*(fi_h/1000)^2/4)*SQRT(2*9.81*(O2327/100-fi_h/2/1000))*1000)),"",IF(O2327&lt;fi_h/20,0,(OFFSET('Base de dados'!$A$5,IF(O2327&lt;20,1,IF(O2327&gt;1000,10,MATCH(O2327,Cargas,1))),Coluna_fih,1,1))*(PI()*(fi_h/1000)^2/4)*SQRT(2*9.81*(O2327/100-fi_h/2/1000))*1000))</f>
        <v>64.689431016463885</v>
      </c>
      <c r="Q2327" s="19">
        <f ca="1">IF(O2327="","",IF(Tipo_Vertedor="Retangular",IF(O2327&lt;=cota_s*100,0,IF(Tipo_Vertedor="Retangular",Cd_sr*Lef_sr*((O2327/100-cota_s)^(3/2))*1000)),IF(O2327&lt;=cota_s*100+fi_s/20,0,(OFFSET('Base de dados'!$A$4,IF(O2327&lt;20,1,IF(O2327&gt;1000,10,MATCH(O2327,Cargas,1))),Coluna_fis,1,1))*(PI()*(fi_s/1000)^2/4)*(2*9.81*(O2327/100-cota_s-fi_s/2/1000))^0.5*1000)))</f>
        <v>13076.267889507066</v>
      </c>
      <c r="R2327" s="19">
        <f t="shared" ref="R2327:R2390" ca="1" si="270">IF(O2327="","",Q2327+P2327)</f>
        <v>13140.95732052353</v>
      </c>
      <c r="S2327" s="19">
        <f t="shared" ref="S2327:S2390" ca="1" si="271">IF(M2327="","",2*N2327*1000/(Passo*60))</f>
        <v>14632.56124954716</v>
      </c>
    </row>
    <row r="2328" spans="13:19">
      <c r="M2328" s="81">
        <f t="shared" ca="1" si="268"/>
        <v>27790.011354320894</v>
      </c>
      <c r="N2328" s="19">
        <f t="shared" si="269"/>
        <v>439.1890796817795</v>
      </c>
      <c r="O2328" s="17">
        <f t="shared" si="267"/>
        <v>581.75</v>
      </c>
      <c r="P2328" s="19">
        <f ca="1">IF(ISERROR(IF(O2328&lt;fi_h/20,0,(OFFSET('Base de dados'!$A$5,IF(O2328&lt;20,1,IF(O2328&gt;1000,10,MATCH(O2328,Cargas,1))),Coluna_fih,1,1))*(1+0.13*0.25)*(PI()*(fi_h/1000)^2/4)*SQRT(2*9.81*(O2328/100-fi_h/2/1000))*1000)),"",IF(O2328&lt;fi_h/20,0,(OFFSET('Base de dados'!$A$5,IF(O2328&lt;20,1,IF(O2328&gt;1000,10,MATCH(O2328,Cargas,1))),Coluna_fih,1,1))*(PI()*(fi_h/1000)^2/4)*SQRT(2*9.81*(O2328/100-fi_h/2/1000))*1000))</f>
        <v>64.703471410739652</v>
      </c>
      <c r="Q2328" s="19">
        <f ca="1">IF(O2328="","",IF(Tipo_Vertedor="Retangular",IF(O2328&lt;=cota_s*100,0,IF(Tipo_Vertedor="Retangular",Cd_sr*Lef_sr*((O2328/100-cota_s)^(3/2))*1000)),IF(O2328&lt;=cota_s*100+fi_s/20,0,(OFFSET('Base de dados'!$A$4,IF(O2328&lt;20,1,IF(O2328&gt;1000,10,MATCH(O2328,Cargas,1))),Coluna_fis,1,1))*(PI()*(fi_s/1000)^2/4)*(2*9.81*(O2328/100-cota_s-fi_s/2/1000))^0.5*1000)))</f>
        <v>13085.671893517505</v>
      </c>
      <c r="R2328" s="19">
        <f t="shared" ca="1" si="270"/>
        <v>13150.375364928244</v>
      </c>
      <c r="S2328" s="19">
        <f t="shared" ca="1" si="271"/>
        <v>14639.635989392649</v>
      </c>
    </row>
    <row r="2329" spans="13:19">
      <c r="M2329" s="81">
        <f t="shared" ca="1" si="268"/>
        <v>27806.506767542473</v>
      </c>
      <c r="N2329" s="19">
        <f t="shared" si="269"/>
        <v>439.4013332396969</v>
      </c>
      <c r="O2329" s="17">
        <f t="shared" si="267"/>
        <v>582</v>
      </c>
      <c r="P2329" s="19">
        <f ca="1">IF(ISERROR(IF(O2329&lt;fi_h/20,0,(OFFSET('Base de dados'!$A$5,IF(O2329&lt;20,1,IF(O2329&gt;1000,10,MATCH(O2329,Cargas,1))),Coluna_fih,1,1))*(1+0.13*0.25)*(PI()*(fi_h/1000)^2/4)*SQRT(2*9.81*(O2329/100-fi_h/2/1000))*1000)),"",IF(O2329&lt;fi_h/20,0,(OFFSET('Base de dados'!$A$5,IF(O2329&lt;20,1,IF(O2329&gt;1000,10,MATCH(O2329,Cargas,1))),Coluna_fih,1,1))*(PI()*(fi_h/1000)^2/4)*SQRT(2*9.81*(O2329/100-fi_h/2/1000))*1000))</f>
        <v>64.717508758966972</v>
      </c>
      <c r="Q2329" s="19">
        <f ca="1">IF(O2329="","",IF(Tipo_Vertedor="Retangular",IF(O2329&lt;=cota_s*100,0,IF(Tipo_Vertedor="Retangular",Cd_sr*Lef_sr*((O2329/100-cota_s)^(3/2))*1000)),IF(O2329&lt;=cota_s*100+fi_s/20,0,(OFFSET('Base de dados'!$A$4,IF(O2329&lt;20,1,IF(O2329&gt;1000,10,MATCH(O2329,Cargas,1))),Coluna_fis,1,1))*(PI()*(fi_s/1000)^2/4)*(2*9.81*(O2329/100-cota_s-fi_s/2/1000))^0.5*1000)))</f>
        <v>13095.078150793608</v>
      </c>
      <c r="R2329" s="19">
        <f t="shared" ca="1" si="270"/>
        <v>13159.795659552576</v>
      </c>
      <c r="S2329" s="19">
        <f t="shared" ca="1" si="271"/>
        <v>14646.711107989897</v>
      </c>
    </row>
    <row r="2330" spans="13:19">
      <c r="M2330" s="81">
        <f t="shared" ca="1" si="268"/>
        <v>27823.00480905531</v>
      </c>
      <c r="N2330" s="19">
        <f t="shared" si="269"/>
        <v>439.61359815589384</v>
      </c>
      <c r="O2330" s="17">
        <f t="shared" si="267"/>
        <v>582.25</v>
      </c>
      <c r="P2330" s="19">
        <f ca="1">IF(ISERROR(IF(O2330&lt;fi_h/20,0,(OFFSET('Base de dados'!$A$5,IF(O2330&lt;20,1,IF(O2330&gt;1000,10,MATCH(O2330,Cargas,1))),Coluna_fih,1,1))*(1+0.13*0.25)*(PI()*(fi_h/1000)^2/4)*SQRT(2*9.81*(O2330/100-fi_h/2/1000))*1000)),"",IF(O2330&lt;fi_h/20,0,(OFFSET('Base de dados'!$A$5,IF(O2330&lt;20,1,IF(O2330&gt;1000,10,MATCH(O2330,Cargas,1))),Coluna_fih,1,1))*(PI()*(fi_h/1000)^2/4)*SQRT(2*9.81*(O2330/100-fi_h/2/1000))*1000))</f>
        <v>64.731543063127475</v>
      </c>
      <c r="Q2330" s="19">
        <f ca="1">IF(O2330="","",IF(Tipo_Vertedor="Retangular",IF(O2330&lt;=cota_s*100,0,IF(Tipo_Vertedor="Retangular",Cd_sr*Lef_sr*((O2330/100-cota_s)^(3/2))*1000)),IF(O2330&lt;=cota_s*100+fi_s/20,0,(OFFSET('Base de dados'!$A$4,IF(O2330&lt;20,1,IF(O2330&gt;1000,10,MATCH(O2330,Cargas,1))),Coluna_fis,1,1))*(PI()*(fi_s/1000)^2/4)*(2*9.81*(O2330/100-cota_s-fi_s/2/1000))^0.5*1000)))</f>
        <v>13104.486660795723</v>
      </c>
      <c r="R2330" s="19">
        <f t="shared" ca="1" si="270"/>
        <v>13169.218203858851</v>
      </c>
      <c r="S2330" s="19">
        <f t="shared" ca="1" si="271"/>
        <v>14653.786605196461</v>
      </c>
    </row>
    <row r="2331" spans="13:19">
      <c r="M2331" s="81">
        <f t="shared" ca="1" si="268"/>
        <v>27839.505478179857</v>
      </c>
      <c r="N2331" s="19">
        <f t="shared" si="269"/>
        <v>439.82587442610117</v>
      </c>
      <c r="O2331" s="17">
        <f t="shared" si="267"/>
        <v>582.5</v>
      </c>
      <c r="P2331" s="19">
        <f ca="1">IF(ISERROR(IF(O2331&lt;fi_h/20,0,(OFFSET('Base de dados'!$A$5,IF(O2331&lt;20,1,IF(O2331&gt;1000,10,MATCH(O2331,Cargas,1))),Coluna_fih,1,1))*(1+0.13*0.25)*(PI()*(fi_h/1000)^2/4)*SQRT(2*9.81*(O2331/100-fi_h/2/1000))*1000)),"",IF(O2331&lt;fi_h/20,0,(OFFSET('Base de dados'!$A$5,IF(O2331&lt;20,1,IF(O2331&gt;1000,10,MATCH(O2331,Cargas,1))),Coluna_fih,1,1))*(PI()*(fi_h/1000)^2/4)*SQRT(2*9.81*(O2331/100-fi_h/2/1000))*1000))</f>
        <v>64.745574325200707</v>
      </c>
      <c r="Q2331" s="19">
        <f ca="1">IF(O2331="","",IF(Tipo_Vertedor="Retangular",IF(O2331&lt;=cota_s*100,0,IF(Tipo_Vertedor="Retangular",Cd_sr*Lef_sr*((O2331/100-cota_s)^(3/2))*1000)),IF(O2331&lt;=cota_s*100+fi_s/20,0,(OFFSET('Base de dados'!$A$4,IF(O2331&lt;20,1,IF(O2331&gt;1000,10,MATCH(O2331,Cargas,1))),Coluna_fis,1,1))*(PI()*(fi_s/1000)^2/4)*(2*9.81*(O2331/100-cota_s-fi_s/2/1000))^0.5*1000)))</f>
        <v>13113.897422984617</v>
      </c>
      <c r="R2331" s="19">
        <f t="shared" ca="1" si="270"/>
        <v>13178.642997309818</v>
      </c>
      <c r="S2331" s="19">
        <f t="shared" ca="1" si="271"/>
        <v>14660.862480870039</v>
      </c>
    </row>
    <row r="2332" spans="13:19">
      <c r="M2332" s="81">
        <f t="shared" ca="1" si="268"/>
        <v>27856.008774236991</v>
      </c>
      <c r="N2332" s="19">
        <f t="shared" si="269"/>
        <v>440.03816204605255</v>
      </c>
      <c r="O2332" s="17">
        <f t="shared" si="267"/>
        <v>582.75</v>
      </c>
      <c r="P2332" s="19">
        <f ca="1">IF(ISERROR(IF(O2332&lt;fi_h/20,0,(OFFSET('Base de dados'!$A$5,IF(O2332&lt;20,1,IF(O2332&gt;1000,10,MATCH(O2332,Cargas,1))),Coluna_fih,1,1))*(1+0.13*0.25)*(PI()*(fi_h/1000)^2/4)*SQRT(2*9.81*(O2332/100-fi_h/2/1000))*1000)),"",IF(O2332&lt;fi_h/20,0,(OFFSET('Base de dados'!$A$5,IF(O2332&lt;20,1,IF(O2332&gt;1000,10,MATCH(O2332,Cargas,1))),Coluna_fih,1,1))*(PI()*(fi_h/1000)^2/4)*SQRT(2*9.81*(O2332/100-fi_h/2/1000))*1000))</f>
        <v>64.759602547164008</v>
      </c>
      <c r="Q2332" s="19">
        <f ca="1">IF(O2332="","",IF(Tipo_Vertedor="Retangular",IF(O2332&lt;=cota_s*100,0,IF(Tipo_Vertedor="Retangular",Cd_sr*Lef_sr*((O2332/100-cota_s)^(3/2))*1000)),IF(O2332&lt;=cota_s*100+fi_s/20,0,(OFFSET('Base de dados'!$A$4,IF(O2332&lt;20,1,IF(O2332&gt;1000,10,MATCH(O2332,Cargas,1))),Coluna_fis,1,1))*(PI()*(fi_s/1000)^2/4)*(2*9.81*(O2332/100-cota_s-fi_s/2/1000))^0.5*1000)))</f>
        <v>13123.310436821406</v>
      </c>
      <c r="R2332" s="19">
        <f t="shared" ca="1" si="270"/>
        <v>13188.070039368571</v>
      </c>
      <c r="S2332" s="19">
        <f t="shared" ca="1" si="271"/>
        <v>14667.938734868419</v>
      </c>
    </row>
    <row r="2333" spans="13:19">
      <c r="M2333" s="81">
        <f t="shared" ca="1" si="268"/>
        <v>27872.51469654814</v>
      </c>
      <c r="N2333" s="19">
        <f t="shared" si="269"/>
        <v>440.25046101148553</v>
      </c>
      <c r="O2333" s="17">
        <f t="shared" si="267"/>
        <v>583</v>
      </c>
      <c r="P2333" s="19">
        <f ca="1">IF(ISERROR(IF(O2333&lt;fi_h/20,0,(OFFSET('Base de dados'!$A$5,IF(O2333&lt;20,1,IF(O2333&gt;1000,10,MATCH(O2333,Cargas,1))),Coluna_fih,1,1))*(1+0.13*0.25)*(PI()*(fi_h/1000)^2/4)*SQRT(2*9.81*(O2333/100-fi_h/2/1000))*1000)),"",IF(O2333&lt;fi_h/20,0,(OFFSET('Base de dados'!$A$5,IF(O2333&lt;20,1,IF(O2333&gt;1000,10,MATCH(O2333,Cargas,1))),Coluna_fih,1,1))*(PI()*(fi_h/1000)^2/4)*SQRT(2*9.81*(O2333/100-fi_h/2/1000))*1000))</f>
        <v>64.773627730992601</v>
      </c>
      <c r="Q2333" s="19">
        <f ca="1">IF(O2333="","",IF(Tipo_Vertedor="Retangular",IF(O2333&lt;=cota_s*100,0,IF(Tipo_Vertedor="Retangular",Cd_sr*Lef_sr*((O2333/100-cota_s)^(3/2))*1000)),IF(O2333&lt;=cota_s*100+fi_s/20,0,(OFFSET('Base de dados'!$A$4,IF(O2333&lt;20,1,IF(O2333&gt;1000,10,MATCH(O2333,Cargas,1))),Coluna_fis,1,1))*(PI()*(fi_s/1000)^2/4)*(2*9.81*(O2333/100-cota_s-fi_s/2/1000))^0.5*1000)))</f>
        <v>13132.725701767629</v>
      </c>
      <c r="R2333" s="19">
        <f t="shared" ca="1" si="270"/>
        <v>13197.499329498622</v>
      </c>
      <c r="S2333" s="19">
        <f t="shared" ca="1" si="271"/>
        <v>14675.015367049518</v>
      </c>
    </row>
    <row r="2334" spans="13:19">
      <c r="M2334" s="81">
        <f t="shared" ca="1" si="268"/>
        <v>27889.023244435197</v>
      </c>
      <c r="N2334" s="19">
        <f t="shared" si="269"/>
        <v>440.46277131814077</v>
      </c>
      <c r="O2334" s="17">
        <f t="shared" si="267"/>
        <v>583.25</v>
      </c>
      <c r="P2334" s="19">
        <f ca="1">IF(ISERROR(IF(O2334&lt;fi_h/20,0,(OFFSET('Base de dados'!$A$5,IF(O2334&lt;20,1,IF(O2334&gt;1000,10,MATCH(O2334,Cargas,1))),Coluna_fih,1,1))*(1+0.13*0.25)*(PI()*(fi_h/1000)^2/4)*SQRT(2*9.81*(O2334/100-fi_h/2/1000))*1000)),"",IF(O2334&lt;fi_h/20,0,(OFFSET('Base de dados'!$A$5,IF(O2334&lt;20,1,IF(O2334&gt;1000,10,MATCH(O2334,Cargas,1))),Coluna_fih,1,1))*(PI()*(fi_h/1000)^2/4)*SQRT(2*9.81*(O2334/100-fi_h/2/1000))*1000))</f>
        <v>64.78764987865955</v>
      </c>
      <c r="Q2334" s="19">
        <f ca="1">IF(O2334="","",IF(Tipo_Vertedor="Retangular",IF(O2334&lt;=cota_s*100,0,IF(Tipo_Vertedor="Retangular",Cd_sr*Lef_sr*((O2334/100-cota_s)^(3/2))*1000)),IF(O2334&lt;=cota_s*100+fi_s/20,0,(OFFSET('Base de dados'!$A$4,IF(O2334&lt;20,1,IF(O2334&gt;1000,10,MATCH(O2334,Cargas,1))),Coluna_fis,1,1))*(PI()*(fi_s/1000)^2/4)*(2*9.81*(O2334/100-cota_s-fi_s/2/1000))^0.5*1000)))</f>
        <v>13142.143217285178</v>
      </c>
      <c r="R2334" s="19">
        <f t="shared" ca="1" si="270"/>
        <v>13206.930867163837</v>
      </c>
      <c r="S2334" s="19">
        <f t="shared" ca="1" si="271"/>
        <v>14682.09237727136</v>
      </c>
    </row>
    <row r="2335" spans="13:19">
      <c r="M2335" s="81">
        <f t="shared" ca="1" si="268"/>
        <v>27905.534417220581</v>
      </c>
      <c r="N2335" s="19">
        <f t="shared" si="269"/>
        <v>440.6750929617628</v>
      </c>
      <c r="O2335" s="17">
        <f t="shared" si="267"/>
        <v>583.5</v>
      </c>
      <c r="P2335" s="19">
        <f ca="1">IF(ISERROR(IF(O2335&lt;fi_h/20,0,(OFFSET('Base de dados'!$A$5,IF(O2335&lt;20,1,IF(O2335&gt;1000,10,MATCH(O2335,Cargas,1))),Coluna_fih,1,1))*(1+0.13*0.25)*(PI()*(fi_h/1000)^2/4)*SQRT(2*9.81*(O2335/100-fi_h/2/1000))*1000)),"",IF(O2335&lt;fi_h/20,0,(OFFSET('Base de dados'!$A$5,IF(O2335&lt;20,1,IF(O2335&gt;1000,10,MATCH(O2335,Cargas,1))),Coluna_fih,1,1))*(PI()*(fi_h/1000)^2/4)*SQRT(2*9.81*(O2335/100-fi_h/2/1000))*1000))</f>
        <v>64.801668992135831</v>
      </c>
      <c r="Q2335" s="19">
        <f ca="1">IF(O2335="","",IF(Tipo_Vertedor="Retangular",IF(O2335&lt;=cota_s*100,0,IF(Tipo_Vertedor="Retangular",Cd_sr*Lef_sr*((O2335/100-cota_s)^(3/2))*1000)),IF(O2335&lt;=cota_s*100+fi_s/20,0,(OFFSET('Base de dados'!$A$4,IF(O2335&lt;20,1,IF(O2335&gt;1000,10,MATCH(O2335,Cargas,1))),Coluna_fis,1,1))*(PI()*(fi_s/1000)^2/4)*(2*9.81*(O2335/100-cota_s-fi_s/2/1000))^0.5*1000)))</f>
        <v>13151.562982836354</v>
      </c>
      <c r="R2335" s="19">
        <f t="shared" ca="1" si="270"/>
        <v>13216.36465182849</v>
      </c>
      <c r="S2335" s="19">
        <f t="shared" ca="1" si="271"/>
        <v>14689.169765392093</v>
      </c>
    </row>
    <row r="2336" spans="13:19">
      <c r="M2336" s="81">
        <f t="shared" ca="1" si="268"/>
        <v>27922.048214227201</v>
      </c>
      <c r="N2336" s="19">
        <f t="shared" si="269"/>
        <v>440.88742593809906</v>
      </c>
      <c r="O2336" s="17">
        <f t="shared" si="267"/>
        <v>583.75</v>
      </c>
      <c r="P2336" s="19">
        <f ca="1">IF(ISERROR(IF(O2336&lt;fi_h/20,0,(OFFSET('Base de dados'!$A$5,IF(O2336&lt;20,1,IF(O2336&gt;1000,10,MATCH(O2336,Cargas,1))),Coluna_fih,1,1))*(1+0.13*0.25)*(PI()*(fi_h/1000)^2/4)*SQRT(2*9.81*(O2336/100-fi_h/2/1000))*1000)),"",IF(O2336&lt;fi_h/20,0,(OFFSET('Base de dados'!$A$5,IF(O2336&lt;20,1,IF(O2336&gt;1000,10,MATCH(O2336,Cargas,1))),Coluna_fih,1,1))*(PI()*(fi_h/1000)^2/4)*SQRT(2*9.81*(O2336/100-fi_h/2/1000))*1000))</f>
        <v>64.815685073390213</v>
      </c>
      <c r="Q2336" s="19">
        <f ca="1">IF(O2336="","",IF(Tipo_Vertedor="Retangular",IF(O2336&lt;=cota_s*100,0,IF(Tipo_Vertedor="Retangular",Cd_sr*Lef_sr*((O2336/100-cota_s)^(3/2))*1000)),IF(O2336&lt;=cota_s*100+fi_s/20,0,(OFFSET('Base de dados'!$A$4,IF(O2336&lt;20,1,IF(O2336&gt;1000,10,MATCH(O2336,Cargas,1))),Coluna_fis,1,1))*(PI()*(fi_s/1000)^2/4)*(2*9.81*(O2336/100-cota_s-fi_s/2/1000))^0.5*1000)))</f>
        <v>13160.984997883841</v>
      </c>
      <c r="R2336" s="19">
        <f t="shared" ca="1" si="270"/>
        <v>13225.800682957231</v>
      </c>
      <c r="S2336" s="19">
        <f t="shared" ca="1" si="271"/>
        <v>14696.247531269968</v>
      </c>
    </row>
    <row r="2337" spans="13:19">
      <c r="M2337" s="81">
        <f t="shared" ca="1" si="268"/>
        <v>27938.564634778431</v>
      </c>
      <c r="N2337" s="19">
        <f t="shared" si="269"/>
        <v>441.0997702429006</v>
      </c>
      <c r="O2337" s="17">
        <f t="shared" si="267"/>
        <v>584</v>
      </c>
      <c r="P2337" s="19">
        <f ca="1">IF(ISERROR(IF(O2337&lt;fi_h/20,0,(OFFSET('Base de dados'!$A$5,IF(O2337&lt;20,1,IF(O2337&gt;1000,10,MATCH(O2337,Cargas,1))),Coluna_fih,1,1))*(1+0.13*0.25)*(PI()*(fi_h/1000)^2/4)*SQRT(2*9.81*(O2337/100-fi_h/2/1000))*1000)),"",IF(O2337&lt;fi_h/20,0,(OFFSET('Base de dados'!$A$5,IF(O2337&lt;20,1,IF(O2337&gt;1000,10,MATCH(O2337,Cargas,1))),Coluna_fih,1,1))*(PI()*(fi_h/1000)^2/4)*SQRT(2*9.81*(O2337/100-fi_h/2/1000))*1000))</f>
        <v>64.829698124389424</v>
      </c>
      <c r="Q2337" s="19">
        <f ca="1">IF(O2337="","",IF(Tipo_Vertedor="Retangular",IF(O2337&lt;=cota_s*100,0,IF(Tipo_Vertedor="Retangular",Cd_sr*Lef_sr*((O2337/100-cota_s)^(3/2))*1000)),IF(O2337&lt;=cota_s*100+fi_s/20,0,(OFFSET('Base de dados'!$A$4,IF(O2337&lt;20,1,IF(O2337&gt;1000,10,MATCH(O2337,Cargas,1))),Coluna_fis,1,1))*(PI()*(fi_s/1000)^2/4)*(2*9.81*(O2337/100-cota_s-fi_s/2/1000))^0.5*1000)))</f>
        <v>13170.409261890689</v>
      </c>
      <c r="R2337" s="19">
        <f t="shared" ca="1" si="270"/>
        <v>13235.238960015078</v>
      </c>
      <c r="S2337" s="19">
        <f t="shared" ca="1" si="271"/>
        <v>14703.325674763353</v>
      </c>
    </row>
    <row r="2338" spans="13:19">
      <c r="M2338" s="81">
        <f t="shared" ca="1" si="268"/>
        <v>27955.083678198193</v>
      </c>
      <c r="N2338" s="19">
        <f t="shared" si="269"/>
        <v>441.31212587192221</v>
      </c>
      <c r="O2338" s="17">
        <f t="shared" si="267"/>
        <v>584.25</v>
      </c>
      <c r="P2338" s="19">
        <f ca="1">IF(ISERROR(IF(O2338&lt;fi_h/20,0,(OFFSET('Base de dados'!$A$5,IF(O2338&lt;20,1,IF(O2338&gt;1000,10,MATCH(O2338,Cargas,1))),Coluna_fih,1,1))*(1+0.13*0.25)*(PI()*(fi_h/1000)^2/4)*SQRT(2*9.81*(O2338/100-fi_h/2/1000))*1000)),"",IF(O2338&lt;fi_h/20,0,(OFFSET('Base de dados'!$A$5,IF(O2338&lt;20,1,IF(O2338&gt;1000,10,MATCH(O2338,Cargas,1))),Coluna_fih,1,1))*(PI()*(fi_h/1000)^2/4)*SQRT(2*9.81*(O2338/100-fi_h/2/1000))*1000))</f>
        <v>64.843708147097999</v>
      </c>
      <c r="Q2338" s="19">
        <f ca="1">IF(O2338="","",IF(Tipo_Vertedor="Retangular",IF(O2338&lt;=cota_s*100,0,IF(Tipo_Vertedor="Retangular",Cd_sr*Lef_sr*((O2338/100-cota_s)^(3/2))*1000)),IF(O2338&lt;=cota_s*100+fi_s/20,0,(OFFSET('Base de dados'!$A$4,IF(O2338&lt;20,1,IF(O2338&gt;1000,10,MATCH(O2338,Cargas,1))),Coluna_fis,1,1))*(PI()*(fi_s/1000)^2/4)*(2*9.81*(O2338/100-cota_s-fi_s/2/1000))^0.5*1000)))</f>
        <v>13179.835774320352</v>
      </c>
      <c r="R2338" s="19">
        <f t="shared" ca="1" si="270"/>
        <v>13244.679482467451</v>
      </c>
      <c r="S2338" s="19">
        <f t="shared" ca="1" si="271"/>
        <v>14710.40419573074</v>
      </c>
    </row>
    <row r="2339" spans="13:19">
      <c r="M2339" s="81">
        <f t="shared" ca="1" si="268"/>
        <v>27971.605343810857</v>
      </c>
      <c r="N2339" s="19">
        <f t="shared" si="269"/>
        <v>441.52449282092141</v>
      </c>
      <c r="O2339" s="17">
        <f t="shared" si="267"/>
        <v>584.5</v>
      </c>
      <c r="P2339" s="19">
        <f ca="1">IF(ISERROR(IF(O2339&lt;fi_h/20,0,(OFFSET('Base de dados'!$A$5,IF(O2339&lt;20,1,IF(O2339&gt;1000,10,MATCH(O2339,Cargas,1))),Coluna_fih,1,1))*(1+0.13*0.25)*(PI()*(fi_h/1000)^2/4)*SQRT(2*9.81*(O2339/100-fi_h/2/1000))*1000)),"",IF(O2339&lt;fi_h/20,0,(OFFSET('Base de dados'!$A$5,IF(O2339&lt;20,1,IF(O2339&gt;1000,10,MATCH(O2339,Cargas,1))),Coluna_fih,1,1))*(PI()*(fi_h/1000)^2/4)*SQRT(2*9.81*(O2339/100-fi_h/2/1000))*1000))</f>
        <v>64.857715143478387</v>
      </c>
      <c r="Q2339" s="19">
        <f ca="1">IF(O2339="","",IF(Tipo_Vertedor="Retangular",IF(O2339&lt;=cota_s*100,0,IF(Tipo_Vertedor="Retangular",Cd_sr*Lef_sr*((O2339/100-cota_s)^(3/2))*1000)),IF(O2339&lt;=cota_s*100+fi_s/20,0,(OFFSET('Base de dados'!$A$4,IF(O2339&lt;20,1,IF(O2339&gt;1000,10,MATCH(O2339,Cargas,1))),Coluna_fis,1,1))*(PI()*(fi_s/1000)^2/4)*(2*9.81*(O2339/100-cota_s-fi_s/2/1000))^0.5*1000)))</f>
        <v>13189.264534636664</v>
      </c>
      <c r="R2339" s="19">
        <f t="shared" ca="1" si="270"/>
        <v>13254.122249780143</v>
      </c>
      <c r="S2339" s="19">
        <f t="shared" ca="1" si="271"/>
        <v>14717.483094030713</v>
      </c>
    </row>
    <row r="2340" spans="13:19">
      <c r="M2340" s="81">
        <f t="shared" ca="1" si="268"/>
        <v>27988.129630941319</v>
      </c>
      <c r="N2340" s="19">
        <f t="shared" si="269"/>
        <v>441.73687108565969</v>
      </c>
      <c r="O2340" s="17">
        <f t="shared" si="267"/>
        <v>584.75</v>
      </c>
      <c r="P2340" s="19">
        <f ca="1">IF(ISERROR(IF(O2340&lt;fi_h/20,0,(OFFSET('Base de dados'!$A$5,IF(O2340&lt;20,1,IF(O2340&gt;1000,10,MATCH(O2340,Cargas,1))),Coluna_fih,1,1))*(1+0.13*0.25)*(PI()*(fi_h/1000)^2/4)*SQRT(2*9.81*(O2340/100-fi_h/2/1000))*1000)),"",IF(O2340&lt;fi_h/20,0,(OFFSET('Base de dados'!$A$5,IF(O2340&lt;20,1,IF(O2340&gt;1000,10,MATCH(O2340,Cargas,1))),Coluna_fih,1,1))*(PI()*(fi_h/1000)^2/4)*SQRT(2*9.81*(O2340/100-fi_h/2/1000))*1000))</f>
        <v>64.871719115490919</v>
      </c>
      <c r="Q2340" s="19">
        <f ca="1">IF(O2340="","",IF(Tipo_Vertedor="Retangular",IF(O2340&lt;=cota_s*100,0,IF(Tipo_Vertedor="Retangular",Cd_sr*Lef_sr*((O2340/100-cota_s)^(3/2))*1000)),IF(O2340&lt;=cota_s*100+fi_s/20,0,(OFFSET('Base de dados'!$A$4,IF(O2340&lt;20,1,IF(O2340&gt;1000,10,MATCH(O2340,Cargas,1))),Coluna_fis,1,1))*(PI()*(fi_s/1000)^2/4)*(2*9.81*(O2340/100-cota_s-fi_s/2/1000))^0.5*1000)))</f>
        <v>13198.69554230384</v>
      </c>
      <c r="R2340" s="19">
        <f t="shared" ca="1" si="270"/>
        <v>13263.56726141933</v>
      </c>
      <c r="S2340" s="19">
        <f t="shared" ca="1" si="271"/>
        <v>14724.562369521989</v>
      </c>
    </row>
    <row r="2341" spans="13:19">
      <c r="M2341" s="81">
        <f t="shared" ca="1" si="268"/>
        <v>28004.656538914962</v>
      </c>
      <c r="N2341" s="19">
        <f t="shared" si="269"/>
        <v>441.94926066190186</v>
      </c>
      <c r="O2341" s="17">
        <f t="shared" si="267"/>
        <v>585</v>
      </c>
      <c r="P2341" s="19">
        <f ca="1">IF(ISERROR(IF(O2341&lt;fi_h/20,0,(OFFSET('Base de dados'!$A$5,IF(O2341&lt;20,1,IF(O2341&gt;1000,10,MATCH(O2341,Cargas,1))),Coluna_fih,1,1))*(1+0.13*0.25)*(PI()*(fi_h/1000)^2/4)*SQRT(2*9.81*(O2341/100-fi_h/2/1000))*1000)),"",IF(O2341&lt;fi_h/20,0,(OFFSET('Base de dados'!$A$5,IF(O2341&lt;20,1,IF(O2341&gt;1000,10,MATCH(O2341,Cargas,1))),Coluna_fih,1,1))*(PI()*(fi_h/1000)^2/4)*SQRT(2*9.81*(O2341/100-fi_h/2/1000))*1000))</f>
        <v>64.885720065093764</v>
      </c>
      <c r="Q2341" s="19">
        <f ca="1">IF(O2341="","",IF(Tipo_Vertedor="Retangular",IF(O2341&lt;=cota_s*100,0,IF(Tipo_Vertedor="Retangular",Cd_sr*Lef_sr*((O2341/100-cota_s)^(3/2))*1000)),IF(O2341&lt;=cota_s*100+fi_s/20,0,(OFFSET('Base de dados'!$A$4,IF(O2341&lt;20,1,IF(O2341&gt;1000,10,MATCH(O2341,Cargas,1))),Coluna_fis,1,1))*(PI()*(fi_s/1000)^2/4)*(2*9.81*(O2341/100-cota_s-fi_s/2/1000))^0.5*1000)))</f>
        <v>13208.128796786472</v>
      </c>
      <c r="R2341" s="19">
        <f t="shared" ca="1" si="270"/>
        <v>13273.014516851566</v>
      </c>
      <c r="S2341" s="19">
        <f t="shared" ca="1" si="271"/>
        <v>14731.642022063395</v>
      </c>
    </row>
    <row r="2342" spans="13:19">
      <c r="M2342" s="81">
        <f t="shared" ca="1" si="268"/>
        <v>28021.186067057657</v>
      </c>
      <c r="N2342" s="19">
        <f t="shared" si="269"/>
        <v>442.16166154541611</v>
      </c>
      <c r="O2342" s="17">
        <f t="shared" si="267"/>
        <v>585.25</v>
      </c>
      <c r="P2342" s="19">
        <f ca="1">IF(ISERROR(IF(O2342&lt;fi_h/20,0,(OFFSET('Base de dados'!$A$5,IF(O2342&lt;20,1,IF(O2342&gt;1000,10,MATCH(O2342,Cargas,1))),Coluna_fih,1,1))*(1+0.13*0.25)*(PI()*(fi_h/1000)^2/4)*SQRT(2*9.81*(O2342/100-fi_h/2/1000))*1000)),"",IF(O2342&lt;fi_h/20,0,(OFFSET('Base de dados'!$A$5,IF(O2342&lt;20,1,IF(O2342&gt;1000,10,MATCH(O2342,Cargas,1))),Coluna_fih,1,1))*(PI()*(fi_h/1000)^2/4)*SQRT(2*9.81*(O2342/100-fi_h/2/1000))*1000))</f>
        <v>64.899717994243034</v>
      </c>
      <c r="Q2342" s="19">
        <f ca="1">IF(O2342="","",IF(Tipo_Vertedor="Retangular",IF(O2342&lt;=cota_s*100,0,IF(Tipo_Vertedor="Retangular",Cd_sr*Lef_sr*((O2342/100-cota_s)^(3/2))*1000)),IF(O2342&lt;=cota_s*100+fi_s/20,0,(OFFSET('Base de dados'!$A$4,IF(O2342&lt;20,1,IF(O2342&gt;1000,10,MATCH(O2342,Cargas,1))),Coluna_fis,1,1))*(PI()*(fi_s/1000)^2/4)*(2*9.81*(O2342/100-cota_s-fi_s/2/1000))^0.5*1000)))</f>
        <v>13217.564297549545</v>
      </c>
      <c r="R2342" s="19">
        <f t="shared" ca="1" si="270"/>
        <v>13282.464015543788</v>
      </c>
      <c r="S2342" s="19">
        <f t="shared" ca="1" si="271"/>
        <v>14738.722051513871</v>
      </c>
    </row>
    <row r="2343" spans="13:19">
      <c r="M2343" s="81">
        <f t="shared" ca="1" si="268"/>
        <v>28037.718214695757</v>
      </c>
      <c r="N2343" s="19">
        <f t="shared" si="269"/>
        <v>442.37407373197345</v>
      </c>
      <c r="O2343" s="17">
        <f t="shared" si="267"/>
        <v>585.5</v>
      </c>
      <c r="P2343" s="19">
        <f ca="1">IF(ISERROR(IF(O2343&lt;fi_h/20,0,(OFFSET('Base de dados'!$A$5,IF(O2343&lt;20,1,IF(O2343&gt;1000,10,MATCH(O2343,Cargas,1))),Coluna_fih,1,1))*(1+0.13*0.25)*(PI()*(fi_h/1000)^2/4)*SQRT(2*9.81*(O2343/100-fi_h/2/1000))*1000)),"",IF(O2343&lt;fi_h/20,0,(OFFSET('Base de dados'!$A$5,IF(O2343&lt;20,1,IF(O2343&gt;1000,10,MATCH(O2343,Cargas,1))),Coluna_fih,1,1))*(PI()*(fi_h/1000)^2/4)*SQRT(2*9.81*(O2343/100-fi_h/2/1000))*1000))</f>
        <v>64.913712904892705</v>
      </c>
      <c r="Q2343" s="19">
        <f ca="1">IF(O2343="","",IF(Tipo_Vertedor="Retangular",IF(O2343&lt;=cota_s*100,0,IF(Tipo_Vertedor="Retangular",Cd_sr*Lef_sr*((O2343/100-cota_s)^(3/2))*1000)),IF(O2343&lt;=cota_s*100+fi_s/20,0,(OFFSET('Base de dados'!$A$4,IF(O2343&lt;20,1,IF(O2343&gt;1000,10,MATCH(O2343,Cargas,1))),Coluna_fis,1,1))*(PI()*(fi_s/1000)^2/4)*(2*9.81*(O2343/100-cota_s-fi_s/2/1000))^0.5*1000)))</f>
        <v>13227.002044058416</v>
      </c>
      <c r="R2343" s="19">
        <f t="shared" ca="1" si="270"/>
        <v>13291.915756963308</v>
      </c>
      <c r="S2343" s="19">
        <f t="shared" ca="1" si="271"/>
        <v>14745.802457732449</v>
      </c>
    </row>
    <row r="2344" spans="13:19">
      <c r="M2344" s="81">
        <f t="shared" ca="1" si="268"/>
        <v>28054.25298115614</v>
      </c>
      <c r="N2344" s="19">
        <f t="shared" si="269"/>
        <v>442.58649721734923</v>
      </c>
      <c r="O2344" s="17">
        <f t="shared" si="267"/>
        <v>585.75</v>
      </c>
      <c r="P2344" s="19">
        <f ca="1">IF(ISERROR(IF(O2344&lt;fi_h/20,0,(OFFSET('Base de dados'!$A$5,IF(O2344&lt;20,1,IF(O2344&gt;1000,10,MATCH(O2344,Cargas,1))),Coluna_fih,1,1))*(1+0.13*0.25)*(PI()*(fi_h/1000)^2/4)*SQRT(2*9.81*(O2344/100-fi_h/2/1000))*1000)),"",IF(O2344&lt;fi_h/20,0,(OFFSET('Base de dados'!$A$5,IF(O2344&lt;20,1,IF(O2344&gt;1000,10,MATCH(O2344,Cargas,1))),Coluna_fih,1,1))*(PI()*(fi_h/1000)^2/4)*SQRT(2*9.81*(O2344/100-fi_h/2/1000))*1000))</f>
        <v>64.927704798994682</v>
      </c>
      <c r="Q2344" s="19">
        <f ca="1">IF(O2344="","",IF(Tipo_Vertedor="Retangular",IF(O2344&lt;=cota_s*100,0,IF(Tipo_Vertedor="Retangular",Cd_sr*Lef_sr*((O2344/100-cota_s)^(3/2))*1000)),IF(O2344&lt;=cota_s*100+fi_s/20,0,(OFFSET('Base de dados'!$A$4,IF(O2344&lt;20,1,IF(O2344&gt;1000,10,MATCH(O2344,Cargas,1))),Coluna_fis,1,1))*(PI()*(fi_s/1000)^2/4)*(2*9.81*(O2344/100-cota_s-fi_s/2/1000))^0.5*1000)))</f>
        <v>13236.442035778837</v>
      </c>
      <c r="R2344" s="19">
        <f t="shared" ca="1" si="270"/>
        <v>13301.369740577831</v>
      </c>
      <c r="S2344" s="19">
        <f t="shared" ca="1" si="271"/>
        <v>14752.883240578309</v>
      </c>
    </row>
    <row r="2345" spans="13:19">
      <c r="M2345" s="81">
        <f t="shared" ca="1" si="268"/>
        <v>28070.790365766145</v>
      </c>
      <c r="N2345" s="19">
        <f t="shared" si="269"/>
        <v>442.79893199732146</v>
      </c>
      <c r="O2345" s="17">
        <f t="shared" si="267"/>
        <v>586</v>
      </c>
      <c r="P2345" s="19">
        <f ca="1">IF(ISERROR(IF(O2345&lt;fi_h/20,0,(OFFSET('Base de dados'!$A$5,IF(O2345&lt;20,1,IF(O2345&gt;1000,10,MATCH(O2345,Cargas,1))),Coluna_fih,1,1))*(1+0.13*0.25)*(PI()*(fi_h/1000)^2/4)*SQRT(2*9.81*(O2345/100-fi_h/2/1000))*1000)),"",IF(O2345&lt;fi_h/20,0,(OFFSET('Base de dados'!$A$5,IF(O2345&lt;20,1,IF(O2345&gt;1000,10,MATCH(O2345,Cargas,1))),Coluna_fih,1,1))*(PI()*(fi_h/1000)^2/4)*SQRT(2*9.81*(O2345/100-fi_h/2/1000))*1000))</f>
        <v>64.941693678498709</v>
      </c>
      <c r="Q2345" s="19">
        <f ca="1">IF(O2345="","",IF(Tipo_Vertedor="Retangular",IF(O2345&lt;=cota_s*100,0,IF(Tipo_Vertedor="Retangular",Cd_sr*Lef_sr*((O2345/100-cota_s)^(3/2))*1000)),IF(O2345&lt;=cota_s*100+fi_s/20,0,(OFFSET('Base de dados'!$A$4,IF(O2345&lt;20,1,IF(O2345&gt;1000,10,MATCH(O2345,Cargas,1))),Coluna_fis,1,1))*(PI()*(fi_s/1000)^2/4)*(2*9.81*(O2345/100-cota_s-fi_s/2/1000))^0.5*1000)))</f>
        <v>13245.884272176929</v>
      </c>
      <c r="R2345" s="19">
        <f t="shared" ca="1" si="270"/>
        <v>13310.825965855427</v>
      </c>
      <c r="S2345" s="19">
        <f t="shared" ca="1" si="271"/>
        <v>14759.964399910716</v>
      </c>
    </row>
    <row r="2346" spans="13:19">
      <c r="M2346" s="81">
        <f t="shared" ca="1" si="268"/>
        <v>28087.33036785361</v>
      </c>
      <c r="N2346" s="19">
        <f t="shared" si="269"/>
        <v>443.01137806767196</v>
      </c>
      <c r="O2346" s="17">
        <f t="shared" si="267"/>
        <v>586.25</v>
      </c>
      <c r="P2346" s="19">
        <f ca="1">IF(ISERROR(IF(O2346&lt;fi_h/20,0,(OFFSET('Base de dados'!$A$5,IF(O2346&lt;20,1,IF(O2346&gt;1000,10,MATCH(O2346,Cargas,1))),Coluna_fih,1,1))*(1+0.13*0.25)*(PI()*(fi_h/1000)^2/4)*SQRT(2*9.81*(O2346/100-fi_h/2/1000))*1000)),"",IF(O2346&lt;fi_h/20,0,(OFFSET('Base de dados'!$A$5,IF(O2346&lt;20,1,IF(O2346&gt;1000,10,MATCH(O2346,Cargas,1))),Coluna_fih,1,1))*(PI()*(fi_h/1000)^2/4)*SQRT(2*9.81*(O2346/100-fi_h/2/1000))*1000))</f>
        <v>64.955679545352467</v>
      </c>
      <c r="Q2346" s="19">
        <f ca="1">IF(O2346="","",IF(Tipo_Vertedor="Retangular",IF(O2346&lt;=cota_s*100,0,IF(Tipo_Vertedor="Retangular",Cd_sr*Lef_sr*((O2346/100-cota_s)^(3/2))*1000)),IF(O2346&lt;=cota_s*100+fi_s/20,0,(OFFSET('Base de dados'!$A$4,IF(O2346&lt;20,1,IF(O2346&gt;1000,10,MATCH(O2346,Cargas,1))),Coluna_fis,1,1))*(PI()*(fi_s/1000)^2/4)*(2*9.81*(O2346/100-cota_s-fi_s/2/1000))^0.5*1000)))</f>
        <v>13255.328752719191</v>
      </c>
      <c r="R2346" s="19">
        <f t="shared" ca="1" si="270"/>
        <v>13320.284432264543</v>
      </c>
      <c r="S2346" s="19">
        <f t="shared" ca="1" si="271"/>
        <v>14767.045935589065</v>
      </c>
    </row>
    <row r="2347" spans="13:19">
      <c r="M2347" s="81">
        <f t="shared" ca="1" si="268"/>
        <v>28103.872986746872</v>
      </c>
      <c r="N2347" s="19">
        <f t="shared" si="269"/>
        <v>443.22383542418555</v>
      </c>
      <c r="O2347" s="17">
        <f t="shared" si="267"/>
        <v>586.5</v>
      </c>
      <c r="P2347" s="19">
        <f ca="1">IF(ISERROR(IF(O2347&lt;fi_h/20,0,(OFFSET('Base de dados'!$A$5,IF(O2347&lt;20,1,IF(O2347&gt;1000,10,MATCH(O2347,Cargas,1))),Coluna_fih,1,1))*(1+0.13*0.25)*(PI()*(fi_h/1000)^2/4)*SQRT(2*9.81*(O2347/100-fi_h/2/1000))*1000)),"",IF(O2347&lt;fi_h/20,0,(OFFSET('Base de dados'!$A$5,IF(O2347&lt;20,1,IF(O2347&gt;1000,10,MATCH(O2347,Cargas,1))),Coluna_fih,1,1))*(PI()*(fi_h/1000)^2/4)*SQRT(2*9.81*(O2347/100-fi_h/2/1000))*1000))</f>
        <v>64.969662401501537</v>
      </c>
      <c r="Q2347" s="19">
        <f ca="1">IF(O2347="","",IF(Tipo_Vertedor="Retangular",IF(O2347&lt;=cota_s*100,0,IF(Tipo_Vertedor="Retangular",Cd_sr*Lef_sr*((O2347/100-cota_s)^(3/2))*1000)),IF(O2347&lt;=cota_s*100+fi_s/20,0,(OFFSET('Base de dados'!$A$4,IF(O2347&lt;20,1,IF(O2347&gt;1000,10,MATCH(O2347,Cargas,1))),Coluna_fis,1,1))*(PI()*(fi_s/1000)^2/4)*(2*9.81*(O2347/100-cota_s-fi_s/2/1000))^0.5*1000)))</f>
        <v>13264.775476872519</v>
      </c>
      <c r="R2347" s="19">
        <f t="shared" ca="1" si="270"/>
        <v>13329.74513927402</v>
      </c>
      <c r="S2347" s="19">
        <f t="shared" ca="1" si="271"/>
        <v>14774.127847472851</v>
      </c>
    </row>
    <row r="2348" spans="13:19">
      <c r="M2348" s="81">
        <f t="shared" ca="1" si="268"/>
        <v>28120.418221774751</v>
      </c>
      <c r="N2348" s="19">
        <f t="shared" si="269"/>
        <v>443.43630406265066</v>
      </c>
      <c r="O2348" s="17">
        <f t="shared" si="267"/>
        <v>586.75</v>
      </c>
      <c r="P2348" s="19">
        <f ca="1">IF(ISERROR(IF(O2348&lt;fi_h/20,0,(OFFSET('Base de dados'!$A$5,IF(O2348&lt;20,1,IF(O2348&gt;1000,10,MATCH(O2348,Cargas,1))),Coluna_fih,1,1))*(1+0.13*0.25)*(PI()*(fi_h/1000)^2/4)*SQRT(2*9.81*(O2348/100-fi_h/2/1000))*1000)),"",IF(O2348&lt;fi_h/20,0,(OFFSET('Base de dados'!$A$5,IF(O2348&lt;20,1,IF(O2348&gt;1000,10,MATCH(O2348,Cargas,1))),Coluna_fih,1,1))*(PI()*(fi_h/1000)^2/4)*SQRT(2*9.81*(O2348/100-fi_h/2/1000))*1000))</f>
        <v>64.983642248889424</v>
      </c>
      <c r="Q2348" s="19">
        <f ca="1">IF(O2348="","",IF(Tipo_Vertedor="Retangular",IF(O2348&lt;=cota_s*100,0,IF(Tipo_Vertedor="Retangular",Cd_sr*Lef_sr*((O2348/100-cota_s)^(3/2))*1000)),IF(O2348&lt;=cota_s*100+fi_s/20,0,(OFFSET('Base de dados'!$A$4,IF(O2348&lt;20,1,IF(O2348&gt;1000,10,MATCH(O2348,Cargas,1))),Coluna_fis,1,1))*(PI()*(fi_s/1000)^2/4)*(2*9.81*(O2348/100-cota_s-fi_s/2/1000))^0.5*1000)))</f>
        <v>13274.224444104173</v>
      </c>
      <c r="R2348" s="19">
        <f t="shared" ca="1" si="270"/>
        <v>13339.208086353063</v>
      </c>
      <c r="S2348" s="19">
        <f t="shared" ca="1" si="271"/>
        <v>14781.210135421688</v>
      </c>
    </row>
    <row r="2349" spans="13:19">
      <c r="M2349" s="81">
        <f t="shared" ca="1" si="268"/>
        <v>28136.966072266565</v>
      </c>
      <c r="N2349" s="19">
        <f t="shared" si="269"/>
        <v>443.64878397885917</v>
      </c>
      <c r="O2349" s="17">
        <f t="shared" si="267"/>
        <v>587</v>
      </c>
      <c r="P2349" s="19">
        <f ca="1">IF(ISERROR(IF(O2349&lt;fi_h/20,0,(OFFSET('Base de dados'!$A$5,IF(O2349&lt;20,1,IF(O2349&gt;1000,10,MATCH(O2349,Cargas,1))),Coluna_fih,1,1))*(1+0.13*0.25)*(PI()*(fi_h/1000)^2/4)*SQRT(2*9.81*(O2349/100-fi_h/2/1000))*1000)),"",IF(O2349&lt;fi_h/20,0,(OFFSET('Base de dados'!$A$5,IF(O2349&lt;20,1,IF(O2349&gt;1000,10,MATCH(O2349,Cargas,1))),Coluna_fih,1,1))*(PI()*(fi_h/1000)^2/4)*SQRT(2*9.81*(O2349/100-fi_h/2/1000))*1000))</f>
        <v>64.997619089457473</v>
      </c>
      <c r="Q2349" s="19">
        <f ca="1">IF(O2349="","",IF(Tipo_Vertedor="Retangular",IF(O2349&lt;=cota_s*100,0,IF(Tipo_Vertedor="Retangular",Cd_sr*Lef_sr*((O2349/100-cota_s)^(3/2))*1000)),IF(O2349&lt;=cota_s*100+fi_s/20,0,(OFFSET('Base de dados'!$A$4,IF(O2349&lt;20,1,IF(O2349&gt;1000,10,MATCH(O2349,Cargas,1))),Coluna_fis,1,1))*(PI()*(fi_s/1000)^2/4)*(2*9.81*(O2349/100-cota_s-fi_s/2/1000))^0.5*1000)))</f>
        <v>13283.675653881803</v>
      </c>
      <c r="R2349" s="19">
        <f t="shared" ca="1" si="270"/>
        <v>13348.67327297126</v>
      </c>
      <c r="S2349" s="19">
        <f t="shared" ca="1" si="271"/>
        <v>14788.292799295306</v>
      </c>
    </row>
    <row r="2350" spans="13:19">
      <c r="M2350" s="81">
        <f t="shared" ca="1" si="268"/>
        <v>28153.516537552103</v>
      </c>
      <c r="N2350" s="19">
        <f t="shared" si="269"/>
        <v>443.86127516860597</v>
      </c>
      <c r="O2350" s="17">
        <f t="shared" si="267"/>
        <v>587.25</v>
      </c>
      <c r="P2350" s="19">
        <f ca="1">IF(ISERROR(IF(O2350&lt;fi_h/20,0,(OFFSET('Base de dados'!$A$5,IF(O2350&lt;20,1,IF(O2350&gt;1000,10,MATCH(O2350,Cargas,1))),Coluna_fih,1,1))*(1+0.13*0.25)*(PI()*(fi_h/1000)^2/4)*SQRT(2*9.81*(O2350/100-fi_h/2/1000))*1000)),"",IF(O2350&lt;fi_h/20,0,(OFFSET('Base de dados'!$A$5,IF(O2350&lt;20,1,IF(O2350&gt;1000,10,MATCH(O2350,Cargas,1))),Coluna_fih,1,1))*(PI()*(fi_h/1000)^2/4)*SQRT(2*9.81*(O2350/100-fi_h/2/1000))*1000))</f>
        <v>65.011592925145052</v>
      </c>
      <c r="Q2350" s="19">
        <f ca="1">IF(O2350="","",IF(Tipo_Vertedor="Retangular",IF(O2350&lt;=cota_s*100,0,IF(Tipo_Vertedor="Retangular",Cd_sr*Lef_sr*((O2350/100-cota_s)^(3/2))*1000)),IF(O2350&lt;=cota_s*100+fi_s/20,0,(OFFSET('Base de dados'!$A$4,IF(O2350&lt;20,1,IF(O2350&gt;1000,10,MATCH(O2350,Cargas,1))),Coluna_fis,1,1))*(PI()*(fi_s/1000)^2/4)*(2*9.81*(O2350/100-cota_s-fi_s/2/1000))^0.5*1000)))</f>
        <v>13293.129105673424</v>
      </c>
      <c r="R2350" s="19">
        <f t="shared" ca="1" si="270"/>
        <v>13358.140698598569</v>
      </c>
      <c r="S2350" s="19">
        <f t="shared" ca="1" si="271"/>
        <v>14795.375838953532</v>
      </c>
    </row>
    <row r="2351" spans="13:19">
      <c r="M2351" s="81">
        <f t="shared" ca="1" si="268"/>
        <v>28170.069616961657</v>
      </c>
      <c r="N2351" s="19">
        <f t="shared" si="269"/>
        <v>444.07377762768976</v>
      </c>
      <c r="O2351" s="17">
        <f t="shared" si="267"/>
        <v>587.5</v>
      </c>
      <c r="P2351" s="19">
        <f ca="1">IF(ISERROR(IF(O2351&lt;fi_h/20,0,(OFFSET('Base de dados'!$A$5,IF(O2351&lt;20,1,IF(O2351&gt;1000,10,MATCH(O2351,Cargas,1))),Coluna_fih,1,1))*(1+0.13*0.25)*(PI()*(fi_h/1000)^2/4)*SQRT(2*9.81*(O2351/100-fi_h/2/1000))*1000)),"",IF(O2351&lt;fi_h/20,0,(OFFSET('Base de dados'!$A$5,IF(O2351&lt;20,1,IF(O2351&gt;1000,10,MATCH(O2351,Cargas,1))),Coluna_fih,1,1))*(PI()*(fi_h/1000)^2/4)*SQRT(2*9.81*(O2351/100-fi_h/2/1000))*1000))</f>
        <v>65.025563757889344</v>
      </c>
      <c r="Q2351" s="19">
        <f ca="1">IF(O2351="","",IF(Tipo_Vertedor="Retangular",IF(O2351&lt;=cota_s*100,0,IF(Tipo_Vertedor="Retangular",Cd_sr*Lef_sr*((O2351/100-cota_s)^(3/2))*1000)),IF(O2351&lt;=cota_s*100+fi_s/20,0,(OFFSET('Base de dados'!$A$4,IF(O2351&lt;20,1,IF(O2351&gt;1000,10,MATCH(O2351,Cargas,1))),Coluna_fis,1,1))*(PI()*(fi_s/1000)^2/4)*(2*9.81*(O2351/100-cota_s-fi_s/2/1000))^0.5*1000)))</f>
        <v>13302.584798947441</v>
      </c>
      <c r="R2351" s="19">
        <f t="shared" ca="1" si="270"/>
        <v>13367.610362705329</v>
      </c>
      <c r="S2351" s="19">
        <f t="shared" ca="1" si="271"/>
        <v>14802.459254256326</v>
      </c>
    </row>
    <row r="2352" spans="13:19">
      <c r="M2352" s="81">
        <f t="shared" ca="1" si="268"/>
        <v>28186.625309826013</v>
      </c>
      <c r="N2352" s="19">
        <f t="shared" si="269"/>
        <v>444.28629135191233</v>
      </c>
      <c r="O2352" s="17">
        <f t="shared" si="267"/>
        <v>587.75</v>
      </c>
      <c r="P2352" s="19">
        <f ca="1">IF(ISERROR(IF(O2352&lt;fi_h/20,0,(OFFSET('Base de dados'!$A$5,IF(O2352&lt;20,1,IF(O2352&gt;1000,10,MATCH(O2352,Cargas,1))),Coluna_fih,1,1))*(1+0.13*0.25)*(PI()*(fi_h/1000)^2/4)*SQRT(2*9.81*(O2352/100-fi_h/2/1000))*1000)),"",IF(O2352&lt;fi_h/20,0,(OFFSET('Base de dados'!$A$5,IF(O2352&lt;20,1,IF(O2352&gt;1000,10,MATCH(O2352,Cargas,1))),Coluna_fih,1,1))*(PI()*(fi_h/1000)^2/4)*SQRT(2*9.81*(O2352/100-fi_h/2/1000))*1000))</f>
        <v>65.039531589625497</v>
      </c>
      <c r="Q2352" s="19">
        <f ca="1">IF(O2352="","",IF(Tipo_Vertedor="Retangular",IF(O2352&lt;=cota_s*100,0,IF(Tipo_Vertedor="Retangular",Cd_sr*Lef_sr*((O2352/100-cota_s)^(3/2))*1000)),IF(O2352&lt;=cota_s*100+fi_s/20,0,(OFFSET('Base de dados'!$A$4,IF(O2352&lt;20,1,IF(O2352&gt;1000,10,MATCH(O2352,Cargas,1))),Coluna_fis,1,1))*(PI()*(fi_s/1000)^2/4)*(2*9.81*(O2352/100-cota_s-fi_s/2/1000))^0.5*1000)))</f>
        <v>13312.042733172642</v>
      </c>
      <c r="R2352" s="19">
        <f t="shared" ca="1" si="270"/>
        <v>13377.082264762268</v>
      </c>
      <c r="S2352" s="19">
        <f t="shared" ca="1" si="271"/>
        <v>14809.543045063743</v>
      </c>
    </row>
    <row r="2353" spans="13:19">
      <c r="M2353" s="81">
        <f t="shared" ca="1" si="268"/>
        <v>28203.18361547641</v>
      </c>
      <c r="N2353" s="19">
        <f t="shared" si="269"/>
        <v>444.49881633707849</v>
      </c>
      <c r="O2353" s="17">
        <f t="shared" si="267"/>
        <v>588</v>
      </c>
      <c r="P2353" s="19">
        <f ca="1">IF(ISERROR(IF(O2353&lt;fi_h/20,0,(OFFSET('Base de dados'!$A$5,IF(O2353&lt;20,1,IF(O2353&gt;1000,10,MATCH(O2353,Cargas,1))),Coluna_fih,1,1))*(1+0.13*0.25)*(PI()*(fi_h/1000)^2/4)*SQRT(2*9.81*(O2353/100-fi_h/2/1000))*1000)),"",IF(O2353&lt;fi_h/20,0,(OFFSET('Base de dados'!$A$5,IF(O2353&lt;20,1,IF(O2353&gt;1000,10,MATCH(O2353,Cargas,1))),Coluna_fih,1,1))*(PI()*(fi_h/1000)^2/4)*SQRT(2*9.81*(O2353/100-fi_h/2/1000))*1000))</f>
        <v>65.053496422286599</v>
      </c>
      <c r="Q2353" s="19">
        <f ca="1">IF(O2353="","",IF(Tipo_Vertedor="Retangular",IF(O2353&lt;=cota_s*100,0,IF(Tipo_Vertedor="Retangular",Cd_sr*Lef_sr*((O2353/100-cota_s)^(3/2))*1000)),IF(O2353&lt;=cota_s*100+fi_s/20,0,(OFFSET('Base de dados'!$A$4,IF(O2353&lt;20,1,IF(O2353&gt;1000,10,MATCH(O2353,Cargas,1))),Coluna_fis,1,1))*(PI()*(fi_s/1000)^2/4)*(2*9.81*(O2353/100-cota_s-fi_s/2/1000))^0.5*1000)))</f>
        <v>13321.502907818174</v>
      </c>
      <c r="R2353" s="19">
        <f t="shared" ca="1" si="270"/>
        <v>13386.55640424046</v>
      </c>
      <c r="S2353" s="19">
        <f t="shared" ca="1" si="271"/>
        <v>14816.627211235951</v>
      </c>
    </row>
    <row r="2354" spans="13:19">
      <c r="M2354" s="81">
        <f t="shared" ca="1" si="268"/>
        <v>28219.744533244622</v>
      </c>
      <c r="N2354" s="19">
        <f t="shared" si="269"/>
        <v>444.71135257899715</v>
      </c>
      <c r="O2354" s="17">
        <f t="shared" si="267"/>
        <v>588.25</v>
      </c>
      <c r="P2354" s="19">
        <f ca="1">IF(ISERROR(IF(O2354&lt;fi_h/20,0,(OFFSET('Base de dados'!$A$5,IF(O2354&lt;20,1,IF(O2354&gt;1000,10,MATCH(O2354,Cargas,1))),Coluna_fih,1,1))*(1+0.13*0.25)*(PI()*(fi_h/1000)^2/4)*SQRT(2*9.81*(O2354/100-fi_h/2/1000))*1000)),"",IF(O2354&lt;fi_h/20,0,(OFFSET('Base de dados'!$A$5,IF(O2354&lt;20,1,IF(O2354&gt;1000,10,MATCH(O2354,Cargas,1))),Coluna_fih,1,1))*(PI()*(fi_h/1000)^2/4)*SQRT(2*9.81*(O2354/100-fi_h/2/1000))*1000))</f>
        <v>65.067458257803622</v>
      </c>
      <c r="Q2354" s="19">
        <f ca="1">IF(O2354="","",IF(Tipo_Vertedor="Retangular",IF(O2354&lt;=cota_s*100,0,IF(Tipo_Vertedor="Retangular",Cd_sr*Lef_sr*((O2354/100-cota_s)^(3/2))*1000)),IF(O2354&lt;=cota_s*100+fi_s/20,0,(OFFSET('Base de dados'!$A$4,IF(O2354&lt;20,1,IF(O2354&gt;1000,10,MATCH(O2354,Cargas,1))),Coluna_fis,1,1))*(PI()*(fi_s/1000)^2/4)*(2*9.81*(O2354/100-cota_s-fi_s/2/1000))^0.5*1000)))</f>
        <v>13330.965322353581</v>
      </c>
      <c r="R2354" s="19">
        <f t="shared" ca="1" si="270"/>
        <v>13396.032780611384</v>
      </c>
      <c r="S2354" s="19">
        <f t="shared" ca="1" si="271"/>
        <v>14823.711752633239</v>
      </c>
    </row>
    <row r="2355" spans="13:19">
      <c r="M2355" s="81">
        <f t="shared" ca="1" si="268"/>
        <v>28236.308062462867</v>
      </c>
      <c r="N2355" s="19">
        <f t="shared" si="269"/>
        <v>444.92390007348007</v>
      </c>
      <c r="O2355" s="17">
        <f t="shared" si="267"/>
        <v>588.5</v>
      </c>
      <c r="P2355" s="19">
        <f ca="1">IF(ISERROR(IF(O2355&lt;fi_h/20,0,(OFFSET('Base de dados'!$A$5,IF(O2355&lt;20,1,IF(O2355&gt;1000,10,MATCH(O2355,Cargas,1))),Coluna_fih,1,1))*(1+0.13*0.25)*(PI()*(fi_h/1000)^2/4)*SQRT(2*9.81*(O2355/100-fi_h/2/1000))*1000)),"",IF(O2355&lt;fi_h/20,0,(OFFSET('Base de dados'!$A$5,IF(O2355&lt;20,1,IF(O2355&gt;1000,10,MATCH(O2355,Cargas,1))),Coluna_fih,1,1))*(PI()*(fi_h/1000)^2/4)*SQRT(2*9.81*(O2355/100-fi_h/2/1000))*1000))</f>
        <v>65.081417098105518</v>
      </c>
      <c r="Q2355" s="19">
        <f ca="1">IF(O2355="","",IF(Tipo_Vertedor="Retangular",IF(O2355&lt;=cota_s*100,0,IF(Tipo_Vertedor="Retangular",Cd_sr*Lef_sr*((O2355/100-cota_s)^(3/2))*1000)),IF(O2355&lt;=cota_s*100+fi_s/20,0,(OFFSET('Base de dados'!$A$4,IF(O2355&lt;20,1,IF(O2355&gt;1000,10,MATCH(O2355,Cargas,1))),Coluna_fis,1,1))*(PI()*(fi_s/1000)^2/4)*(2*9.81*(O2355/100-cota_s-fi_s/2/1000))^0.5*1000)))</f>
        <v>13340.429976248759</v>
      </c>
      <c r="R2355" s="19">
        <f t="shared" ca="1" si="270"/>
        <v>13405.511393346864</v>
      </c>
      <c r="S2355" s="19">
        <f t="shared" ca="1" si="271"/>
        <v>14830.796669116004</v>
      </c>
    </row>
    <row r="2356" spans="13:19">
      <c r="M2356" s="81">
        <f t="shared" ca="1" si="268"/>
        <v>28252.874202463892</v>
      </c>
      <c r="N2356" s="19">
        <f t="shared" si="269"/>
        <v>445.1364588163425</v>
      </c>
      <c r="O2356" s="17">
        <f t="shared" si="267"/>
        <v>588.75</v>
      </c>
      <c r="P2356" s="19">
        <f ca="1">IF(ISERROR(IF(O2356&lt;fi_h/20,0,(OFFSET('Base de dados'!$A$5,IF(O2356&lt;20,1,IF(O2356&gt;1000,10,MATCH(O2356,Cargas,1))),Coluna_fih,1,1))*(1+0.13*0.25)*(PI()*(fi_h/1000)^2/4)*SQRT(2*9.81*(O2356/100-fi_h/2/1000))*1000)),"",IF(O2356&lt;fi_h/20,0,(OFFSET('Base de dados'!$A$5,IF(O2356&lt;20,1,IF(O2356&gt;1000,10,MATCH(O2356,Cargas,1))),Coluna_fih,1,1))*(PI()*(fi_h/1000)^2/4)*SQRT(2*9.81*(O2356/100-fi_h/2/1000))*1000))</f>
        <v>65.095372945119095</v>
      </c>
      <c r="Q2356" s="19">
        <f ca="1">IF(O2356="","",IF(Tipo_Vertedor="Retangular",IF(O2356&lt;=cota_s*100,0,IF(Tipo_Vertedor="Retangular",Cd_sr*Lef_sr*((O2356/100-cota_s)^(3/2))*1000)),IF(O2356&lt;=cota_s*100+fi_s/20,0,(OFFSET('Base de dados'!$A$4,IF(O2356&lt;20,1,IF(O2356&gt;1000,10,MATCH(O2356,Cargas,1))),Coluna_fis,1,1))*(PI()*(fi_s/1000)^2/4)*(2*9.81*(O2356/100-cota_s-fi_s/2/1000))^0.5*1000)))</f>
        <v>13349.896868974021</v>
      </c>
      <c r="R2356" s="19">
        <f t="shared" ca="1" si="270"/>
        <v>13414.992241919141</v>
      </c>
      <c r="S2356" s="19">
        <f t="shared" ca="1" si="271"/>
        <v>14837.881960544752</v>
      </c>
    </row>
    <row r="2357" spans="13:19">
      <c r="M2357" s="81">
        <f t="shared" ca="1" si="268"/>
        <v>28269.442952580859</v>
      </c>
      <c r="N2357" s="19">
        <f t="shared" si="269"/>
        <v>445.34902880340263</v>
      </c>
      <c r="O2357" s="17">
        <f t="shared" si="267"/>
        <v>589</v>
      </c>
      <c r="P2357" s="19">
        <f ca="1">IF(ISERROR(IF(O2357&lt;fi_h/20,0,(OFFSET('Base de dados'!$A$5,IF(O2357&lt;20,1,IF(O2357&gt;1000,10,MATCH(O2357,Cargas,1))),Coluna_fih,1,1))*(1+0.13*0.25)*(PI()*(fi_h/1000)^2/4)*SQRT(2*9.81*(O2357/100-fi_h/2/1000))*1000)),"",IF(O2357&lt;fi_h/20,0,(OFFSET('Base de dados'!$A$5,IF(O2357&lt;20,1,IF(O2357&gt;1000,10,MATCH(O2357,Cargas,1))),Coluna_fih,1,1))*(PI()*(fi_h/1000)^2/4)*SQRT(2*9.81*(O2357/100-fi_h/2/1000))*1000))</f>
        <v>65.109325800769142</v>
      </c>
      <c r="Q2357" s="19">
        <f ca="1">IF(O2357="","",IF(Tipo_Vertedor="Retangular",IF(O2357&lt;=cota_s*100,0,IF(Tipo_Vertedor="Retangular",Cd_sr*Lef_sr*((O2357/100-cota_s)^(3/2))*1000)),IF(O2357&lt;=cota_s*100+fi_s/20,0,(OFFSET('Base de dados'!$A$4,IF(O2357&lt;20,1,IF(O2357&gt;1000,10,MATCH(O2357,Cargas,1))),Coluna_fis,1,1))*(PI()*(fi_s/1000)^2/4)*(2*9.81*(O2357/100-cota_s-fi_s/2/1000))^0.5*1000)))</f>
        <v>13359.366000000004</v>
      </c>
      <c r="R2357" s="19">
        <f t="shared" ca="1" si="270"/>
        <v>13424.475325800773</v>
      </c>
      <c r="S2357" s="19">
        <f t="shared" ca="1" si="271"/>
        <v>14844.967626780088</v>
      </c>
    </row>
    <row r="2358" spans="13:19">
      <c r="M2358" s="81">
        <f t="shared" ca="1" si="268"/>
        <v>28286.014312147498</v>
      </c>
      <c r="N2358" s="19">
        <f t="shared" si="269"/>
        <v>445.56161003048283</v>
      </c>
      <c r="O2358" s="17">
        <f t="shared" si="267"/>
        <v>589.25</v>
      </c>
      <c r="P2358" s="19">
        <f ca="1">IF(ISERROR(IF(O2358&lt;fi_h/20,0,(OFFSET('Base de dados'!$A$5,IF(O2358&lt;20,1,IF(O2358&gt;1000,10,MATCH(O2358,Cargas,1))),Coluna_fih,1,1))*(1+0.13*0.25)*(PI()*(fi_h/1000)^2/4)*SQRT(2*9.81*(O2358/100-fi_h/2/1000))*1000)),"",IF(O2358&lt;fi_h/20,0,(OFFSET('Base de dados'!$A$5,IF(O2358&lt;20,1,IF(O2358&gt;1000,10,MATCH(O2358,Cargas,1))),Coluna_fih,1,1))*(PI()*(fi_h/1000)^2/4)*SQRT(2*9.81*(O2358/100-fi_h/2/1000))*1000))</f>
        <v>65.123275666978444</v>
      </c>
      <c r="Q2358" s="19">
        <f ca="1">IF(O2358="","",IF(Tipo_Vertedor="Retangular",IF(O2358&lt;=cota_s*100,0,IF(Tipo_Vertedor="Retangular",Cd_sr*Lef_sr*((O2358/100-cota_s)^(3/2))*1000)),IF(O2358&lt;=cota_s*100+fi_s/20,0,(OFFSET('Base de dados'!$A$4,IF(O2358&lt;20,1,IF(O2358&gt;1000,10,MATCH(O2358,Cargas,1))),Coluna_fis,1,1))*(PI()*(fi_s/1000)^2/4)*(2*9.81*(O2358/100-cota_s-fi_s/2/1000))^0.5*1000)))</f>
        <v>13368.837368797758</v>
      </c>
      <c r="R2358" s="19">
        <f t="shared" ca="1" si="270"/>
        <v>13433.960644464736</v>
      </c>
      <c r="S2358" s="19">
        <f t="shared" ca="1" si="271"/>
        <v>14852.05366768276</v>
      </c>
    </row>
    <row r="2359" spans="13:19">
      <c r="M2359" s="81">
        <f t="shared" ca="1" si="268"/>
        <v>28302.588280497956</v>
      </c>
      <c r="N2359" s="19">
        <f t="shared" si="269"/>
        <v>445.77420249340776</v>
      </c>
      <c r="O2359" s="17">
        <f t="shared" si="267"/>
        <v>589.5</v>
      </c>
      <c r="P2359" s="19">
        <f ca="1">IF(ISERROR(IF(O2359&lt;fi_h/20,0,(OFFSET('Base de dados'!$A$5,IF(O2359&lt;20,1,IF(O2359&gt;1000,10,MATCH(O2359,Cargas,1))),Coluna_fih,1,1))*(1+0.13*0.25)*(PI()*(fi_h/1000)^2/4)*SQRT(2*9.81*(O2359/100-fi_h/2/1000))*1000)),"",IF(O2359&lt;fi_h/20,0,(OFFSET('Base de dados'!$A$5,IF(O2359&lt;20,1,IF(O2359&gt;1000,10,MATCH(O2359,Cargas,1))),Coluna_fih,1,1))*(PI()*(fi_h/1000)^2/4)*SQRT(2*9.81*(O2359/100-fi_h/2/1000))*1000))</f>
        <v>65.137222545667598</v>
      </c>
      <c r="Q2359" s="19">
        <f ca="1">IF(O2359="","",IF(Tipo_Vertedor="Retangular",IF(O2359&lt;=cota_s*100,0,IF(Tipo_Vertedor="Retangular",Cd_sr*Lef_sr*((O2359/100-cota_s)^(3/2))*1000)),IF(O2359&lt;=cota_s*100+fi_s/20,0,(OFFSET('Base de dados'!$A$4,IF(O2359&lt;20,1,IF(O2359&gt;1000,10,MATCH(O2359,Cargas,1))),Coluna_fis,1,1))*(PI()*(fi_s/1000)^2/4)*(2*9.81*(O2359/100-cota_s-fi_s/2/1000))^0.5*1000)))</f>
        <v>13378.310974838694</v>
      </c>
      <c r="R2359" s="19">
        <f t="shared" ca="1" si="270"/>
        <v>13443.448197384361</v>
      </c>
      <c r="S2359" s="19">
        <f t="shared" ca="1" si="271"/>
        <v>14859.140083113592</v>
      </c>
    </row>
    <row r="2360" spans="13:19">
      <c r="M2360" s="81">
        <f t="shared" ca="1" si="268"/>
        <v>28319.164856966912</v>
      </c>
      <c r="N2360" s="19">
        <f t="shared" si="269"/>
        <v>445.98680618800637</v>
      </c>
      <c r="O2360" s="17">
        <f t="shared" si="267"/>
        <v>589.75</v>
      </c>
      <c r="P2360" s="19">
        <f ca="1">IF(ISERROR(IF(O2360&lt;fi_h/20,0,(OFFSET('Base de dados'!$A$5,IF(O2360&lt;20,1,IF(O2360&gt;1000,10,MATCH(O2360,Cargas,1))),Coluna_fih,1,1))*(1+0.13*0.25)*(PI()*(fi_h/1000)^2/4)*SQRT(2*9.81*(O2360/100-fi_h/2/1000))*1000)),"",IF(O2360&lt;fi_h/20,0,(OFFSET('Base de dados'!$A$5,IF(O2360&lt;20,1,IF(O2360&gt;1000,10,MATCH(O2360,Cargas,1))),Coluna_fih,1,1))*(PI()*(fi_h/1000)^2/4)*SQRT(2*9.81*(O2360/100-fi_h/2/1000))*1000))</f>
        <v>65.151166438755268</v>
      </c>
      <c r="Q2360" s="19">
        <f ca="1">IF(O2360="","",IF(Tipo_Vertedor="Retangular",IF(O2360&lt;=cota_s*100,0,IF(Tipo_Vertedor="Retangular",Cd_sr*Lef_sr*((O2360/100-cota_s)^(3/2))*1000)),IF(O2360&lt;=cota_s*100+fi_s/20,0,(OFFSET('Base de dados'!$A$4,IF(O2360&lt;20,1,IF(O2360&gt;1000,10,MATCH(O2360,Cargas,1))),Coluna_fis,1,1))*(PI()*(fi_s/1000)^2/4)*(2*9.81*(O2360/100-cota_s-fi_s/2/1000))^0.5*1000)))</f>
        <v>13387.786817594611</v>
      </c>
      <c r="R2360" s="19">
        <f t="shared" ca="1" si="270"/>
        <v>13452.937984033366</v>
      </c>
      <c r="S2360" s="19">
        <f t="shared" ca="1" si="271"/>
        <v>14866.226872933545</v>
      </c>
    </row>
    <row r="2361" spans="13:19">
      <c r="M2361" s="81">
        <f t="shared" ca="1" si="268"/>
        <v>28335.744040889476</v>
      </c>
      <c r="N2361" s="19">
        <f t="shared" si="269"/>
        <v>446.19942111011005</v>
      </c>
      <c r="O2361" s="17">
        <f t="shared" si="267"/>
        <v>590</v>
      </c>
      <c r="P2361" s="19">
        <f ca="1">IF(ISERROR(IF(O2361&lt;fi_h/20,0,(OFFSET('Base de dados'!$A$5,IF(O2361&lt;20,1,IF(O2361&gt;1000,10,MATCH(O2361,Cargas,1))),Coluna_fih,1,1))*(1+0.13*0.25)*(PI()*(fi_h/1000)^2/4)*SQRT(2*9.81*(O2361/100-fi_h/2/1000))*1000)),"",IF(O2361&lt;fi_h/20,0,(OFFSET('Base de dados'!$A$5,IF(O2361&lt;20,1,IF(O2361&gt;1000,10,MATCH(O2361,Cargas,1))),Coluna_fih,1,1))*(PI()*(fi_h/1000)^2/4)*SQRT(2*9.81*(O2361/100-fi_h/2/1000))*1000))</f>
        <v>65.165107348157974</v>
      </c>
      <c r="Q2361" s="19">
        <f ca="1">IF(O2361="","",IF(Tipo_Vertedor="Retangular",IF(O2361&lt;=cota_s*100,0,IF(Tipo_Vertedor="Retangular",Cd_sr*Lef_sr*((O2361/100-cota_s)^(3/2))*1000)),IF(O2361&lt;=cota_s*100+fi_s/20,0,(OFFSET('Base de dados'!$A$4,IF(O2361&lt;20,1,IF(O2361&gt;1000,10,MATCH(O2361,Cargas,1))),Coluna_fis,1,1))*(PI()*(fi_s/1000)^2/4)*(2*9.81*(O2361/100-cota_s-fi_s/2/1000))^0.5*1000)))</f>
        <v>13397.264896537652</v>
      </c>
      <c r="R2361" s="19">
        <f t="shared" ca="1" si="270"/>
        <v>13462.430003885809</v>
      </c>
      <c r="S2361" s="19">
        <f t="shared" ca="1" si="271"/>
        <v>14873.314037003669</v>
      </c>
    </row>
    <row r="2362" spans="13:19">
      <c r="M2362" s="81">
        <f t="shared" ca="1" si="268"/>
        <v>28352.325831601302</v>
      </c>
      <c r="N2362" s="19">
        <f t="shared" si="269"/>
        <v>446.41204725555428</v>
      </c>
      <c r="O2362" s="17">
        <f t="shared" si="267"/>
        <v>590.25</v>
      </c>
      <c r="P2362" s="19">
        <f ca="1">IF(ISERROR(IF(O2362&lt;fi_h/20,0,(OFFSET('Base de dados'!$A$5,IF(O2362&lt;20,1,IF(O2362&gt;1000,10,MATCH(O2362,Cargas,1))),Coluna_fih,1,1))*(1+0.13*0.25)*(PI()*(fi_h/1000)^2/4)*SQRT(2*9.81*(O2362/100-fi_h/2/1000))*1000)),"",IF(O2362&lt;fi_h/20,0,(OFFSET('Base de dados'!$A$5,IF(O2362&lt;20,1,IF(O2362&gt;1000,10,MATCH(O2362,Cargas,1))),Coluna_fih,1,1))*(PI()*(fi_h/1000)^2/4)*SQRT(2*9.81*(O2362/100-fi_h/2/1000))*1000))</f>
        <v>65.179045275790244</v>
      </c>
      <c r="Q2362" s="19">
        <f ca="1">IF(O2362="","",IF(Tipo_Vertedor="Retangular",IF(O2362&lt;=cota_s*100,0,IF(Tipo_Vertedor="Retangular",Cd_sr*Lef_sr*((O2362/100-cota_s)^(3/2))*1000)),IF(O2362&lt;=cota_s*100+fi_s/20,0,(OFFSET('Base de dados'!$A$4,IF(O2362&lt;20,1,IF(O2362&gt;1000,10,MATCH(O2362,Cargas,1))),Coluna_fis,1,1))*(PI()*(fi_s/1000)^2/4)*(2*9.81*(O2362/100-cota_s-fi_s/2/1000))^0.5*1000)))</f>
        <v>13406.745211140367</v>
      </c>
      <c r="R2362" s="19">
        <f t="shared" ca="1" si="270"/>
        <v>13471.924256416158</v>
      </c>
      <c r="S2362" s="19">
        <f t="shared" ca="1" si="271"/>
        <v>14880.401575185144</v>
      </c>
    </row>
    <row r="2363" spans="13:19">
      <c r="M2363" s="81">
        <f t="shared" ca="1" si="268"/>
        <v>28368.910228438464</v>
      </c>
      <c r="N2363" s="19">
        <f t="shared" si="269"/>
        <v>446.62468462017728</v>
      </c>
      <c r="O2363" s="17">
        <f t="shared" si="267"/>
        <v>590.5</v>
      </c>
      <c r="P2363" s="19">
        <f ca="1">IF(ISERROR(IF(O2363&lt;fi_h/20,0,(OFFSET('Base de dados'!$A$5,IF(O2363&lt;20,1,IF(O2363&gt;1000,10,MATCH(O2363,Cargas,1))),Coluna_fih,1,1))*(1+0.13*0.25)*(PI()*(fi_h/1000)^2/4)*SQRT(2*9.81*(O2363/100-fi_h/2/1000))*1000)),"",IF(O2363&lt;fi_h/20,0,(OFFSET('Base de dados'!$A$5,IF(O2363&lt;20,1,IF(O2363&gt;1000,10,MATCH(O2363,Cargas,1))),Coluna_fih,1,1))*(PI()*(fi_h/1000)^2/4)*SQRT(2*9.81*(O2363/100-fi_h/2/1000))*1000))</f>
        <v>65.192980223564533</v>
      </c>
      <c r="Q2363" s="19">
        <f ca="1">IF(O2363="","",IF(Tipo_Vertedor="Retangular",IF(O2363&lt;=cota_s*100,0,IF(Tipo_Vertedor="Retangular",Cd_sr*Lef_sr*((O2363/100-cota_s)^(3/2))*1000)),IF(O2363&lt;=cota_s*100+fi_s/20,0,(OFFSET('Base de dados'!$A$4,IF(O2363&lt;20,1,IF(O2363&gt;1000,10,MATCH(O2363,Cargas,1))),Coluna_fis,1,1))*(PI()*(fi_s/1000)^2/4)*(2*9.81*(O2363/100-cota_s-fi_s/2/1000))^0.5*1000)))</f>
        <v>13416.227760875656</v>
      </c>
      <c r="R2363" s="19">
        <f t="shared" ca="1" si="270"/>
        <v>13481.42074109922</v>
      </c>
      <c r="S2363" s="19">
        <f t="shared" ca="1" si="271"/>
        <v>14887.489487339242</v>
      </c>
    </row>
    <row r="2364" spans="13:19">
      <c r="M2364" s="81">
        <f t="shared" ca="1" si="268"/>
        <v>28385.49723073755</v>
      </c>
      <c r="N2364" s="19">
        <f t="shared" si="269"/>
        <v>446.8373331998207</v>
      </c>
      <c r="O2364" s="17">
        <f t="shared" si="267"/>
        <v>590.75</v>
      </c>
      <c r="P2364" s="19">
        <f ca="1">IF(ISERROR(IF(O2364&lt;fi_h/20,0,(OFFSET('Base de dados'!$A$5,IF(O2364&lt;20,1,IF(O2364&gt;1000,10,MATCH(O2364,Cargas,1))),Coluna_fih,1,1))*(1+0.13*0.25)*(PI()*(fi_h/1000)^2/4)*SQRT(2*9.81*(O2364/100-fi_h/2/1000))*1000)),"",IF(O2364&lt;fi_h/20,0,(OFFSET('Base de dados'!$A$5,IF(O2364&lt;20,1,IF(O2364&gt;1000,10,MATCH(O2364,Cargas,1))),Coluna_fih,1,1))*(PI()*(fi_h/1000)^2/4)*SQRT(2*9.81*(O2364/100-fi_h/2/1000))*1000))</f>
        <v>65.206912193391261</v>
      </c>
      <c r="Q2364" s="19">
        <f ca="1">IF(O2364="","",IF(Tipo_Vertedor="Retangular",IF(O2364&lt;=cota_s*100,0,IF(Tipo_Vertedor="Retangular",Cd_sr*Lef_sr*((O2364/100-cota_s)^(3/2))*1000)),IF(O2364&lt;=cota_s*100+fi_s/20,0,(OFFSET('Base de dados'!$A$4,IF(O2364&lt;20,1,IF(O2364&gt;1000,10,MATCH(O2364,Cargas,1))),Coluna_fis,1,1))*(PI()*(fi_s/1000)^2/4)*(2*9.81*(O2364/100-cota_s-fi_s/2/1000))^0.5*1000)))</f>
        <v>13425.7125452168</v>
      </c>
      <c r="R2364" s="19">
        <f t="shared" ca="1" si="270"/>
        <v>13490.919457410191</v>
      </c>
      <c r="S2364" s="19">
        <f t="shared" ca="1" si="271"/>
        <v>14894.577773327357</v>
      </c>
    </row>
    <row r="2365" spans="13:19">
      <c r="M2365" s="81">
        <f t="shared" ca="1" si="268"/>
        <v>28402.086837835635</v>
      </c>
      <c r="N2365" s="19">
        <f t="shared" si="269"/>
        <v>447.04999299033</v>
      </c>
      <c r="O2365" s="17">
        <f t="shared" si="267"/>
        <v>591</v>
      </c>
      <c r="P2365" s="19">
        <f ca="1">IF(ISERROR(IF(O2365&lt;fi_h/20,0,(OFFSET('Base de dados'!$A$5,IF(O2365&lt;20,1,IF(O2365&gt;1000,10,MATCH(O2365,Cargas,1))),Coluna_fih,1,1))*(1+0.13*0.25)*(PI()*(fi_h/1000)^2/4)*SQRT(2*9.81*(O2365/100-fi_h/2/1000))*1000)),"",IF(O2365&lt;fi_h/20,0,(OFFSET('Base de dados'!$A$5,IF(O2365&lt;20,1,IF(O2365&gt;1000,10,MATCH(O2365,Cargas,1))),Coluna_fih,1,1))*(PI()*(fi_h/1000)^2/4)*SQRT(2*9.81*(O2365/100-fi_h/2/1000))*1000))</f>
        <v>65.22084118717882</v>
      </c>
      <c r="Q2365" s="19">
        <f ca="1">IF(O2365="","",IF(Tipo_Vertedor="Retangular",IF(O2365&lt;=cota_s*100,0,IF(Tipo_Vertedor="Retangular",Cd_sr*Lef_sr*((O2365/100-cota_s)^(3/2))*1000)),IF(O2365&lt;=cota_s*100+fi_s/20,0,(OFFSET('Base de dados'!$A$4,IF(O2365&lt;20,1,IF(O2365&gt;1000,10,MATCH(O2365,Cargas,1))),Coluna_fis,1,1))*(PI()*(fi_s/1000)^2/4)*(2*9.81*(O2365/100-cota_s-fi_s/2/1000))^0.5*1000)))</f>
        <v>13435.199563637458</v>
      </c>
      <c r="R2365" s="19">
        <f t="shared" ca="1" si="270"/>
        <v>13500.420404824636</v>
      </c>
      <c r="S2365" s="19">
        <f t="shared" ca="1" si="271"/>
        <v>14901.666433011</v>
      </c>
    </row>
    <row r="2366" spans="13:19">
      <c r="M2366" s="81">
        <f t="shared" ca="1" si="268"/>
        <v>28418.679049070248</v>
      </c>
      <c r="N2366" s="19">
        <f t="shared" si="269"/>
        <v>447.26266398755303</v>
      </c>
      <c r="O2366" s="17">
        <f t="shared" si="267"/>
        <v>591.25</v>
      </c>
      <c r="P2366" s="19">
        <f ca="1">IF(ISERROR(IF(O2366&lt;fi_h/20,0,(OFFSET('Base de dados'!$A$5,IF(O2366&lt;20,1,IF(O2366&gt;1000,10,MATCH(O2366,Cargas,1))),Coluna_fih,1,1))*(1+0.13*0.25)*(PI()*(fi_h/1000)^2/4)*SQRT(2*9.81*(O2366/100-fi_h/2/1000))*1000)),"",IF(O2366&lt;fi_h/20,0,(OFFSET('Base de dados'!$A$5,IF(O2366&lt;20,1,IF(O2366&gt;1000,10,MATCH(O2366,Cargas,1))),Coluna_fih,1,1))*(PI()*(fi_h/1000)^2/4)*SQRT(2*9.81*(O2366/100-fi_h/2/1000))*1000))</f>
        <v>65.234767206833524</v>
      </c>
      <c r="Q2366" s="19">
        <f ca="1">IF(O2366="","",IF(Tipo_Vertedor="Retangular",IF(O2366&lt;=cota_s*100,0,IF(Tipo_Vertedor="Retangular",Cd_sr*Lef_sr*((O2366/100-cota_s)^(3/2))*1000)),IF(O2366&lt;=cota_s*100+fi_s/20,0,(OFFSET('Base de dados'!$A$4,IF(O2366&lt;20,1,IF(O2366&gt;1000,10,MATCH(O2366,Cargas,1))),Coluna_fis,1,1))*(PI()*(fi_s/1000)^2/4)*(2*9.81*(O2366/100-cota_s-fi_s/2/1000))^0.5*1000)))</f>
        <v>13444.688815611647</v>
      </c>
      <c r="R2366" s="19">
        <f t="shared" ca="1" si="270"/>
        <v>13509.923582818481</v>
      </c>
      <c r="S2366" s="19">
        <f t="shared" ca="1" si="271"/>
        <v>14908.755466251769</v>
      </c>
    </row>
    <row r="2367" spans="13:19">
      <c r="M2367" s="81">
        <f t="shared" ca="1" si="268"/>
        <v>28435.273863779417</v>
      </c>
      <c r="N2367" s="19">
        <f t="shared" si="269"/>
        <v>447.4753461873417</v>
      </c>
      <c r="O2367" s="17">
        <f t="shared" si="267"/>
        <v>591.5</v>
      </c>
      <c r="P2367" s="19">
        <f ca="1">IF(ISERROR(IF(O2367&lt;fi_h/20,0,(OFFSET('Base de dados'!$A$5,IF(O2367&lt;20,1,IF(O2367&gt;1000,10,MATCH(O2367,Cargas,1))),Coluna_fih,1,1))*(1+0.13*0.25)*(PI()*(fi_h/1000)^2/4)*SQRT(2*9.81*(O2367/100-fi_h/2/1000))*1000)),"",IF(O2367&lt;fi_h/20,0,(OFFSET('Base de dados'!$A$5,IF(O2367&lt;20,1,IF(O2367&gt;1000,10,MATCH(O2367,Cargas,1))),Coluna_fih,1,1))*(PI()*(fi_h/1000)^2/4)*SQRT(2*9.81*(O2367/100-fi_h/2/1000))*1000))</f>
        <v>65.248690254259714</v>
      </c>
      <c r="Q2367" s="19">
        <f ca="1">IF(O2367="","",IF(Tipo_Vertedor="Retangular",IF(O2367&lt;=cota_s*100,0,IF(Tipo_Vertedor="Retangular",Cd_sr*Lef_sr*((O2367/100-cota_s)^(3/2))*1000)),IF(O2367&lt;=cota_s*100+fi_s/20,0,(OFFSET('Base de dados'!$A$4,IF(O2367&lt;20,1,IF(O2367&gt;1000,10,MATCH(O2367,Cargas,1))),Coluna_fis,1,1))*(PI()*(fi_s/1000)^2/4)*(2*9.81*(O2367/100-cota_s-fi_s/2/1000))^0.5*1000)))</f>
        <v>13454.180300613763</v>
      </c>
      <c r="R2367" s="19">
        <f t="shared" ca="1" si="270"/>
        <v>13519.428990868024</v>
      </c>
      <c r="S2367" s="19">
        <f t="shared" ca="1" si="271"/>
        <v>14915.844872911392</v>
      </c>
    </row>
    <row r="2368" spans="13:19">
      <c r="M2368" s="81">
        <f t="shared" ca="1" si="268"/>
        <v>28451.871281301646</v>
      </c>
      <c r="N2368" s="19">
        <f t="shared" si="269"/>
        <v>447.68803958555088</v>
      </c>
      <c r="O2368" s="17">
        <f t="shared" si="267"/>
        <v>591.75</v>
      </c>
      <c r="P2368" s="19">
        <f ca="1">IF(ISERROR(IF(O2368&lt;fi_h/20,0,(OFFSET('Base de dados'!$A$5,IF(O2368&lt;20,1,IF(O2368&gt;1000,10,MATCH(O2368,Cargas,1))),Coluna_fih,1,1))*(1+0.13*0.25)*(PI()*(fi_h/1000)^2/4)*SQRT(2*9.81*(O2368/100-fi_h/2/1000))*1000)),"",IF(O2368&lt;fi_h/20,0,(OFFSET('Base de dados'!$A$5,IF(O2368&lt;20,1,IF(O2368&gt;1000,10,MATCH(O2368,Cargas,1))),Coluna_fih,1,1))*(PI()*(fi_h/1000)^2/4)*SQRT(2*9.81*(O2368/100-fi_h/2/1000))*1000))</f>
        <v>65.262610331359625</v>
      </c>
      <c r="Q2368" s="19">
        <f ca="1">IF(O2368="","",IF(Tipo_Vertedor="Retangular",IF(O2368&lt;=cota_s*100,0,IF(Tipo_Vertedor="Retangular",Cd_sr*Lef_sr*((O2368/100-cota_s)^(3/2))*1000)),IF(O2368&lt;=cota_s*100+fi_s/20,0,(OFFSET('Base de dados'!$A$4,IF(O2368&lt;20,1,IF(O2368&gt;1000,10,MATCH(O2368,Cargas,1))),Coluna_fis,1,1))*(PI()*(fi_s/1000)^2/4)*(2*9.81*(O2368/100-cota_s-fi_s/2/1000))^0.5*1000)))</f>
        <v>13463.674018118591</v>
      </c>
      <c r="R2368" s="19">
        <f t="shared" ca="1" si="270"/>
        <v>13528.93662844995</v>
      </c>
      <c r="S2368" s="19">
        <f t="shared" ca="1" si="271"/>
        <v>14922.934652851696</v>
      </c>
    </row>
    <row r="2369" spans="13:19">
      <c r="M2369" s="81">
        <f t="shared" ca="1" si="268"/>
        <v>28468.471300975907</v>
      </c>
      <c r="N2369" s="19">
        <f t="shared" si="269"/>
        <v>447.90074417803874</v>
      </c>
      <c r="O2369" s="17">
        <f t="shared" si="267"/>
        <v>592</v>
      </c>
      <c r="P2369" s="19">
        <f ca="1">IF(ISERROR(IF(O2369&lt;fi_h/20,0,(OFFSET('Base de dados'!$A$5,IF(O2369&lt;20,1,IF(O2369&gt;1000,10,MATCH(O2369,Cargas,1))),Coluna_fih,1,1))*(1+0.13*0.25)*(PI()*(fi_h/1000)^2/4)*SQRT(2*9.81*(O2369/100-fi_h/2/1000))*1000)),"",IF(O2369&lt;fi_h/20,0,(OFFSET('Base de dados'!$A$5,IF(O2369&lt;20,1,IF(O2369&gt;1000,10,MATCH(O2369,Cargas,1))),Coluna_fih,1,1))*(PI()*(fi_h/1000)^2/4)*SQRT(2*9.81*(O2369/100-fi_h/2/1000))*1000))</f>
        <v>65.276527440033504</v>
      </c>
      <c r="Q2369" s="19">
        <f ca="1">IF(O2369="","",IF(Tipo_Vertedor="Retangular",IF(O2369&lt;=cota_s*100,0,IF(Tipo_Vertedor="Retangular",Cd_sr*Lef_sr*((O2369/100-cota_s)^(3/2))*1000)),IF(O2369&lt;=cota_s*100+fi_s/20,0,(OFFSET('Base de dados'!$A$4,IF(O2369&lt;20,1,IF(O2369&gt;1000,10,MATCH(O2369,Cargas,1))),Coluna_fis,1,1))*(PI()*(fi_s/1000)^2/4)*(2*9.81*(O2369/100-cota_s-fi_s/2/1000))^0.5*1000)))</f>
        <v>13473.169967601247</v>
      </c>
      <c r="R2369" s="19">
        <f t="shared" ca="1" si="270"/>
        <v>13538.44649504128</v>
      </c>
      <c r="S2369" s="19">
        <f t="shared" ca="1" si="271"/>
        <v>14930.024805934625</v>
      </c>
    </row>
    <row r="2370" spans="13:19">
      <c r="M2370" s="81">
        <f t="shared" ca="1" si="268"/>
        <v>28485.073922141641</v>
      </c>
      <c r="N2370" s="19">
        <f t="shared" si="269"/>
        <v>448.11345996066666</v>
      </c>
      <c r="O2370" s="17">
        <f t="shared" si="267"/>
        <v>592.25</v>
      </c>
      <c r="P2370" s="19">
        <f ca="1">IF(ISERROR(IF(O2370&lt;fi_h/20,0,(OFFSET('Base de dados'!$A$5,IF(O2370&lt;20,1,IF(O2370&gt;1000,10,MATCH(O2370,Cargas,1))),Coluna_fih,1,1))*(1+0.13*0.25)*(PI()*(fi_h/1000)^2/4)*SQRT(2*9.81*(O2370/100-fi_h/2/1000))*1000)),"",IF(O2370&lt;fi_h/20,0,(OFFSET('Base de dados'!$A$5,IF(O2370&lt;20,1,IF(O2370&gt;1000,10,MATCH(O2370,Cargas,1))),Coluna_fih,1,1))*(PI()*(fi_h/1000)^2/4)*SQRT(2*9.81*(O2370/100-fi_h/2/1000))*1000))</f>
        <v>65.290441582179625</v>
      </c>
      <c r="Q2370" s="19">
        <f ca="1">IF(O2370="","",IF(Tipo_Vertedor="Retangular",IF(O2370&lt;=cota_s*100,0,IF(Tipo_Vertedor="Retangular",Cd_sr*Lef_sr*((O2370/100-cota_s)^(3/2))*1000)),IF(O2370&lt;=cota_s*100+fi_s/20,0,(OFFSET('Base de dados'!$A$4,IF(O2370&lt;20,1,IF(O2370&gt;1000,10,MATCH(O2370,Cargas,1))),Coluna_fis,1,1))*(PI()*(fi_s/1000)^2/4)*(2*9.81*(O2370/100-cota_s-fi_s/2/1000))^0.5*1000)))</f>
        <v>13482.668148537239</v>
      </c>
      <c r="R2370" s="19">
        <f t="shared" ca="1" si="270"/>
        <v>13547.958590119419</v>
      </c>
      <c r="S2370" s="19">
        <f t="shared" ca="1" si="271"/>
        <v>14937.115332022222</v>
      </c>
    </row>
    <row r="2371" spans="13:19">
      <c r="M2371" s="81">
        <f t="shared" ca="1" si="268"/>
        <v>28501.679144138801</v>
      </c>
      <c r="N2371" s="19">
        <f t="shared" si="269"/>
        <v>448.32618692929952</v>
      </c>
      <c r="O2371" s="17">
        <f t="shared" si="267"/>
        <v>592.5</v>
      </c>
      <c r="P2371" s="19">
        <f ca="1">IF(ISERROR(IF(O2371&lt;fi_h/20,0,(OFFSET('Base de dados'!$A$5,IF(O2371&lt;20,1,IF(O2371&gt;1000,10,MATCH(O2371,Cargas,1))),Coluna_fih,1,1))*(1+0.13*0.25)*(PI()*(fi_h/1000)^2/4)*SQRT(2*9.81*(O2371/100-fi_h/2/1000))*1000)),"",IF(O2371&lt;fi_h/20,0,(OFFSET('Base de dados'!$A$5,IF(O2371&lt;20,1,IF(O2371&gt;1000,10,MATCH(O2371,Cargas,1))),Coluna_fih,1,1))*(PI()*(fi_h/1000)^2/4)*SQRT(2*9.81*(O2371/100-fi_h/2/1000))*1000))</f>
        <v>65.304352759694154</v>
      </c>
      <c r="Q2371" s="19">
        <f ca="1">IF(O2371="","",IF(Tipo_Vertedor="Retangular",IF(O2371&lt;=cota_s*100,0,IF(Tipo_Vertedor="Retangular",Cd_sr*Lef_sr*((O2371/100-cota_s)^(3/2))*1000)),IF(O2371&lt;=cota_s*100+fi_s/20,0,(OFFSET('Base de dados'!$A$4,IF(O2371&lt;20,1,IF(O2371&gt;1000,10,MATCH(O2371,Cargas,1))),Coluna_fis,1,1))*(PI()*(fi_s/1000)^2/4)*(2*9.81*(O2371/100-cota_s-fi_s/2/1000))^0.5*1000)))</f>
        <v>13492.168560402457</v>
      </c>
      <c r="R2371" s="19">
        <f t="shared" ca="1" si="270"/>
        <v>13557.472913162152</v>
      </c>
      <c r="S2371" s="19">
        <f t="shared" ca="1" si="271"/>
        <v>14944.20623097665</v>
      </c>
    </row>
    <row r="2372" spans="13:19">
      <c r="M2372" s="81">
        <f t="shared" ca="1" si="268"/>
        <v>28518.286966307795</v>
      </c>
      <c r="N2372" s="19">
        <f t="shared" si="269"/>
        <v>448.53892507980544</v>
      </c>
      <c r="O2372" s="17">
        <f t="shared" si="267"/>
        <v>592.75</v>
      </c>
      <c r="P2372" s="19">
        <f ca="1">IF(ISERROR(IF(O2372&lt;fi_h/20,0,(OFFSET('Base de dados'!$A$5,IF(O2372&lt;20,1,IF(O2372&gt;1000,10,MATCH(O2372,Cargas,1))),Coluna_fih,1,1))*(1+0.13*0.25)*(PI()*(fi_h/1000)^2/4)*SQRT(2*9.81*(O2372/100-fi_h/2/1000))*1000)),"",IF(O2372&lt;fi_h/20,0,(OFFSET('Base de dados'!$A$5,IF(O2372&lt;20,1,IF(O2372&gt;1000,10,MATCH(O2372,Cargas,1))),Coluna_fih,1,1))*(PI()*(fi_h/1000)^2/4)*SQRT(2*9.81*(O2372/100-fi_h/2/1000))*1000))</f>
        <v>65.318260974471258</v>
      </c>
      <c r="Q2372" s="19">
        <f ca="1">IF(O2372="","",IF(Tipo_Vertedor="Retangular",IF(O2372&lt;=cota_s*100,0,IF(Tipo_Vertedor="Retangular",Cd_sr*Lef_sr*((O2372/100-cota_s)^(3/2))*1000)),IF(O2372&lt;=cota_s*100+fi_s/20,0,(OFFSET('Base de dados'!$A$4,IF(O2372&lt;20,1,IF(O2372&gt;1000,10,MATCH(O2372,Cargas,1))),Coluna_fis,1,1))*(PI()*(fi_s/1000)^2/4)*(2*9.81*(O2372/100-cota_s-fi_s/2/1000))^0.5*1000)))</f>
        <v>13501.671202673142</v>
      </c>
      <c r="R2372" s="19">
        <f t="shared" ca="1" si="270"/>
        <v>13566.989463647613</v>
      </c>
      <c r="S2372" s="19">
        <f t="shared" ca="1" si="271"/>
        <v>14951.297502660182</v>
      </c>
    </row>
    <row r="2373" spans="13:19">
      <c r="M2373" s="81">
        <f t="shared" ca="1" si="268"/>
        <v>28534.897387989491</v>
      </c>
      <c r="N2373" s="19">
        <f t="shared" si="269"/>
        <v>448.75167440805552</v>
      </c>
      <c r="O2373" s="17">
        <f t="shared" si="267"/>
        <v>593</v>
      </c>
      <c r="P2373" s="19">
        <f ca="1">IF(ISERROR(IF(O2373&lt;fi_h/20,0,(OFFSET('Base de dados'!$A$5,IF(O2373&lt;20,1,IF(O2373&gt;1000,10,MATCH(O2373,Cargas,1))),Coluna_fih,1,1))*(1+0.13*0.25)*(PI()*(fi_h/1000)^2/4)*SQRT(2*9.81*(O2373/100-fi_h/2/1000))*1000)),"",IF(O2373&lt;fi_h/20,0,(OFFSET('Base de dados'!$A$5,IF(O2373&lt;20,1,IF(O2373&gt;1000,10,MATCH(O2373,Cargas,1))),Coluna_fih,1,1))*(PI()*(fi_h/1000)^2/4)*SQRT(2*9.81*(O2373/100-fi_h/2/1000))*1000))</f>
        <v>65.332166228403125</v>
      </c>
      <c r="Q2373" s="19">
        <f ca="1">IF(O2373="","",IF(Tipo_Vertedor="Retangular",IF(O2373&lt;=cota_s*100,0,IF(Tipo_Vertedor="Retangular",Cd_sr*Lef_sr*((O2373/100-cota_s)^(3/2))*1000)),IF(O2373&lt;=cota_s*100+fi_s/20,0,(OFFSET('Base de dados'!$A$4,IF(O2373&lt;20,1,IF(O2373&gt;1000,10,MATCH(O2373,Cargas,1))),Coluna_fis,1,1))*(PI()*(fi_s/1000)^2/4)*(2*9.81*(O2373/100-cota_s-fi_s/2/1000))^0.5*1000)))</f>
        <v>13511.176074825906</v>
      </c>
      <c r="R2373" s="19">
        <f t="shared" ca="1" si="270"/>
        <v>13576.508241054309</v>
      </c>
      <c r="S2373" s="19">
        <f t="shared" ca="1" si="271"/>
        <v>14958.389146935184</v>
      </c>
    </row>
    <row r="2374" spans="13:19">
      <c r="M2374" s="81">
        <f t="shared" ca="1" si="268"/>
        <v>28551.510408525268</v>
      </c>
      <c r="N2374" s="19">
        <f t="shared" si="269"/>
        <v>448.96443490992453</v>
      </c>
      <c r="O2374" s="17">
        <f t="shared" si="267"/>
        <v>593.25</v>
      </c>
      <c r="P2374" s="19">
        <f ca="1">IF(ISERROR(IF(O2374&lt;fi_h/20,0,(OFFSET('Base de dados'!$A$5,IF(O2374&lt;20,1,IF(O2374&gt;1000,10,MATCH(O2374,Cargas,1))),Coluna_fih,1,1))*(1+0.13*0.25)*(PI()*(fi_h/1000)^2/4)*SQRT(2*9.81*(O2374/100-fi_h/2/1000))*1000)),"",IF(O2374&lt;fi_h/20,0,(OFFSET('Base de dados'!$A$5,IF(O2374&lt;20,1,IF(O2374&gt;1000,10,MATCH(O2374,Cargas,1))),Coluna_fih,1,1))*(PI()*(fi_h/1000)^2/4)*SQRT(2*9.81*(O2374/100-fi_h/2/1000))*1000))</f>
        <v>65.346068523379884</v>
      </c>
      <c r="Q2374" s="19">
        <f ca="1">IF(O2374="","",IF(Tipo_Vertedor="Retangular",IF(O2374&lt;=cota_s*100,0,IF(Tipo_Vertedor="Retangular",Cd_sr*Lef_sr*((O2374/100-cota_s)^(3/2))*1000)),IF(O2374&lt;=cota_s*100+fi_s/20,0,(OFFSET('Base de dados'!$A$4,IF(O2374&lt;20,1,IF(O2374&gt;1000,10,MATCH(O2374,Cargas,1))),Coluna_fis,1,1))*(PI()*(fi_s/1000)^2/4)*(2*9.81*(O2374/100-cota_s-fi_s/2/1000))^0.5*1000)))</f>
        <v>13520.683176337738</v>
      </c>
      <c r="R2374" s="19">
        <f t="shared" ca="1" si="270"/>
        <v>13586.029244861118</v>
      </c>
      <c r="S2374" s="19">
        <f t="shared" ca="1" si="271"/>
        <v>14965.48116366415</v>
      </c>
    </row>
    <row r="2375" spans="13:19">
      <c r="M2375" s="81">
        <f t="shared" ca="1" si="268"/>
        <v>28568.126027256942</v>
      </c>
      <c r="N2375" s="19">
        <f t="shared" si="269"/>
        <v>449.17720658128991</v>
      </c>
      <c r="O2375" s="17">
        <f t="shared" si="267"/>
        <v>593.5</v>
      </c>
      <c r="P2375" s="19">
        <f ca="1">IF(ISERROR(IF(O2375&lt;fi_h/20,0,(OFFSET('Base de dados'!$A$5,IF(O2375&lt;20,1,IF(O2375&gt;1000,10,MATCH(O2375,Cargas,1))),Coluna_fih,1,1))*(1+0.13*0.25)*(PI()*(fi_h/1000)^2/4)*SQRT(2*9.81*(O2375/100-fi_h/2/1000))*1000)),"",IF(O2375&lt;fi_h/20,0,(OFFSET('Base de dados'!$A$5,IF(O2375&lt;20,1,IF(O2375&gt;1000,10,MATCH(O2375,Cargas,1))),Coluna_fih,1,1))*(PI()*(fi_h/1000)^2/4)*SQRT(2*9.81*(O2375/100-fi_h/2/1000))*1000))</f>
        <v>65.359967861289704</v>
      </c>
      <c r="Q2375" s="19">
        <f ca="1">IF(O2375="","",IF(Tipo_Vertedor="Retangular",IF(O2375&lt;=cota_s*100,0,IF(Tipo_Vertedor="Retangular",Cd_sr*Lef_sr*((O2375/100-cota_s)^(3/2))*1000)),IF(O2375&lt;=cota_s*100+fi_s/20,0,(OFFSET('Base de dados'!$A$4,IF(O2375&lt;20,1,IF(O2375&gt;1000,10,MATCH(O2375,Cargas,1))),Coluna_fis,1,1))*(PI()*(fi_s/1000)^2/4)*(2*9.81*(O2375/100-cota_s-fi_s/2/1000))^0.5*1000)))</f>
        <v>13530.192506685988</v>
      </c>
      <c r="R2375" s="19">
        <f t="shared" ca="1" si="270"/>
        <v>13595.552474547278</v>
      </c>
      <c r="S2375" s="19">
        <f t="shared" ca="1" si="271"/>
        <v>14972.573552709662</v>
      </c>
    </row>
    <row r="2376" spans="13:19">
      <c r="M2376" s="81">
        <f t="shared" ca="1" si="268"/>
        <v>28584.744243526831</v>
      </c>
      <c r="N2376" s="19">
        <f t="shared" si="269"/>
        <v>449.38998941803339</v>
      </c>
      <c r="O2376" s="17">
        <f t="shared" si="267"/>
        <v>593.75</v>
      </c>
      <c r="P2376" s="19">
        <f ca="1">IF(ISERROR(IF(O2376&lt;fi_h/20,0,(OFFSET('Base de dados'!$A$5,IF(O2376&lt;20,1,IF(O2376&gt;1000,10,MATCH(O2376,Cargas,1))),Coluna_fih,1,1))*(1+0.13*0.25)*(PI()*(fi_h/1000)^2/4)*SQRT(2*9.81*(O2376/100-fi_h/2/1000))*1000)),"",IF(O2376&lt;fi_h/20,0,(OFFSET('Base de dados'!$A$5,IF(O2376&lt;20,1,IF(O2376&gt;1000,10,MATCH(O2376,Cargas,1))),Coluna_fih,1,1))*(PI()*(fi_h/1000)^2/4)*SQRT(2*9.81*(O2376/100-fi_h/2/1000))*1000))</f>
        <v>65.373864244018691</v>
      </c>
      <c r="Q2376" s="19">
        <f ca="1">IF(O2376="","",IF(Tipo_Vertedor="Retangular",IF(O2376&lt;=cota_s*100,0,IF(Tipo_Vertedor="Retangular",Cd_sr*Lef_sr*((O2376/100-cota_s)^(3/2))*1000)),IF(O2376&lt;=cota_s*100+fi_s/20,0,(OFFSET('Base de dados'!$A$4,IF(O2376&lt;20,1,IF(O2376&gt;1000,10,MATCH(O2376,Cargas,1))),Coluna_fis,1,1))*(PI()*(fi_s/1000)^2/4)*(2*9.81*(O2376/100-cota_s-fi_s/2/1000))^0.5*1000)))</f>
        <v>13539.704065348364</v>
      </c>
      <c r="R2376" s="19">
        <f t="shared" ca="1" si="270"/>
        <v>13605.077929592382</v>
      </c>
      <c r="S2376" s="19">
        <f t="shared" ca="1" si="271"/>
        <v>14979.666313934447</v>
      </c>
    </row>
    <row r="2377" spans="13:19">
      <c r="M2377" s="81">
        <f t="shared" ca="1" si="268"/>
        <v>28601.365056677703</v>
      </c>
      <c r="N2377" s="19">
        <f t="shared" si="269"/>
        <v>449.60278341603873</v>
      </c>
      <c r="O2377" s="17">
        <f t="shared" si="267"/>
        <v>594</v>
      </c>
      <c r="P2377" s="19">
        <f ca="1">IF(ISERROR(IF(O2377&lt;fi_h/20,0,(OFFSET('Base de dados'!$A$5,IF(O2377&lt;20,1,IF(O2377&gt;1000,10,MATCH(O2377,Cargas,1))),Coluna_fih,1,1))*(1+0.13*0.25)*(PI()*(fi_h/1000)^2/4)*SQRT(2*9.81*(O2377/100-fi_h/2/1000))*1000)),"",IF(O2377&lt;fi_h/20,0,(OFFSET('Base de dados'!$A$5,IF(O2377&lt;20,1,IF(O2377&gt;1000,10,MATCH(O2377,Cargas,1))),Coluna_fih,1,1))*(PI()*(fi_h/1000)^2/4)*SQRT(2*9.81*(O2377/100-fi_h/2/1000))*1000))</f>
        <v>65.387757673450963</v>
      </c>
      <c r="Q2377" s="19">
        <f ca="1">IF(O2377="","",IF(Tipo_Vertedor="Retangular",IF(O2377&lt;=cota_s*100,0,IF(Tipo_Vertedor="Retangular",Cd_sr*Lef_sr*((O2377/100-cota_s)^(3/2))*1000)),IF(O2377&lt;=cota_s*100+fi_s/20,0,(OFFSET('Base de dados'!$A$4,IF(O2377&lt;20,1,IF(O2377&gt;1000,10,MATCH(O2377,Cargas,1))),Coluna_fis,1,1))*(PI()*(fi_s/1000)^2/4)*(2*9.81*(O2377/100-cota_s-fi_s/2/1000))^0.5*1000)))</f>
        <v>13549.217851802961</v>
      </c>
      <c r="R2377" s="19">
        <f t="shared" ca="1" si="270"/>
        <v>13614.605609476412</v>
      </c>
      <c r="S2377" s="19">
        <f t="shared" ca="1" si="271"/>
        <v>14986.759447201292</v>
      </c>
    </row>
    <row r="2378" spans="13:19">
      <c r="M2378" s="81">
        <f t="shared" ca="1" si="268"/>
        <v>28617.988466052819</v>
      </c>
      <c r="N2378" s="19">
        <f t="shared" si="269"/>
        <v>449.81558857119347</v>
      </c>
      <c r="O2378" s="17">
        <f t="shared" si="267"/>
        <v>594.25</v>
      </c>
      <c r="P2378" s="19">
        <f ca="1">IF(ISERROR(IF(O2378&lt;fi_h/20,0,(OFFSET('Base de dados'!$A$5,IF(O2378&lt;20,1,IF(O2378&gt;1000,10,MATCH(O2378,Cargas,1))),Coluna_fih,1,1))*(1+0.13*0.25)*(PI()*(fi_h/1000)^2/4)*SQRT(2*9.81*(O2378/100-fi_h/2/1000))*1000)),"",IF(O2378&lt;fi_h/20,0,(OFFSET('Base de dados'!$A$5,IF(O2378&lt;20,1,IF(O2378&gt;1000,10,MATCH(O2378,Cargas,1))),Coluna_fih,1,1))*(PI()*(fi_h/1000)^2/4)*SQRT(2*9.81*(O2378/100-fi_h/2/1000))*1000))</f>
        <v>65.401648151468692</v>
      </c>
      <c r="Q2378" s="19">
        <f ca="1">IF(O2378="","",IF(Tipo_Vertedor="Retangular",IF(O2378&lt;=cota_s*100,0,IF(Tipo_Vertedor="Retangular",Cd_sr*Lef_sr*((O2378/100-cota_s)^(3/2))*1000)),IF(O2378&lt;=cota_s*100+fi_s/20,0,(OFFSET('Base de dados'!$A$4,IF(O2378&lt;20,1,IF(O2378&gt;1000,10,MATCH(O2378,Cargas,1))),Coluna_fis,1,1))*(PI()*(fi_s/1000)^2/4)*(2*9.81*(O2378/100-cota_s-fi_s/2/1000))^0.5*1000)))</f>
        <v>13558.733865528233</v>
      </c>
      <c r="R2378" s="19">
        <f t="shared" ca="1" si="270"/>
        <v>13624.135513679701</v>
      </c>
      <c r="S2378" s="19">
        <f t="shared" ca="1" si="271"/>
        <v>14993.852952373116</v>
      </c>
    </row>
    <row r="2379" spans="13:19">
      <c r="M2379" s="81">
        <f t="shared" ca="1" si="268"/>
        <v>28634.614470995897</v>
      </c>
      <c r="N2379" s="19">
        <f t="shared" si="269"/>
        <v>450.02840487938875</v>
      </c>
      <c r="O2379" s="17">
        <f t="shared" si="267"/>
        <v>594.5</v>
      </c>
      <c r="P2379" s="19">
        <f ca="1">IF(ISERROR(IF(O2379&lt;fi_h/20,0,(OFFSET('Base de dados'!$A$5,IF(O2379&lt;20,1,IF(O2379&gt;1000,10,MATCH(O2379,Cargas,1))),Coluna_fih,1,1))*(1+0.13*0.25)*(PI()*(fi_h/1000)^2/4)*SQRT(2*9.81*(O2379/100-fi_h/2/1000))*1000)),"",IF(O2379&lt;fi_h/20,0,(OFFSET('Base de dados'!$A$5,IF(O2379&lt;20,1,IF(O2379&gt;1000,10,MATCH(O2379,Cargas,1))),Coluna_fih,1,1))*(PI()*(fi_h/1000)^2/4)*SQRT(2*9.81*(O2379/100-fi_h/2/1000))*1000))</f>
        <v>65.415535679951986</v>
      </c>
      <c r="Q2379" s="19">
        <f ca="1">IF(O2379="","",IF(Tipo_Vertedor="Retangular",IF(O2379&lt;=cota_s*100,0,IF(Tipo_Vertedor="Retangular",Cd_sr*Lef_sr*((O2379/100-cota_s)^(3/2))*1000)),IF(O2379&lt;=cota_s*100+fi_s/20,0,(OFFSET('Base de dados'!$A$4,IF(O2379&lt;20,1,IF(O2379&gt;1000,10,MATCH(O2379,Cargas,1))),Coluna_fis,1,1))*(PI()*(fi_s/1000)^2/4)*(2*9.81*(O2379/100-cota_s-fi_s/2/1000))^0.5*1000)))</f>
        <v>13568.252106002987</v>
      </c>
      <c r="R2379" s="19">
        <f t="shared" ca="1" si="270"/>
        <v>13633.66764168294</v>
      </c>
      <c r="S2379" s="19">
        <f t="shared" ca="1" si="271"/>
        <v>15000.946829312958</v>
      </c>
    </row>
    <row r="2380" spans="13:19">
      <c r="M2380" s="81">
        <f t="shared" ca="1" si="268"/>
        <v>28651.243070851157</v>
      </c>
      <c r="N2380" s="19">
        <f t="shared" si="269"/>
        <v>450.24123233651869</v>
      </c>
      <c r="O2380" s="17">
        <f t="shared" si="267"/>
        <v>594.75</v>
      </c>
      <c r="P2380" s="19">
        <f ca="1">IF(ISERROR(IF(O2380&lt;fi_h/20,0,(OFFSET('Base de dados'!$A$5,IF(O2380&lt;20,1,IF(O2380&gt;1000,10,MATCH(O2380,Cargas,1))),Coluna_fih,1,1))*(1+0.13*0.25)*(PI()*(fi_h/1000)^2/4)*SQRT(2*9.81*(O2380/100-fi_h/2/1000))*1000)),"",IF(O2380&lt;fi_h/20,0,(OFFSET('Base de dados'!$A$5,IF(O2380&lt;20,1,IF(O2380&gt;1000,10,MATCH(O2380,Cargas,1))),Coluna_fih,1,1))*(PI()*(fi_h/1000)^2/4)*SQRT(2*9.81*(O2380/100-fi_h/2/1000))*1000))</f>
        <v>65.429420260778969</v>
      </c>
      <c r="Q2380" s="19">
        <f ca="1">IF(O2380="","",IF(Tipo_Vertedor="Retangular",IF(O2380&lt;=cota_s*100,0,IF(Tipo_Vertedor="Retangular",Cd_sr*Lef_sr*((O2380/100-cota_s)^(3/2))*1000)),IF(O2380&lt;=cota_s*100+fi_s/20,0,(OFFSET('Base de dados'!$A$4,IF(O2380&lt;20,1,IF(O2380&gt;1000,10,MATCH(O2380,Cargas,1))),Coluna_fis,1,1))*(PI()*(fi_s/1000)^2/4)*(2*9.81*(O2380/100-cota_s-fi_s/2/1000))^0.5*1000)))</f>
        <v>13577.772572706421</v>
      </c>
      <c r="R2380" s="19">
        <f t="shared" ca="1" si="270"/>
        <v>13643.201992967201</v>
      </c>
      <c r="S2380" s="19">
        <f t="shared" ca="1" si="271"/>
        <v>15008.041077883956</v>
      </c>
    </row>
    <row r="2381" spans="13:19">
      <c r="M2381" s="81">
        <f t="shared" ca="1" si="268"/>
        <v>28667.874264963248</v>
      </c>
      <c r="N2381" s="19">
        <f t="shared" si="269"/>
        <v>450.4540709384803</v>
      </c>
      <c r="O2381" s="17">
        <f t="shared" si="267"/>
        <v>595</v>
      </c>
      <c r="P2381" s="19">
        <f ca="1">IF(ISERROR(IF(O2381&lt;fi_h/20,0,(OFFSET('Base de dados'!$A$5,IF(O2381&lt;20,1,IF(O2381&gt;1000,10,MATCH(O2381,Cargas,1))),Coluna_fih,1,1))*(1+0.13*0.25)*(PI()*(fi_h/1000)^2/4)*SQRT(2*9.81*(O2381/100-fi_h/2/1000))*1000)),"",IF(O2381&lt;fi_h/20,0,(OFFSET('Base de dados'!$A$5,IF(O2381&lt;20,1,IF(O2381&gt;1000,10,MATCH(O2381,Cargas,1))),Coluna_fih,1,1))*(PI()*(fi_h/1000)^2/4)*SQRT(2*9.81*(O2381/100-fi_h/2/1000))*1000))</f>
        <v>65.443301895825783</v>
      </c>
      <c r="Q2381" s="19">
        <f ca="1">IF(O2381="","",IF(Tipo_Vertedor="Retangular",IF(O2381&lt;=cota_s*100,0,IF(Tipo_Vertedor="Retangular",Cd_sr*Lef_sr*((O2381/100-cota_s)^(3/2))*1000)),IF(O2381&lt;=cota_s*100+fi_s/20,0,(OFFSET('Base de dados'!$A$4,IF(O2381&lt;20,1,IF(O2381&gt;1000,10,MATCH(O2381,Cargas,1))),Coluna_fis,1,1))*(PI()*(fi_s/1000)^2/4)*(2*9.81*(O2381/100-cota_s-fi_s/2/1000))^0.5*1000)))</f>
        <v>13587.295265118079</v>
      </c>
      <c r="R2381" s="19">
        <f t="shared" ca="1" si="270"/>
        <v>13652.738567013905</v>
      </c>
      <c r="S2381" s="19">
        <f t="shared" ca="1" si="271"/>
        <v>15015.135697949345</v>
      </c>
    </row>
    <row r="2382" spans="13:19">
      <c r="M2382" s="81">
        <f t="shared" ca="1" si="268"/>
        <v>28684.508052677309</v>
      </c>
      <c r="N2382" s="19">
        <f t="shared" si="269"/>
        <v>450.6669206811743</v>
      </c>
      <c r="O2382" s="17">
        <f t="shared" si="267"/>
        <v>595.25</v>
      </c>
      <c r="P2382" s="19">
        <f ca="1">IF(ISERROR(IF(O2382&lt;fi_h/20,0,(OFFSET('Base de dados'!$A$5,IF(O2382&lt;20,1,IF(O2382&gt;1000,10,MATCH(O2382,Cargas,1))),Coluna_fih,1,1))*(1+0.13*0.25)*(PI()*(fi_h/1000)^2/4)*SQRT(2*9.81*(O2382/100-fi_h/2/1000))*1000)),"",IF(O2382&lt;fi_h/20,0,(OFFSET('Base de dados'!$A$5,IF(O2382&lt;20,1,IF(O2382&gt;1000,10,MATCH(O2382,Cargas,1))),Coluna_fih,1,1))*(PI()*(fi_h/1000)^2/4)*SQRT(2*9.81*(O2382/100-fi_h/2/1000))*1000))</f>
        <v>65.457180586966587</v>
      </c>
      <c r="Q2382" s="19">
        <f ca="1">IF(O2382="","",IF(Tipo_Vertedor="Retangular",IF(O2382&lt;=cota_s*100,0,IF(Tipo_Vertedor="Retangular",Cd_sr*Lef_sr*((O2382/100-cota_s)^(3/2))*1000)),IF(O2382&lt;=cota_s*100+fi_s/20,0,(OFFSET('Base de dados'!$A$4,IF(O2382&lt;20,1,IF(O2382&gt;1000,10,MATCH(O2382,Cargas,1))),Coluna_fis,1,1))*(PI()*(fi_s/1000)^2/4)*(2*9.81*(O2382/100-cota_s-fi_s/2/1000))^0.5*1000)))</f>
        <v>13596.820182717864</v>
      </c>
      <c r="R2382" s="19">
        <f t="shared" ca="1" si="270"/>
        <v>13662.277363304831</v>
      </c>
      <c r="S2382" s="19">
        <f t="shared" ca="1" si="271"/>
        <v>15022.230689372478</v>
      </c>
    </row>
    <row r="2383" spans="13:19">
      <c r="M2383" s="81">
        <f t="shared" ca="1" si="268"/>
        <v>28701.144433338959</v>
      </c>
      <c r="N2383" s="19">
        <f t="shared" si="269"/>
        <v>450.87978156050451</v>
      </c>
      <c r="O2383" s="17">
        <f t="shared" si="267"/>
        <v>595.5</v>
      </c>
      <c r="P2383" s="19">
        <f ca="1">IF(ISERROR(IF(O2383&lt;fi_h/20,0,(OFFSET('Base de dados'!$A$5,IF(O2383&lt;20,1,IF(O2383&gt;1000,10,MATCH(O2383,Cargas,1))),Coluna_fih,1,1))*(1+0.13*0.25)*(PI()*(fi_h/1000)^2/4)*SQRT(2*9.81*(O2383/100-fi_h/2/1000))*1000)),"",IF(O2383&lt;fi_h/20,0,(OFFSET('Base de dados'!$A$5,IF(O2383&lt;20,1,IF(O2383&gt;1000,10,MATCH(O2383,Cargas,1))),Coluna_fih,1,1))*(PI()*(fi_h/1000)^2/4)*SQRT(2*9.81*(O2383/100-fi_h/2/1000))*1000))</f>
        <v>65.471056336073573</v>
      </c>
      <c r="Q2383" s="19">
        <f ca="1">IF(O2383="","",IF(Tipo_Vertedor="Retangular",IF(O2383&lt;=cota_s*100,0,IF(Tipo_Vertedor="Retangular",Cd_sr*Lef_sr*((O2383/100-cota_s)^(3/2))*1000)),IF(O2383&lt;=cota_s*100+fi_s/20,0,(OFFSET('Base de dados'!$A$4,IF(O2383&lt;20,1,IF(O2383&gt;1000,10,MATCH(O2383,Cargas,1))),Coluna_fis,1,1))*(PI()*(fi_s/1000)^2/4)*(2*9.81*(O2383/100-cota_s-fi_s/2/1000))^0.5*1000)))</f>
        <v>13606.347324986069</v>
      </c>
      <c r="R2383" s="19">
        <f t="shared" ca="1" si="270"/>
        <v>13671.818381322142</v>
      </c>
      <c r="S2383" s="19">
        <f t="shared" ca="1" si="271"/>
        <v>15029.326052016817</v>
      </c>
    </row>
    <row r="2384" spans="13:19">
      <c r="M2384" s="81">
        <f t="shared" ca="1" si="268"/>
        <v>28717.783406294264</v>
      </c>
      <c r="N2384" s="19">
        <f t="shared" si="269"/>
        <v>451.09265357237757</v>
      </c>
      <c r="O2384" s="17">
        <f t="shared" si="267"/>
        <v>595.75</v>
      </c>
      <c r="P2384" s="19">
        <f ca="1">IF(ISERROR(IF(O2384&lt;fi_h/20,0,(OFFSET('Base de dados'!$A$5,IF(O2384&lt;20,1,IF(O2384&gt;1000,10,MATCH(O2384,Cargas,1))),Coluna_fih,1,1))*(1+0.13*0.25)*(PI()*(fi_h/1000)^2/4)*SQRT(2*9.81*(O2384/100-fi_h/2/1000))*1000)),"",IF(O2384&lt;fi_h/20,0,(OFFSET('Base de dados'!$A$5,IF(O2384&lt;20,1,IF(O2384&gt;1000,10,MATCH(O2384,Cargas,1))),Coluna_fih,1,1))*(PI()*(fi_h/1000)^2/4)*SQRT(2*9.81*(O2384/100-fi_h/2/1000))*1000))</f>
        <v>65.484929145016878</v>
      </c>
      <c r="Q2384" s="19">
        <f ca="1">IF(O2384="","",IF(Tipo_Vertedor="Retangular",IF(O2384&lt;=cota_s*100,0,IF(Tipo_Vertedor="Retangular",Cd_sr*Lef_sr*((O2384/100-cota_s)^(3/2))*1000)),IF(O2384&lt;=cota_s*100+fi_s/20,0,(OFFSET('Base de dados'!$A$4,IF(O2384&lt;20,1,IF(O2384&gt;1000,10,MATCH(O2384,Cargas,1))),Coluna_fis,1,1))*(PI()*(fi_s/1000)^2/4)*(2*9.81*(O2384/100-cota_s-fi_s/2/1000))^0.5*1000)))</f>
        <v>13615.876691403326</v>
      </c>
      <c r="R2384" s="19">
        <f t="shared" ca="1" si="270"/>
        <v>13681.361620548343</v>
      </c>
      <c r="S2384" s="19">
        <f t="shared" ca="1" si="271"/>
        <v>15036.421785745919</v>
      </c>
    </row>
    <row r="2385" spans="13:19">
      <c r="M2385" s="81">
        <f t="shared" ca="1" si="268"/>
        <v>28734.424970889791</v>
      </c>
      <c r="N2385" s="19">
        <f t="shared" si="269"/>
        <v>451.30553671270411</v>
      </c>
      <c r="O2385" s="17">
        <f t="shared" si="267"/>
        <v>596</v>
      </c>
      <c r="P2385" s="19">
        <f ca="1">IF(ISERROR(IF(O2385&lt;fi_h/20,0,(OFFSET('Base de dados'!$A$5,IF(O2385&lt;20,1,IF(O2385&gt;1000,10,MATCH(O2385,Cargas,1))),Coluna_fih,1,1))*(1+0.13*0.25)*(PI()*(fi_h/1000)^2/4)*SQRT(2*9.81*(O2385/100-fi_h/2/1000))*1000)),"",IF(O2385&lt;fi_h/20,0,(OFFSET('Base de dados'!$A$5,IF(O2385&lt;20,1,IF(O2385&gt;1000,10,MATCH(O2385,Cargas,1))),Coluna_fih,1,1))*(PI()*(fi_h/1000)^2/4)*SQRT(2*9.81*(O2385/100-fi_h/2/1000))*1000))</f>
        <v>65.49879901566473</v>
      </c>
      <c r="Q2385" s="19">
        <f ca="1">IF(O2385="","",IF(Tipo_Vertedor="Retangular",IF(O2385&lt;=cota_s*100,0,IF(Tipo_Vertedor="Retangular",Cd_sr*Lef_sr*((O2385/100-cota_s)^(3/2))*1000)),IF(O2385&lt;=cota_s*100+fi_s/20,0,(OFFSET('Base de dados'!$A$4,IF(O2385&lt;20,1,IF(O2385&gt;1000,10,MATCH(O2385,Cargas,1))),Coluna_fis,1,1))*(PI()*(fi_s/1000)^2/4)*(2*9.81*(O2385/100-cota_s-fi_s/2/1000))^0.5*1000)))</f>
        <v>13625.408281450655</v>
      </c>
      <c r="R2385" s="19">
        <f t="shared" ca="1" si="270"/>
        <v>13690.907080466319</v>
      </c>
      <c r="S2385" s="19">
        <f t="shared" ca="1" si="271"/>
        <v>15043.517890423471</v>
      </c>
    </row>
    <row r="2386" spans="13:19">
      <c r="M2386" s="81">
        <f t="shared" ca="1" si="268"/>
        <v>28751.069126472539</v>
      </c>
      <c r="N2386" s="19">
        <f t="shared" si="269"/>
        <v>451.51843097739743</v>
      </c>
      <c r="O2386" s="17">
        <f t="shared" si="267"/>
        <v>596.25</v>
      </c>
      <c r="P2386" s="19">
        <f ca="1">IF(ISERROR(IF(O2386&lt;fi_h/20,0,(OFFSET('Base de dados'!$A$5,IF(O2386&lt;20,1,IF(O2386&gt;1000,10,MATCH(O2386,Cargas,1))),Coluna_fih,1,1))*(1+0.13*0.25)*(PI()*(fi_h/1000)^2/4)*SQRT(2*9.81*(O2386/100-fi_h/2/1000))*1000)),"",IF(O2386&lt;fi_h/20,0,(OFFSET('Base de dados'!$A$5,IF(O2386&lt;20,1,IF(O2386&gt;1000,10,MATCH(O2386,Cargas,1))),Coluna_fih,1,1))*(PI()*(fi_h/1000)^2/4)*SQRT(2*9.81*(O2386/100-fi_h/2/1000))*1000))</f>
        <v>65.512665949883356</v>
      </c>
      <c r="Q2386" s="19">
        <f ca="1">IF(O2386="","",IF(Tipo_Vertedor="Retangular",IF(O2386&lt;=cota_s*100,0,IF(Tipo_Vertedor="Retangular",Cd_sr*Lef_sr*((O2386/100-cota_s)^(3/2))*1000)),IF(O2386&lt;=cota_s*100+fi_s/20,0,(OFFSET('Base de dados'!$A$4,IF(O2386&lt;20,1,IF(O2386&gt;1000,10,MATCH(O2386,Cargas,1))),Coluna_fis,1,1))*(PI()*(fi_s/1000)^2/4)*(2*9.81*(O2386/100-cota_s-fi_s/2/1000))^0.5*1000)))</f>
        <v>13634.942094609409</v>
      </c>
      <c r="R2386" s="19">
        <f t="shared" ca="1" si="270"/>
        <v>13700.454760559292</v>
      </c>
      <c r="S2386" s="19">
        <f t="shared" ca="1" si="271"/>
        <v>15050.614365913247</v>
      </c>
    </row>
    <row r="2387" spans="13:19">
      <c r="M2387" s="81">
        <f t="shared" ca="1" si="268"/>
        <v>28767.715872389992</v>
      </c>
      <c r="N2387" s="19">
        <f t="shared" si="269"/>
        <v>451.73133636237384</v>
      </c>
      <c r="O2387" s="17">
        <f t="shared" ref="O2387:O2450" si="272">IF(ISERROR(IF(O2386+passo_altura&gt;h_max_puls*100,"",O2386+passo_altura)),"",IF(O2386+passo_altura&gt;h_max_puls*100,"",O2386+passo_altura))</f>
        <v>596.5</v>
      </c>
      <c r="P2387" s="19">
        <f ca="1">IF(ISERROR(IF(O2387&lt;fi_h/20,0,(OFFSET('Base de dados'!$A$5,IF(O2387&lt;20,1,IF(O2387&gt;1000,10,MATCH(O2387,Cargas,1))),Coluna_fih,1,1))*(1+0.13*0.25)*(PI()*(fi_h/1000)^2/4)*SQRT(2*9.81*(O2387/100-fi_h/2/1000))*1000)),"",IF(O2387&lt;fi_h/20,0,(OFFSET('Base de dados'!$A$5,IF(O2387&lt;20,1,IF(O2387&gt;1000,10,MATCH(O2387,Cargas,1))),Coluna_fih,1,1))*(PI()*(fi_h/1000)^2/4)*SQRT(2*9.81*(O2387/100-fi_h/2/1000))*1000))</f>
        <v>65.526529949536979</v>
      </c>
      <c r="Q2387" s="19">
        <f ca="1">IF(O2387="","",IF(Tipo_Vertedor="Retangular",IF(O2387&lt;=cota_s*100,0,IF(Tipo_Vertedor="Retangular",Cd_sr*Lef_sr*((O2387/100-cota_s)^(3/2))*1000)),IF(O2387&lt;=cota_s*100+fi_s/20,0,(OFFSET('Base de dados'!$A$4,IF(O2387&lt;20,1,IF(O2387&gt;1000,10,MATCH(O2387,Cargas,1))),Coluna_fis,1,1))*(PI()*(fi_s/1000)^2/4)*(2*9.81*(O2387/100-cota_s-fi_s/2/1000))^0.5*1000)))</f>
        <v>13644.478130361329</v>
      </c>
      <c r="R2387" s="19">
        <f t="shared" ca="1" si="270"/>
        <v>13710.004660310866</v>
      </c>
      <c r="S2387" s="19">
        <f t="shared" ca="1" si="271"/>
        <v>15057.711212079128</v>
      </c>
    </row>
    <row r="2388" spans="13:19">
      <c r="M2388" s="81">
        <f t="shared" ca="1" si="268"/>
        <v>28784.365207990122</v>
      </c>
      <c r="N2388" s="19">
        <f t="shared" si="269"/>
        <v>451.94425286355391</v>
      </c>
      <c r="O2388" s="17">
        <f t="shared" si="272"/>
        <v>596.75</v>
      </c>
      <c r="P2388" s="19">
        <f ca="1">IF(ISERROR(IF(O2388&lt;fi_h/20,0,(OFFSET('Base de dados'!$A$5,IF(O2388&lt;20,1,IF(O2388&gt;1000,10,MATCH(O2388,Cargas,1))),Coluna_fih,1,1))*(1+0.13*0.25)*(PI()*(fi_h/1000)^2/4)*SQRT(2*9.81*(O2388/100-fi_h/2/1000))*1000)),"",IF(O2388&lt;fi_h/20,0,(OFFSET('Base de dados'!$A$5,IF(O2388&lt;20,1,IF(O2388&gt;1000,10,MATCH(O2388,Cargas,1))),Coluna_fih,1,1))*(PI()*(fi_h/1000)^2/4)*SQRT(2*9.81*(O2388/100-fi_h/2/1000))*1000))</f>
        <v>65.540391016487916</v>
      </c>
      <c r="Q2388" s="19">
        <f ca="1">IF(O2388="","",IF(Tipo_Vertedor="Retangular",IF(O2388&lt;=cota_s*100,0,IF(Tipo_Vertedor="Retangular",Cd_sr*Lef_sr*((O2388/100-cota_s)^(3/2))*1000)),IF(O2388&lt;=cota_s*100+fi_s/20,0,(OFFSET('Base de dados'!$A$4,IF(O2388&lt;20,1,IF(O2388&gt;1000,10,MATCH(O2388,Cargas,1))),Coluna_fis,1,1))*(PI()*(fi_s/1000)^2/4)*(2*9.81*(O2388/100-cota_s-fi_s/2/1000))^0.5*1000)))</f>
        <v>13654.016388188504</v>
      </c>
      <c r="R2388" s="19">
        <f t="shared" ca="1" si="270"/>
        <v>13719.556779204991</v>
      </c>
      <c r="S2388" s="19">
        <f t="shared" ca="1" si="271"/>
        <v>15064.808428785131</v>
      </c>
    </row>
    <row r="2389" spans="13:19">
      <c r="M2389" s="81">
        <f t="shared" ca="1" si="268"/>
        <v>28801.017132621317</v>
      </c>
      <c r="N2389" s="19">
        <f t="shared" si="269"/>
        <v>452.15718047685988</v>
      </c>
      <c r="O2389" s="17">
        <f t="shared" si="272"/>
        <v>597</v>
      </c>
      <c r="P2389" s="19">
        <f ca="1">IF(ISERROR(IF(O2389&lt;fi_h/20,0,(OFFSET('Base de dados'!$A$5,IF(O2389&lt;20,1,IF(O2389&gt;1000,10,MATCH(O2389,Cargas,1))),Coluna_fih,1,1))*(1+0.13*0.25)*(PI()*(fi_h/1000)^2/4)*SQRT(2*9.81*(O2389/100-fi_h/2/1000))*1000)),"",IF(O2389&lt;fi_h/20,0,(OFFSET('Base de dados'!$A$5,IF(O2389&lt;20,1,IF(O2389&gt;1000,10,MATCH(O2389,Cargas,1))),Coluna_fih,1,1))*(PI()*(fi_h/1000)^2/4)*SQRT(2*9.81*(O2389/100-fi_h/2/1000))*1000))</f>
        <v>65.554249152596441</v>
      </c>
      <c r="Q2389" s="19">
        <f ca="1">IF(O2389="","",IF(Tipo_Vertedor="Retangular",IF(O2389&lt;=cota_s*100,0,IF(Tipo_Vertedor="Retangular",Cd_sr*Lef_sr*((O2389/100-cota_s)^(3/2))*1000)),IF(O2389&lt;=cota_s*100+fi_s/20,0,(OFFSET('Base de dados'!$A$4,IF(O2389&lt;20,1,IF(O2389&gt;1000,10,MATCH(O2389,Cargas,1))),Coluna_fis,1,1))*(PI()*(fi_s/1000)^2/4)*(2*9.81*(O2389/100-cota_s-fi_s/2/1000))^0.5*1000)))</f>
        <v>13663.556867573394</v>
      </c>
      <c r="R2389" s="19">
        <f t="shared" ca="1" si="270"/>
        <v>13729.11111672599</v>
      </c>
      <c r="S2389" s="19">
        <f t="shared" ca="1" si="271"/>
        <v>15071.906015895329</v>
      </c>
    </row>
    <row r="2390" spans="13:19">
      <c r="M2390" s="81">
        <f t="shared" ca="1" si="268"/>
        <v>28817.671645632494</v>
      </c>
      <c r="N2390" s="19">
        <f t="shared" si="269"/>
        <v>452.37011919821862</v>
      </c>
      <c r="O2390" s="17">
        <f t="shared" si="272"/>
        <v>597.25</v>
      </c>
      <c r="P2390" s="19">
        <f ca="1">IF(ISERROR(IF(O2390&lt;fi_h/20,0,(OFFSET('Base de dados'!$A$5,IF(O2390&lt;20,1,IF(O2390&gt;1000,10,MATCH(O2390,Cargas,1))),Coluna_fih,1,1))*(1+0.13*0.25)*(PI()*(fi_h/1000)^2/4)*SQRT(2*9.81*(O2390/100-fi_h/2/1000))*1000)),"",IF(O2390&lt;fi_h/20,0,(OFFSET('Base de dados'!$A$5,IF(O2390&lt;20,1,IF(O2390&gt;1000,10,MATCH(O2390,Cargas,1))),Coluna_fih,1,1))*(PI()*(fi_h/1000)^2/4)*SQRT(2*9.81*(O2390/100-fi_h/2/1000))*1000))</f>
        <v>65.56810435972092</v>
      </c>
      <c r="Q2390" s="19">
        <f ca="1">IF(O2390="","",IF(Tipo_Vertedor="Retangular",IF(O2390&lt;=cota_s*100,0,IF(Tipo_Vertedor="Retangular",Cd_sr*Lef_sr*((O2390/100-cota_s)^(3/2))*1000)),IF(O2390&lt;=cota_s*100+fi_s/20,0,(OFFSET('Base de dados'!$A$4,IF(O2390&lt;20,1,IF(O2390&gt;1000,10,MATCH(O2390,Cargas,1))),Coluna_fis,1,1))*(PI()*(fi_s/1000)^2/4)*(2*9.81*(O2390/100-cota_s-fi_s/2/1000))^0.5*1000)))</f>
        <v>13673.099567998817</v>
      </c>
      <c r="R2390" s="19">
        <f t="shared" ca="1" si="270"/>
        <v>13738.667672358539</v>
      </c>
      <c r="S2390" s="19">
        <f t="shared" ca="1" si="271"/>
        <v>15079.003973273955</v>
      </c>
    </row>
    <row r="2391" spans="13:19">
      <c r="M2391" s="81">
        <f t="shared" ref="M2391:M2454" ca="1" si="273">IF(O2391="","",2*N2391*1000/(Passo*60)+R2391)</f>
        <v>28834.328746372965</v>
      </c>
      <c r="N2391" s="19">
        <f t="shared" ref="N2391:N2454" si="274">IF(O2391="","",b_0*(O2391/100)^c_0)</f>
        <v>452.58306902355923</v>
      </c>
      <c r="O2391" s="17">
        <f t="shared" si="272"/>
        <v>597.5</v>
      </c>
      <c r="P2391" s="19">
        <f ca="1">IF(ISERROR(IF(O2391&lt;fi_h/20,0,(OFFSET('Base de dados'!$A$5,IF(O2391&lt;20,1,IF(O2391&gt;1000,10,MATCH(O2391,Cargas,1))),Coluna_fih,1,1))*(1+0.13*0.25)*(PI()*(fi_h/1000)^2/4)*SQRT(2*9.81*(O2391/100-fi_h/2/1000))*1000)),"",IF(O2391&lt;fi_h/20,0,(OFFSET('Base de dados'!$A$5,IF(O2391&lt;20,1,IF(O2391&gt;1000,10,MATCH(O2391,Cargas,1))),Coluna_fih,1,1))*(PI()*(fi_h/1000)^2/4)*SQRT(2*9.81*(O2391/100-fi_h/2/1000))*1000))</f>
        <v>65.581956639717717</v>
      </c>
      <c r="Q2391" s="19">
        <f ca="1">IF(O2391="","",IF(Tipo_Vertedor="Retangular",IF(O2391&lt;=cota_s*100,0,IF(Tipo_Vertedor="Retangular",Cd_sr*Lef_sr*((O2391/100-cota_s)^(3/2))*1000)),IF(O2391&lt;=cota_s*100+fi_s/20,0,(OFFSET('Base de dados'!$A$4,IF(O2391&lt;20,1,IF(O2391&gt;1000,10,MATCH(O2391,Cargas,1))),Coluna_fis,1,1))*(PI()*(fi_s/1000)^2/4)*(2*9.81*(O2391/100-cota_s-fi_s/2/1000))^0.5*1000)))</f>
        <v>13682.644488947939</v>
      </c>
      <c r="R2391" s="19">
        <f t="shared" ref="R2391:R2454" ca="1" si="275">IF(O2391="","",Q2391+P2391)</f>
        <v>13748.226445587658</v>
      </c>
      <c r="S2391" s="19">
        <f t="shared" ref="S2391:S2454" ca="1" si="276">IF(M2391="","",2*N2391*1000/(Passo*60))</f>
        <v>15086.102300785307</v>
      </c>
    </row>
    <row r="2392" spans="13:19">
      <c r="M2392" s="81">
        <f t="shared" ca="1" si="273"/>
        <v>28850.988434192586</v>
      </c>
      <c r="N2392" s="19">
        <f t="shared" si="274"/>
        <v>452.79602994881463</v>
      </c>
      <c r="O2392" s="17">
        <f t="shared" si="272"/>
        <v>597.75</v>
      </c>
      <c r="P2392" s="19">
        <f ca="1">IF(ISERROR(IF(O2392&lt;fi_h/20,0,(OFFSET('Base de dados'!$A$5,IF(O2392&lt;20,1,IF(O2392&gt;1000,10,MATCH(O2392,Cargas,1))),Coluna_fih,1,1))*(1+0.13*0.25)*(PI()*(fi_h/1000)^2/4)*SQRT(2*9.81*(O2392/100-fi_h/2/1000))*1000)),"",IF(O2392&lt;fi_h/20,0,(OFFSET('Base de dados'!$A$5,IF(O2392&lt;20,1,IF(O2392&gt;1000,10,MATCH(O2392,Cargas,1))),Coluna_fih,1,1))*(PI()*(fi_h/1000)^2/4)*SQRT(2*9.81*(O2392/100-fi_h/2/1000))*1000))</f>
        <v>65.595805994441278</v>
      </c>
      <c r="Q2392" s="19">
        <f ca="1">IF(O2392="","",IF(Tipo_Vertedor="Retangular",IF(O2392&lt;=cota_s*100,0,IF(Tipo_Vertedor="Retangular",Cd_sr*Lef_sr*((O2392/100-cota_s)^(3/2))*1000)),IF(O2392&lt;=cota_s*100+fi_s/20,0,(OFFSET('Base de dados'!$A$4,IF(O2392&lt;20,1,IF(O2392&gt;1000,10,MATCH(O2392,Cargas,1))),Coluna_fis,1,1))*(PI()*(fi_s/1000)^2/4)*(2*9.81*(O2392/100-cota_s-fi_s/2/1000))^0.5*1000)))</f>
        <v>13692.191629904324</v>
      </c>
      <c r="R2392" s="19">
        <f t="shared" ca="1" si="275"/>
        <v>13757.787435898765</v>
      </c>
      <c r="S2392" s="19">
        <f t="shared" ca="1" si="276"/>
        <v>15093.200998293822</v>
      </c>
    </row>
    <row r="2393" spans="13:19">
      <c r="M2393" s="81">
        <f t="shared" ca="1" si="273"/>
        <v>28867.650708441608</v>
      </c>
      <c r="N2393" s="19">
        <f t="shared" si="274"/>
        <v>453.00900196992052</v>
      </c>
      <c r="O2393" s="17">
        <f t="shared" si="272"/>
        <v>598</v>
      </c>
      <c r="P2393" s="19">
        <f ca="1">IF(ISERROR(IF(O2393&lt;fi_h/20,0,(OFFSET('Base de dados'!$A$5,IF(O2393&lt;20,1,IF(O2393&gt;1000,10,MATCH(O2393,Cargas,1))),Coluna_fih,1,1))*(1+0.13*0.25)*(PI()*(fi_h/1000)^2/4)*SQRT(2*9.81*(O2393/100-fi_h/2/1000))*1000)),"",IF(O2393&lt;fi_h/20,0,(OFFSET('Base de dados'!$A$5,IF(O2393&lt;20,1,IF(O2393&gt;1000,10,MATCH(O2393,Cargas,1))),Coluna_fih,1,1))*(PI()*(fi_h/1000)^2/4)*SQRT(2*9.81*(O2393/100-fi_h/2/1000))*1000))</f>
        <v>65.609652425744045</v>
      </c>
      <c r="Q2393" s="19">
        <f ca="1">IF(O2393="","",IF(Tipo_Vertedor="Retangular",IF(O2393&lt;=cota_s*100,0,IF(Tipo_Vertedor="Retangular",Cd_sr*Lef_sr*((O2393/100-cota_s)^(3/2))*1000)),IF(O2393&lt;=cota_s*100+fi_s/20,0,(OFFSET('Base de dados'!$A$4,IF(O2393&lt;20,1,IF(O2393&gt;1000,10,MATCH(O2393,Cargas,1))),Coluna_fis,1,1))*(PI()*(fi_s/1000)^2/4)*(2*9.81*(O2393/100-cota_s-fi_s/2/1000))^0.5*1000)))</f>
        <v>13701.740990351846</v>
      </c>
      <c r="R2393" s="19">
        <f t="shared" ca="1" si="275"/>
        <v>13767.35064277759</v>
      </c>
      <c r="S2393" s="19">
        <f t="shared" ca="1" si="276"/>
        <v>15100.300065664018</v>
      </c>
    </row>
    <row r="2394" spans="13:19">
      <c r="M2394" s="81">
        <f t="shared" ca="1" si="273"/>
        <v>28884.315568470785</v>
      </c>
      <c r="N2394" s="19">
        <f t="shared" si="274"/>
        <v>453.22198508281576</v>
      </c>
      <c r="O2394" s="17">
        <f t="shared" si="272"/>
        <v>598.25</v>
      </c>
      <c r="P2394" s="19">
        <f ca="1">IF(ISERROR(IF(O2394&lt;fi_h/20,0,(OFFSET('Base de dados'!$A$5,IF(O2394&lt;20,1,IF(O2394&gt;1000,10,MATCH(O2394,Cargas,1))),Coluna_fih,1,1))*(1+0.13*0.25)*(PI()*(fi_h/1000)^2/4)*SQRT(2*9.81*(O2394/100-fi_h/2/1000))*1000)),"",IF(O2394&lt;fi_h/20,0,(OFFSET('Base de dados'!$A$5,IF(O2394&lt;20,1,IF(O2394&gt;1000,10,MATCH(O2394,Cargas,1))),Coluna_fih,1,1))*(PI()*(fi_h/1000)^2/4)*SQRT(2*9.81*(O2394/100-fi_h/2/1000))*1000))</f>
        <v>65.623495935476512</v>
      </c>
      <c r="Q2394" s="19">
        <f ca="1">IF(O2394="","",IF(Tipo_Vertedor="Retangular",IF(O2394&lt;=cota_s*100,0,IF(Tipo_Vertedor="Retangular",Cd_sr*Lef_sr*((O2394/100-cota_s)^(3/2))*1000)),IF(O2394&lt;=cota_s*100+fi_s/20,0,(OFFSET('Base de dados'!$A$4,IF(O2394&lt;20,1,IF(O2394&gt;1000,10,MATCH(O2394,Cargas,1))),Coluna_fis,1,1))*(PI()*(fi_s/1000)^2/4)*(2*9.81*(O2394/100-cota_s-fi_s/2/1000))^0.5*1000)))</f>
        <v>13711.292569774783</v>
      </c>
      <c r="R2394" s="19">
        <f t="shared" ca="1" si="275"/>
        <v>13776.91606571026</v>
      </c>
      <c r="S2394" s="19">
        <f t="shared" ca="1" si="276"/>
        <v>15107.399502760525</v>
      </c>
    </row>
    <row r="2395" spans="13:19">
      <c r="M2395" s="81">
        <f t="shared" ca="1" si="273"/>
        <v>28900.983013631321</v>
      </c>
      <c r="N2395" s="19">
        <f t="shared" si="274"/>
        <v>453.43497928344283</v>
      </c>
      <c r="O2395" s="17">
        <f t="shared" si="272"/>
        <v>598.5</v>
      </c>
      <c r="P2395" s="19">
        <f ca="1">IF(ISERROR(IF(O2395&lt;fi_h/20,0,(OFFSET('Base de dados'!$A$5,IF(O2395&lt;20,1,IF(O2395&gt;1000,10,MATCH(O2395,Cargas,1))),Coluna_fih,1,1))*(1+0.13*0.25)*(PI()*(fi_h/1000)^2/4)*SQRT(2*9.81*(O2395/100-fi_h/2/1000))*1000)),"",IF(O2395&lt;fi_h/20,0,(OFFSET('Base de dados'!$A$5,IF(O2395&lt;20,1,IF(O2395&gt;1000,10,MATCH(O2395,Cargas,1))),Coluna_fih,1,1))*(PI()*(fi_h/1000)^2/4)*SQRT(2*9.81*(O2395/100-fi_h/2/1000))*1000))</f>
        <v>65.637336525487271</v>
      </c>
      <c r="Q2395" s="19">
        <f ca="1">IF(O2395="","",IF(Tipo_Vertedor="Retangular",IF(O2395&lt;=cota_s*100,0,IF(Tipo_Vertedor="Retangular",Cd_sr*Lef_sr*((O2395/100-cota_s)^(3/2))*1000)),IF(O2395&lt;=cota_s*100+fi_s/20,0,(OFFSET('Base de dados'!$A$4,IF(O2395&lt;20,1,IF(O2395&gt;1000,10,MATCH(O2395,Cargas,1))),Coluna_fis,1,1))*(PI()*(fi_s/1000)^2/4)*(2*9.81*(O2395/100-cota_s-fi_s/2/1000))^0.5*1000)))</f>
        <v>13720.846367657739</v>
      </c>
      <c r="R2395" s="19">
        <f t="shared" ca="1" si="275"/>
        <v>13786.483704183227</v>
      </c>
      <c r="S2395" s="19">
        <f t="shared" ca="1" si="276"/>
        <v>15114.499309448094</v>
      </c>
    </row>
    <row r="2396" spans="13:19">
      <c r="M2396" s="81">
        <f t="shared" ca="1" si="273"/>
        <v>28917.653043274888</v>
      </c>
      <c r="N2396" s="19">
        <f t="shared" si="274"/>
        <v>453.64798456774696</v>
      </c>
      <c r="O2396" s="17">
        <f t="shared" si="272"/>
        <v>598.75</v>
      </c>
      <c r="P2396" s="19">
        <f ca="1">IF(ISERROR(IF(O2396&lt;fi_h/20,0,(OFFSET('Base de dados'!$A$5,IF(O2396&lt;20,1,IF(O2396&gt;1000,10,MATCH(O2396,Cargas,1))),Coluna_fih,1,1))*(1+0.13*0.25)*(PI()*(fi_h/1000)^2/4)*SQRT(2*9.81*(O2396/100-fi_h/2/1000))*1000)),"",IF(O2396&lt;fi_h/20,0,(OFFSET('Base de dados'!$A$5,IF(O2396&lt;20,1,IF(O2396&gt;1000,10,MATCH(O2396,Cargas,1))),Coluna_fih,1,1))*(PI()*(fi_h/1000)^2/4)*SQRT(2*9.81*(O2396/100-fi_h/2/1000))*1000))</f>
        <v>65.651174197622893</v>
      </c>
      <c r="Q2396" s="19">
        <f ca="1">IF(O2396="","",IF(Tipo_Vertedor="Retangular",IF(O2396&lt;=cota_s*100,0,IF(Tipo_Vertedor="Retangular",Cd_sr*Lef_sr*((O2396/100-cota_s)^(3/2))*1000)),IF(O2396&lt;=cota_s*100+fi_s/20,0,(OFFSET('Base de dados'!$A$4,IF(O2396&lt;20,1,IF(O2396&gt;1000,10,MATCH(O2396,Cargas,1))),Coluna_fis,1,1))*(PI()*(fi_s/1000)^2/4)*(2*9.81*(O2396/100-cota_s-fi_s/2/1000))^0.5*1000)))</f>
        <v>13730.402383485698</v>
      </c>
      <c r="R2396" s="19">
        <f t="shared" ca="1" si="275"/>
        <v>13796.053557683321</v>
      </c>
      <c r="S2396" s="19">
        <f t="shared" ca="1" si="276"/>
        <v>15121.599485591567</v>
      </c>
    </row>
    <row r="2397" spans="13:19">
      <c r="M2397" s="81">
        <f t="shared" ca="1" si="273"/>
        <v>28934.325656753623</v>
      </c>
      <c r="N2397" s="19">
        <f t="shared" si="274"/>
        <v>453.86100093167687</v>
      </c>
      <c r="O2397" s="17">
        <f t="shared" si="272"/>
        <v>599</v>
      </c>
      <c r="P2397" s="19">
        <f ca="1">IF(ISERROR(IF(O2397&lt;fi_h/20,0,(OFFSET('Base de dados'!$A$5,IF(O2397&lt;20,1,IF(O2397&gt;1000,10,MATCH(O2397,Cargas,1))),Coluna_fih,1,1))*(1+0.13*0.25)*(PI()*(fi_h/1000)^2/4)*SQRT(2*9.81*(O2397/100-fi_h/2/1000))*1000)),"",IF(O2397&lt;fi_h/20,0,(OFFSET('Base de dados'!$A$5,IF(O2397&lt;20,1,IF(O2397&gt;1000,10,MATCH(O2397,Cargas,1))),Coluna_fih,1,1))*(PI()*(fi_h/1000)^2/4)*SQRT(2*9.81*(O2397/100-fi_h/2/1000))*1000))</f>
        <v>65.665008953728076</v>
      </c>
      <c r="Q2397" s="19">
        <f ca="1">IF(O2397="","",IF(Tipo_Vertedor="Retangular",IF(O2397&lt;=cota_s*100,0,IF(Tipo_Vertedor="Retangular",Cd_sr*Lef_sr*((O2397/100-cota_s)^(3/2))*1000)),IF(O2397&lt;=cota_s*100+fi_s/20,0,(OFFSET('Base de dados'!$A$4,IF(O2397&lt;20,1,IF(O2397&gt;1000,10,MATCH(O2397,Cargas,1))),Coluna_fis,1,1))*(PI()*(fi_s/1000)^2/4)*(2*9.81*(O2397/100-cota_s-fi_s/2/1000))^0.5*1000)))</f>
        <v>13739.960616744</v>
      </c>
      <c r="R2397" s="19">
        <f t="shared" ca="1" si="275"/>
        <v>13805.625625697729</v>
      </c>
      <c r="S2397" s="19">
        <f t="shared" ca="1" si="276"/>
        <v>15128.700031055896</v>
      </c>
    </row>
    <row r="2398" spans="13:19">
      <c r="M2398" s="81">
        <f t="shared" ca="1" si="273"/>
        <v>28951.000853420108</v>
      </c>
      <c r="N2398" s="19">
        <f t="shared" si="274"/>
        <v>454.07402837118411</v>
      </c>
      <c r="O2398" s="17">
        <f t="shared" si="272"/>
        <v>599.25</v>
      </c>
      <c r="P2398" s="19">
        <f ca="1">IF(ISERROR(IF(O2398&lt;fi_h/20,0,(OFFSET('Base de dados'!$A$5,IF(O2398&lt;20,1,IF(O2398&gt;1000,10,MATCH(O2398,Cargas,1))),Coluna_fih,1,1))*(1+0.13*0.25)*(PI()*(fi_h/1000)^2/4)*SQRT(2*9.81*(O2398/100-fi_h/2/1000))*1000)),"",IF(O2398&lt;fi_h/20,0,(OFFSET('Base de dados'!$A$5,IF(O2398&lt;20,1,IF(O2398&gt;1000,10,MATCH(O2398,Cargas,1))),Coluna_fih,1,1))*(PI()*(fi_h/1000)^2/4)*SQRT(2*9.81*(O2398/100-fi_h/2/1000))*1000))</f>
        <v>65.678840795645527</v>
      </c>
      <c r="Q2398" s="19">
        <f ca="1">IF(O2398="","",IF(Tipo_Vertedor="Retangular",IF(O2398&lt;=cota_s*100,0,IF(Tipo_Vertedor="Retangular",Cd_sr*Lef_sr*((O2398/100-cota_s)^(3/2))*1000)),IF(O2398&lt;=cota_s*100+fi_s/20,0,(OFFSET('Base de dados'!$A$4,IF(O2398&lt;20,1,IF(O2398&gt;1000,10,MATCH(O2398,Cargas,1))),Coluna_fis,1,1))*(PI()*(fi_s/1000)^2/4)*(2*9.81*(O2398/100-cota_s-fi_s/2/1000))^0.5*1000)))</f>
        <v>13749.521066918325</v>
      </c>
      <c r="R2398" s="19">
        <f t="shared" ca="1" si="275"/>
        <v>13815.19990771397</v>
      </c>
      <c r="S2398" s="19">
        <f t="shared" ca="1" si="276"/>
        <v>15135.800945706138</v>
      </c>
    </row>
    <row r="2399" spans="13:19">
      <c r="M2399" s="81">
        <f t="shared" ca="1" si="273"/>
        <v>28967.678632627416</v>
      </c>
      <c r="N2399" s="19">
        <f t="shared" si="274"/>
        <v>454.28706688222383</v>
      </c>
      <c r="O2399" s="17">
        <f t="shared" si="272"/>
        <v>599.5</v>
      </c>
      <c r="P2399" s="19">
        <f ca="1">IF(ISERROR(IF(O2399&lt;fi_h/20,0,(OFFSET('Base de dados'!$A$5,IF(O2399&lt;20,1,IF(O2399&gt;1000,10,MATCH(O2399,Cargas,1))),Coluna_fih,1,1))*(1+0.13*0.25)*(PI()*(fi_h/1000)^2/4)*SQRT(2*9.81*(O2399/100-fi_h/2/1000))*1000)),"",IF(O2399&lt;fi_h/20,0,(OFFSET('Base de dados'!$A$5,IF(O2399&lt;20,1,IF(O2399&gt;1000,10,MATCH(O2399,Cargas,1))),Coluna_fih,1,1))*(PI()*(fi_h/1000)^2/4)*SQRT(2*9.81*(O2399/100-fi_h/2/1000))*1000))</f>
        <v>65.692669725216007</v>
      </c>
      <c r="Q2399" s="19">
        <f ca="1">IF(O2399="","",IF(Tipo_Vertedor="Retangular",IF(O2399&lt;=cota_s*100,0,IF(Tipo_Vertedor="Retangular",Cd_sr*Lef_sr*((O2399/100-cota_s)^(3/2))*1000)),IF(O2399&lt;=cota_s*100+fi_s/20,0,(OFFSET('Base de dados'!$A$4,IF(O2399&lt;20,1,IF(O2399&gt;1000,10,MATCH(O2399,Cargas,1))),Coluna_fis,1,1))*(PI()*(fi_s/1000)^2/4)*(2*9.81*(O2399/100-cota_s-fi_s/2/1000))^0.5*1000)))</f>
        <v>13759.083733494737</v>
      </c>
      <c r="R2399" s="19">
        <f t="shared" ca="1" si="275"/>
        <v>13824.776403219954</v>
      </c>
      <c r="S2399" s="19">
        <f t="shared" ca="1" si="276"/>
        <v>15142.90222940746</v>
      </c>
    </row>
    <row r="2400" spans="13:19">
      <c r="M2400" s="81">
        <f t="shared" ca="1" si="273"/>
        <v>28984.358993729049</v>
      </c>
      <c r="N2400" s="19">
        <f t="shared" si="274"/>
        <v>454.50011646075376</v>
      </c>
      <c r="O2400" s="17">
        <f t="shared" si="272"/>
        <v>599.75</v>
      </c>
      <c r="P2400" s="19">
        <f ca="1">IF(ISERROR(IF(O2400&lt;fi_h/20,0,(OFFSET('Base de dados'!$A$5,IF(O2400&lt;20,1,IF(O2400&gt;1000,10,MATCH(O2400,Cargas,1))),Coluna_fih,1,1))*(1+0.13*0.25)*(PI()*(fi_h/1000)^2/4)*SQRT(2*9.81*(O2400/100-fi_h/2/1000))*1000)),"",IF(O2400&lt;fi_h/20,0,(OFFSET('Base de dados'!$A$5,IF(O2400&lt;20,1,IF(O2400&gt;1000,10,MATCH(O2400,Cargas,1))),Coluna_fih,1,1))*(PI()*(fi_h/1000)^2/4)*SQRT(2*9.81*(O2400/100-fi_h/2/1000))*1000))</f>
        <v>65.706495744278399</v>
      </c>
      <c r="Q2400" s="19">
        <f ca="1">IF(O2400="","",IF(Tipo_Vertedor="Retangular",IF(O2400&lt;=cota_s*100,0,IF(Tipo_Vertedor="Retangular",Cd_sr*Lef_sr*((O2400/100-cota_s)^(3/2))*1000)),IF(O2400&lt;=cota_s*100+fi_s/20,0,(OFFSET('Base de dados'!$A$4,IF(O2400&lt;20,1,IF(O2400&gt;1000,10,MATCH(O2400,Cargas,1))),Coluna_fis,1,1))*(PI()*(fi_s/1000)^2/4)*(2*9.81*(O2400/100-cota_s-fi_s/2/1000))^0.5*1000)))</f>
        <v>13768.648615959644</v>
      </c>
      <c r="R2400" s="19">
        <f t="shared" ca="1" si="275"/>
        <v>13834.355111703922</v>
      </c>
      <c r="S2400" s="19">
        <f t="shared" ca="1" si="276"/>
        <v>15150.003882025127</v>
      </c>
    </row>
    <row r="2401" spans="13:19">
      <c r="M2401" s="81">
        <f t="shared" ca="1" si="273"/>
        <v>29001.041936079</v>
      </c>
      <c r="N2401" s="19">
        <f t="shared" si="274"/>
        <v>454.71317710273541</v>
      </c>
      <c r="O2401" s="17">
        <f t="shared" si="272"/>
        <v>600</v>
      </c>
      <c r="P2401" s="19">
        <f ca="1">IF(ISERROR(IF(O2401&lt;fi_h/20,0,(OFFSET('Base de dados'!$A$5,IF(O2401&lt;20,1,IF(O2401&gt;1000,10,MATCH(O2401,Cargas,1))),Coluna_fih,1,1))*(1+0.13*0.25)*(PI()*(fi_h/1000)^2/4)*SQRT(2*9.81*(O2401/100-fi_h/2/1000))*1000)),"",IF(O2401&lt;fi_h/20,0,(OFFSET('Base de dados'!$A$5,IF(O2401&lt;20,1,IF(O2401&gt;1000,10,MATCH(O2401,Cargas,1))),Coluna_fih,1,1))*(PI()*(fi_h/1000)^2/4)*SQRT(2*9.81*(O2401/100-fi_h/2/1000))*1000))</f>
        <v>65.720318854669571</v>
      </c>
      <c r="Q2401" s="19">
        <f ca="1">IF(O2401="","",IF(Tipo_Vertedor="Retangular",IF(O2401&lt;=cota_s*100,0,IF(Tipo_Vertedor="Retangular",Cd_sr*Lef_sr*((O2401/100-cota_s)^(3/2))*1000)),IF(O2401&lt;=cota_s*100+fi_s/20,0,(OFFSET('Base de dados'!$A$4,IF(O2401&lt;20,1,IF(O2401&gt;1000,10,MATCH(O2401,Cargas,1))),Coluna_fis,1,1))*(PI()*(fi_s/1000)^2/4)*(2*9.81*(O2401/100-cota_s-fi_s/2/1000))^0.5*1000)))</f>
        <v>13778.215713799815</v>
      </c>
      <c r="R2401" s="19">
        <f t="shared" ca="1" si="275"/>
        <v>13843.936032654485</v>
      </c>
      <c r="S2401" s="19">
        <f t="shared" ca="1" si="276"/>
        <v>15157.105903424515</v>
      </c>
    </row>
    <row r="2402" spans="13:19">
      <c r="M2402" s="81">
        <f t="shared" ca="1" si="273"/>
        <v>29017.727459031685</v>
      </c>
      <c r="N2402" s="19">
        <f t="shared" si="274"/>
        <v>454.92624880413297</v>
      </c>
      <c r="O2402" s="17">
        <f t="shared" si="272"/>
        <v>600.25</v>
      </c>
      <c r="P2402" s="19">
        <f ca="1">IF(ISERROR(IF(O2402&lt;fi_h/20,0,(OFFSET('Base de dados'!$A$5,IF(O2402&lt;20,1,IF(O2402&gt;1000,10,MATCH(O2402,Cargas,1))),Coluna_fih,1,1))*(1+0.13*0.25)*(PI()*(fi_h/1000)^2/4)*SQRT(2*9.81*(O2402/100-fi_h/2/1000))*1000)),"",IF(O2402&lt;fi_h/20,0,(OFFSET('Base de dados'!$A$5,IF(O2402&lt;20,1,IF(O2402&gt;1000,10,MATCH(O2402,Cargas,1))),Coluna_fih,1,1))*(PI()*(fi_h/1000)^2/4)*SQRT(2*9.81*(O2402/100-fi_h/2/1000))*1000))</f>
        <v>65.734139058224514</v>
      </c>
      <c r="Q2402" s="19">
        <f ca="1">IF(O2402="","",IF(Tipo_Vertedor="Retangular",IF(O2402&lt;=cota_s*100,0,IF(Tipo_Vertedor="Retangular",Cd_sr*Lef_sr*((O2402/100-cota_s)^(3/2))*1000)),IF(O2402&lt;=cota_s*100+fi_s/20,0,(OFFSET('Base de dados'!$A$4,IF(O2402&lt;20,1,IF(O2402&gt;1000,10,MATCH(O2402,Cargas,1))),Coluna_fis,1,1))*(PI()*(fi_s/1000)^2/4)*(2*9.81*(O2402/100-cota_s-fi_s/2/1000))^0.5*1000)))</f>
        <v>13787.785026502361</v>
      </c>
      <c r="R2402" s="19">
        <f t="shared" ca="1" si="275"/>
        <v>13853.519165560585</v>
      </c>
      <c r="S2402" s="19">
        <f t="shared" ca="1" si="276"/>
        <v>15164.2082934711</v>
      </c>
    </row>
    <row r="2403" spans="13:19">
      <c r="M2403" s="81">
        <f t="shared" ca="1" si="273"/>
        <v>29034.415561942013</v>
      </c>
      <c r="N2403" s="19">
        <f t="shared" si="274"/>
        <v>455.13933156091429</v>
      </c>
      <c r="O2403" s="17">
        <f t="shared" si="272"/>
        <v>600.5</v>
      </c>
      <c r="P2403" s="19">
        <f ca="1">IF(ISERROR(IF(O2403&lt;fi_h/20,0,(OFFSET('Base de dados'!$A$5,IF(O2403&lt;20,1,IF(O2403&gt;1000,10,MATCH(O2403,Cargas,1))),Coluna_fih,1,1))*(1+0.13*0.25)*(PI()*(fi_h/1000)^2/4)*SQRT(2*9.81*(O2403/100-fi_h/2/1000))*1000)),"",IF(O2403&lt;fi_h/20,0,(OFFSET('Base de dados'!$A$5,IF(O2403&lt;20,1,IF(O2403&gt;1000,10,MATCH(O2403,Cargas,1))),Coluna_fih,1,1))*(PI()*(fi_h/1000)^2/4)*SQRT(2*9.81*(O2403/100-fi_h/2/1000))*1000))</f>
        <v>65.747956356776299</v>
      </c>
      <c r="Q2403" s="19">
        <f ca="1">IF(O2403="","",IF(Tipo_Vertedor="Retangular",IF(O2403&lt;=cota_s*100,0,IF(Tipo_Vertedor="Retangular",Cd_sr*Lef_sr*((O2403/100-cota_s)^(3/2))*1000)),IF(O2403&lt;=cota_s*100+fi_s/20,0,(OFFSET('Base de dados'!$A$4,IF(O2403&lt;20,1,IF(O2403&gt;1000,10,MATCH(O2403,Cargas,1))),Coluna_fis,1,1))*(PI()*(fi_s/1000)^2/4)*(2*9.81*(O2403/100-cota_s-fi_s/2/1000))^0.5*1000)))</f>
        <v>13797.35655355476</v>
      </c>
      <c r="R2403" s="19">
        <f t="shared" ca="1" si="275"/>
        <v>13863.104509911536</v>
      </c>
      <c r="S2403" s="19">
        <f t="shared" ca="1" si="276"/>
        <v>15171.311052030476</v>
      </c>
    </row>
    <row r="2404" spans="13:19">
      <c r="M2404" s="81">
        <f t="shared" ca="1" si="273"/>
        <v>29051.106244165341</v>
      </c>
      <c r="N2404" s="19">
        <f t="shared" si="274"/>
        <v>455.35242536904963</v>
      </c>
      <c r="O2404" s="17">
        <f t="shared" si="272"/>
        <v>600.75</v>
      </c>
      <c r="P2404" s="19">
        <f ca="1">IF(ISERROR(IF(O2404&lt;fi_h/20,0,(OFFSET('Base de dados'!$A$5,IF(O2404&lt;20,1,IF(O2404&gt;1000,10,MATCH(O2404,Cargas,1))),Coluna_fih,1,1))*(1+0.13*0.25)*(PI()*(fi_h/1000)^2/4)*SQRT(2*9.81*(O2404/100-fi_h/2/1000))*1000)),"",IF(O2404&lt;fi_h/20,0,(OFFSET('Base de dados'!$A$5,IF(O2404&lt;20,1,IF(O2404&gt;1000,10,MATCH(O2404,Cargas,1))),Coluna_fih,1,1))*(PI()*(fi_h/1000)^2/4)*SQRT(2*9.81*(O2404/100-fi_h/2/1000))*1000))</f>
        <v>65.761770752156025</v>
      </c>
      <c r="Q2404" s="19">
        <f ca="1">IF(O2404="","",IF(Tipo_Vertedor="Retangular",IF(O2404&lt;=cota_s*100,0,IF(Tipo_Vertedor="Retangular",Cd_sr*Lef_sr*((O2404/100-cota_s)^(3/2))*1000)),IF(O2404&lt;=cota_s*100+fi_s/20,0,(OFFSET('Base de dados'!$A$4,IF(O2404&lt;20,1,IF(O2404&gt;1000,10,MATCH(O2404,Cargas,1))),Coluna_fis,1,1))*(PI()*(fi_s/1000)^2/4)*(2*9.81*(O2404/100-cota_s-fi_s/2/1000))^0.5*1000)))</f>
        <v>13806.930294444865</v>
      </c>
      <c r="R2404" s="19">
        <f t="shared" ca="1" si="275"/>
        <v>13872.692065197021</v>
      </c>
      <c r="S2404" s="19">
        <f t="shared" ca="1" si="276"/>
        <v>15178.414178968322</v>
      </c>
    </row>
    <row r="2405" spans="13:19">
      <c r="M2405" s="81">
        <f t="shared" ca="1" si="273"/>
        <v>29067.799505057475</v>
      </c>
      <c r="N2405" s="19">
        <f t="shared" si="274"/>
        <v>455.56553022451322</v>
      </c>
      <c r="O2405" s="17">
        <f t="shared" si="272"/>
        <v>601</v>
      </c>
      <c r="P2405" s="19">
        <f ca="1">IF(ISERROR(IF(O2405&lt;fi_h/20,0,(OFFSET('Base de dados'!$A$5,IF(O2405&lt;20,1,IF(O2405&gt;1000,10,MATCH(O2405,Cargas,1))),Coluna_fih,1,1))*(1+0.13*0.25)*(PI()*(fi_h/1000)^2/4)*SQRT(2*9.81*(O2405/100-fi_h/2/1000))*1000)),"",IF(O2405&lt;fi_h/20,0,(OFFSET('Base de dados'!$A$5,IF(O2405&lt;20,1,IF(O2405&gt;1000,10,MATCH(O2405,Cargas,1))),Coluna_fih,1,1))*(PI()*(fi_h/1000)^2/4)*SQRT(2*9.81*(O2405/100-fi_h/2/1000))*1000))</f>
        <v>65.775582246192883</v>
      </c>
      <c r="Q2405" s="19">
        <f ca="1">IF(O2405="","",IF(Tipo_Vertedor="Retangular",IF(O2405&lt;=cota_s*100,0,IF(Tipo_Vertedor="Retangular",Cd_sr*Lef_sr*((O2405/100-cota_s)^(3/2))*1000)),IF(O2405&lt;=cota_s*100+fi_s/20,0,(OFFSET('Base de dados'!$A$4,IF(O2405&lt;20,1,IF(O2405&gt;1000,10,MATCH(O2405,Cargas,1))),Coluna_fis,1,1))*(PI()*(fi_s/1000)^2/4)*(2*9.81*(O2405/100-cota_s-fi_s/2/1000))^0.5*1000)))</f>
        <v>13816.50624866084</v>
      </c>
      <c r="R2405" s="19">
        <f t="shared" ca="1" si="275"/>
        <v>13882.281830907034</v>
      </c>
      <c r="S2405" s="19">
        <f t="shared" ca="1" si="276"/>
        <v>15185.51767415044</v>
      </c>
    </row>
    <row r="2406" spans="13:19">
      <c r="M2406" s="81">
        <f t="shared" ca="1" si="273"/>
        <v>29084.495343974679</v>
      </c>
      <c r="N2406" s="19">
        <f t="shared" si="274"/>
        <v>455.77864612328159</v>
      </c>
      <c r="O2406" s="17">
        <f t="shared" si="272"/>
        <v>601.25</v>
      </c>
      <c r="P2406" s="19">
        <f ca="1">IF(ISERROR(IF(O2406&lt;fi_h/20,0,(OFFSET('Base de dados'!$A$5,IF(O2406&lt;20,1,IF(O2406&gt;1000,10,MATCH(O2406,Cargas,1))),Coluna_fih,1,1))*(1+0.13*0.25)*(PI()*(fi_h/1000)^2/4)*SQRT(2*9.81*(O2406/100-fi_h/2/1000))*1000)),"",IF(O2406&lt;fi_h/20,0,(OFFSET('Base de dados'!$A$5,IF(O2406&lt;20,1,IF(O2406&gt;1000,10,MATCH(O2406,Cargas,1))),Coluna_fih,1,1))*(PI()*(fi_h/1000)^2/4)*SQRT(2*9.81*(O2406/100-fi_h/2/1000))*1000))</f>
        <v>65.789390840714191</v>
      </c>
      <c r="Q2406" s="19">
        <f ca="1">IF(O2406="","",IF(Tipo_Vertedor="Retangular",IF(O2406&lt;=cota_s*100,0,IF(Tipo_Vertedor="Retangular",Cd_sr*Lef_sr*((O2406/100-cota_s)^(3/2))*1000)),IF(O2406&lt;=cota_s*100+fi_s/20,0,(OFFSET('Base de dados'!$A$4,IF(O2406&lt;20,1,IF(O2406&gt;1000,10,MATCH(O2406,Cargas,1))),Coluna_fis,1,1))*(PI()*(fi_s/1000)^2/4)*(2*9.81*(O2406/100-cota_s-fi_s/2/1000))^0.5*1000)))</f>
        <v>13826.084415691244</v>
      </c>
      <c r="R2406" s="19">
        <f t="shared" ca="1" si="275"/>
        <v>13891.873806531959</v>
      </c>
      <c r="S2406" s="19">
        <f t="shared" ca="1" si="276"/>
        <v>15192.621537442719</v>
      </c>
    </row>
    <row r="2407" spans="13:19">
      <c r="M2407" s="81">
        <f t="shared" ca="1" si="273"/>
        <v>29101.193760273694</v>
      </c>
      <c r="N2407" s="19">
        <f t="shared" si="274"/>
        <v>455.99177306133515</v>
      </c>
      <c r="O2407" s="17">
        <f t="shared" si="272"/>
        <v>601.5</v>
      </c>
      <c r="P2407" s="19">
        <f ca="1">IF(ISERROR(IF(O2407&lt;fi_h/20,0,(OFFSET('Base de dados'!$A$5,IF(O2407&lt;20,1,IF(O2407&gt;1000,10,MATCH(O2407,Cargas,1))),Coluna_fih,1,1))*(1+0.13*0.25)*(PI()*(fi_h/1000)^2/4)*SQRT(2*9.81*(O2407/100-fi_h/2/1000))*1000)),"",IF(O2407&lt;fi_h/20,0,(OFFSET('Base de dados'!$A$5,IF(O2407&lt;20,1,IF(O2407&gt;1000,10,MATCH(O2407,Cargas,1))),Coluna_fih,1,1))*(PI()*(fi_h/1000)^2/4)*SQRT(2*9.81*(O2407/100-fi_h/2/1000))*1000))</f>
        <v>65.803196537545261</v>
      </c>
      <c r="Q2407" s="19">
        <f ca="1">IF(O2407="","",IF(Tipo_Vertedor="Retangular",IF(O2407&lt;=cota_s*100,0,IF(Tipo_Vertedor="Retangular",Cd_sr*Lef_sr*((O2407/100-cota_s)^(3/2))*1000)),IF(O2407&lt;=cota_s*100+fi_s/20,0,(OFFSET('Base de dados'!$A$4,IF(O2407&lt;20,1,IF(O2407&gt;1000,10,MATCH(O2407,Cargas,1))),Coluna_fis,1,1))*(PI()*(fi_s/1000)^2/4)*(2*9.81*(O2407/100-cota_s-fi_s/2/1000))^0.5*1000)))</f>
        <v>13835.664795024977</v>
      </c>
      <c r="R2407" s="19">
        <f t="shared" ca="1" si="275"/>
        <v>13901.467991562522</v>
      </c>
      <c r="S2407" s="19">
        <f t="shared" ca="1" si="276"/>
        <v>15199.725768711172</v>
      </c>
    </row>
    <row r="2408" spans="13:19">
      <c r="M2408" s="81">
        <f t="shared" ca="1" si="273"/>
        <v>29117.894753311703</v>
      </c>
      <c r="N2408" s="19">
        <f t="shared" si="274"/>
        <v>456.20491103465724</v>
      </c>
      <c r="O2408" s="17">
        <f t="shared" si="272"/>
        <v>601.75</v>
      </c>
      <c r="P2408" s="19">
        <f ca="1">IF(ISERROR(IF(O2408&lt;fi_h/20,0,(OFFSET('Base de dados'!$A$5,IF(O2408&lt;20,1,IF(O2408&gt;1000,10,MATCH(O2408,Cargas,1))),Coluna_fih,1,1))*(1+0.13*0.25)*(PI()*(fi_h/1000)^2/4)*SQRT(2*9.81*(O2408/100-fi_h/2/1000))*1000)),"",IF(O2408&lt;fi_h/20,0,(OFFSET('Base de dados'!$A$5,IF(O2408&lt;20,1,IF(O2408&gt;1000,10,MATCH(O2408,Cargas,1))),Coluna_fih,1,1))*(PI()*(fi_h/1000)^2/4)*SQRT(2*9.81*(O2408/100-fi_h/2/1000))*1000))</f>
        <v>65.816999338509589</v>
      </c>
      <c r="Q2408" s="19">
        <f ca="1">IF(O2408="","",IF(Tipo_Vertedor="Retangular",IF(O2408&lt;=cota_s*100,0,IF(Tipo_Vertedor="Retangular",Cd_sr*Lef_sr*((O2408/100-cota_s)^(3/2))*1000)),IF(O2408&lt;=cota_s*100+fi_s/20,0,(OFFSET('Base de dados'!$A$4,IF(O2408&lt;20,1,IF(O2408&gt;1000,10,MATCH(O2408,Cargas,1))),Coluna_fis,1,1))*(PI()*(fi_s/1000)^2/4)*(2*9.81*(O2408/100-cota_s-fi_s/2/1000))^0.5*1000)))</f>
        <v>13845.247386151286</v>
      </c>
      <c r="R2408" s="19">
        <f t="shared" ca="1" si="275"/>
        <v>13911.064385489795</v>
      </c>
      <c r="S2408" s="19">
        <f t="shared" ca="1" si="276"/>
        <v>15206.830367821909</v>
      </c>
    </row>
    <row r="2409" spans="13:19">
      <c r="M2409" s="81">
        <f t="shared" ca="1" si="273"/>
        <v>29134.598322446334</v>
      </c>
      <c r="N2409" s="19">
        <f t="shared" si="274"/>
        <v>456.41806003923381</v>
      </c>
      <c r="O2409" s="17">
        <f t="shared" si="272"/>
        <v>602</v>
      </c>
      <c r="P2409" s="19">
        <f ca="1">IF(ISERROR(IF(O2409&lt;fi_h/20,0,(OFFSET('Base de dados'!$A$5,IF(O2409&lt;20,1,IF(O2409&gt;1000,10,MATCH(O2409,Cargas,1))),Coluna_fih,1,1))*(1+0.13*0.25)*(PI()*(fi_h/1000)^2/4)*SQRT(2*9.81*(O2409/100-fi_h/2/1000))*1000)),"",IF(O2409&lt;fi_h/20,0,(OFFSET('Base de dados'!$A$5,IF(O2409&lt;20,1,IF(O2409&gt;1000,10,MATCH(O2409,Cargas,1))),Coluna_fih,1,1))*(PI()*(fi_h/1000)^2/4)*SQRT(2*9.81*(O2409/100-fi_h/2/1000))*1000))</f>
        <v>65.830799245428693</v>
      </c>
      <c r="Q2409" s="19">
        <f ca="1">IF(O2409="","",IF(Tipo_Vertedor="Retangular",IF(O2409&lt;=cota_s*100,0,IF(Tipo_Vertedor="Retangular",Cd_sr*Lef_sr*((O2409/100-cota_s)^(3/2))*1000)),IF(O2409&lt;=cota_s*100+fi_s/20,0,(OFFSET('Base de dados'!$A$4,IF(O2409&lt;20,1,IF(O2409&gt;1000,10,MATCH(O2409,Cargas,1))),Coluna_fis,1,1))*(PI()*(fi_s/1000)^2/4)*(2*9.81*(O2409/100-cota_s-fi_s/2/1000))^0.5*1000)))</f>
        <v>13854.832188559778</v>
      </c>
      <c r="R2409" s="19">
        <f t="shared" ca="1" si="275"/>
        <v>13920.662987805206</v>
      </c>
      <c r="S2409" s="19">
        <f t="shared" ca="1" si="276"/>
        <v>15213.935334641128</v>
      </c>
    </row>
    <row r="2410" spans="13:19">
      <c r="M2410" s="81">
        <f t="shared" ca="1" si="273"/>
        <v>29151.30446703569</v>
      </c>
      <c r="N2410" s="19">
        <f t="shared" si="274"/>
        <v>456.63122007105483</v>
      </c>
      <c r="O2410" s="17">
        <f t="shared" si="272"/>
        <v>602.25</v>
      </c>
      <c r="P2410" s="19">
        <f ca="1">IF(ISERROR(IF(O2410&lt;fi_h/20,0,(OFFSET('Base de dados'!$A$5,IF(O2410&lt;20,1,IF(O2410&gt;1000,10,MATCH(O2410,Cargas,1))),Coluna_fih,1,1))*(1+0.13*0.25)*(PI()*(fi_h/1000)^2/4)*SQRT(2*9.81*(O2410/100-fi_h/2/1000))*1000)),"",IF(O2410&lt;fi_h/20,0,(OFFSET('Base de dados'!$A$5,IF(O2410&lt;20,1,IF(O2410&gt;1000,10,MATCH(O2410,Cargas,1))),Coluna_fih,1,1))*(PI()*(fi_h/1000)^2/4)*SQRT(2*9.81*(O2410/100-fi_h/2/1000))*1000))</f>
        <v>65.844596260122174</v>
      </c>
      <c r="Q2410" s="19">
        <f ca="1">IF(O2410="","",IF(Tipo_Vertedor="Retangular",IF(O2410&lt;=cota_s*100,0,IF(Tipo_Vertedor="Retangular",Cd_sr*Lef_sr*((O2410/100-cota_s)^(3/2))*1000)),IF(O2410&lt;=cota_s*100+fi_s/20,0,(OFFSET('Base de dados'!$A$4,IF(O2410&lt;20,1,IF(O2410&gt;1000,10,MATCH(O2410,Cargas,1))),Coluna_fis,1,1))*(PI()*(fi_s/1000)^2/4)*(2*9.81*(O2410/100-cota_s-fi_s/2/1000))^0.5*1000)))</f>
        <v>13864.419201740409</v>
      </c>
      <c r="R2410" s="19">
        <f t="shared" ca="1" si="275"/>
        <v>13930.263798000531</v>
      </c>
      <c r="S2410" s="19">
        <f t="shared" ca="1" si="276"/>
        <v>15221.040669035161</v>
      </c>
    </row>
    <row r="2411" spans="13:19">
      <c r="M2411" s="81">
        <f t="shared" ca="1" si="273"/>
        <v>29168.013186438329</v>
      </c>
      <c r="N2411" s="19">
        <f t="shared" si="274"/>
        <v>456.84439112611267</v>
      </c>
      <c r="O2411" s="17">
        <f t="shared" si="272"/>
        <v>602.5</v>
      </c>
      <c r="P2411" s="19">
        <f ca="1">IF(ISERROR(IF(O2411&lt;fi_h/20,0,(OFFSET('Base de dados'!$A$5,IF(O2411&lt;20,1,IF(O2411&gt;1000,10,MATCH(O2411,Cargas,1))),Coluna_fih,1,1))*(1+0.13*0.25)*(PI()*(fi_h/1000)^2/4)*SQRT(2*9.81*(O2411/100-fi_h/2/1000))*1000)),"",IF(O2411&lt;fi_h/20,0,(OFFSET('Base de dados'!$A$5,IF(O2411&lt;20,1,IF(O2411&gt;1000,10,MATCH(O2411,Cargas,1))),Coluna_fih,1,1))*(PI()*(fi_h/1000)^2/4)*SQRT(2*9.81*(O2411/100-fi_h/2/1000))*1000))</f>
        <v>65.858390384407798</v>
      </c>
      <c r="Q2411" s="19">
        <f ca="1">IF(O2411="","",IF(Tipo_Vertedor="Retangular",IF(O2411&lt;=cota_s*100,0,IF(Tipo_Vertedor="Retangular",Cd_sr*Lef_sr*((O2411/100-cota_s)^(3/2))*1000)),IF(O2411&lt;=cota_s*100+fi_s/20,0,(OFFSET('Base de dados'!$A$4,IF(O2411&lt;20,1,IF(O2411&gt;1000,10,MATCH(O2411,Cargas,1))),Coluna_fis,1,1))*(PI()*(fi_s/1000)^2/4)*(2*9.81*(O2411/100-cota_s-fi_s/2/1000))^0.5*1000)))</f>
        <v>13874.008425183501</v>
      </c>
      <c r="R2411" s="19">
        <f t="shared" ca="1" si="275"/>
        <v>13939.86681556791</v>
      </c>
      <c r="S2411" s="19">
        <f t="shared" ca="1" si="276"/>
        <v>15228.146370870421</v>
      </c>
    </row>
    <row r="2412" spans="13:19">
      <c r="M2412" s="81">
        <f t="shared" ca="1" si="273"/>
        <v>29184.724480013228</v>
      </c>
      <c r="N2412" s="19">
        <f t="shared" si="274"/>
        <v>457.057573200403</v>
      </c>
      <c r="O2412" s="17">
        <f t="shared" si="272"/>
        <v>602.75</v>
      </c>
      <c r="P2412" s="19">
        <f ca="1">IF(ISERROR(IF(O2412&lt;fi_h/20,0,(OFFSET('Base de dados'!$A$5,IF(O2412&lt;20,1,IF(O2412&gt;1000,10,MATCH(O2412,Cargas,1))),Coluna_fih,1,1))*(1+0.13*0.25)*(PI()*(fi_h/1000)^2/4)*SQRT(2*9.81*(O2412/100-fi_h/2/1000))*1000)),"",IF(O2412&lt;fi_h/20,0,(OFFSET('Base de dados'!$A$5,IF(O2412&lt;20,1,IF(O2412&gt;1000,10,MATCH(O2412,Cargas,1))),Coluna_fih,1,1))*(PI()*(fi_h/1000)^2/4)*SQRT(2*9.81*(O2412/100-fi_h/2/1000))*1000))</f>
        <v>65.872181620101358</v>
      </c>
      <c r="Q2412" s="19">
        <f ca="1">IF(O2412="","",IF(Tipo_Vertedor="Retangular",IF(O2412&lt;=cota_s*100,0,IF(Tipo_Vertedor="Retangular",Cd_sr*Lef_sr*((O2412/100-cota_s)^(3/2))*1000)),IF(O2412&lt;=cota_s*100+fi_s/20,0,(OFFSET('Base de dados'!$A$4,IF(O2412&lt;20,1,IF(O2412&gt;1000,10,MATCH(O2412,Cargas,1))),Coluna_fis,1,1))*(PI()*(fi_s/1000)^2/4)*(2*9.81*(O2412/100-cota_s-fi_s/2/1000))^0.5*1000)))</f>
        <v>13883.599858379694</v>
      </c>
      <c r="R2412" s="19">
        <f t="shared" ca="1" si="275"/>
        <v>13949.472039999795</v>
      </c>
      <c r="S2412" s="19">
        <f t="shared" ca="1" si="276"/>
        <v>15235.252440013433</v>
      </c>
    </row>
    <row r="2413" spans="13:19">
      <c r="M2413" s="81">
        <f t="shared" ca="1" si="273"/>
        <v>29201.438347119882</v>
      </c>
      <c r="N2413" s="19">
        <f t="shared" si="274"/>
        <v>457.27076628992484</v>
      </c>
      <c r="O2413" s="17">
        <f t="shared" si="272"/>
        <v>603</v>
      </c>
      <c r="P2413" s="19">
        <f ca="1">IF(ISERROR(IF(O2413&lt;fi_h/20,0,(OFFSET('Base de dados'!$A$5,IF(O2413&lt;20,1,IF(O2413&gt;1000,10,MATCH(O2413,Cargas,1))),Coluna_fih,1,1))*(1+0.13*0.25)*(PI()*(fi_h/1000)^2/4)*SQRT(2*9.81*(O2413/100-fi_h/2/1000))*1000)),"",IF(O2413&lt;fi_h/20,0,(OFFSET('Base de dados'!$A$5,IF(O2413&lt;20,1,IF(O2413&gt;1000,10,MATCH(O2413,Cargas,1))),Coluna_fih,1,1))*(PI()*(fi_h/1000)^2/4)*SQRT(2*9.81*(O2413/100-fi_h/2/1000))*1000))</f>
        <v>65.885969969016799</v>
      </c>
      <c r="Q2413" s="19">
        <f ca="1">IF(O2413="","",IF(Tipo_Vertedor="Retangular",IF(O2413&lt;=cota_s*100,0,IF(Tipo_Vertedor="Retangular",Cd_sr*Lef_sr*((O2413/100-cota_s)^(3/2))*1000)),IF(O2413&lt;=cota_s*100+fi_s/20,0,(OFFSET('Base de dados'!$A$4,IF(O2413&lt;20,1,IF(O2413&gt;1000,10,MATCH(O2413,Cargas,1))),Coluna_fis,1,1))*(PI()*(fi_s/1000)^2/4)*(2*9.81*(O2413/100-cota_s-fi_s/2/1000))^0.5*1000)))</f>
        <v>13893.193500820038</v>
      </c>
      <c r="R2413" s="19">
        <f t="shared" ca="1" si="275"/>
        <v>13959.079470789055</v>
      </c>
      <c r="S2413" s="19">
        <f t="shared" ca="1" si="276"/>
        <v>15242.358876330829</v>
      </c>
    </row>
    <row r="2414" spans="13:19">
      <c r="M2414" s="81">
        <f t="shared" ca="1" si="273"/>
        <v>29218.154787118179</v>
      </c>
      <c r="N2414" s="19">
        <f t="shared" si="274"/>
        <v>457.48397039068016</v>
      </c>
      <c r="O2414" s="17">
        <f t="shared" si="272"/>
        <v>603.25</v>
      </c>
      <c r="P2414" s="19">
        <f ca="1">IF(ISERROR(IF(O2414&lt;fi_h/20,0,(OFFSET('Base de dados'!$A$5,IF(O2414&lt;20,1,IF(O2414&gt;1000,10,MATCH(O2414,Cargas,1))),Coluna_fih,1,1))*(1+0.13*0.25)*(PI()*(fi_h/1000)^2/4)*SQRT(2*9.81*(O2414/100-fi_h/2/1000))*1000)),"",IF(O2414&lt;fi_h/20,0,(OFFSET('Base de dados'!$A$5,IF(O2414&lt;20,1,IF(O2414&gt;1000,10,MATCH(O2414,Cargas,1))),Coluna_fih,1,1))*(PI()*(fi_h/1000)^2/4)*SQRT(2*9.81*(O2414/100-fi_h/2/1000))*1000))</f>
        <v>65.899755432966103</v>
      </c>
      <c r="Q2414" s="19">
        <f ca="1">IF(O2414="","",IF(Tipo_Vertedor="Retangular",IF(O2414&lt;=cota_s*100,0,IF(Tipo_Vertedor="Retangular",Cd_sr*Lef_sr*((O2414/100-cota_s)^(3/2))*1000)),IF(O2414&lt;=cota_s*100+fi_s/20,0,(OFFSET('Base de dados'!$A$4,IF(O2414&lt;20,1,IF(O2414&gt;1000,10,MATCH(O2414,Cargas,1))),Coluna_fis,1,1))*(PI()*(fi_s/1000)^2/4)*(2*9.81*(O2414/100-cota_s-fi_s/2/1000))^0.5*1000)))</f>
        <v>13902.789351995876</v>
      </c>
      <c r="R2414" s="19">
        <f t="shared" ca="1" si="275"/>
        <v>13968.689107428841</v>
      </c>
      <c r="S2414" s="19">
        <f t="shared" ca="1" si="276"/>
        <v>15249.465679689338</v>
      </c>
    </row>
    <row r="2415" spans="13:19">
      <c r="M2415" s="81">
        <f t="shared" ca="1" si="273"/>
        <v>29234.873799368492</v>
      </c>
      <c r="N2415" s="19">
        <f t="shared" si="274"/>
        <v>457.69718549867383</v>
      </c>
      <c r="O2415" s="17">
        <f t="shared" si="272"/>
        <v>603.5</v>
      </c>
      <c r="P2415" s="19">
        <f ca="1">IF(ISERROR(IF(O2415&lt;fi_h/20,0,(OFFSET('Base de dados'!$A$5,IF(O2415&lt;20,1,IF(O2415&gt;1000,10,MATCH(O2415,Cargas,1))),Coluna_fih,1,1))*(1+0.13*0.25)*(PI()*(fi_h/1000)^2/4)*SQRT(2*9.81*(O2415/100-fi_h/2/1000))*1000)),"",IF(O2415&lt;fi_h/20,0,(OFFSET('Base de dados'!$A$5,IF(O2415&lt;20,1,IF(O2415&gt;1000,10,MATCH(O2415,Cargas,1))),Coluna_fih,1,1))*(PI()*(fi_h/1000)^2/4)*SQRT(2*9.81*(O2415/100-fi_h/2/1000))*1000))</f>
        <v>65.913538013759407</v>
      </c>
      <c r="Q2415" s="19">
        <f ca="1">IF(O2415="","",IF(Tipo_Vertedor="Retangular",IF(O2415&lt;=cota_s*100,0,IF(Tipo_Vertedor="Retangular",Cd_sr*Lef_sr*((O2415/100-cota_s)^(3/2))*1000)),IF(O2415&lt;=cota_s*100+fi_s/20,0,(OFFSET('Base de dados'!$A$4,IF(O2415&lt;20,1,IF(O2415&gt;1000,10,MATCH(O2415,Cargas,1))),Coluna_fis,1,1))*(PI()*(fi_s/1000)^2/4)*(2*9.81*(O2415/100-cota_s-fi_s/2/1000))^0.5*1000)))</f>
        <v>13912.387411398939</v>
      </c>
      <c r="R2415" s="19">
        <f t="shared" ca="1" si="275"/>
        <v>13978.300949412698</v>
      </c>
      <c r="S2415" s="19">
        <f t="shared" ca="1" si="276"/>
        <v>15256.572849955794</v>
      </c>
    </row>
    <row r="2416" spans="13:19">
      <c r="M2416" s="81">
        <f t="shared" ca="1" si="273"/>
        <v>29251.595383231637</v>
      </c>
      <c r="N2416" s="19">
        <f t="shared" si="274"/>
        <v>457.91041160991421</v>
      </c>
      <c r="O2416" s="17">
        <f t="shared" si="272"/>
        <v>603.75</v>
      </c>
      <c r="P2416" s="19">
        <f ca="1">IF(ISERROR(IF(O2416&lt;fi_h/20,0,(OFFSET('Base de dados'!$A$5,IF(O2416&lt;20,1,IF(O2416&gt;1000,10,MATCH(O2416,Cargas,1))),Coluna_fih,1,1))*(1+0.13*0.25)*(PI()*(fi_h/1000)^2/4)*SQRT(2*9.81*(O2416/100-fi_h/2/1000))*1000)),"",IF(O2416&lt;fi_h/20,0,(OFFSET('Base de dados'!$A$5,IF(O2416&lt;20,1,IF(O2416&gt;1000,10,MATCH(O2416,Cargas,1))),Coluna_fih,1,1))*(PI()*(fi_h/1000)^2/4)*SQRT(2*9.81*(O2416/100-fi_h/2/1000))*1000))</f>
        <v>65.927317713204957</v>
      </c>
      <c r="Q2416" s="19">
        <f ca="1">IF(O2416="","",IF(Tipo_Vertedor="Retangular",IF(O2416&lt;=cota_s*100,0,IF(Tipo_Vertedor="Retangular",Cd_sr*Lef_sr*((O2416/100-cota_s)^(3/2))*1000)),IF(O2416&lt;=cota_s*100+fi_s/20,0,(OFFSET('Base de dados'!$A$4,IF(O2416&lt;20,1,IF(O2416&gt;1000,10,MATCH(O2416,Cargas,1))),Coluna_fis,1,1))*(PI()*(fi_s/1000)^2/4)*(2*9.81*(O2416/100-cota_s-fi_s/2/1000))^0.5*1000)))</f>
        <v>13921.987678521291</v>
      </c>
      <c r="R2416" s="19">
        <f t="shared" ca="1" si="275"/>
        <v>13987.914996234496</v>
      </c>
      <c r="S2416" s="19">
        <f t="shared" ca="1" si="276"/>
        <v>15263.680386997141</v>
      </c>
    </row>
    <row r="2417" spans="13:19">
      <c r="M2417" s="81">
        <f t="shared" ca="1" si="273"/>
        <v>29268.31953806887</v>
      </c>
      <c r="N2417" s="19">
        <f t="shared" si="274"/>
        <v>458.1236487204124</v>
      </c>
      <c r="O2417" s="17">
        <f t="shared" si="272"/>
        <v>604</v>
      </c>
      <c r="P2417" s="19">
        <f ca="1">IF(ISERROR(IF(O2417&lt;fi_h/20,0,(OFFSET('Base de dados'!$A$5,IF(O2417&lt;20,1,IF(O2417&gt;1000,10,MATCH(O2417,Cargas,1))),Coluna_fih,1,1))*(1+0.13*0.25)*(PI()*(fi_h/1000)^2/4)*SQRT(2*9.81*(O2417/100-fi_h/2/1000))*1000)),"",IF(O2417&lt;fi_h/20,0,(OFFSET('Base de dados'!$A$5,IF(O2417&lt;20,1,IF(O2417&gt;1000,10,MATCH(O2417,Cargas,1))),Coluna_fih,1,1))*(PI()*(fi_h/1000)^2/4)*SQRT(2*9.81*(O2417/100-fi_h/2/1000))*1000))</f>
        <v>65.941094533109109</v>
      </c>
      <c r="Q2417" s="19">
        <f ca="1">IF(O2417="","",IF(Tipo_Vertedor="Retangular",IF(O2417&lt;=cota_s*100,0,IF(Tipo_Vertedor="Retangular",Cd_sr*Lef_sr*((O2417/100-cota_s)^(3/2))*1000)),IF(O2417&lt;=cota_s*100+fi_s/20,0,(OFFSET('Base de dados'!$A$4,IF(O2417&lt;20,1,IF(O2417&gt;1000,10,MATCH(O2417,Cargas,1))),Coluna_fis,1,1))*(PI()*(fi_s/1000)^2/4)*(2*9.81*(O2417/100-cota_s-fi_s/2/1000))^0.5*1000)))</f>
        <v>13931.590152855346</v>
      </c>
      <c r="R2417" s="19">
        <f t="shared" ca="1" si="275"/>
        <v>13997.531247388455</v>
      </c>
      <c r="S2417" s="19">
        <f t="shared" ca="1" si="276"/>
        <v>15270.788290680413</v>
      </c>
    </row>
    <row r="2418" spans="13:19">
      <c r="M2418" s="81">
        <f t="shared" ca="1" si="273"/>
        <v>29285.04626324194</v>
      </c>
      <c r="N2418" s="19">
        <f t="shared" si="274"/>
        <v>458.33689682618319</v>
      </c>
      <c r="O2418" s="17">
        <f t="shared" si="272"/>
        <v>604.25</v>
      </c>
      <c r="P2418" s="19">
        <f ca="1">IF(ISERROR(IF(O2418&lt;fi_h/20,0,(OFFSET('Base de dados'!$A$5,IF(O2418&lt;20,1,IF(O2418&gt;1000,10,MATCH(O2418,Cargas,1))),Coluna_fih,1,1))*(1+0.13*0.25)*(PI()*(fi_h/1000)^2/4)*SQRT(2*9.81*(O2418/100-fi_h/2/1000))*1000)),"",IF(O2418&lt;fi_h/20,0,(OFFSET('Base de dados'!$A$5,IF(O2418&lt;20,1,IF(O2418&gt;1000,10,MATCH(O2418,Cargas,1))),Coluna_fih,1,1))*(PI()*(fi_h/1000)^2/4)*SQRT(2*9.81*(O2418/100-fi_h/2/1000))*1000))</f>
        <v>65.954868475276285</v>
      </c>
      <c r="Q2418" s="19">
        <f ca="1">IF(O2418="","",IF(Tipo_Vertedor="Retangular",IF(O2418&lt;=cota_s*100,0,IF(Tipo_Vertedor="Retangular",Cd_sr*Lef_sr*((O2418/100-cota_s)^(3/2))*1000)),IF(O2418&lt;=cota_s*100+fi_s/20,0,(OFFSET('Base de dados'!$A$4,IF(O2418&lt;20,1,IF(O2418&gt;1000,10,MATCH(O2418,Cargas,1))),Coluna_fis,1,1))*(PI()*(fi_s/1000)^2/4)*(2*9.81*(O2418/100-cota_s-fi_s/2/1000))^0.5*1000)))</f>
        <v>13941.194833893891</v>
      </c>
      <c r="R2418" s="19">
        <f t="shared" ca="1" si="275"/>
        <v>14007.149702369168</v>
      </c>
      <c r="S2418" s="19">
        <f t="shared" ca="1" si="276"/>
        <v>15277.896560872772</v>
      </c>
    </row>
    <row r="2419" spans="13:19">
      <c r="M2419" s="81">
        <f t="shared" ca="1" si="273"/>
        <v>29301.775558112986</v>
      </c>
      <c r="N2419" s="19">
        <f t="shared" si="274"/>
        <v>458.55015592324349</v>
      </c>
      <c r="O2419" s="17">
        <f t="shared" si="272"/>
        <v>604.5</v>
      </c>
      <c r="P2419" s="19">
        <f ca="1">IF(ISERROR(IF(O2419&lt;fi_h/20,0,(OFFSET('Base de dados'!$A$5,IF(O2419&lt;20,1,IF(O2419&gt;1000,10,MATCH(O2419,Cargas,1))),Coluna_fih,1,1))*(1+0.13*0.25)*(PI()*(fi_h/1000)^2/4)*SQRT(2*9.81*(O2419/100-fi_h/2/1000))*1000)),"",IF(O2419&lt;fi_h/20,0,(OFFSET('Base de dados'!$A$5,IF(O2419&lt;20,1,IF(O2419&gt;1000,10,MATCH(O2419,Cargas,1))),Coluna_fih,1,1))*(PI()*(fi_h/1000)^2/4)*SQRT(2*9.81*(O2419/100-fi_h/2/1000))*1000))</f>
        <v>65.968639541509077</v>
      </c>
      <c r="Q2419" s="19">
        <f ca="1">IF(O2419="","",IF(Tipo_Vertedor="Retangular",IF(O2419&lt;=cota_s*100,0,IF(Tipo_Vertedor="Retangular",Cd_sr*Lef_sr*((O2419/100-cota_s)^(3/2))*1000)),IF(O2419&lt;=cota_s*100+fi_s/20,0,(OFFSET('Base de dados'!$A$4,IF(O2419&lt;20,1,IF(O2419&gt;1000,10,MATCH(O2419,Cargas,1))),Coluna_fis,1,1))*(PI()*(fi_s/1000)^2/4)*(2*9.81*(O2419/100-cota_s-fi_s/2/1000))^0.5*1000)))</f>
        <v>13950.801721130028</v>
      </c>
      <c r="R2419" s="19">
        <f t="shared" ca="1" si="275"/>
        <v>14016.770360671537</v>
      </c>
      <c r="S2419" s="19">
        <f t="shared" ca="1" si="276"/>
        <v>15285.005197441449</v>
      </c>
    </row>
    <row r="2420" spans="13:19">
      <c r="M2420" s="81">
        <f t="shared" ca="1" si="273"/>
        <v>29318.507422044655</v>
      </c>
      <c r="N2420" s="19">
        <f t="shared" si="274"/>
        <v>458.76342600761404</v>
      </c>
      <c r="O2420" s="17">
        <f t="shared" si="272"/>
        <v>604.75</v>
      </c>
      <c r="P2420" s="19">
        <f ca="1">IF(ISERROR(IF(O2420&lt;fi_h/20,0,(OFFSET('Base de dados'!$A$5,IF(O2420&lt;20,1,IF(O2420&gt;1000,10,MATCH(O2420,Cargas,1))),Coluna_fih,1,1))*(1+0.13*0.25)*(PI()*(fi_h/1000)^2/4)*SQRT(2*9.81*(O2420/100-fi_h/2/1000))*1000)),"",IF(O2420&lt;fi_h/20,0,(OFFSET('Base de dados'!$A$5,IF(O2420&lt;20,1,IF(O2420&gt;1000,10,MATCH(O2420,Cargas,1))),Coluna_fih,1,1))*(PI()*(fi_h/1000)^2/4)*SQRT(2*9.81*(O2420/100-fi_h/2/1000))*1000))</f>
        <v>65.982407733608184</v>
      </c>
      <c r="Q2420" s="19">
        <f ca="1">IF(O2420="","",IF(Tipo_Vertedor="Retangular",IF(O2420&lt;=cota_s*100,0,IF(Tipo_Vertedor="Retangular",Cd_sr*Lef_sr*((O2420/100-cota_s)^(3/2))*1000)),IF(O2420&lt;=cota_s*100+fi_s/20,0,(OFFSET('Base de dados'!$A$4,IF(O2420&lt;20,1,IF(O2420&gt;1000,10,MATCH(O2420,Cargas,1))),Coluna_fis,1,1))*(PI()*(fi_s/1000)^2/4)*(2*9.81*(O2420/100-cota_s-fi_s/2/1000))^0.5*1000)))</f>
        <v>13960.410814057243</v>
      </c>
      <c r="R2420" s="19">
        <f t="shared" ca="1" si="275"/>
        <v>14026.393221790851</v>
      </c>
      <c r="S2420" s="19">
        <f t="shared" ca="1" si="276"/>
        <v>15292.114200253802</v>
      </c>
    </row>
    <row r="2421" spans="13:19">
      <c r="M2421" s="81">
        <f t="shared" ca="1" si="273"/>
        <v>29335.241854399996</v>
      </c>
      <c r="N2421" s="19">
        <f t="shared" si="274"/>
        <v>458.97670707531881</v>
      </c>
      <c r="O2421" s="17">
        <f t="shared" si="272"/>
        <v>605</v>
      </c>
      <c r="P2421" s="19">
        <f ca="1">IF(ISERROR(IF(O2421&lt;fi_h/20,0,(OFFSET('Base de dados'!$A$5,IF(O2421&lt;20,1,IF(O2421&gt;1000,10,MATCH(O2421,Cargas,1))),Coluna_fih,1,1))*(1+0.13*0.25)*(PI()*(fi_h/1000)^2/4)*SQRT(2*9.81*(O2421/100-fi_h/2/1000))*1000)),"",IF(O2421&lt;fi_h/20,0,(OFFSET('Base de dados'!$A$5,IF(O2421&lt;20,1,IF(O2421&gt;1000,10,MATCH(O2421,Cargas,1))),Coluna_fih,1,1))*(PI()*(fi_h/1000)^2/4)*SQRT(2*9.81*(O2421/100-fi_h/2/1000))*1000))</f>
        <v>65.996173053372416</v>
      </c>
      <c r="Q2421" s="19">
        <f ca="1">IF(O2421="","",IF(Tipo_Vertedor="Retangular",IF(O2421&lt;=cota_s*100,0,IF(Tipo_Vertedor="Retangular",Cd_sr*Lef_sr*((O2421/100-cota_s)^(3/2))*1000)),IF(O2421&lt;=cota_s*100+fi_s/20,0,(OFFSET('Base de dados'!$A$4,IF(O2421&lt;20,1,IF(O2421&gt;1000,10,MATCH(O2421,Cargas,1))),Coluna_fis,1,1))*(PI()*(fi_s/1000)^2/4)*(2*9.81*(O2421/100-cota_s-fi_s/2/1000))^0.5*1000)))</f>
        <v>13970.022112169332</v>
      </c>
      <c r="R2421" s="19">
        <f t="shared" ca="1" si="275"/>
        <v>14036.018285222704</v>
      </c>
      <c r="S2421" s="19">
        <f t="shared" ca="1" si="276"/>
        <v>15299.223569177293</v>
      </c>
    </row>
    <row r="2422" spans="13:19">
      <c r="M2422" s="81">
        <f t="shared" ca="1" si="273"/>
        <v>29351.97885454254</v>
      </c>
      <c r="N2422" s="19">
        <f t="shared" si="274"/>
        <v>459.18999912238394</v>
      </c>
      <c r="O2422" s="17">
        <f t="shared" si="272"/>
        <v>605.25</v>
      </c>
      <c r="P2422" s="19">
        <f ca="1">IF(ISERROR(IF(O2422&lt;fi_h/20,0,(OFFSET('Base de dados'!$A$5,IF(O2422&lt;20,1,IF(O2422&gt;1000,10,MATCH(O2422,Cargas,1))),Coluna_fih,1,1))*(1+0.13*0.25)*(PI()*(fi_h/1000)^2/4)*SQRT(2*9.81*(O2422/100-fi_h/2/1000))*1000)),"",IF(O2422&lt;fi_h/20,0,(OFFSET('Base de dados'!$A$5,IF(O2422&lt;20,1,IF(O2422&gt;1000,10,MATCH(O2422,Cargas,1))),Coluna_fih,1,1))*(PI()*(fi_h/1000)^2/4)*SQRT(2*9.81*(O2422/100-fi_h/2/1000))*1000))</f>
        <v>66.009935502598708</v>
      </c>
      <c r="Q2422" s="19">
        <f ca="1">IF(O2422="","",IF(Tipo_Vertedor="Retangular",IF(O2422&lt;=cota_s*100,0,IF(Tipo_Vertedor="Retangular",Cd_sr*Lef_sr*((O2422/100-cota_s)^(3/2))*1000)),IF(O2422&lt;=cota_s*100+fi_s/20,0,(OFFSET('Base de dados'!$A$4,IF(O2422&lt;20,1,IF(O2422&gt;1000,10,MATCH(O2422,Cargas,1))),Coluna_fis,1,1))*(PI()*(fi_s/1000)^2/4)*(2*9.81*(O2422/100-cota_s-fi_s/2/1000))^0.5*1000)))</f>
        <v>13979.635614960474</v>
      </c>
      <c r="R2422" s="19">
        <f t="shared" ca="1" si="275"/>
        <v>14045.645550463074</v>
      </c>
      <c r="S2422" s="19">
        <f t="shared" ca="1" si="276"/>
        <v>15306.333304079464</v>
      </c>
    </row>
    <row r="2423" spans="13:19">
      <c r="M2423" s="81">
        <f t="shared" ca="1" si="273"/>
        <v>29368.71842183626</v>
      </c>
      <c r="N2423" s="19">
        <f t="shared" si="274"/>
        <v>459.40330214483981</v>
      </c>
      <c r="O2423" s="17">
        <f t="shared" si="272"/>
        <v>605.5</v>
      </c>
      <c r="P2423" s="19">
        <f ca="1">IF(ISERROR(IF(O2423&lt;fi_h/20,0,(OFFSET('Base de dados'!$A$5,IF(O2423&lt;20,1,IF(O2423&gt;1000,10,MATCH(O2423,Cargas,1))),Coluna_fih,1,1))*(1+0.13*0.25)*(PI()*(fi_h/1000)^2/4)*SQRT(2*9.81*(O2423/100-fi_h/2/1000))*1000)),"",IF(O2423&lt;fi_h/20,0,(OFFSET('Base de dados'!$A$5,IF(O2423&lt;20,1,IF(O2423&gt;1000,10,MATCH(O2423,Cargas,1))),Coluna_fih,1,1))*(PI()*(fi_h/1000)^2/4)*SQRT(2*9.81*(O2423/100-fi_h/2/1000))*1000))</f>
        <v>66.023695083082131</v>
      </c>
      <c r="Q2423" s="19">
        <f ca="1">IF(O2423="","",IF(Tipo_Vertedor="Retangular",IF(O2423&lt;=cota_s*100,0,IF(Tipo_Vertedor="Retangular",Cd_sr*Lef_sr*((O2423/100-cota_s)^(3/2))*1000)),IF(O2423&lt;=cota_s*100+fi_s/20,0,(OFFSET('Base de dados'!$A$4,IF(O2423&lt;20,1,IF(O2423&gt;1000,10,MATCH(O2423,Cargas,1))),Coluna_fis,1,1))*(PI()*(fi_s/1000)^2/4)*(2*9.81*(O2423/100-cota_s-fi_s/2/1000))^0.5*1000)))</f>
        <v>13989.251321925183</v>
      </c>
      <c r="R2423" s="19">
        <f t="shared" ca="1" si="275"/>
        <v>14055.275017008265</v>
      </c>
      <c r="S2423" s="19">
        <f t="shared" ca="1" si="276"/>
        <v>15313.443404827995</v>
      </c>
    </row>
    <row r="2424" spans="13:19">
      <c r="M2424" s="81">
        <f t="shared" ca="1" si="273"/>
        <v>29385.460555645564</v>
      </c>
      <c r="N2424" s="19">
        <f t="shared" si="274"/>
        <v>459.61661613871888</v>
      </c>
      <c r="O2424" s="17">
        <f t="shared" si="272"/>
        <v>605.75</v>
      </c>
      <c r="P2424" s="19">
        <f ca="1">IF(ISERROR(IF(O2424&lt;fi_h/20,0,(OFFSET('Base de dados'!$A$5,IF(O2424&lt;20,1,IF(O2424&gt;1000,10,MATCH(O2424,Cargas,1))),Coluna_fih,1,1))*(1+0.13*0.25)*(PI()*(fi_h/1000)^2/4)*SQRT(2*9.81*(O2424/100-fi_h/2/1000))*1000)),"",IF(O2424&lt;fi_h/20,0,(OFFSET('Base de dados'!$A$5,IF(O2424&lt;20,1,IF(O2424&gt;1000,10,MATCH(O2424,Cargas,1))),Coluna_fih,1,1))*(PI()*(fi_h/1000)^2/4)*SQRT(2*9.81*(O2424/100-fi_h/2/1000))*1000))</f>
        <v>66.037451796615883</v>
      </c>
      <c r="Q2424" s="19">
        <f ca="1">IF(O2424="","",IF(Tipo_Vertedor="Retangular",IF(O2424&lt;=cota_s*100,0,IF(Tipo_Vertedor="Retangular",Cd_sr*Lef_sr*((O2424/100-cota_s)^(3/2))*1000)),IF(O2424&lt;=cota_s*100+fi_s/20,0,(OFFSET('Base de dados'!$A$4,IF(O2424&lt;20,1,IF(O2424&gt;1000,10,MATCH(O2424,Cargas,1))),Coluna_fis,1,1))*(PI()*(fi_s/1000)^2/4)*(2*9.81*(O2424/100-cota_s-fi_s/2/1000))^0.5*1000)))</f>
        <v>13998.86923255832</v>
      </c>
      <c r="R2424" s="19">
        <f t="shared" ca="1" si="275"/>
        <v>14064.906684354935</v>
      </c>
      <c r="S2424" s="19">
        <f t="shared" ca="1" si="276"/>
        <v>15320.553871290631</v>
      </c>
    </row>
    <row r="2425" spans="13:19">
      <c r="M2425" s="81">
        <f t="shared" ca="1" si="273"/>
        <v>29402.205255335321</v>
      </c>
      <c r="N2425" s="19">
        <f t="shared" si="274"/>
        <v>459.82994110005723</v>
      </c>
      <c r="O2425" s="17">
        <f t="shared" si="272"/>
        <v>606</v>
      </c>
      <c r="P2425" s="19">
        <f ca="1">IF(ISERROR(IF(O2425&lt;fi_h/20,0,(OFFSET('Base de dados'!$A$5,IF(O2425&lt;20,1,IF(O2425&gt;1000,10,MATCH(O2425,Cargas,1))),Coluna_fih,1,1))*(1+0.13*0.25)*(PI()*(fi_h/1000)^2/4)*SQRT(2*9.81*(O2425/100-fi_h/2/1000))*1000)),"",IF(O2425&lt;fi_h/20,0,(OFFSET('Base de dados'!$A$5,IF(O2425&lt;20,1,IF(O2425&gt;1000,10,MATCH(O2425,Cargas,1))),Coluna_fih,1,1))*(PI()*(fi_h/1000)^2/4)*SQRT(2*9.81*(O2425/100-fi_h/2/1000))*1000))</f>
        <v>66.051205644991271</v>
      </c>
      <c r="Q2425" s="19">
        <f ca="1">IF(O2425="","",IF(Tipo_Vertedor="Retangular",IF(O2425&lt;=cota_s*100,0,IF(Tipo_Vertedor="Retangular",Cd_sr*Lef_sr*((O2425/100-cota_s)^(3/2))*1000)),IF(O2425&lt;=cota_s*100+fi_s/20,0,(OFFSET('Base de dados'!$A$4,IF(O2425&lt;20,1,IF(O2425&gt;1000,10,MATCH(O2425,Cargas,1))),Coluna_fis,1,1))*(PI()*(fi_s/1000)^2/4)*(2*9.81*(O2425/100-cota_s-fi_s/2/1000))^0.5*1000)))</f>
        <v>14008.489346355089</v>
      </c>
      <c r="R2425" s="19">
        <f t="shared" ca="1" si="275"/>
        <v>14074.54055200008</v>
      </c>
      <c r="S2425" s="19">
        <f t="shared" ca="1" si="276"/>
        <v>15327.66470333524</v>
      </c>
    </row>
    <row r="2426" spans="13:19">
      <c r="M2426" s="81">
        <f t="shared" ca="1" si="273"/>
        <v>29418.952520270846</v>
      </c>
      <c r="N2426" s="19">
        <f t="shared" si="274"/>
        <v>460.04327702489405</v>
      </c>
      <c r="O2426" s="17">
        <f t="shared" si="272"/>
        <v>606.25</v>
      </c>
      <c r="P2426" s="19">
        <f ca="1">IF(ISERROR(IF(O2426&lt;fi_h/20,0,(OFFSET('Base de dados'!$A$5,IF(O2426&lt;20,1,IF(O2426&gt;1000,10,MATCH(O2426,Cargas,1))),Coluna_fih,1,1))*(1+0.13*0.25)*(PI()*(fi_h/1000)^2/4)*SQRT(2*9.81*(O2426/100-fi_h/2/1000))*1000)),"",IF(O2426&lt;fi_h/20,0,(OFFSET('Base de dados'!$A$5,IF(O2426&lt;20,1,IF(O2426&gt;1000,10,MATCH(O2426,Cargas,1))),Coluna_fih,1,1))*(PI()*(fi_h/1000)^2/4)*SQRT(2*9.81*(O2426/100-fi_h/2/1000))*1000))</f>
        <v>66.064956629997795</v>
      </c>
      <c r="Q2426" s="19">
        <f ca="1">IF(O2426="","",IF(Tipo_Vertedor="Retangular",IF(O2426&lt;=cota_s*100,0,IF(Tipo_Vertedor="Retangular",Cd_sr*Lef_sr*((O2426/100-cota_s)^(3/2))*1000)),IF(O2426&lt;=cota_s*100+fi_s/20,0,(OFFSET('Base de dados'!$A$4,IF(O2426&lt;20,1,IF(O2426&gt;1000,10,MATCH(O2426,Cargas,1))),Coluna_fis,1,1))*(PI()*(fi_s/1000)^2/4)*(2*9.81*(O2426/100-cota_s-fi_s/2/1000))^0.5*1000)))</f>
        <v>14018.111662811045</v>
      </c>
      <c r="R2426" s="19">
        <f t="shared" ca="1" si="275"/>
        <v>14084.176619441043</v>
      </c>
      <c r="S2426" s="19">
        <f t="shared" ca="1" si="276"/>
        <v>15334.775900829804</v>
      </c>
    </row>
    <row r="2427" spans="13:19">
      <c r="M2427" s="81">
        <f t="shared" ca="1" si="273"/>
        <v>29435.70234981789</v>
      </c>
      <c r="N2427" s="19">
        <f t="shared" si="274"/>
        <v>460.25662390927107</v>
      </c>
      <c r="O2427" s="17">
        <f t="shared" si="272"/>
        <v>606.5</v>
      </c>
      <c r="P2427" s="19">
        <f ca="1">IF(ISERROR(IF(O2427&lt;fi_h/20,0,(OFFSET('Base de dados'!$A$5,IF(O2427&lt;20,1,IF(O2427&gt;1000,10,MATCH(O2427,Cargas,1))),Coluna_fih,1,1))*(1+0.13*0.25)*(PI()*(fi_h/1000)^2/4)*SQRT(2*9.81*(O2427/100-fi_h/2/1000))*1000)),"",IF(O2427&lt;fi_h/20,0,(OFFSET('Base de dados'!$A$5,IF(O2427&lt;20,1,IF(O2427&gt;1000,10,MATCH(O2427,Cargas,1))),Coluna_fih,1,1))*(PI()*(fi_h/1000)^2/4)*SQRT(2*9.81*(O2427/100-fi_h/2/1000))*1000))</f>
        <v>66.07870475342304</v>
      </c>
      <c r="Q2427" s="19">
        <f ca="1">IF(O2427="","",IF(Tipo_Vertedor="Retangular",IF(O2427&lt;=cota_s*100,0,IF(Tipo_Vertedor="Retangular",Cd_sr*Lef_sr*((O2427/100-cota_s)^(3/2))*1000)),IF(O2427&lt;=cota_s*100+fi_s/20,0,(OFFSET('Base de dados'!$A$4,IF(O2427&lt;20,1,IF(O2427&gt;1000,10,MATCH(O2427,Cargas,1))),Coluna_fis,1,1))*(PI()*(fi_s/1000)^2/4)*(2*9.81*(O2427/100-cota_s-fi_s/2/1000))^0.5*1000)))</f>
        <v>14027.736181422097</v>
      </c>
      <c r="R2427" s="19">
        <f t="shared" ca="1" si="275"/>
        <v>14093.81488617552</v>
      </c>
      <c r="S2427" s="19">
        <f t="shared" ca="1" si="276"/>
        <v>15341.88746364237</v>
      </c>
    </row>
    <row r="2428" spans="13:19">
      <c r="M2428" s="81">
        <f t="shared" ca="1" si="273"/>
        <v>29452.454743342649</v>
      </c>
      <c r="N2428" s="19">
        <f t="shared" si="274"/>
        <v>460.4699817492334</v>
      </c>
      <c r="O2428" s="17">
        <f t="shared" si="272"/>
        <v>606.75</v>
      </c>
      <c r="P2428" s="19">
        <f ca="1">IF(ISERROR(IF(O2428&lt;fi_h/20,0,(OFFSET('Base de dados'!$A$5,IF(O2428&lt;20,1,IF(O2428&gt;1000,10,MATCH(O2428,Cargas,1))),Coluna_fih,1,1))*(1+0.13*0.25)*(PI()*(fi_h/1000)^2/4)*SQRT(2*9.81*(O2428/100-fi_h/2/1000))*1000)),"",IF(O2428&lt;fi_h/20,0,(OFFSET('Base de dados'!$A$5,IF(O2428&lt;20,1,IF(O2428&gt;1000,10,MATCH(O2428,Cargas,1))),Coluna_fih,1,1))*(PI()*(fi_h/1000)^2/4)*SQRT(2*9.81*(O2428/100-fi_h/2/1000))*1000))</f>
        <v>66.092450017052727</v>
      </c>
      <c r="Q2428" s="19">
        <f ca="1">IF(O2428="","",IF(Tipo_Vertedor="Retangular",IF(O2428&lt;=cota_s*100,0,IF(Tipo_Vertedor="Retangular",Cd_sr*Lef_sr*((O2428/100-cota_s)^(3/2))*1000)),IF(O2428&lt;=cota_s*100+fi_s/20,0,(OFFSET('Base de dados'!$A$4,IF(O2428&lt;20,1,IF(O2428&gt;1000,10,MATCH(O2428,Cargas,1))),Coluna_fis,1,1))*(PI()*(fi_s/1000)^2/4)*(2*9.81*(O2428/100-cota_s-fi_s/2/1000))^0.5*1000)))</f>
        <v>14037.362901684482</v>
      </c>
      <c r="R2428" s="19">
        <f t="shared" ca="1" si="275"/>
        <v>14103.455351701536</v>
      </c>
      <c r="S2428" s="19">
        <f t="shared" ca="1" si="276"/>
        <v>15348.999391641113</v>
      </c>
    </row>
    <row r="2429" spans="13:19">
      <c r="M2429" s="81">
        <f t="shared" ca="1" si="273"/>
        <v>29469.209700211795</v>
      </c>
      <c r="N2429" s="19">
        <f t="shared" si="274"/>
        <v>460.68335054082979</v>
      </c>
      <c r="O2429" s="17">
        <f t="shared" si="272"/>
        <v>607</v>
      </c>
      <c r="P2429" s="19">
        <f ca="1">IF(ISERROR(IF(O2429&lt;fi_h/20,0,(OFFSET('Base de dados'!$A$5,IF(O2429&lt;20,1,IF(O2429&gt;1000,10,MATCH(O2429,Cargas,1))),Coluna_fih,1,1))*(1+0.13*0.25)*(PI()*(fi_h/1000)^2/4)*SQRT(2*9.81*(O2429/100-fi_h/2/1000))*1000)),"",IF(O2429&lt;fi_h/20,0,(OFFSET('Base de dados'!$A$5,IF(O2429&lt;20,1,IF(O2429&gt;1000,10,MATCH(O2429,Cargas,1))),Coluna_fih,1,1))*(PI()*(fi_h/1000)^2/4)*SQRT(2*9.81*(O2429/100-fi_h/2/1000))*1000))</f>
        <v>66.106192422670802</v>
      </c>
      <c r="Q2429" s="19">
        <f ca="1">IF(O2429="","",IF(Tipo_Vertedor="Retangular",IF(O2429&lt;=cota_s*100,0,IF(Tipo_Vertedor="Retangular",Cd_sr*Lef_sr*((O2429/100-cota_s)^(3/2))*1000)),IF(O2429&lt;=cota_s*100+fi_s/20,0,(OFFSET('Base de dados'!$A$4,IF(O2429&lt;20,1,IF(O2429&gt;1000,10,MATCH(O2429,Cargas,1))),Coluna_fis,1,1))*(PI()*(fi_s/1000)^2/4)*(2*9.81*(O2429/100-cota_s-fi_s/2/1000))^0.5*1000)))</f>
        <v>14046.991823094799</v>
      </c>
      <c r="R2429" s="19">
        <f t="shared" ca="1" si="275"/>
        <v>14113.098015517469</v>
      </c>
      <c r="S2429" s="19">
        <f t="shared" ca="1" si="276"/>
        <v>15356.111684694326</v>
      </c>
    </row>
    <row r="2430" spans="13:19">
      <c r="M2430" s="81">
        <f t="shared" ca="1" si="273"/>
        <v>29485.967219792397</v>
      </c>
      <c r="N2430" s="19">
        <f t="shared" si="274"/>
        <v>460.89673028011083</v>
      </c>
      <c r="O2430" s="17">
        <f t="shared" si="272"/>
        <v>607.25</v>
      </c>
      <c r="P2430" s="19">
        <f ca="1">IF(ISERROR(IF(O2430&lt;fi_h/20,0,(OFFSET('Base de dados'!$A$5,IF(O2430&lt;20,1,IF(O2430&gt;1000,10,MATCH(O2430,Cargas,1))),Coluna_fih,1,1))*(1+0.13*0.25)*(PI()*(fi_h/1000)^2/4)*SQRT(2*9.81*(O2430/100-fi_h/2/1000))*1000)),"",IF(O2430&lt;fi_h/20,0,(OFFSET('Base de dados'!$A$5,IF(O2430&lt;20,1,IF(O2430&gt;1000,10,MATCH(O2430,Cargas,1))),Coluna_fih,1,1))*(PI()*(fi_h/1000)^2/4)*SQRT(2*9.81*(O2430/100-fi_h/2/1000))*1000))</f>
        <v>66.11993197205922</v>
      </c>
      <c r="Q2430" s="19">
        <f ca="1">IF(O2430="","",IF(Tipo_Vertedor="Retangular",IF(O2430&lt;=cota_s*100,0,IF(Tipo_Vertedor="Retangular",Cd_sr*Lef_sr*((O2430/100-cota_s)^(3/2))*1000)),IF(O2430&lt;=cota_s*100+fi_s/20,0,(OFFSET('Base de dados'!$A$4,IF(O2430&lt;20,1,IF(O2430&gt;1000,10,MATCH(O2430,Cargas,1))),Coluna_fis,1,1))*(PI()*(fi_s/1000)^2/4)*(2*9.81*(O2430/100-cota_s-fi_s/2/1000))^0.5*1000)))</f>
        <v>14056.622945149977</v>
      </c>
      <c r="R2430" s="19">
        <f t="shared" ca="1" si="275"/>
        <v>14122.742877122037</v>
      </c>
      <c r="S2430" s="19">
        <f t="shared" ca="1" si="276"/>
        <v>15363.224342670361</v>
      </c>
    </row>
    <row r="2431" spans="13:19">
      <c r="M2431" s="81">
        <f t="shared" ca="1" si="273"/>
        <v>29502.727301452025</v>
      </c>
      <c r="N2431" s="19">
        <f t="shared" si="274"/>
        <v>461.11012096313112</v>
      </c>
      <c r="O2431" s="17">
        <f t="shared" si="272"/>
        <v>607.5</v>
      </c>
      <c r="P2431" s="19">
        <f ca="1">IF(ISERROR(IF(O2431&lt;fi_h/20,0,(OFFSET('Base de dados'!$A$5,IF(O2431&lt;20,1,IF(O2431&gt;1000,10,MATCH(O2431,Cargas,1))),Coluna_fih,1,1))*(1+0.13*0.25)*(PI()*(fi_h/1000)^2/4)*SQRT(2*9.81*(O2431/100-fi_h/2/1000))*1000)),"",IF(O2431&lt;fi_h/20,0,(OFFSET('Base de dados'!$A$5,IF(O2431&lt;20,1,IF(O2431&gt;1000,10,MATCH(O2431,Cargas,1))),Coluna_fih,1,1))*(PI()*(fi_h/1000)^2/4)*SQRT(2*9.81*(O2431/100-fi_h/2/1000))*1000))</f>
        <v>66.133668666998219</v>
      </c>
      <c r="Q2431" s="19">
        <f ca="1">IF(O2431="","",IF(Tipo_Vertedor="Retangular",IF(O2431&lt;=cota_s*100,0,IF(Tipo_Vertedor="Retangular",Cd_sr*Lef_sr*((O2431/100-cota_s)^(3/2))*1000)),IF(O2431&lt;=cota_s*100+fi_s/20,0,(OFFSET('Base de dados'!$A$4,IF(O2431&lt;20,1,IF(O2431&gt;1000,10,MATCH(O2431,Cargas,1))),Coluna_fis,1,1))*(PI()*(fi_s/1000)^2/4)*(2*9.81*(O2431/100-cota_s-fi_s/2/1000))^0.5*1000)))</f>
        <v>14066.25626734732</v>
      </c>
      <c r="R2431" s="19">
        <f t="shared" ca="1" si="275"/>
        <v>14132.389936014319</v>
      </c>
      <c r="S2431" s="19">
        <f t="shared" ca="1" si="276"/>
        <v>15370.337365437705</v>
      </c>
    </row>
    <row r="2432" spans="13:19">
      <c r="M2432" s="81">
        <f t="shared" ca="1" si="273"/>
        <v>29519.48994455862</v>
      </c>
      <c r="N2432" s="19">
        <f t="shared" si="274"/>
        <v>461.32352258594801</v>
      </c>
      <c r="O2432" s="17">
        <f t="shared" si="272"/>
        <v>607.75</v>
      </c>
      <c r="P2432" s="19">
        <f ca="1">IF(ISERROR(IF(O2432&lt;fi_h/20,0,(OFFSET('Base de dados'!$A$5,IF(O2432&lt;20,1,IF(O2432&gt;1000,10,MATCH(O2432,Cargas,1))),Coluna_fih,1,1))*(1+0.13*0.25)*(PI()*(fi_h/1000)^2/4)*SQRT(2*9.81*(O2432/100-fi_h/2/1000))*1000)),"",IF(O2432&lt;fi_h/20,0,(OFFSET('Base de dados'!$A$5,IF(O2432&lt;20,1,IF(O2432&gt;1000,10,MATCH(O2432,Cargas,1))),Coluna_fih,1,1))*(PI()*(fi_h/1000)^2/4)*SQRT(2*9.81*(O2432/100-fi_h/2/1000))*1000))</f>
        <v>66.147402509266101</v>
      </c>
      <c r="Q2432" s="19">
        <f ca="1">IF(O2432="","",IF(Tipo_Vertedor="Retangular",IF(O2432&lt;=cota_s*100,0,IF(Tipo_Vertedor="Retangular",Cd_sr*Lef_sr*((O2432/100-cota_s)^(3/2))*1000)),IF(O2432&lt;=cota_s*100+fi_s/20,0,(OFFSET('Base de dados'!$A$4,IF(O2432&lt;20,1,IF(O2432&gt;1000,10,MATCH(O2432,Cargas,1))),Coluna_fis,1,1))*(PI()*(fi_s/1000)^2/4)*(2*9.81*(O2432/100-cota_s-fi_s/2/1000))^0.5*1000)))</f>
        <v>14075.891789184421</v>
      </c>
      <c r="R2432" s="19">
        <f t="shared" ca="1" si="275"/>
        <v>14142.039191693688</v>
      </c>
      <c r="S2432" s="19">
        <f t="shared" ca="1" si="276"/>
        <v>15377.450752864934</v>
      </c>
    </row>
    <row r="2433" spans="13:19">
      <c r="M2433" s="81">
        <f t="shared" ca="1" si="273"/>
        <v>29536.255148480657</v>
      </c>
      <c r="N2433" s="19">
        <f t="shared" si="274"/>
        <v>461.53693514462185</v>
      </c>
      <c r="O2433" s="17">
        <f t="shared" si="272"/>
        <v>608</v>
      </c>
      <c r="P2433" s="19">
        <f ca="1">IF(ISERROR(IF(O2433&lt;fi_h/20,0,(OFFSET('Base de dados'!$A$5,IF(O2433&lt;20,1,IF(O2433&gt;1000,10,MATCH(O2433,Cargas,1))),Coluna_fih,1,1))*(1+0.13*0.25)*(PI()*(fi_h/1000)^2/4)*SQRT(2*9.81*(O2433/100-fi_h/2/1000))*1000)),"",IF(O2433&lt;fi_h/20,0,(OFFSET('Base de dados'!$A$5,IF(O2433&lt;20,1,IF(O2433&gt;1000,10,MATCH(O2433,Cargas,1))),Coluna_fih,1,1))*(PI()*(fi_h/1000)^2/4)*SQRT(2*9.81*(O2433/100-fi_h/2/1000))*1000))</f>
        <v>66.16113350063938</v>
      </c>
      <c r="Q2433" s="19">
        <f ca="1">IF(O2433="","",IF(Tipo_Vertedor="Retangular",IF(O2433&lt;=cota_s*100,0,IF(Tipo_Vertedor="Retangular",Cd_sr*Lef_sr*((O2433/100-cota_s)^(3/2))*1000)),IF(O2433&lt;=cota_s*100+fi_s/20,0,(OFFSET('Base de dados'!$A$4,IF(O2433&lt;20,1,IF(O2433&gt;1000,10,MATCH(O2433,Cargas,1))),Coluna_fis,1,1))*(PI()*(fi_s/1000)^2/4)*(2*9.81*(O2433/100-cota_s-fi_s/2/1000))^0.5*1000)))</f>
        <v>14085.529510159287</v>
      </c>
      <c r="R2433" s="19">
        <f t="shared" ca="1" si="275"/>
        <v>14151.690643659927</v>
      </c>
      <c r="S2433" s="19">
        <f t="shared" ca="1" si="276"/>
        <v>15384.56450482073</v>
      </c>
    </row>
    <row r="2434" spans="13:19">
      <c r="M2434" s="81">
        <f t="shared" ca="1" si="273"/>
        <v>29553.022912586966</v>
      </c>
      <c r="N2434" s="19">
        <f t="shared" si="274"/>
        <v>461.750358635216</v>
      </c>
      <c r="O2434" s="17">
        <f t="shared" si="272"/>
        <v>608.25</v>
      </c>
      <c r="P2434" s="19">
        <f ca="1">IF(ISERROR(IF(O2434&lt;fi_h/20,0,(OFFSET('Base de dados'!$A$5,IF(O2434&lt;20,1,IF(O2434&gt;1000,10,MATCH(O2434,Cargas,1))),Coluna_fih,1,1))*(1+0.13*0.25)*(PI()*(fi_h/1000)^2/4)*SQRT(2*9.81*(O2434/100-fi_h/2/1000))*1000)),"",IF(O2434&lt;fi_h/20,0,(OFFSET('Base de dados'!$A$5,IF(O2434&lt;20,1,IF(O2434&gt;1000,10,MATCH(O2434,Cargas,1))),Coluna_fih,1,1))*(PI()*(fi_h/1000)^2/4)*SQRT(2*9.81*(O2434/100-fi_h/2/1000))*1000))</f>
        <v>66.174861642892651</v>
      </c>
      <c r="Q2434" s="19">
        <f ca="1">IF(O2434="","",IF(Tipo_Vertedor="Retangular",IF(O2434&lt;=cota_s*100,0,IF(Tipo_Vertedor="Retangular",Cd_sr*Lef_sr*((O2434/100-cota_s)^(3/2))*1000)),IF(O2434&lt;=cota_s*100+fi_s/20,0,(OFFSET('Base de dados'!$A$4,IF(O2434&lt;20,1,IF(O2434&gt;1000,10,MATCH(O2434,Cargas,1))),Coluna_fis,1,1))*(PI()*(fi_s/1000)^2/4)*(2*9.81*(O2434/100-cota_s-fi_s/2/1000))^0.5*1000)))</f>
        <v>14095.169429770205</v>
      </c>
      <c r="R2434" s="19">
        <f t="shared" ca="1" si="275"/>
        <v>14161.344291413097</v>
      </c>
      <c r="S2434" s="19">
        <f t="shared" ca="1" si="276"/>
        <v>15391.678621173867</v>
      </c>
    </row>
    <row r="2435" spans="13:19">
      <c r="M2435" s="81">
        <f t="shared" ca="1" si="273"/>
        <v>29569.793236246889</v>
      </c>
      <c r="N2435" s="19">
        <f t="shared" si="274"/>
        <v>461.96379305379708</v>
      </c>
      <c r="O2435" s="17">
        <f t="shared" si="272"/>
        <v>608.5</v>
      </c>
      <c r="P2435" s="19">
        <f ca="1">IF(ISERROR(IF(O2435&lt;fi_h/20,0,(OFFSET('Base de dados'!$A$5,IF(O2435&lt;20,1,IF(O2435&gt;1000,10,MATCH(O2435,Cargas,1))),Coluna_fih,1,1))*(1+0.13*0.25)*(PI()*(fi_h/1000)^2/4)*SQRT(2*9.81*(O2435/100-fi_h/2/1000))*1000)),"",IF(O2435&lt;fi_h/20,0,(OFFSET('Base de dados'!$A$5,IF(O2435&lt;20,1,IF(O2435&gt;1000,10,MATCH(O2435,Cargas,1))),Coluna_fih,1,1))*(PI()*(fi_h/1000)^2/4)*SQRT(2*9.81*(O2435/100-fi_h/2/1000))*1000))</f>
        <v>66.188586937798789</v>
      </c>
      <c r="Q2435" s="19">
        <f ca="1">IF(O2435="","",IF(Tipo_Vertedor="Retangular",IF(O2435&lt;=cota_s*100,0,IF(Tipo_Vertedor="Retangular",Cd_sr*Lef_sr*((O2435/100-cota_s)^(3/2))*1000)),IF(O2435&lt;=cota_s*100+fi_s/20,0,(OFFSET('Base de dados'!$A$4,IF(O2435&lt;20,1,IF(O2435&gt;1000,10,MATCH(O2435,Cargas,1))),Coluna_fis,1,1))*(PI()*(fi_s/1000)^2/4)*(2*9.81*(O2435/100-cota_s-fi_s/2/1000))^0.5*1000)))</f>
        <v>14104.811547515854</v>
      </c>
      <c r="R2435" s="19">
        <f t="shared" ca="1" si="275"/>
        <v>14171.000134453652</v>
      </c>
      <c r="S2435" s="19">
        <f t="shared" ca="1" si="276"/>
        <v>15398.793101793237</v>
      </c>
    </row>
    <row r="2436" spans="13:19">
      <c r="M2436" s="81">
        <f t="shared" ca="1" si="273"/>
        <v>29586.566118830156</v>
      </c>
      <c r="N2436" s="19">
        <f t="shared" si="274"/>
        <v>462.17723839643429</v>
      </c>
      <c r="O2436" s="17">
        <f t="shared" si="272"/>
        <v>608.75</v>
      </c>
      <c r="P2436" s="19">
        <f ca="1">IF(ISERROR(IF(O2436&lt;fi_h/20,0,(OFFSET('Base de dados'!$A$5,IF(O2436&lt;20,1,IF(O2436&gt;1000,10,MATCH(O2436,Cargas,1))),Coluna_fih,1,1))*(1+0.13*0.25)*(PI()*(fi_h/1000)^2/4)*SQRT(2*9.81*(O2436/100-fi_h/2/1000))*1000)),"",IF(O2436&lt;fi_h/20,0,(OFFSET('Base de dados'!$A$5,IF(O2436&lt;20,1,IF(O2436&gt;1000,10,MATCH(O2436,Cargas,1))),Coluna_fih,1,1))*(PI()*(fi_h/1000)^2/4)*SQRT(2*9.81*(O2436/100-fi_h/2/1000))*1000))</f>
        <v>66.202309387128722</v>
      </c>
      <c r="Q2436" s="19">
        <f ca="1">IF(O2436="","",IF(Tipo_Vertedor="Retangular",IF(O2436&lt;=cota_s*100,0,IF(Tipo_Vertedor="Retangular",Cd_sr*Lef_sr*((O2436/100-cota_s)^(3/2))*1000)),IF(O2436&lt;=cota_s*100+fi_s/20,0,(OFFSET('Base de dados'!$A$4,IF(O2436&lt;20,1,IF(O2436&gt;1000,10,MATCH(O2436,Cargas,1))),Coluna_fis,1,1))*(PI()*(fi_s/1000)^2/4)*(2*9.81*(O2436/100-cota_s-fi_s/2/1000))^0.5*1000)))</f>
        <v>14114.455862895218</v>
      </c>
      <c r="R2436" s="19">
        <f t="shared" ca="1" si="275"/>
        <v>14180.658172282347</v>
      </c>
      <c r="S2436" s="19">
        <f t="shared" ca="1" si="276"/>
        <v>15405.90794654781</v>
      </c>
    </row>
    <row r="2437" spans="13:19">
      <c r="M2437" s="81">
        <f t="shared" ca="1" si="273"/>
        <v>29603.341559706976</v>
      </c>
      <c r="N2437" s="19">
        <f t="shared" si="274"/>
        <v>462.39069465920016</v>
      </c>
      <c r="O2437" s="17">
        <f t="shared" si="272"/>
        <v>609</v>
      </c>
      <c r="P2437" s="19">
        <f ca="1">IF(ISERROR(IF(O2437&lt;fi_h/20,0,(OFFSET('Base de dados'!$A$5,IF(O2437&lt;20,1,IF(O2437&gt;1000,10,MATCH(O2437,Cargas,1))),Coluna_fih,1,1))*(1+0.13*0.25)*(PI()*(fi_h/1000)^2/4)*SQRT(2*9.81*(O2437/100-fi_h/2/1000))*1000)),"",IF(O2437&lt;fi_h/20,0,(OFFSET('Base de dados'!$A$5,IF(O2437&lt;20,1,IF(O2437&gt;1000,10,MATCH(O2437,Cargas,1))),Coluna_fih,1,1))*(PI()*(fi_h/1000)^2/4)*SQRT(2*9.81*(O2437/100-fi_h/2/1000))*1000))</f>
        <v>66.216028992651573</v>
      </c>
      <c r="Q2437" s="19">
        <f ca="1">IF(O2437="","",IF(Tipo_Vertedor="Retangular",IF(O2437&lt;=cota_s*100,0,IF(Tipo_Vertedor="Retangular",Cd_sr*Lef_sr*((O2437/100-cota_s)^(3/2))*1000)),IF(O2437&lt;=cota_s*100+fi_s/20,0,(OFFSET('Base de dados'!$A$4,IF(O2437&lt;20,1,IF(O2437&gt;1000,10,MATCH(O2437,Cargas,1))),Coluna_fis,1,1))*(PI()*(fi_s/1000)^2/4)*(2*9.81*(O2437/100-cota_s-fi_s/2/1000))^0.5*1000)))</f>
        <v>14124.10237540765</v>
      </c>
      <c r="R2437" s="19">
        <f t="shared" ca="1" si="275"/>
        <v>14190.318404400303</v>
      </c>
      <c r="S2437" s="19">
        <f t="shared" ca="1" si="276"/>
        <v>15413.023155306671</v>
      </c>
    </row>
    <row r="2438" spans="13:19">
      <c r="M2438" s="81">
        <f t="shared" ca="1" si="273"/>
        <v>29620.119558247985</v>
      </c>
      <c r="N2438" s="19">
        <f t="shared" si="274"/>
        <v>462.60416183817051</v>
      </c>
      <c r="O2438" s="17">
        <f t="shared" si="272"/>
        <v>609.25</v>
      </c>
      <c r="P2438" s="19">
        <f ca="1">IF(ISERROR(IF(O2438&lt;fi_h/20,0,(OFFSET('Base de dados'!$A$5,IF(O2438&lt;20,1,IF(O2438&gt;1000,10,MATCH(O2438,Cargas,1))),Coluna_fih,1,1))*(1+0.13*0.25)*(PI()*(fi_h/1000)^2/4)*SQRT(2*9.81*(O2438/100-fi_h/2/1000))*1000)),"",IF(O2438&lt;fi_h/20,0,(OFFSET('Base de dados'!$A$5,IF(O2438&lt;20,1,IF(O2438&gt;1000,10,MATCH(O2438,Cargas,1))),Coluna_fih,1,1))*(PI()*(fi_h/1000)^2/4)*SQRT(2*9.81*(O2438/100-fi_h/2/1000))*1000))</f>
        <v>66.229745756134648</v>
      </c>
      <c r="Q2438" s="19">
        <f ca="1">IF(O2438="","",IF(Tipo_Vertedor="Retangular",IF(O2438&lt;=cota_s*100,0,IF(Tipo_Vertedor="Retangular",Cd_sr*Lef_sr*((O2438/100-cota_s)^(3/2))*1000)),IF(O2438&lt;=cota_s*100+fi_s/20,0,(OFFSET('Base de dados'!$A$4,IF(O2438&lt;20,1,IF(O2438&gt;1000,10,MATCH(O2438,Cargas,1))),Coluna_fis,1,1))*(PI()*(fi_s/1000)^2/4)*(2*9.81*(O2438/100-cota_s-fi_s/2/1000))^0.5*1000)))</f>
        <v>14133.751084552834</v>
      </c>
      <c r="R2438" s="19">
        <f t="shared" ca="1" si="275"/>
        <v>14199.980830308969</v>
      </c>
      <c r="S2438" s="19">
        <f t="shared" ca="1" si="276"/>
        <v>15420.138727939016</v>
      </c>
    </row>
    <row r="2439" spans="13:19">
      <c r="M2439" s="81">
        <f t="shared" ca="1" si="273"/>
        <v>29636.900113824253</v>
      </c>
      <c r="N2439" s="19">
        <f t="shared" si="274"/>
        <v>462.81763992942376</v>
      </c>
      <c r="O2439" s="17">
        <f t="shared" si="272"/>
        <v>609.5</v>
      </c>
      <c r="P2439" s="19">
        <f ca="1">IF(ISERROR(IF(O2439&lt;fi_h/20,0,(OFFSET('Base de dados'!$A$5,IF(O2439&lt;20,1,IF(O2439&gt;1000,10,MATCH(O2439,Cargas,1))),Coluna_fih,1,1))*(1+0.13*0.25)*(PI()*(fi_h/1000)^2/4)*SQRT(2*9.81*(O2439/100-fi_h/2/1000))*1000)),"",IF(O2439&lt;fi_h/20,0,(OFFSET('Base de dados'!$A$5,IF(O2439&lt;20,1,IF(O2439&gt;1000,10,MATCH(O2439,Cargas,1))),Coluna_fih,1,1))*(PI()*(fi_h/1000)^2/4)*SQRT(2*9.81*(O2439/100-fi_h/2/1000))*1000))</f>
        <v>66.243459679343417</v>
      </c>
      <c r="Q2439" s="19">
        <f ca="1">IF(O2439="","",IF(Tipo_Vertedor="Retangular",IF(O2439&lt;=cota_s*100,0,IF(Tipo_Vertedor="Retangular",Cd_sr*Lef_sr*((O2439/100-cota_s)^(3/2))*1000)),IF(O2439&lt;=cota_s*100+fi_s/20,0,(OFFSET('Base de dados'!$A$4,IF(O2439&lt;20,1,IF(O2439&gt;1000,10,MATCH(O2439,Cargas,1))),Coluna_fis,1,1))*(PI()*(fi_s/1000)^2/4)*(2*9.81*(O2439/100-cota_s-fi_s/2/1000))^0.5*1000)))</f>
        <v>14143.401989830787</v>
      </c>
      <c r="R2439" s="19">
        <f t="shared" ca="1" si="275"/>
        <v>14209.64544951013</v>
      </c>
      <c r="S2439" s="19">
        <f t="shared" ca="1" si="276"/>
        <v>15427.254664314125</v>
      </c>
    </row>
    <row r="2440" spans="13:19">
      <c r="M2440" s="81">
        <f t="shared" ca="1" si="273"/>
        <v>29653.683225807319</v>
      </c>
      <c r="N2440" s="19">
        <f t="shared" si="274"/>
        <v>463.03112892904147</v>
      </c>
      <c r="O2440" s="17">
        <f t="shared" si="272"/>
        <v>609.75</v>
      </c>
      <c r="P2440" s="19">
        <f ca="1">IF(ISERROR(IF(O2440&lt;fi_h/20,0,(OFFSET('Base de dados'!$A$5,IF(O2440&lt;20,1,IF(O2440&gt;1000,10,MATCH(O2440,Cargas,1))),Coluna_fih,1,1))*(1+0.13*0.25)*(PI()*(fi_h/1000)^2/4)*SQRT(2*9.81*(O2440/100-fi_h/2/1000))*1000)),"",IF(O2440&lt;fi_h/20,0,(OFFSET('Base de dados'!$A$5,IF(O2440&lt;20,1,IF(O2440&gt;1000,10,MATCH(O2440,Cargas,1))),Coluna_fih,1,1))*(PI()*(fi_h/1000)^2/4)*SQRT(2*9.81*(O2440/100-fi_h/2/1000))*1000))</f>
        <v>66.257170764041533</v>
      </c>
      <c r="Q2440" s="19">
        <f ca="1">IF(O2440="","",IF(Tipo_Vertedor="Retangular",IF(O2440&lt;=cota_s*100,0,IF(Tipo_Vertedor="Retangular",Cd_sr*Lef_sr*((O2440/100-cota_s)^(3/2))*1000)),IF(O2440&lt;=cota_s*100+fi_s/20,0,(OFFSET('Base de dados'!$A$4,IF(O2440&lt;20,1,IF(O2440&gt;1000,10,MATCH(O2440,Cargas,1))),Coluna_fis,1,1))*(PI()*(fi_s/1000)^2/4)*(2*9.81*(O2440/100-cota_s-fi_s/2/1000))^0.5*1000)))</f>
        <v>14153.055090741893</v>
      </c>
      <c r="R2440" s="19">
        <f t="shared" ca="1" si="275"/>
        <v>14219.312261505935</v>
      </c>
      <c r="S2440" s="19">
        <f t="shared" ca="1" si="276"/>
        <v>15434.370964301383</v>
      </c>
    </row>
    <row r="2441" spans="13:19">
      <c r="M2441" s="81">
        <f t="shared" ca="1" si="273"/>
        <v>29670.468893569105</v>
      </c>
      <c r="N2441" s="19">
        <f t="shared" si="274"/>
        <v>463.24462883310798</v>
      </c>
      <c r="O2441" s="17">
        <f t="shared" si="272"/>
        <v>610</v>
      </c>
      <c r="P2441" s="19">
        <f ca="1">IF(ISERROR(IF(O2441&lt;fi_h/20,0,(OFFSET('Base de dados'!$A$5,IF(O2441&lt;20,1,IF(O2441&gt;1000,10,MATCH(O2441,Cargas,1))),Coluna_fih,1,1))*(1+0.13*0.25)*(PI()*(fi_h/1000)^2/4)*SQRT(2*9.81*(O2441/100-fi_h/2/1000))*1000)),"",IF(O2441&lt;fi_h/20,0,(OFFSET('Base de dados'!$A$5,IF(O2441&lt;20,1,IF(O2441&gt;1000,10,MATCH(O2441,Cargas,1))),Coluna_fih,1,1))*(PI()*(fi_h/1000)^2/4)*SQRT(2*9.81*(O2441/100-fi_h/2/1000))*1000))</f>
        <v>66.270879011990786</v>
      </c>
      <c r="Q2441" s="19">
        <f ca="1">IF(O2441="","",IF(Tipo_Vertedor="Retangular",IF(O2441&lt;=cota_s*100,0,IF(Tipo_Vertedor="Retangular",Cd_sr*Lef_sr*((O2441/100-cota_s)^(3/2))*1000)),IF(O2441&lt;=cota_s*100+fi_s/20,0,(OFFSET('Base de dados'!$A$4,IF(O2441&lt;20,1,IF(O2441&gt;1000,10,MATCH(O2441,Cargas,1))),Coluna_fis,1,1))*(PI()*(fi_s/1000)^2/4)*(2*9.81*(O2441/100-cota_s-fi_s/2/1000))^0.5*1000)))</f>
        <v>14162.710386786848</v>
      </c>
      <c r="R2441" s="19">
        <f t="shared" ca="1" si="275"/>
        <v>14228.981265798839</v>
      </c>
      <c r="S2441" s="19">
        <f t="shared" ca="1" si="276"/>
        <v>15441.487627770266</v>
      </c>
    </row>
    <row r="2442" spans="13:19">
      <c r="M2442" s="81">
        <f t="shared" ca="1" si="273"/>
        <v>29687.257116482033</v>
      </c>
      <c r="N2442" s="19">
        <f t="shared" si="274"/>
        <v>463.45813963771133</v>
      </c>
      <c r="O2442" s="17">
        <f t="shared" si="272"/>
        <v>610.25</v>
      </c>
      <c r="P2442" s="19">
        <f ca="1">IF(ISERROR(IF(O2442&lt;fi_h/20,0,(OFFSET('Base de dados'!$A$5,IF(O2442&lt;20,1,IF(O2442&gt;1000,10,MATCH(O2442,Cargas,1))),Coluna_fih,1,1))*(1+0.13*0.25)*(PI()*(fi_h/1000)^2/4)*SQRT(2*9.81*(O2442/100-fi_h/2/1000))*1000)),"",IF(O2442&lt;fi_h/20,0,(OFFSET('Base de dados'!$A$5,IF(O2442&lt;20,1,IF(O2442&gt;1000,10,MATCH(O2442,Cargas,1))),Coluna_fih,1,1))*(PI()*(fi_h/1000)^2/4)*SQRT(2*9.81*(O2442/100-fi_h/2/1000))*1000))</f>
        <v>66.284584424951206</v>
      </c>
      <c r="Q2442" s="19">
        <f ca="1">IF(O2442="","",IF(Tipo_Vertedor="Retangular",IF(O2442&lt;=cota_s*100,0,IF(Tipo_Vertedor="Retangular",Cd_sr*Lef_sr*((O2442/100-cota_s)^(3/2))*1000)),IF(O2442&lt;=cota_s*100+fi_s/20,0,(OFFSET('Base de dados'!$A$4,IF(O2442&lt;20,1,IF(O2442&gt;1000,10,MATCH(O2442,Cargas,1))),Coluna_fis,1,1))*(PI()*(fi_s/1000)^2/4)*(2*9.81*(O2442/100-cota_s-fi_s/2/1000))^0.5*1000)))</f>
        <v>14172.367877466704</v>
      </c>
      <c r="R2442" s="19">
        <f t="shared" ca="1" si="275"/>
        <v>14238.652461891656</v>
      </c>
      <c r="S2442" s="19">
        <f t="shared" ca="1" si="276"/>
        <v>15448.604654590377</v>
      </c>
    </row>
    <row r="2443" spans="13:19">
      <c r="M2443" s="81">
        <f t="shared" ca="1" si="273"/>
        <v>29704.047893918934</v>
      </c>
      <c r="N2443" s="19">
        <f t="shared" si="274"/>
        <v>463.67166133894182</v>
      </c>
      <c r="O2443" s="17">
        <f t="shared" si="272"/>
        <v>610.5</v>
      </c>
      <c r="P2443" s="19">
        <f ca="1">IF(ISERROR(IF(O2443&lt;fi_h/20,0,(OFFSET('Base de dados'!$A$5,IF(O2443&lt;20,1,IF(O2443&gt;1000,10,MATCH(O2443,Cargas,1))),Coluna_fih,1,1))*(1+0.13*0.25)*(PI()*(fi_h/1000)^2/4)*SQRT(2*9.81*(O2443/100-fi_h/2/1000))*1000)),"",IF(O2443&lt;fi_h/20,0,(OFFSET('Base de dados'!$A$5,IF(O2443&lt;20,1,IF(O2443&gt;1000,10,MATCH(O2443,Cargas,1))),Coluna_fih,1,1))*(PI()*(fi_h/1000)^2/4)*SQRT(2*9.81*(O2443/100-fi_h/2/1000))*1000))</f>
        <v>66.298287004680944</v>
      </c>
      <c r="Q2443" s="19">
        <f ca="1">IF(O2443="","",IF(Tipo_Vertedor="Retangular",IF(O2443&lt;=cota_s*100,0,IF(Tipo_Vertedor="Retangular",Cd_sr*Lef_sr*((O2443/100-cota_s)^(3/2))*1000)),IF(O2443&lt;=cota_s*100+fi_s/20,0,(OFFSET('Base de dados'!$A$4,IF(O2443&lt;20,1,IF(O2443&gt;1000,10,MATCH(O2443,Cargas,1))),Coluna_fis,1,1))*(PI()*(fi_s/1000)^2/4)*(2*9.81*(O2443/100-cota_s-fi_s/2/1000))^0.5*1000)))</f>
        <v>14182.027562282858</v>
      </c>
      <c r="R2443" s="19">
        <f t="shared" ca="1" si="275"/>
        <v>14248.325849287539</v>
      </c>
      <c r="S2443" s="19">
        <f t="shared" ca="1" si="276"/>
        <v>15455.722044631395</v>
      </c>
    </row>
    <row r="2444" spans="13:19">
      <c r="M2444" s="81">
        <f t="shared" ca="1" si="273"/>
        <v>29720.841225253054</v>
      </c>
      <c r="N2444" s="19">
        <f t="shared" si="274"/>
        <v>463.88519393289289</v>
      </c>
      <c r="O2444" s="17">
        <f t="shared" si="272"/>
        <v>610.75</v>
      </c>
      <c r="P2444" s="19">
        <f ca="1">IF(ISERROR(IF(O2444&lt;fi_h/20,0,(OFFSET('Base de dados'!$A$5,IF(O2444&lt;20,1,IF(O2444&gt;1000,10,MATCH(O2444,Cargas,1))),Coluna_fih,1,1))*(1+0.13*0.25)*(PI()*(fi_h/1000)^2/4)*SQRT(2*9.81*(O2444/100-fi_h/2/1000))*1000)),"",IF(O2444&lt;fi_h/20,0,(OFFSET('Base de dados'!$A$5,IF(O2444&lt;20,1,IF(O2444&gt;1000,10,MATCH(O2444,Cargas,1))),Coluna_fih,1,1))*(PI()*(fi_h/1000)^2/4)*SQRT(2*9.81*(O2444/100-fi_h/2/1000))*1000))</f>
        <v>66.311986752936363</v>
      </c>
      <c r="Q2444" s="19">
        <f ca="1">IF(O2444="","",IF(Tipo_Vertedor="Retangular",IF(O2444&lt;=cota_s*100,0,IF(Tipo_Vertedor="Retangular",Cd_sr*Lef_sr*((O2444/100-cota_s)^(3/2))*1000)),IF(O2444&lt;=cota_s*100+fi_s/20,0,(OFFSET('Base de dados'!$A$4,IF(O2444&lt;20,1,IF(O2444&gt;1000,10,MATCH(O2444,Cargas,1))),Coluna_fis,1,1))*(PI()*(fi_s/1000)^2/4)*(2*9.81*(O2444/100-cota_s-fi_s/2/1000))^0.5*1000)))</f>
        <v>14191.689440737024</v>
      </c>
      <c r="R2444" s="19">
        <f t="shared" ca="1" si="275"/>
        <v>14258.00142748996</v>
      </c>
      <c r="S2444" s="19">
        <f t="shared" ca="1" si="276"/>
        <v>15462.839797763096</v>
      </c>
    </row>
    <row r="2445" spans="13:19">
      <c r="M2445" s="81">
        <f t="shared" ca="1" si="273"/>
        <v>29737.637109858144</v>
      </c>
      <c r="N2445" s="19">
        <f t="shared" si="274"/>
        <v>464.09873741566162</v>
      </c>
      <c r="O2445" s="17">
        <f t="shared" si="272"/>
        <v>611</v>
      </c>
      <c r="P2445" s="19">
        <f ca="1">IF(ISERROR(IF(O2445&lt;fi_h/20,0,(OFFSET('Base de dados'!$A$5,IF(O2445&lt;20,1,IF(O2445&gt;1000,10,MATCH(O2445,Cargas,1))),Coluna_fih,1,1))*(1+0.13*0.25)*(PI()*(fi_h/1000)^2/4)*SQRT(2*9.81*(O2445/100-fi_h/2/1000))*1000)),"",IF(O2445&lt;fi_h/20,0,(OFFSET('Base de dados'!$A$5,IF(O2445&lt;20,1,IF(O2445&gt;1000,10,MATCH(O2445,Cargas,1))),Coluna_fih,1,1))*(PI()*(fi_h/1000)^2/4)*SQRT(2*9.81*(O2445/100-fi_h/2/1000))*1000))</f>
        <v>66.325683671472021</v>
      </c>
      <c r="Q2445" s="19">
        <f ca="1">IF(O2445="","",IF(Tipo_Vertedor="Retangular",IF(O2445&lt;=cota_s*100,0,IF(Tipo_Vertedor="Retangular",Cd_sr*Lef_sr*((O2445/100-cota_s)^(3/2))*1000)),IF(O2445&lt;=cota_s*100+fi_s/20,0,(OFFSET('Base de dados'!$A$4,IF(O2445&lt;20,1,IF(O2445&gt;1000,10,MATCH(O2445,Cargas,1))),Coluna_fis,1,1))*(PI()*(fi_s/1000)^2/4)*(2*9.81*(O2445/100-cota_s-fi_s/2/1000))^0.5*1000)))</f>
        <v>14201.353512331287</v>
      </c>
      <c r="R2445" s="19">
        <f t="shared" ca="1" si="275"/>
        <v>14267.679196002759</v>
      </c>
      <c r="S2445" s="19">
        <f t="shared" ca="1" si="276"/>
        <v>15469.957913855387</v>
      </c>
    </row>
    <row r="2446" spans="13:19">
      <c r="M2446" s="81">
        <f t="shared" ca="1" si="273"/>
        <v>29754.435547108318</v>
      </c>
      <c r="N2446" s="19">
        <f t="shared" si="274"/>
        <v>464.31229178334718</v>
      </c>
      <c r="O2446" s="17">
        <f t="shared" si="272"/>
        <v>611.25</v>
      </c>
      <c r="P2446" s="19">
        <f ca="1">IF(ISERROR(IF(O2446&lt;fi_h/20,0,(OFFSET('Base de dados'!$A$5,IF(O2446&lt;20,1,IF(O2446&gt;1000,10,MATCH(O2446,Cargas,1))),Coluna_fih,1,1))*(1+0.13*0.25)*(PI()*(fi_h/1000)^2/4)*SQRT(2*9.81*(O2446/100-fi_h/2/1000))*1000)),"",IF(O2446&lt;fi_h/20,0,(OFFSET('Base de dados'!$A$5,IF(O2446&lt;20,1,IF(O2446&gt;1000,10,MATCH(O2446,Cargas,1))),Coluna_fih,1,1))*(PI()*(fi_h/1000)^2/4)*SQRT(2*9.81*(O2446/100-fi_h/2/1000))*1000))</f>
        <v>66.339377762040641</v>
      </c>
      <c r="Q2446" s="19">
        <f ca="1">IF(O2446="","",IF(Tipo_Vertedor="Retangular",IF(O2446&lt;=cota_s*100,0,IF(Tipo_Vertedor="Retangular",Cd_sr*Lef_sr*((O2446/100-cota_s)^(3/2))*1000)),IF(O2446&lt;=cota_s*100+fi_s/20,0,(OFFSET('Base de dados'!$A$4,IF(O2446&lt;20,1,IF(O2446&gt;1000,10,MATCH(O2446,Cargas,1))),Coluna_fis,1,1))*(PI()*(fi_s/1000)^2/4)*(2*9.81*(O2446/100-cota_s-fi_s/2/1000))^0.5*1000)))</f>
        <v>14211.019776568039</v>
      </c>
      <c r="R2446" s="19">
        <f t="shared" ca="1" si="275"/>
        <v>14277.359154330079</v>
      </c>
      <c r="S2446" s="19">
        <f t="shared" ca="1" si="276"/>
        <v>15477.076392778241</v>
      </c>
    </row>
    <row r="2447" spans="13:19">
      <c r="M2447" s="81">
        <f t="shared" ca="1" si="273"/>
        <v>29771.236536378179</v>
      </c>
      <c r="N2447" s="19">
        <f t="shared" si="274"/>
        <v>464.5258570320525</v>
      </c>
      <c r="O2447" s="17">
        <f t="shared" si="272"/>
        <v>611.5</v>
      </c>
      <c r="P2447" s="19">
        <f ca="1">IF(ISERROR(IF(O2447&lt;fi_h/20,0,(OFFSET('Base de dados'!$A$5,IF(O2447&lt;20,1,IF(O2447&gt;1000,10,MATCH(O2447,Cargas,1))),Coluna_fih,1,1))*(1+0.13*0.25)*(PI()*(fi_h/1000)^2/4)*SQRT(2*9.81*(O2447/100-fi_h/2/1000))*1000)),"",IF(O2447&lt;fi_h/20,0,(OFFSET('Base de dados'!$A$5,IF(O2447&lt;20,1,IF(O2447&gt;1000,10,MATCH(O2447,Cargas,1))),Coluna_fih,1,1))*(PI()*(fi_h/1000)^2/4)*SQRT(2*9.81*(O2447/100-fi_h/2/1000))*1000))</f>
        <v>66.353069026393158</v>
      </c>
      <c r="Q2447" s="19">
        <f ca="1">IF(O2447="","",IF(Tipo_Vertedor="Retangular",IF(O2447&lt;=cota_s*100,0,IF(Tipo_Vertedor="Retangular",Cd_sr*Lef_sr*((O2447/100-cota_s)^(3/2))*1000)),IF(O2447&lt;=cota_s*100+fi_s/20,0,(OFFSET('Base de dados'!$A$4,IF(O2447&lt;20,1,IF(O2447&gt;1000,10,MATCH(O2447,Cargas,1))),Coluna_fis,1,1))*(PI()*(fi_s/1000)^2/4)*(2*9.81*(O2447/100-cota_s-fi_s/2/1000))^0.5*1000)))</f>
        <v>14220.688232950035</v>
      </c>
      <c r="R2447" s="19">
        <f t="shared" ca="1" si="275"/>
        <v>14287.041301976427</v>
      </c>
      <c r="S2447" s="19">
        <f t="shared" ca="1" si="276"/>
        <v>15484.19523440175</v>
      </c>
    </row>
    <row r="2448" spans="13:19">
      <c r="M2448" s="81">
        <f t="shared" ca="1" si="273"/>
        <v>29788.040077042733</v>
      </c>
      <c r="N2448" s="19">
        <f t="shared" si="274"/>
        <v>464.7394331578829</v>
      </c>
      <c r="O2448" s="17">
        <f t="shared" si="272"/>
        <v>611.75</v>
      </c>
      <c r="P2448" s="19">
        <f ca="1">IF(ISERROR(IF(O2448&lt;fi_h/20,0,(OFFSET('Base de dados'!$A$5,IF(O2448&lt;20,1,IF(O2448&gt;1000,10,MATCH(O2448,Cargas,1))),Coluna_fih,1,1))*(1+0.13*0.25)*(PI()*(fi_h/1000)^2/4)*SQRT(2*9.81*(O2448/100-fi_h/2/1000))*1000)),"",IF(O2448&lt;fi_h/20,0,(OFFSET('Base de dados'!$A$5,IF(O2448&lt;20,1,IF(O2448&gt;1000,10,MATCH(O2448,Cargas,1))),Coluna_fih,1,1))*(PI()*(fi_h/1000)^2/4)*SQRT(2*9.81*(O2448/100-fi_h/2/1000))*1000))</f>
        <v>66.366757466278671</v>
      </c>
      <c r="Q2448" s="19">
        <f ca="1">IF(O2448="","",IF(Tipo_Vertedor="Retangular",IF(O2448&lt;=cota_s*100,0,IF(Tipo_Vertedor="Retangular",Cd_sr*Lef_sr*((O2448/100-cota_s)^(3/2))*1000)),IF(O2448&lt;=cota_s*100+fi_s/20,0,(OFFSET('Base de dados'!$A$4,IF(O2448&lt;20,1,IF(O2448&gt;1000,10,MATCH(O2448,Cargas,1))),Coluna_fis,1,1))*(PI()*(fi_s/1000)^2/4)*(2*9.81*(O2448/100-cota_s-fi_s/2/1000))^0.5*1000)))</f>
        <v>14230.358880980357</v>
      </c>
      <c r="R2448" s="19">
        <f t="shared" ca="1" si="275"/>
        <v>14296.725638446636</v>
      </c>
      <c r="S2448" s="19">
        <f t="shared" ca="1" si="276"/>
        <v>15491.314438596097</v>
      </c>
    </row>
    <row r="2449" spans="13:19">
      <c r="M2449" s="81">
        <f t="shared" ca="1" si="273"/>
        <v>29804.846168477437</v>
      </c>
      <c r="N2449" s="19">
        <f t="shared" si="274"/>
        <v>464.95302015694693</v>
      </c>
      <c r="O2449" s="17">
        <f t="shared" si="272"/>
        <v>612</v>
      </c>
      <c r="P2449" s="19">
        <f ca="1">IF(ISERROR(IF(O2449&lt;fi_h/20,0,(OFFSET('Base de dados'!$A$5,IF(O2449&lt;20,1,IF(O2449&gt;1000,10,MATCH(O2449,Cargas,1))),Coluna_fih,1,1))*(1+0.13*0.25)*(PI()*(fi_h/1000)^2/4)*SQRT(2*9.81*(O2449/100-fi_h/2/1000))*1000)),"",IF(O2449&lt;fi_h/20,0,(OFFSET('Base de dados'!$A$5,IF(O2449&lt;20,1,IF(O2449&gt;1000,10,MATCH(O2449,Cargas,1))),Coluna_fih,1,1))*(PI()*(fi_h/1000)^2/4)*SQRT(2*9.81*(O2449/100-fi_h/2/1000))*1000))</f>
        <v>66.380443083444533</v>
      </c>
      <c r="Q2449" s="19">
        <f ca="1">IF(O2449="","",IF(Tipo_Vertedor="Retangular",IF(O2449&lt;=cota_s*100,0,IF(Tipo_Vertedor="Retangular",Cd_sr*Lef_sr*((O2449/100-cota_s)^(3/2))*1000)),IF(O2449&lt;=cota_s*100+fi_s/20,0,(OFFSET('Base de dados'!$A$4,IF(O2449&lt;20,1,IF(O2449&gt;1000,10,MATCH(O2449,Cargas,1))),Coluna_fis,1,1))*(PI()*(fi_s/1000)^2/4)*(2*9.81*(O2449/100-cota_s-fi_s/2/1000))^0.5*1000)))</f>
        <v>14240.031720162428</v>
      </c>
      <c r="R2449" s="19">
        <f t="shared" ca="1" si="275"/>
        <v>14306.412163245872</v>
      </c>
      <c r="S2449" s="19">
        <f t="shared" ca="1" si="276"/>
        <v>15498.434005231564</v>
      </c>
    </row>
    <row r="2450" spans="13:19">
      <c r="M2450" s="81">
        <f t="shared" ca="1" si="273"/>
        <v>29821.654810058175</v>
      </c>
      <c r="N2450" s="19">
        <f t="shared" si="274"/>
        <v>465.16661802535617</v>
      </c>
      <c r="O2450" s="17">
        <f t="shared" si="272"/>
        <v>612.25</v>
      </c>
      <c r="P2450" s="19">
        <f ca="1">IF(ISERROR(IF(O2450&lt;fi_h/20,0,(OFFSET('Base de dados'!$A$5,IF(O2450&lt;20,1,IF(O2450&gt;1000,10,MATCH(O2450,Cargas,1))),Coluna_fih,1,1))*(1+0.13*0.25)*(PI()*(fi_h/1000)^2/4)*SQRT(2*9.81*(O2450/100-fi_h/2/1000))*1000)),"",IF(O2450&lt;fi_h/20,0,(OFFSET('Base de dados'!$A$5,IF(O2450&lt;20,1,IF(O2450&gt;1000,10,MATCH(O2450,Cargas,1))),Coluna_fih,1,1))*(PI()*(fi_h/1000)^2/4)*SQRT(2*9.81*(O2450/100-fi_h/2/1000))*1000))</f>
        <v>66.394125879636221</v>
      </c>
      <c r="Q2450" s="19">
        <f ca="1">IF(O2450="","",IF(Tipo_Vertedor="Retangular",IF(O2450&lt;=cota_s*100,0,IF(Tipo_Vertedor="Retangular",Cd_sr*Lef_sr*((O2450/100-cota_s)^(3/2))*1000)),IF(O2450&lt;=cota_s*100+fi_s/20,0,(OFFSET('Base de dados'!$A$4,IF(O2450&lt;20,1,IF(O2450&gt;1000,10,MATCH(O2450,Cargas,1))),Coluna_fis,1,1))*(PI()*(fi_s/1000)^2/4)*(2*9.81*(O2450/100-cota_s-fi_s/2/1000))^0.5*1000)))</f>
        <v>14249.706749999999</v>
      </c>
      <c r="R2450" s="19">
        <f t="shared" ca="1" si="275"/>
        <v>14316.100875879636</v>
      </c>
      <c r="S2450" s="19">
        <f t="shared" ca="1" si="276"/>
        <v>15505.553934178539</v>
      </c>
    </row>
    <row r="2451" spans="13:19">
      <c r="M2451" s="81">
        <f t="shared" ca="1" si="273"/>
        <v>29838.46600116129</v>
      </c>
      <c r="N2451" s="19">
        <f t="shared" si="274"/>
        <v>465.38022675922531</v>
      </c>
      <c r="O2451" s="17">
        <f t="shared" ref="O2451:O2514" si="277">IF(ISERROR(IF(O2450+passo_altura&gt;h_max_puls*100,"",O2450+passo_altura)),"",IF(O2450+passo_altura&gt;h_max_puls*100,"",O2450+passo_altura))</f>
        <v>612.5</v>
      </c>
      <c r="P2451" s="19">
        <f ca="1">IF(ISERROR(IF(O2451&lt;fi_h/20,0,(OFFSET('Base de dados'!$A$5,IF(O2451&lt;20,1,IF(O2451&gt;1000,10,MATCH(O2451,Cargas,1))),Coluna_fih,1,1))*(1+0.13*0.25)*(PI()*(fi_h/1000)^2/4)*SQRT(2*9.81*(O2451/100-fi_h/2/1000))*1000)),"",IF(O2451&lt;fi_h/20,0,(OFFSET('Base de dados'!$A$5,IF(O2451&lt;20,1,IF(O2451&gt;1000,10,MATCH(O2451,Cargas,1))),Coluna_fih,1,1))*(PI()*(fi_h/1000)^2/4)*SQRT(2*9.81*(O2451/100-fi_h/2/1000))*1000))</f>
        <v>66.407805856597477</v>
      </c>
      <c r="Q2451" s="19">
        <f ca="1">IF(O2451="","",IF(Tipo_Vertedor="Retangular",IF(O2451&lt;=cota_s*100,0,IF(Tipo_Vertedor="Retangular",Cd_sr*Lef_sr*((O2451/100-cota_s)^(3/2))*1000)),IF(O2451&lt;=cota_s*100+fi_s/20,0,(OFFSET('Base de dados'!$A$4,IF(O2451&lt;20,1,IF(O2451&gt;1000,10,MATCH(O2451,Cargas,1))),Coluna_fis,1,1))*(PI()*(fi_s/1000)^2/4)*(2*9.81*(O2451/100-cota_s-fi_s/2/1000))^0.5*1000)))</f>
        <v>14259.383969997183</v>
      </c>
      <c r="R2451" s="19">
        <f t="shared" ca="1" si="275"/>
        <v>14325.791775853781</v>
      </c>
      <c r="S2451" s="19">
        <f t="shared" ca="1" si="276"/>
        <v>15512.67422530751</v>
      </c>
    </row>
    <row r="2452" spans="13:19">
      <c r="M2452" s="81">
        <f t="shared" ca="1" si="273"/>
        <v>29855.279741163526</v>
      </c>
      <c r="N2452" s="19">
        <f t="shared" si="274"/>
        <v>465.59384635467177</v>
      </c>
      <c r="O2452" s="17">
        <f t="shared" si="277"/>
        <v>612.75</v>
      </c>
      <c r="P2452" s="19">
        <f ca="1">IF(ISERROR(IF(O2452&lt;fi_h/20,0,(OFFSET('Base de dados'!$A$5,IF(O2452&lt;20,1,IF(O2452&gt;1000,10,MATCH(O2452,Cargas,1))),Coluna_fih,1,1))*(1+0.13*0.25)*(PI()*(fi_h/1000)^2/4)*SQRT(2*9.81*(O2452/100-fi_h/2/1000))*1000)),"",IF(O2452&lt;fi_h/20,0,(OFFSET('Base de dados'!$A$5,IF(O2452&lt;20,1,IF(O2452&gt;1000,10,MATCH(O2452,Cargas,1))),Coluna_fih,1,1))*(PI()*(fi_h/1000)^2/4)*SQRT(2*9.81*(O2452/100-fi_h/2/1000))*1000))</f>
        <v>66.421483016070226</v>
      </c>
      <c r="Q2452" s="19">
        <f ca="1">IF(O2452="","",IF(Tipo_Vertedor="Retangular",IF(O2452&lt;=cota_s*100,0,IF(Tipo_Vertedor="Retangular",Cd_sr*Lef_sr*((O2452/100-cota_s)^(3/2))*1000)),IF(O2452&lt;=cota_s*100+fi_s/20,0,(OFFSET('Base de dados'!$A$4,IF(O2452&lt;20,1,IF(O2452&gt;1000,10,MATCH(O2452,Cargas,1))),Coluna_fis,1,1))*(PI()*(fi_s/1000)^2/4)*(2*9.81*(O2452/100-cota_s-fi_s/2/1000))^0.5*1000)))</f>
        <v>14269.063379658395</v>
      </c>
      <c r="R2452" s="19">
        <f t="shared" ca="1" si="275"/>
        <v>14335.484862674466</v>
      </c>
      <c r="S2452" s="19">
        <f t="shared" ca="1" si="276"/>
        <v>15519.794878489058</v>
      </c>
    </row>
    <row r="2453" spans="13:19">
      <c r="M2453" s="81">
        <f t="shared" ca="1" si="273"/>
        <v>29872.096029442069</v>
      </c>
      <c r="N2453" s="19">
        <f t="shared" si="274"/>
        <v>465.80747680781587</v>
      </c>
      <c r="O2453" s="17">
        <f t="shared" si="277"/>
        <v>613</v>
      </c>
      <c r="P2453" s="19">
        <f ca="1">IF(ISERROR(IF(O2453&lt;fi_h/20,0,(OFFSET('Base de dados'!$A$5,IF(O2453&lt;20,1,IF(O2453&gt;1000,10,MATCH(O2453,Cargas,1))),Coluna_fih,1,1))*(1+0.13*0.25)*(PI()*(fi_h/1000)^2/4)*SQRT(2*9.81*(O2453/100-fi_h/2/1000))*1000)),"",IF(O2453&lt;fi_h/20,0,(OFFSET('Base de dados'!$A$5,IF(O2453&lt;20,1,IF(O2453&gt;1000,10,MATCH(O2453,Cargas,1))),Coluna_fih,1,1))*(PI()*(fi_h/1000)^2/4)*SQRT(2*9.81*(O2453/100-fi_h/2/1000))*1000))</f>
        <v>66.435157359794559</v>
      </c>
      <c r="Q2453" s="19">
        <f ca="1">IF(O2453="","",IF(Tipo_Vertedor="Retangular",IF(O2453&lt;=cota_s*100,0,IF(Tipo_Vertedor="Retangular",Cd_sr*Lef_sr*((O2453/100-cota_s)^(3/2))*1000)),IF(O2453&lt;=cota_s*100+fi_s/20,0,(OFFSET('Base de dados'!$A$4,IF(O2453&lt;20,1,IF(O2453&gt;1000,10,MATCH(O2453,Cargas,1))),Coluna_fis,1,1))*(PI()*(fi_s/1000)^2/4)*(2*9.81*(O2453/100-cota_s-fi_s/2/1000))^0.5*1000)))</f>
        <v>14278.744978488412</v>
      </c>
      <c r="R2453" s="19">
        <f t="shared" ca="1" si="275"/>
        <v>14345.180135848206</v>
      </c>
      <c r="S2453" s="19">
        <f t="shared" ca="1" si="276"/>
        <v>15526.915893593863</v>
      </c>
    </row>
    <row r="2454" spans="13:19">
      <c r="M2454" s="81">
        <f t="shared" ca="1" si="273"/>
        <v>29888.914865374551</v>
      </c>
      <c r="N2454" s="19">
        <f t="shared" si="274"/>
        <v>466.02111811478107</v>
      </c>
      <c r="O2454" s="17">
        <f t="shared" si="277"/>
        <v>613.25</v>
      </c>
      <c r="P2454" s="19">
        <f ca="1">IF(ISERROR(IF(O2454&lt;fi_h/20,0,(OFFSET('Base de dados'!$A$5,IF(O2454&lt;20,1,IF(O2454&gt;1000,10,MATCH(O2454,Cargas,1))),Coluna_fih,1,1))*(1+0.13*0.25)*(PI()*(fi_h/1000)^2/4)*SQRT(2*9.81*(O2454/100-fi_h/2/1000))*1000)),"",IF(O2454&lt;fi_h/20,0,(OFFSET('Base de dados'!$A$5,IF(O2454&lt;20,1,IF(O2454&gt;1000,10,MATCH(O2454,Cargas,1))),Coluna_fih,1,1))*(PI()*(fi_h/1000)^2/4)*SQRT(2*9.81*(O2454/100-fi_h/2/1000))*1000))</f>
        <v>66.448828889508889</v>
      </c>
      <c r="Q2454" s="19">
        <f ca="1">IF(O2454="","",IF(Tipo_Vertedor="Retangular",IF(O2454&lt;=cota_s*100,0,IF(Tipo_Vertedor="Retangular",Cd_sr*Lef_sr*((O2454/100-cota_s)^(3/2))*1000)),IF(O2454&lt;=cota_s*100+fi_s/20,0,(OFFSET('Base de dados'!$A$4,IF(O2454&lt;20,1,IF(O2454&gt;1000,10,MATCH(O2454,Cargas,1))),Coluna_fis,1,1))*(PI()*(fi_s/1000)^2/4)*(2*9.81*(O2454/100-cota_s-fi_s/2/1000))^0.5*1000)))</f>
        <v>14288.428765992341</v>
      </c>
      <c r="R2454" s="19">
        <f t="shared" ca="1" si="275"/>
        <v>14354.877594881849</v>
      </c>
      <c r="S2454" s="19">
        <f t="shared" ca="1" si="276"/>
        <v>15534.037270492703</v>
      </c>
    </row>
    <row r="2455" spans="13:19">
      <c r="M2455" s="81">
        <f t="shared" ref="M2455:M2518" ca="1" si="278">IF(O2455="","",2*N2455*1000/(Passo*60)+R2455)</f>
        <v>29905.736248339024</v>
      </c>
      <c r="N2455" s="19">
        <f t="shared" ref="N2455:N2518" si="279">IF(O2455="","",b_0*(O2455/100)^c_0)</f>
        <v>466.23477027169389</v>
      </c>
      <c r="O2455" s="17">
        <f t="shared" si="277"/>
        <v>613.5</v>
      </c>
      <c r="P2455" s="19">
        <f ca="1">IF(ISERROR(IF(O2455&lt;fi_h/20,0,(OFFSET('Base de dados'!$A$5,IF(O2455&lt;20,1,IF(O2455&gt;1000,10,MATCH(O2455,Cargas,1))),Coluna_fih,1,1))*(1+0.13*0.25)*(PI()*(fi_h/1000)^2/4)*SQRT(2*9.81*(O2455/100-fi_h/2/1000))*1000)),"",IF(O2455&lt;fi_h/20,0,(OFFSET('Base de dados'!$A$5,IF(O2455&lt;20,1,IF(O2455&gt;1000,10,MATCH(O2455,Cargas,1))),Coluna_fih,1,1))*(PI()*(fi_h/1000)^2/4)*SQRT(2*9.81*(O2455/100-fi_h/2/1000))*1000))</f>
        <v>66.462497606949682</v>
      </c>
      <c r="Q2455" s="19">
        <f ca="1">IF(O2455="","",IF(Tipo_Vertedor="Retangular",IF(O2455&lt;=cota_s*100,0,IF(Tipo_Vertedor="Retangular",Cd_sr*Lef_sr*((O2455/100-cota_s)^(3/2))*1000)),IF(O2455&lt;=cota_s*100+fi_s/20,0,(OFFSET('Base de dados'!$A$4,IF(O2455&lt;20,1,IF(O2455&gt;1000,10,MATCH(O2455,Cargas,1))),Coluna_fis,1,1))*(PI()*(fi_s/1000)^2/4)*(2*9.81*(O2455/100-cota_s-fi_s/2/1000))^0.5*1000)))</f>
        <v>14298.114741675614</v>
      </c>
      <c r="R2455" s="19">
        <f t="shared" ref="R2455:R2518" ca="1" si="280">IF(O2455="","",Q2455+P2455)</f>
        <v>14364.577239282564</v>
      </c>
      <c r="S2455" s="19">
        <f t="shared" ref="S2455:S2518" ca="1" si="281">IF(M2455="","",2*N2455*1000/(Passo*60))</f>
        <v>15541.159009056462</v>
      </c>
    </row>
    <row r="2456" spans="13:19">
      <c r="M2456" s="81">
        <f t="shared" ca="1" si="278"/>
        <v>29922.560177713982</v>
      </c>
      <c r="N2456" s="19">
        <f t="shared" si="279"/>
        <v>466.44843327468357</v>
      </c>
      <c r="O2456" s="17">
        <f t="shared" si="277"/>
        <v>613.75</v>
      </c>
      <c r="P2456" s="19">
        <f ca="1">IF(ISERROR(IF(O2456&lt;fi_h/20,0,(OFFSET('Base de dados'!$A$5,IF(O2456&lt;20,1,IF(O2456&gt;1000,10,MATCH(O2456,Cargas,1))),Coluna_fih,1,1))*(1+0.13*0.25)*(PI()*(fi_h/1000)^2/4)*SQRT(2*9.81*(O2456/100-fi_h/2/1000))*1000)),"",IF(O2456&lt;fi_h/20,0,(OFFSET('Base de dados'!$A$5,IF(O2456&lt;20,1,IF(O2456&gt;1000,10,MATCH(O2456,Cargas,1))),Coluna_fih,1,1))*(PI()*(fi_h/1000)^2/4)*SQRT(2*9.81*(O2456/100-fi_h/2/1000))*1000))</f>
        <v>66.476163513851745</v>
      </c>
      <c r="Q2456" s="19">
        <f ca="1">IF(O2456="","",IF(Tipo_Vertedor="Retangular",IF(O2456&lt;=cota_s*100,0,IF(Tipo_Vertedor="Retangular",Cd_sr*Lef_sr*((O2456/100-cota_s)^(3/2))*1000)),IF(O2456&lt;=cota_s*100+fi_s/20,0,(OFFSET('Base de dados'!$A$4,IF(O2456&lt;20,1,IF(O2456&gt;1000,10,MATCH(O2456,Cargas,1))),Coluna_fis,1,1))*(PI()*(fi_s/1000)^2/4)*(2*9.81*(O2456/100-cota_s-fi_s/2/1000))^0.5*1000)))</f>
        <v>14307.802905044013</v>
      </c>
      <c r="R2456" s="19">
        <f t="shared" ca="1" si="280"/>
        <v>14374.279068557864</v>
      </c>
      <c r="S2456" s="19">
        <f t="shared" ca="1" si="281"/>
        <v>15548.281109156118</v>
      </c>
    </row>
    <row r="2457" spans="13:19">
      <c r="M2457" s="81">
        <f t="shared" ca="1" si="278"/>
        <v>29939.386652878347</v>
      </c>
      <c r="N2457" s="19">
        <f t="shared" si="279"/>
        <v>466.66210711988248</v>
      </c>
      <c r="O2457" s="17">
        <f t="shared" si="277"/>
        <v>614</v>
      </c>
      <c r="P2457" s="19">
        <f ca="1">IF(ISERROR(IF(O2457&lt;fi_h/20,0,(OFFSET('Base de dados'!$A$5,IF(O2457&lt;20,1,IF(O2457&gt;1000,10,MATCH(O2457,Cargas,1))),Coluna_fih,1,1))*(1+0.13*0.25)*(PI()*(fi_h/1000)^2/4)*SQRT(2*9.81*(O2457/100-fi_h/2/1000))*1000)),"",IF(O2457&lt;fi_h/20,0,(OFFSET('Base de dados'!$A$5,IF(O2457&lt;20,1,IF(O2457&gt;1000,10,MATCH(O2457,Cargas,1))),Coluna_fih,1,1))*(PI()*(fi_h/1000)^2/4)*SQRT(2*9.81*(O2457/100-fi_h/2/1000))*1000))</f>
        <v>66.489826611948047</v>
      </c>
      <c r="Q2457" s="19">
        <f ca="1">IF(O2457="","",IF(Tipo_Vertedor="Retangular",IF(O2457&lt;=cota_s*100,0,IF(Tipo_Vertedor="Retangular",Cd_sr*Lef_sr*((O2457/100-cota_s)^(3/2))*1000)),IF(O2457&lt;=cota_s*100+fi_s/20,0,(OFFSET('Base de dados'!$A$4,IF(O2457&lt;20,1,IF(O2457&gt;1000,10,MATCH(O2457,Cargas,1))),Coluna_fis,1,1))*(PI()*(fi_s/1000)^2/4)*(2*9.81*(O2457/100-cota_s-fi_s/2/1000))^0.5*1000)))</f>
        <v>14317.493255603651</v>
      </c>
      <c r="R2457" s="19">
        <f t="shared" ca="1" si="280"/>
        <v>14383.9830822156</v>
      </c>
      <c r="S2457" s="19">
        <f t="shared" ca="1" si="281"/>
        <v>15555.403570662749</v>
      </c>
    </row>
    <row r="2458" spans="13:19">
      <c r="M2458" s="81">
        <f t="shared" ca="1" si="278"/>
        <v>29956.215673211467</v>
      </c>
      <c r="N2458" s="19">
        <f t="shared" si="279"/>
        <v>466.87579180342595</v>
      </c>
      <c r="O2458" s="17">
        <f t="shared" si="277"/>
        <v>614.25</v>
      </c>
      <c r="P2458" s="19">
        <f ca="1">IF(ISERROR(IF(O2458&lt;fi_h/20,0,(OFFSET('Base de dados'!$A$5,IF(O2458&lt;20,1,IF(O2458&gt;1000,10,MATCH(O2458,Cargas,1))),Coluna_fih,1,1))*(1+0.13*0.25)*(PI()*(fi_h/1000)^2/4)*SQRT(2*9.81*(O2458/100-fi_h/2/1000))*1000)),"",IF(O2458&lt;fi_h/20,0,(OFFSET('Base de dados'!$A$5,IF(O2458&lt;20,1,IF(O2458&gt;1000,10,MATCH(O2458,Cargas,1))),Coluna_fih,1,1))*(PI()*(fi_h/1000)^2/4)*SQRT(2*9.81*(O2458/100-fi_h/2/1000))*1000))</f>
        <v>66.503486902969811</v>
      </c>
      <c r="Q2458" s="19">
        <f ca="1">IF(O2458="","",IF(Tipo_Vertedor="Retangular",IF(O2458&lt;=cota_s*100,0,IF(Tipo_Vertedor="Retangular",Cd_sr*Lef_sr*((O2458/100-cota_s)^(3/2))*1000)),IF(O2458&lt;=cota_s*100+fi_s/20,0,(OFFSET('Base de dados'!$A$4,IF(O2458&lt;20,1,IF(O2458&gt;1000,10,MATCH(O2458,Cargas,1))),Coluna_fis,1,1))*(PI()*(fi_s/1000)^2/4)*(2*9.81*(O2458/100-cota_s-fi_s/2/1000))^0.5*1000)))</f>
        <v>14327.185792860964</v>
      </c>
      <c r="R2458" s="19">
        <f t="shared" ca="1" si="280"/>
        <v>14393.689279763934</v>
      </c>
      <c r="S2458" s="19">
        <f t="shared" ca="1" si="281"/>
        <v>15562.526393447532</v>
      </c>
    </row>
    <row r="2459" spans="13:19">
      <c r="M2459" s="81">
        <f t="shared" ca="1" si="278"/>
        <v>29973.047238093117</v>
      </c>
      <c r="N2459" s="19">
        <f t="shared" si="279"/>
        <v>467.08948732145194</v>
      </c>
      <c r="O2459" s="17">
        <f t="shared" si="277"/>
        <v>614.5</v>
      </c>
      <c r="P2459" s="19">
        <f ca="1">IF(ISERROR(IF(O2459&lt;fi_h/20,0,(OFFSET('Base de dados'!$A$5,IF(O2459&lt;20,1,IF(O2459&gt;1000,10,MATCH(O2459,Cargas,1))),Coluna_fih,1,1))*(1+0.13*0.25)*(PI()*(fi_h/1000)^2/4)*SQRT(2*9.81*(O2459/100-fi_h/2/1000))*1000)),"",IF(O2459&lt;fi_h/20,0,(OFFSET('Base de dados'!$A$5,IF(O2459&lt;20,1,IF(O2459&gt;1000,10,MATCH(O2459,Cargas,1))),Coluna_fih,1,1))*(PI()*(fi_h/1000)^2/4)*SQRT(2*9.81*(O2459/100-fi_h/2/1000))*1000))</f>
        <v>66.517144388646443</v>
      </c>
      <c r="Q2459" s="19">
        <f ca="1">IF(O2459="","",IF(Tipo_Vertedor="Retangular",IF(O2459&lt;=cota_s*100,0,IF(Tipo_Vertedor="Retangular",Cd_sr*Lef_sr*((O2459/100-cota_s)^(3/2))*1000)),IF(O2459&lt;=cota_s*100+fi_s/20,0,(OFFSET('Base de dados'!$A$4,IF(O2459&lt;20,1,IF(O2459&gt;1000,10,MATCH(O2459,Cargas,1))),Coluna_fis,1,1))*(PI()*(fi_s/1000)^2/4)*(2*9.81*(O2459/100-cota_s-fi_s/2/1000))^0.5*1000)))</f>
        <v>14336.880516322741</v>
      </c>
      <c r="R2459" s="19">
        <f t="shared" ca="1" si="280"/>
        <v>14403.397660711387</v>
      </c>
      <c r="S2459" s="19">
        <f t="shared" ca="1" si="281"/>
        <v>15569.649577381731</v>
      </c>
    </row>
    <row r="2460" spans="13:19">
      <c r="M2460" s="81">
        <f t="shared" ca="1" si="278"/>
        <v>29989.881346903527</v>
      </c>
      <c r="N2460" s="19">
        <f t="shared" si="279"/>
        <v>467.30319367010208</v>
      </c>
      <c r="O2460" s="17">
        <f t="shared" si="277"/>
        <v>614.75</v>
      </c>
      <c r="P2460" s="19">
        <f ca="1">IF(ISERROR(IF(O2460&lt;fi_h/20,0,(OFFSET('Base de dados'!$A$5,IF(O2460&lt;20,1,IF(O2460&gt;1000,10,MATCH(O2460,Cargas,1))),Coluna_fih,1,1))*(1+0.13*0.25)*(PI()*(fi_h/1000)^2/4)*SQRT(2*9.81*(O2460/100-fi_h/2/1000))*1000)),"",IF(O2460&lt;fi_h/20,0,(OFFSET('Base de dados'!$A$5,IF(O2460&lt;20,1,IF(O2460&gt;1000,10,MATCH(O2460,Cargas,1))),Coluna_fih,1,1))*(PI()*(fi_h/1000)^2/4)*SQRT(2*9.81*(O2460/100-fi_h/2/1000))*1000))</f>
        <v>66.530799070705612</v>
      </c>
      <c r="Q2460" s="19">
        <f ca="1">IF(O2460="","",IF(Tipo_Vertedor="Retangular",IF(O2460&lt;=cota_s*100,0,IF(Tipo_Vertedor="Retangular",Cd_sr*Lef_sr*((O2460/100-cota_s)^(3/2))*1000)),IF(O2460&lt;=cota_s*100+fi_s/20,0,(OFFSET('Base de dados'!$A$4,IF(O2460&lt;20,1,IF(O2460&gt;1000,10,MATCH(O2460,Cargas,1))),Coluna_fis,1,1))*(PI()*(fi_s/1000)^2/4)*(2*9.81*(O2460/100-cota_s-fi_s/2/1000))^0.5*1000)))</f>
        <v>14346.577425496083</v>
      </c>
      <c r="R2460" s="19">
        <f t="shared" ca="1" si="280"/>
        <v>14413.108224566789</v>
      </c>
      <c r="S2460" s="19">
        <f t="shared" ca="1" si="281"/>
        <v>15576.773122336737</v>
      </c>
    </row>
    <row r="2461" spans="13:19">
      <c r="M2461" s="81">
        <f t="shared" ca="1" si="278"/>
        <v>30006.717999023305</v>
      </c>
      <c r="N2461" s="19">
        <f t="shared" si="279"/>
        <v>467.51691084551993</v>
      </c>
      <c r="O2461" s="17">
        <f t="shared" si="277"/>
        <v>615</v>
      </c>
      <c r="P2461" s="19">
        <f ca="1">IF(ISERROR(IF(O2461&lt;fi_h/20,0,(OFFSET('Base de dados'!$A$5,IF(O2461&lt;20,1,IF(O2461&gt;1000,10,MATCH(O2461,Cargas,1))),Coluna_fih,1,1))*(1+0.13*0.25)*(PI()*(fi_h/1000)^2/4)*SQRT(2*9.81*(O2461/100-fi_h/2/1000))*1000)),"",IF(O2461&lt;fi_h/20,0,(OFFSET('Base de dados'!$A$5,IF(O2461&lt;20,1,IF(O2461&gt;1000,10,MATCH(O2461,Cargas,1))),Coluna_fih,1,1))*(PI()*(fi_h/1000)^2/4)*SQRT(2*9.81*(O2461/100-fi_h/2/1000))*1000))</f>
        <v>66.54445095087317</v>
      </c>
      <c r="Q2461" s="19">
        <f ca="1">IF(O2461="","",IF(Tipo_Vertedor="Retangular",IF(O2461&lt;=cota_s*100,0,IF(Tipo_Vertedor="Retangular",Cd_sr*Lef_sr*((O2461/100-cota_s)^(3/2))*1000)),IF(O2461&lt;=cota_s*100+fi_s/20,0,(OFFSET('Base de dados'!$A$4,IF(O2461&lt;20,1,IF(O2461&gt;1000,10,MATCH(O2461,Cargas,1))),Coluna_fis,1,1))*(PI()*(fi_s/1000)^2/4)*(2*9.81*(O2461/100-cota_s-fi_s/2/1000))^0.5*1000)))</f>
        <v>14356.276519888437</v>
      </c>
      <c r="R2461" s="19">
        <f t="shared" ca="1" si="280"/>
        <v>14422.82097083931</v>
      </c>
      <c r="S2461" s="19">
        <f t="shared" ca="1" si="281"/>
        <v>15583.897028183997</v>
      </c>
    </row>
    <row r="2462" spans="13:19">
      <c r="M2462" s="81">
        <f t="shared" ca="1" si="278"/>
        <v>30023.557193833556</v>
      </c>
      <c r="N2462" s="19">
        <f t="shared" si="279"/>
        <v>467.73063884385283</v>
      </c>
      <c r="O2462" s="17">
        <f t="shared" si="277"/>
        <v>615.25</v>
      </c>
      <c r="P2462" s="19">
        <f ca="1">IF(ISERROR(IF(O2462&lt;fi_h/20,0,(OFFSET('Base de dados'!$A$5,IF(O2462&lt;20,1,IF(O2462&gt;1000,10,MATCH(O2462,Cargas,1))),Coluna_fih,1,1))*(1+0.13*0.25)*(PI()*(fi_h/1000)^2/4)*SQRT(2*9.81*(O2462/100-fi_h/2/1000))*1000)),"",IF(O2462&lt;fi_h/20,0,(OFFSET('Base de dados'!$A$5,IF(O2462&lt;20,1,IF(O2462&gt;1000,10,MATCH(O2462,Cargas,1))),Coluna_fih,1,1))*(PI()*(fi_h/1000)^2/4)*SQRT(2*9.81*(O2462/100-fi_h/2/1000))*1000))</f>
        <v>66.558100030873234</v>
      </c>
      <c r="Q2462" s="19">
        <f ca="1">IF(O2462="","",IF(Tipo_Vertedor="Retangular",IF(O2462&lt;=cota_s*100,0,IF(Tipo_Vertedor="Retangular",Cd_sr*Lef_sr*((O2462/100-cota_s)^(3/2))*1000)),IF(O2462&lt;=cota_s*100+fi_s/20,0,(OFFSET('Base de dados'!$A$4,IF(O2462&lt;20,1,IF(O2462&gt;1000,10,MATCH(O2462,Cargas,1))),Coluna_fis,1,1))*(PI()*(fi_s/1000)^2/4)*(2*9.81*(O2462/100-cota_s-fi_s/2/1000))^0.5*1000)))</f>
        <v>14365.977799007585</v>
      </c>
      <c r="R2462" s="19">
        <f t="shared" ca="1" si="280"/>
        <v>14432.535899038459</v>
      </c>
      <c r="S2462" s="19">
        <f t="shared" ca="1" si="281"/>
        <v>15591.021294795095</v>
      </c>
    </row>
    <row r="2463" spans="13:19">
      <c r="M2463" s="81">
        <f t="shared" ca="1" si="278"/>
        <v>30040.398930715764</v>
      </c>
      <c r="N2463" s="19">
        <f t="shared" si="279"/>
        <v>467.94437766125083</v>
      </c>
      <c r="O2463" s="17">
        <f t="shared" si="277"/>
        <v>615.5</v>
      </c>
      <c r="P2463" s="19">
        <f ca="1">IF(ISERROR(IF(O2463&lt;fi_h/20,0,(OFFSET('Base de dados'!$A$5,IF(O2463&lt;20,1,IF(O2463&gt;1000,10,MATCH(O2463,Cargas,1))),Coluna_fih,1,1))*(1+0.13*0.25)*(PI()*(fi_h/1000)^2/4)*SQRT(2*9.81*(O2463/100-fi_h/2/1000))*1000)),"",IF(O2463&lt;fi_h/20,0,(OFFSET('Base de dados'!$A$5,IF(O2463&lt;20,1,IF(O2463&gt;1000,10,MATCH(O2463,Cargas,1))),Coluna_fih,1,1))*(PI()*(fi_h/1000)^2/4)*SQRT(2*9.81*(O2463/100-fi_h/2/1000))*1000))</f>
        <v>66.571746312428132</v>
      </c>
      <c r="Q2463" s="19">
        <f ca="1">IF(O2463="","",IF(Tipo_Vertedor="Retangular",IF(O2463&lt;=cota_s*100,0,IF(Tipo_Vertedor="Retangular",Cd_sr*Lef_sr*((O2463/100-cota_s)^(3/2))*1000)),IF(O2463&lt;=cota_s*100+fi_s/20,0,(OFFSET('Base de dados'!$A$4,IF(O2463&lt;20,1,IF(O2463&gt;1000,10,MATCH(O2463,Cargas,1))),Coluna_fis,1,1))*(PI()*(fi_s/1000)^2/4)*(2*9.81*(O2463/100-cota_s-fi_s/2/1000))^0.5*1000)))</f>
        <v>14375.681262361642</v>
      </c>
      <c r="R2463" s="19">
        <f t="shared" ca="1" si="280"/>
        <v>14442.25300867407</v>
      </c>
      <c r="S2463" s="19">
        <f t="shared" ca="1" si="281"/>
        <v>15598.145922041695</v>
      </c>
    </row>
    <row r="2464" spans="13:19">
      <c r="M2464" s="81">
        <f t="shared" ca="1" si="278"/>
        <v>30057.243209051856</v>
      </c>
      <c r="N2464" s="19">
        <f t="shared" si="279"/>
        <v>468.15812729386664</v>
      </c>
      <c r="O2464" s="17">
        <f t="shared" si="277"/>
        <v>615.75</v>
      </c>
      <c r="P2464" s="19">
        <f ca="1">IF(ISERROR(IF(O2464&lt;fi_h/20,0,(OFFSET('Base de dados'!$A$5,IF(O2464&lt;20,1,IF(O2464&gt;1000,10,MATCH(O2464,Cargas,1))),Coluna_fih,1,1))*(1+0.13*0.25)*(PI()*(fi_h/1000)^2/4)*SQRT(2*9.81*(O2464/100-fi_h/2/1000))*1000)),"",IF(O2464&lt;fi_h/20,0,(OFFSET('Base de dados'!$A$5,IF(O2464&lt;20,1,IF(O2464&gt;1000,10,MATCH(O2464,Cargas,1))),Coluna_fih,1,1))*(PI()*(fi_h/1000)^2/4)*SQRT(2*9.81*(O2464/100-fi_h/2/1000))*1000))</f>
        <v>66.585389797258458</v>
      </c>
      <c r="Q2464" s="19">
        <f ca="1">IF(O2464="","",IF(Tipo_Vertedor="Retangular",IF(O2464&lt;=cota_s*100,0,IF(Tipo_Vertedor="Retangular",Cd_sr*Lef_sr*((O2464/100-cota_s)^(3/2))*1000)),IF(O2464&lt;=cota_s*100+fi_s/20,0,(OFFSET('Base de dados'!$A$4,IF(O2464&lt;20,1,IF(O2464&gt;1000,10,MATCH(O2464,Cargas,1))),Coluna_fis,1,1))*(PI()*(fi_s/1000)^2/4)*(2*9.81*(O2464/100-cota_s-fi_s/2/1000))^0.5*1000)))</f>
        <v>14385.386909459039</v>
      </c>
      <c r="R2464" s="19">
        <f t="shared" ca="1" si="280"/>
        <v>14451.972299256298</v>
      </c>
      <c r="S2464" s="19">
        <f t="shared" ca="1" si="281"/>
        <v>15605.270909795556</v>
      </c>
    </row>
    <row r="2465" spans="13:19">
      <c r="M2465" s="81">
        <f t="shared" ca="1" si="278"/>
        <v>30074.090028224182</v>
      </c>
      <c r="N2465" s="19">
        <f t="shared" si="279"/>
        <v>468.37188773785618</v>
      </c>
      <c r="O2465" s="17">
        <f t="shared" si="277"/>
        <v>616</v>
      </c>
      <c r="P2465" s="19">
        <f ca="1">IF(ISERROR(IF(O2465&lt;fi_h/20,0,(OFFSET('Base de dados'!$A$5,IF(O2465&lt;20,1,IF(O2465&gt;1000,10,MATCH(O2465,Cargas,1))),Coluna_fih,1,1))*(1+0.13*0.25)*(PI()*(fi_h/1000)^2/4)*SQRT(2*9.81*(O2465/100-fi_h/2/1000))*1000)),"",IF(O2465&lt;fi_h/20,0,(OFFSET('Base de dados'!$A$5,IF(O2465&lt;20,1,IF(O2465&gt;1000,10,MATCH(O2465,Cargas,1))),Coluna_fih,1,1))*(PI()*(fi_h/1000)^2/4)*SQRT(2*9.81*(O2465/100-fi_h/2/1000))*1000))</f>
        <v>66.599030487083013</v>
      </c>
      <c r="Q2465" s="19">
        <f ca="1">IF(O2465="","",IF(Tipo_Vertedor="Retangular",IF(O2465&lt;=cota_s*100,0,IF(Tipo_Vertedor="Retangular",Cd_sr*Lef_sr*((O2465/100-cota_s)^(3/2))*1000)),IF(O2465&lt;=cota_s*100+fi_s/20,0,(OFFSET('Base de dados'!$A$4,IF(O2465&lt;20,1,IF(O2465&gt;1000,10,MATCH(O2465,Cargas,1))),Coluna_fis,1,1))*(PI()*(fi_s/1000)^2/4)*(2*9.81*(O2465/100-cota_s-fi_s/2/1000))^0.5*1000)))</f>
        <v>14395.094739808559</v>
      </c>
      <c r="R2465" s="19">
        <f t="shared" ca="1" si="280"/>
        <v>14461.693770295642</v>
      </c>
      <c r="S2465" s="19">
        <f t="shared" ca="1" si="281"/>
        <v>15612.39625792854</v>
      </c>
    </row>
    <row r="2466" spans="13:19">
      <c r="M2466" s="81">
        <f t="shared" ca="1" si="278"/>
        <v>30090.939387615537</v>
      </c>
      <c r="N2466" s="19">
        <f t="shared" si="279"/>
        <v>468.58565898937837</v>
      </c>
      <c r="O2466" s="17">
        <f t="shared" si="277"/>
        <v>616.25</v>
      </c>
      <c r="P2466" s="19">
        <f ca="1">IF(ISERROR(IF(O2466&lt;fi_h/20,0,(OFFSET('Base de dados'!$A$5,IF(O2466&lt;20,1,IF(O2466&gt;1000,10,MATCH(O2466,Cargas,1))),Coluna_fih,1,1))*(1+0.13*0.25)*(PI()*(fi_h/1000)^2/4)*SQRT(2*9.81*(O2466/100-fi_h/2/1000))*1000)),"",IF(O2466&lt;fi_h/20,0,(OFFSET('Base de dados'!$A$5,IF(O2466&lt;20,1,IF(O2466&gt;1000,10,MATCH(O2466,Cargas,1))),Coluna_fih,1,1))*(PI()*(fi_h/1000)^2/4)*SQRT(2*9.81*(O2466/100-fi_h/2/1000))*1000))</f>
        <v>66.612668383618839</v>
      </c>
      <c r="Q2466" s="19">
        <f ca="1">IF(O2466="","",IF(Tipo_Vertedor="Retangular",IF(O2466&lt;=cota_s*100,0,IF(Tipo_Vertedor="Retangular",Cd_sr*Lef_sr*((O2466/100-cota_s)^(3/2))*1000)),IF(O2466&lt;=cota_s*100+fi_s/20,0,(OFFSET('Base de dados'!$A$4,IF(O2466&lt;20,1,IF(O2466&gt;1000,10,MATCH(O2466,Cargas,1))),Coluna_fis,1,1))*(PI()*(fi_s/1000)^2/4)*(2*9.81*(O2466/100-cota_s-fi_s/2/1000))^0.5*1000)))</f>
        <v>14404.804752919305</v>
      </c>
      <c r="R2466" s="19">
        <f t="shared" ca="1" si="280"/>
        <v>14471.417421302924</v>
      </c>
      <c r="S2466" s="19">
        <f t="shared" ca="1" si="281"/>
        <v>15619.521966312612</v>
      </c>
    </row>
    <row r="2467" spans="13:19">
      <c r="M2467" s="81">
        <f t="shared" ca="1" si="278"/>
        <v>30107.791286609128</v>
      </c>
      <c r="N2467" s="19">
        <f t="shared" si="279"/>
        <v>468.79944104459474</v>
      </c>
      <c r="O2467" s="17">
        <f t="shared" si="277"/>
        <v>616.5</v>
      </c>
      <c r="P2467" s="19">
        <f ca="1">IF(ISERROR(IF(O2467&lt;fi_h/20,0,(OFFSET('Base de dados'!$A$5,IF(O2467&lt;20,1,IF(O2467&gt;1000,10,MATCH(O2467,Cargas,1))),Coluna_fih,1,1))*(1+0.13*0.25)*(PI()*(fi_h/1000)^2/4)*SQRT(2*9.81*(O2467/100-fi_h/2/1000))*1000)),"",IF(O2467&lt;fi_h/20,0,(OFFSET('Base de dados'!$A$5,IF(O2467&lt;20,1,IF(O2467&gt;1000,10,MATCH(O2467,Cargas,1))),Coluna_fih,1,1))*(PI()*(fi_h/1000)^2/4)*SQRT(2*9.81*(O2467/100-fi_h/2/1000))*1000))</f>
        <v>66.626303488581271</v>
      </c>
      <c r="Q2467" s="19">
        <f ca="1">IF(O2467="","",IF(Tipo_Vertedor="Retangular",IF(O2467&lt;=cota_s*100,0,IF(Tipo_Vertedor="Retangular",Cd_sr*Lef_sr*((O2467/100-cota_s)^(3/2))*1000)),IF(O2467&lt;=cota_s*100+fi_s/20,0,(OFFSET('Base de dados'!$A$4,IF(O2467&lt;20,1,IF(O2467&gt;1000,10,MATCH(O2467,Cargas,1))),Coluna_fis,1,1))*(PI()*(fi_s/1000)^2/4)*(2*9.81*(O2467/100-cota_s-fi_s/2/1000))^0.5*1000)))</f>
        <v>14414.516948300719</v>
      </c>
      <c r="R2467" s="19">
        <f t="shared" ca="1" si="280"/>
        <v>14481.143251789301</v>
      </c>
      <c r="S2467" s="19">
        <f t="shared" ca="1" si="281"/>
        <v>15626.648034819826</v>
      </c>
    </row>
    <row r="2468" spans="13:19">
      <c r="M2468" s="81">
        <f t="shared" ca="1" si="278"/>
        <v>30124.645724588576</v>
      </c>
      <c r="N2468" s="19">
        <f t="shared" si="279"/>
        <v>469.01323389966996</v>
      </c>
      <c r="O2468" s="17">
        <f t="shared" si="277"/>
        <v>616.75</v>
      </c>
      <c r="P2468" s="19">
        <f ca="1">IF(ISERROR(IF(O2468&lt;fi_h/20,0,(OFFSET('Base de dados'!$A$5,IF(O2468&lt;20,1,IF(O2468&gt;1000,10,MATCH(O2468,Cargas,1))),Coluna_fih,1,1))*(1+0.13*0.25)*(PI()*(fi_h/1000)^2/4)*SQRT(2*9.81*(O2468/100-fi_h/2/1000))*1000)),"",IF(O2468&lt;fi_h/20,0,(OFFSET('Base de dados'!$A$5,IF(O2468&lt;20,1,IF(O2468&gt;1000,10,MATCH(O2468,Cargas,1))),Coluna_fih,1,1))*(PI()*(fi_h/1000)^2/4)*SQRT(2*9.81*(O2468/100-fi_h/2/1000))*1000))</f>
        <v>66.639935803683812</v>
      </c>
      <c r="Q2468" s="19">
        <f ca="1">IF(O2468="","",IF(Tipo_Vertedor="Retangular",IF(O2468&lt;=cota_s*100,0,IF(Tipo_Vertedor="Retangular",Cd_sr*Lef_sr*((O2468/100-cota_s)^(3/2))*1000)),IF(O2468&lt;=cota_s*100+fi_s/20,0,(OFFSET('Base de dados'!$A$4,IF(O2468&lt;20,1,IF(O2468&gt;1000,10,MATCH(O2468,Cargas,1))),Coluna_fis,1,1))*(PI()*(fi_s/1000)^2/4)*(2*9.81*(O2468/100-cota_s-fi_s/2/1000))^0.5*1000)))</f>
        <v>14424.231325462559</v>
      </c>
      <c r="R2468" s="19">
        <f t="shared" ca="1" si="280"/>
        <v>14490.871261266242</v>
      </c>
      <c r="S2468" s="19">
        <f t="shared" ca="1" si="281"/>
        <v>15633.774463322332</v>
      </c>
    </row>
    <row r="2469" spans="13:19">
      <c r="M2469" s="81">
        <f t="shared" ca="1" si="278"/>
        <v>30141.502700937934</v>
      </c>
      <c r="N2469" s="19">
        <f t="shared" si="279"/>
        <v>469.22703755077123</v>
      </c>
      <c r="O2469" s="17">
        <f t="shared" si="277"/>
        <v>617</v>
      </c>
      <c r="P2469" s="19">
        <f ca="1">IF(ISERROR(IF(O2469&lt;fi_h/20,0,(OFFSET('Base de dados'!$A$5,IF(O2469&lt;20,1,IF(O2469&gt;1000,10,MATCH(O2469,Cargas,1))),Coluna_fih,1,1))*(1+0.13*0.25)*(PI()*(fi_h/1000)^2/4)*SQRT(2*9.81*(O2469/100-fi_h/2/1000))*1000)),"",IF(O2469&lt;fi_h/20,0,(OFFSET('Base de dados'!$A$5,IF(O2469&lt;20,1,IF(O2469&gt;1000,10,MATCH(O2469,Cargas,1))),Coluna_fih,1,1))*(PI()*(fi_h/1000)^2/4)*SQRT(2*9.81*(O2469/100-fi_h/2/1000))*1000))</f>
        <v>66.653565330638244</v>
      </c>
      <c r="Q2469" s="19">
        <f ca="1">IF(O2469="","",IF(Tipo_Vertedor="Retangular",IF(O2469&lt;=cota_s*100,0,IF(Tipo_Vertedor="Retangular",Cd_sr*Lef_sr*((O2469/100-cota_s)^(3/2))*1000)),IF(O2469&lt;=cota_s*100+fi_s/20,0,(OFFSET('Base de dados'!$A$4,IF(O2469&lt;20,1,IF(O2469&gt;1000,10,MATCH(O2469,Cargas,1))),Coluna_fis,1,1))*(PI()*(fi_s/1000)^2/4)*(2*9.81*(O2469/100-cota_s-fi_s/2/1000))^0.5*1000)))</f>
        <v>14433.947883914923</v>
      </c>
      <c r="R2469" s="19">
        <f t="shared" ca="1" si="280"/>
        <v>14500.601449245562</v>
      </c>
      <c r="S2469" s="19">
        <f t="shared" ca="1" si="281"/>
        <v>15640.901251692374</v>
      </c>
    </row>
    <row r="2470" spans="13:19">
      <c r="M2470" s="81">
        <f t="shared" ca="1" si="278"/>
        <v>30158.362215041714</v>
      </c>
      <c r="N2470" s="19">
        <f t="shared" si="279"/>
        <v>469.44085199406953</v>
      </c>
      <c r="O2470" s="17">
        <f t="shared" si="277"/>
        <v>617.25</v>
      </c>
      <c r="P2470" s="19">
        <f ca="1">IF(ISERROR(IF(O2470&lt;fi_h/20,0,(OFFSET('Base de dados'!$A$5,IF(O2470&lt;20,1,IF(O2470&gt;1000,10,MATCH(O2470,Cargas,1))),Coluna_fih,1,1))*(1+0.13*0.25)*(PI()*(fi_h/1000)^2/4)*SQRT(2*9.81*(O2470/100-fi_h/2/1000))*1000)),"",IF(O2470&lt;fi_h/20,0,(OFFSET('Base de dados'!$A$5,IF(O2470&lt;20,1,IF(O2470&gt;1000,10,MATCH(O2470,Cargas,1))),Coluna_fih,1,1))*(PI()*(fi_h/1000)^2/4)*SQRT(2*9.81*(O2470/100-fi_h/2/1000))*1000))</f>
        <v>66.667192071154645</v>
      </c>
      <c r="Q2470" s="19">
        <f ca="1">IF(O2470="","",IF(Tipo_Vertedor="Retangular",IF(O2470&lt;=cota_s*100,0,IF(Tipo_Vertedor="Retangular",Cd_sr*Lef_sr*((O2470/100-cota_s)^(3/2))*1000)),IF(O2470&lt;=cota_s*100+fi_s/20,0,(OFFSET('Base de dados'!$A$4,IF(O2470&lt;20,1,IF(O2470&gt;1000,10,MATCH(O2470,Cargas,1))),Coluna_fis,1,1))*(PI()*(fi_s/1000)^2/4)*(2*9.81*(O2470/100-cota_s-fi_s/2/1000))^0.5*1000)))</f>
        <v>14443.666623168245</v>
      </c>
      <c r="R2470" s="19">
        <f t="shared" ca="1" si="280"/>
        <v>14510.333815239399</v>
      </c>
      <c r="S2470" s="19">
        <f t="shared" ca="1" si="281"/>
        <v>15648.028399802317</v>
      </c>
    </row>
    <row r="2471" spans="13:19">
      <c r="M2471" s="81">
        <f t="shared" ca="1" si="278"/>
        <v>30175.224266284818</v>
      </c>
      <c r="N2471" s="19">
        <f t="shared" si="279"/>
        <v>469.65467722573794</v>
      </c>
      <c r="O2471" s="17">
        <f t="shared" si="277"/>
        <v>617.5</v>
      </c>
      <c r="P2471" s="19">
        <f ca="1">IF(ISERROR(IF(O2471&lt;fi_h/20,0,(OFFSET('Base de dados'!$A$5,IF(O2471&lt;20,1,IF(O2471&gt;1000,10,MATCH(O2471,Cargas,1))),Coluna_fih,1,1))*(1+0.13*0.25)*(PI()*(fi_h/1000)^2/4)*SQRT(2*9.81*(O2471/100-fi_h/2/1000))*1000)),"",IF(O2471&lt;fi_h/20,0,(OFFSET('Base de dados'!$A$5,IF(O2471&lt;20,1,IF(O2471&gt;1000,10,MATCH(O2471,Cargas,1))),Coluna_fih,1,1))*(PI()*(fi_h/1000)^2/4)*SQRT(2*9.81*(O2471/100-fi_h/2/1000))*1000))</f>
        <v>66.680816026941244</v>
      </c>
      <c r="Q2471" s="19">
        <f ca="1">IF(O2471="","",IF(Tipo_Vertedor="Retangular",IF(O2471&lt;=cota_s*100,0,IF(Tipo_Vertedor="Retangular",Cd_sr*Lef_sr*((O2471/100-cota_s)^(3/2))*1000)),IF(O2471&lt;=cota_s*100+fi_s/20,0,(OFFSET('Base de dados'!$A$4,IF(O2471&lt;20,1,IF(O2471&gt;1000,10,MATCH(O2471,Cargas,1))),Coluna_fis,1,1))*(PI()*(fi_s/1000)^2/4)*(2*9.81*(O2471/100-cota_s-fi_s/2/1000))^0.5*1000)))</f>
        <v>14453.387542733279</v>
      </c>
      <c r="R2471" s="19">
        <f t="shared" ca="1" si="280"/>
        <v>14520.06835876022</v>
      </c>
      <c r="S2471" s="19">
        <f t="shared" ca="1" si="281"/>
        <v>15655.155907524599</v>
      </c>
    </row>
    <row r="2472" spans="13:19">
      <c r="M2472" s="81">
        <f t="shared" ca="1" si="278"/>
        <v>30192.088854052578</v>
      </c>
      <c r="N2472" s="19">
        <f t="shared" si="279"/>
        <v>469.86851324195283</v>
      </c>
      <c r="O2472" s="17">
        <f t="shared" si="277"/>
        <v>617.75</v>
      </c>
      <c r="P2472" s="19">
        <f ca="1">IF(ISERROR(IF(O2472&lt;fi_h/20,0,(OFFSET('Base de dados'!$A$5,IF(O2472&lt;20,1,IF(O2472&gt;1000,10,MATCH(O2472,Cargas,1))),Coluna_fih,1,1))*(1+0.13*0.25)*(PI()*(fi_h/1000)^2/4)*SQRT(2*9.81*(O2472/100-fi_h/2/1000))*1000)),"",IF(O2472&lt;fi_h/20,0,(OFFSET('Base de dados'!$A$5,IF(O2472&lt;20,1,IF(O2472&gt;1000,10,MATCH(O2472,Cargas,1))),Coluna_fih,1,1))*(PI()*(fi_h/1000)^2/4)*SQRT(2*9.81*(O2472/100-fi_h/2/1000))*1000))</f>
        <v>66.694437199704637</v>
      </c>
      <c r="Q2472" s="19">
        <f ca="1">IF(O2472="","",IF(Tipo_Vertedor="Retangular",IF(O2472&lt;=cota_s*100,0,IF(Tipo_Vertedor="Retangular",Cd_sr*Lef_sr*((O2472/100-cota_s)^(3/2))*1000)),IF(O2472&lt;=cota_s*100+fi_s/20,0,(OFFSET('Base de dados'!$A$4,IF(O2472&lt;20,1,IF(O2472&gt;1000,10,MATCH(O2472,Cargas,1))),Coluna_fis,1,1))*(PI()*(fi_s/1000)^2/4)*(2*9.81*(O2472/100-cota_s-fi_s/2/1000))^0.5*1000)))</f>
        <v>14463.110642121112</v>
      </c>
      <c r="R2472" s="19">
        <f t="shared" ca="1" si="280"/>
        <v>14529.805079320817</v>
      </c>
      <c r="S2472" s="19">
        <f t="shared" ca="1" si="281"/>
        <v>15662.283774731761</v>
      </c>
    </row>
    <row r="2473" spans="13:19">
      <c r="M2473" s="81">
        <f t="shared" ca="1" si="278"/>
        <v>30208.955977730744</v>
      </c>
      <c r="N2473" s="19">
        <f t="shared" si="279"/>
        <v>470.08236003889306</v>
      </c>
      <c r="O2473" s="17">
        <f t="shared" si="277"/>
        <v>618</v>
      </c>
      <c r="P2473" s="19">
        <f ca="1">IF(ISERROR(IF(O2473&lt;fi_h/20,0,(OFFSET('Base de dados'!$A$5,IF(O2473&lt;20,1,IF(O2473&gt;1000,10,MATCH(O2473,Cargas,1))),Coluna_fih,1,1))*(1+0.13*0.25)*(PI()*(fi_h/1000)^2/4)*SQRT(2*9.81*(O2473/100-fi_h/2/1000))*1000)),"",IF(O2473&lt;fi_h/20,0,(OFFSET('Base de dados'!$A$5,IF(O2473&lt;20,1,IF(O2473&gt;1000,10,MATCH(O2473,Cargas,1))),Coluna_fih,1,1))*(PI()*(fi_h/1000)^2/4)*SQRT(2*9.81*(O2473/100-fi_h/2/1000))*1000))</f>
        <v>66.70805559114963</v>
      </c>
      <c r="Q2473" s="19">
        <f ca="1">IF(O2473="","",IF(Tipo_Vertedor="Retangular",IF(O2473&lt;=cota_s*100,0,IF(Tipo_Vertedor="Retangular",Cd_sr*Lef_sr*((O2473/100-cota_s)^(3/2))*1000)),IF(O2473&lt;=cota_s*100+fi_s/20,0,(OFFSET('Base de dados'!$A$4,IF(O2473&lt;20,1,IF(O2473&gt;1000,10,MATCH(O2473,Cargas,1))),Coluna_fis,1,1))*(PI()*(fi_s/1000)^2/4)*(2*9.81*(O2473/100-cota_s-fi_s/2/1000))^0.5*1000)))</f>
        <v>14472.835920843158</v>
      </c>
      <c r="R2473" s="19">
        <f t="shared" ca="1" si="280"/>
        <v>14539.543976434306</v>
      </c>
      <c r="S2473" s="19">
        <f t="shared" ca="1" si="281"/>
        <v>15669.412001296436</v>
      </c>
    </row>
    <row r="2474" spans="13:19">
      <c r="M2474" s="81">
        <f t="shared" ca="1" si="278"/>
        <v>30225.825636705511</v>
      </c>
      <c r="N2474" s="19">
        <f t="shared" si="279"/>
        <v>470.29621761274115</v>
      </c>
      <c r="O2474" s="17">
        <f t="shared" si="277"/>
        <v>618.25</v>
      </c>
      <c r="P2474" s="19">
        <f ca="1">IF(ISERROR(IF(O2474&lt;fi_h/20,0,(OFFSET('Base de dados'!$A$5,IF(O2474&lt;20,1,IF(O2474&gt;1000,10,MATCH(O2474,Cargas,1))),Coluna_fih,1,1))*(1+0.13*0.25)*(PI()*(fi_h/1000)^2/4)*SQRT(2*9.81*(O2474/100-fi_h/2/1000))*1000)),"",IF(O2474&lt;fi_h/20,0,(OFFSET('Base de dados'!$A$5,IF(O2474&lt;20,1,IF(O2474&gt;1000,10,MATCH(O2474,Cargas,1))),Coluna_fih,1,1))*(PI()*(fi_h/1000)^2/4)*SQRT(2*9.81*(O2474/100-fi_h/2/1000))*1000))</f>
        <v>66.721671202979252</v>
      </c>
      <c r="Q2474" s="19">
        <f ca="1">IF(O2474="","",IF(Tipo_Vertedor="Retangular",IF(O2474&lt;=cota_s*100,0,IF(Tipo_Vertedor="Retangular",Cd_sr*Lef_sr*((O2474/100-cota_s)^(3/2))*1000)),IF(O2474&lt;=cota_s*100+fi_s/20,0,(OFFSET('Base de dados'!$A$4,IF(O2474&lt;20,1,IF(O2474&gt;1000,10,MATCH(O2474,Cargas,1))),Coluna_fis,1,1))*(PI()*(fi_s/1000)^2/4)*(2*9.81*(O2474/100-cota_s-fi_s/2/1000))^0.5*1000)))</f>
        <v>14482.56337841116</v>
      </c>
      <c r="R2474" s="19">
        <f t="shared" ca="1" si="280"/>
        <v>14549.285049614138</v>
      </c>
      <c r="S2474" s="19">
        <f t="shared" ca="1" si="281"/>
        <v>15676.540587091373</v>
      </c>
    </row>
    <row r="2475" spans="13:19">
      <c r="M2475" s="81">
        <f t="shared" ca="1" si="278"/>
        <v>30242.697830363468</v>
      </c>
      <c r="N2475" s="19">
        <f t="shared" si="279"/>
        <v>470.51008595968153</v>
      </c>
      <c r="O2475" s="17">
        <f t="shared" si="277"/>
        <v>618.5</v>
      </c>
      <c r="P2475" s="19">
        <f ca="1">IF(ISERROR(IF(O2475&lt;fi_h/20,0,(OFFSET('Base de dados'!$A$5,IF(O2475&lt;20,1,IF(O2475&gt;1000,10,MATCH(O2475,Cargas,1))),Coluna_fih,1,1))*(1+0.13*0.25)*(PI()*(fi_h/1000)^2/4)*SQRT(2*9.81*(O2475/100-fi_h/2/1000))*1000)),"",IF(O2475&lt;fi_h/20,0,(OFFSET('Base de dados'!$A$5,IF(O2475&lt;20,1,IF(O2475&gt;1000,10,MATCH(O2475,Cargas,1))),Coluna_fih,1,1))*(PI()*(fi_h/1000)^2/4)*SQRT(2*9.81*(O2475/100-fi_h/2/1000))*1000))</f>
        <v>66.735284036894853</v>
      </c>
      <c r="Q2475" s="19">
        <f ca="1">IF(O2475="","",IF(Tipo_Vertedor="Retangular",IF(O2475&lt;=cota_s*100,0,IF(Tipo_Vertedor="Retangular",Cd_sr*Lef_sr*((O2475/100-cota_s)^(3/2))*1000)),IF(O2475&lt;=cota_s*100+fi_s/20,0,(OFFSET('Base de dados'!$A$4,IF(O2475&lt;20,1,IF(O2475&gt;1000,10,MATCH(O2475,Cargas,1))),Coluna_fis,1,1))*(PI()*(fi_s/1000)^2/4)*(2*9.81*(O2475/100-cota_s-fi_s/2/1000))^0.5*1000)))</f>
        <v>14492.293014337189</v>
      </c>
      <c r="R2475" s="19">
        <f t="shared" ca="1" si="280"/>
        <v>14559.028298374084</v>
      </c>
      <c r="S2475" s="19">
        <f t="shared" ca="1" si="281"/>
        <v>15683.669531989384</v>
      </c>
    </row>
    <row r="2476" spans="13:19">
      <c r="M2476" s="81">
        <f t="shared" ca="1" si="278"/>
        <v>30259.572558091662</v>
      </c>
      <c r="N2476" s="19">
        <f t="shared" si="279"/>
        <v>470.72396507590253</v>
      </c>
      <c r="O2476" s="17">
        <f t="shared" si="277"/>
        <v>618.75</v>
      </c>
      <c r="P2476" s="19">
        <f ca="1">IF(ISERROR(IF(O2476&lt;fi_h/20,0,(OFFSET('Base de dados'!$A$5,IF(O2476&lt;20,1,IF(O2476&gt;1000,10,MATCH(O2476,Cargas,1))),Coluna_fih,1,1))*(1+0.13*0.25)*(PI()*(fi_h/1000)^2/4)*SQRT(2*9.81*(O2476/100-fi_h/2/1000))*1000)),"",IF(O2476&lt;fi_h/20,0,(OFFSET('Base de dados'!$A$5,IF(O2476&lt;20,1,IF(O2476&gt;1000,10,MATCH(O2476,Cargas,1))),Coluna_fih,1,1))*(PI()*(fi_h/1000)^2/4)*SQRT(2*9.81*(O2476/100-fi_h/2/1000))*1000))</f>
        <v>66.748894094596011</v>
      </c>
      <c r="Q2476" s="19">
        <f ca="1">IF(O2476="","",IF(Tipo_Vertedor="Retangular",IF(O2476&lt;=cota_s*100,0,IF(Tipo_Vertedor="Retangular",Cd_sr*Lef_sr*((O2476/100-cota_s)^(3/2))*1000)),IF(O2476&lt;=cota_s*100+fi_s/20,0,(OFFSET('Base de dados'!$A$4,IF(O2476&lt;20,1,IF(O2476&gt;1000,10,MATCH(O2476,Cargas,1))),Coluna_fis,1,1))*(PI()*(fi_s/1000)^2/4)*(2*9.81*(O2476/100-cota_s-fi_s/2/1000))^0.5*1000)))</f>
        <v>14502.02482813365</v>
      </c>
      <c r="R2476" s="19">
        <f t="shared" ca="1" si="280"/>
        <v>14568.773722228247</v>
      </c>
      <c r="S2476" s="19">
        <f t="shared" ca="1" si="281"/>
        <v>15690.798835863417</v>
      </c>
    </row>
    <row r="2477" spans="13:19">
      <c r="M2477" s="81">
        <f t="shared" ca="1" si="278"/>
        <v>30276.449819277514</v>
      </c>
      <c r="N2477" s="19">
        <f t="shared" si="279"/>
        <v>470.93785495759437</v>
      </c>
      <c r="O2477" s="17">
        <f t="shared" si="277"/>
        <v>619</v>
      </c>
      <c r="P2477" s="19">
        <f ca="1">IF(ISERROR(IF(O2477&lt;fi_h/20,0,(OFFSET('Base de dados'!$A$5,IF(O2477&lt;20,1,IF(O2477&gt;1000,10,MATCH(O2477,Cargas,1))),Coluna_fih,1,1))*(1+0.13*0.25)*(PI()*(fi_h/1000)^2/4)*SQRT(2*9.81*(O2477/100-fi_h/2/1000))*1000)),"",IF(O2477&lt;fi_h/20,0,(OFFSET('Base de dados'!$A$5,IF(O2477&lt;20,1,IF(O2477&gt;1000,10,MATCH(O2477,Cargas,1))),Coluna_fih,1,1))*(PI()*(fi_h/1000)^2/4)*SQRT(2*9.81*(O2477/100-fi_h/2/1000))*1000))</f>
        <v>66.762501377780609</v>
      </c>
      <c r="Q2477" s="19">
        <f ca="1">IF(O2477="","",IF(Tipo_Vertedor="Retangular",IF(O2477&lt;=cota_s*100,0,IF(Tipo_Vertedor="Retangular",Cd_sr*Lef_sr*((O2477/100-cota_s)^(3/2))*1000)),IF(O2477&lt;=cota_s*100+fi_s/20,0,(OFFSET('Base de dados'!$A$4,IF(O2477&lt;20,1,IF(O2477&gt;1000,10,MATCH(O2477,Cargas,1))),Coluna_fis,1,1))*(PI()*(fi_s/1000)^2/4)*(2*9.81*(O2477/100-cota_s-fi_s/2/1000))^0.5*1000)))</f>
        <v>14511.758819313258</v>
      </c>
      <c r="R2477" s="19">
        <f t="shared" ca="1" si="280"/>
        <v>14578.521320691038</v>
      </c>
      <c r="S2477" s="19">
        <f t="shared" ca="1" si="281"/>
        <v>15697.928498586478</v>
      </c>
    </row>
    <row r="2478" spans="13:19">
      <c r="M2478" s="81">
        <f t="shared" ca="1" si="278"/>
        <v>30293.329613308917</v>
      </c>
      <c r="N2478" s="19">
        <f t="shared" si="279"/>
        <v>471.15175560095116</v>
      </c>
      <c r="O2478" s="17">
        <f t="shared" si="277"/>
        <v>619.25</v>
      </c>
      <c r="P2478" s="19">
        <f ca="1">IF(ISERROR(IF(O2478&lt;fi_h/20,0,(OFFSET('Base de dados'!$A$5,IF(O2478&lt;20,1,IF(O2478&gt;1000,10,MATCH(O2478,Cargas,1))),Coluna_fih,1,1))*(1+0.13*0.25)*(PI()*(fi_h/1000)^2/4)*SQRT(2*9.81*(O2478/100-fi_h/2/1000))*1000)),"",IF(O2478&lt;fi_h/20,0,(OFFSET('Base de dados'!$A$5,IF(O2478&lt;20,1,IF(O2478&gt;1000,10,MATCH(O2478,Cargas,1))),Coluna_fih,1,1))*(PI()*(fi_h/1000)^2/4)*SQRT(2*9.81*(O2478/100-fi_h/2/1000))*1000))</f>
        <v>66.776105888144741</v>
      </c>
      <c r="Q2478" s="19">
        <f ca="1">IF(O2478="","",IF(Tipo_Vertedor="Retangular",IF(O2478&lt;=cota_s*100,0,IF(Tipo_Vertedor="Retangular",Cd_sr*Lef_sr*((O2478/100-cota_s)^(3/2))*1000)),IF(O2478&lt;=cota_s*100+fi_s/20,0,(OFFSET('Base de dados'!$A$4,IF(O2478&lt;20,1,IF(O2478&gt;1000,10,MATCH(O2478,Cargas,1))),Coluna_fis,1,1))*(PI()*(fi_s/1000)^2/4)*(2*9.81*(O2478/100-cota_s-fi_s/2/1000))^0.5*1000)))</f>
        <v>14521.494987389069</v>
      </c>
      <c r="R2478" s="19">
        <f t="shared" ca="1" si="280"/>
        <v>14588.271093277213</v>
      </c>
      <c r="S2478" s="19">
        <f t="shared" ca="1" si="281"/>
        <v>15705.058520031705</v>
      </c>
    </row>
    <row r="2479" spans="13:19">
      <c r="M2479" s="81">
        <f t="shared" ca="1" si="278"/>
        <v>30310.211939574154</v>
      </c>
      <c r="N2479" s="19">
        <f t="shared" si="279"/>
        <v>471.365667002169</v>
      </c>
      <c r="O2479" s="17">
        <f t="shared" si="277"/>
        <v>619.5</v>
      </c>
      <c r="P2479" s="19">
        <f ca="1">IF(ISERROR(IF(O2479&lt;fi_h/20,0,(OFFSET('Base de dados'!$A$5,IF(O2479&lt;20,1,IF(O2479&gt;1000,10,MATCH(O2479,Cargas,1))),Coluna_fih,1,1))*(1+0.13*0.25)*(PI()*(fi_h/1000)^2/4)*SQRT(2*9.81*(O2479/100-fi_h/2/1000))*1000)),"",IF(O2479&lt;fi_h/20,0,(OFFSET('Base de dados'!$A$5,IF(O2479&lt;20,1,IF(O2479&gt;1000,10,MATCH(O2479,Cargas,1))),Coluna_fih,1,1))*(PI()*(fi_h/1000)^2/4)*SQRT(2*9.81*(O2479/100-fi_h/2/1000))*1000))</f>
        <v>66.789707627382839</v>
      </c>
      <c r="Q2479" s="19">
        <f ca="1">IF(O2479="","",IF(Tipo_Vertedor="Retangular",IF(O2479&lt;=cota_s*100,0,IF(Tipo_Vertedor="Retangular",Cd_sr*Lef_sr*((O2479/100-cota_s)^(3/2))*1000)),IF(O2479&lt;=cota_s*100+fi_s/20,0,(OFFSET('Base de dados'!$A$4,IF(O2479&lt;20,1,IF(O2479&gt;1000,10,MATCH(O2479,Cargas,1))),Coluna_fis,1,1))*(PI()*(fi_s/1000)^2/4)*(2*9.81*(O2479/100-cota_s-fi_s/2/1000))^0.5*1000)))</f>
        <v>14531.233331874471</v>
      </c>
      <c r="R2479" s="19">
        <f t="shared" ca="1" si="280"/>
        <v>14598.023039501853</v>
      </c>
      <c r="S2479" s="19">
        <f t="shared" ca="1" si="281"/>
        <v>15712.1889000723</v>
      </c>
    </row>
    <row r="2480" spans="13:19">
      <c r="M2480" s="81">
        <f t="shared" ca="1" si="278"/>
        <v>30327.096797461927</v>
      </c>
      <c r="N2480" s="19">
        <f t="shared" si="279"/>
        <v>471.57958915744763</v>
      </c>
      <c r="O2480" s="17">
        <f t="shared" si="277"/>
        <v>619.75</v>
      </c>
      <c r="P2480" s="19">
        <f ca="1">IF(ISERROR(IF(O2480&lt;fi_h/20,0,(OFFSET('Base de dados'!$A$5,IF(O2480&lt;20,1,IF(O2480&gt;1000,10,MATCH(O2480,Cargas,1))),Coluna_fih,1,1))*(1+0.13*0.25)*(PI()*(fi_h/1000)^2/4)*SQRT(2*9.81*(O2480/100-fi_h/2/1000))*1000)),"",IF(O2480&lt;fi_h/20,0,(OFFSET('Base de dados'!$A$5,IF(O2480&lt;20,1,IF(O2480&gt;1000,10,MATCH(O2480,Cargas,1))),Coluna_fih,1,1))*(PI()*(fi_h/1000)^2/4)*SQRT(2*9.81*(O2480/100-fi_h/2/1000))*1000))</f>
        <v>66.803306597187571</v>
      </c>
      <c r="Q2480" s="19">
        <f ca="1">IF(O2480="","",IF(Tipo_Vertedor="Retangular",IF(O2480&lt;=cota_s*100,0,IF(Tipo_Vertedor="Retangular",Cd_sr*Lef_sr*((O2480/100-cota_s)^(3/2))*1000)),IF(O2480&lt;=cota_s*100+fi_s/20,0,(OFFSET('Base de dados'!$A$4,IF(O2480&lt;20,1,IF(O2480&gt;1000,10,MATCH(O2480,Cargas,1))),Coluna_fis,1,1))*(PI()*(fi_s/1000)^2/4)*(2*9.81*(O2480/100-cota_s-fi_s/2/1000))^0.5*1000)))</f>
        <v>14540.973852283154</v>
      </c>
      <c r="R2480" s="19">
        <f t="shared" ca="1" si="280"/>
        <v>14607.777158880341</v>
      </c>
      <c r="S2480" s="19">
        <f t="shared" ca="1" si="281"/>
        <v>15719.319638581588</v>
      </c>
    </row>
    <row r="2481" spans="13:19">
      <c r="M2481" s="81">
        <f t="shared" ca="1" si="278"/>
        <v>30343.984186361398</v>
      </c>
      <c r="N2481" s="19">
        <f t="shared" si="279"/>
        <v>471.79352206298927</v>
      </c>
      <c r="O2481" s="17">
        <f t="shared" si="277"/>
        <v>620</v>
      </c>
      <c r="P2481" s="19">
        <f ca="1">IF(ISERROR(IF(O2481&lt;fi_h/20,0,(OFFSET('Base de dados'!$A$5,IF(O2481&lt;20,1,IF(O2481&gt;1000,10,MATCH(O2481,Cargas,1))),Coluna_fih,1,1))*(1+0.13*0.25)*(PI()*(fi_h/1000)^2/4)*SQRT(2*9.81*(O2481/100-fi_h/2/1000))*1000)),"",IF(O2481&lt;fi_h/20,0,(OFFSET('Base de dados'!$A$5,IF(O2481&lt;20,1,IF(O2481&gt;1000,10,MATCH(O2481,Cargas,1))),Coluna_fih,1,1))*(PI()*(fi_h/1000)^2/4)*SQRT(2*9.81*(O2481/100-fi_h/2/1000))*1000))</f>
        <v>66.816902799249888</v>
      </c>
      <c r="Q2481" s="19">
        <f ca="1">IF(O2481="","",IF(Tipo_Vertedor="Retangular",IF(O2481&lt;=cota_s*100,0,IF(Tipo_Vertedor="Retangular",Cd_sr*Lef_sr*((O2481/100-cota_s)^(3/2))*1000)),IF(O2481&lt;=cota_s*100+fi_s/20,0,(OFFSET('Base de dados'!$A$4,IF(O2481&lt;20,1,IF(O2481&gt;1000,10,MATCH(O2481,Cargas,1))),Coluna_fis,1,1))*(PI()*(fi_s/1000)^2/4)*(2*9.81*(O2481/100-cota_s-fi_s/2/1000))^0.5*1000)))</f>
        <v>14550.716548129174</v>
      </c>
      <c r="R2481" s="19">
        <f t="shared" ca="1" si="280"/>
        <v>14617.533450928424</v>
      </c>
      <c r="S2481" s="19">
        <f t="shared" ca="1" si="281"/>
        <v>15726.450735432974</v>
      </c>
    </row>
    <row r="2482" spans="13:19">
      <c r="M2482" s="81">
        <f t="shared" ca="1" si="278"/>
        <v>30360.874105662075</v>
      </c>
      <c r="N2482" s="19">
        <f t="shared" si="279"/>
        <v>472.0074657149986</v>
      </c>
      <c r="O2482" s="17">
        <f t="shared" si="277"/>
        <v>620.25</v>
      </c>
      <c r="P2482" s="19">
        <f ca="1">IF(ISERROR(IF(O2482&lt;fi_h/20,0,(OFFSET('Base de dados'!$A$5,IF(O2482&lt;20,1,IF(O2482&gt;1000,10,MATCH(O2482,Cargas,1))),Coluna_fih,1,1))*(1+0.13*0.25)*(PI()*(fi_h/1000)^2/4)*SQRT(2*9.81*(O2482/100-fi_h/2/1000))*1000)),"",IF(O2482&lt;fi_h/20,0,(OFFSET('Base de dados'!$A$5,IF(O2482&lt;20,1,IF(O2482&gt;1000,10,MATCH(O2482,Cargas,1))),Coluna_fih,1,1))*(PI()*(fi_h/1000)^2/4)*SQRT(2*9.81*(O2482/100-fi_h/2/1000))*1000))</f>
        <v>66.830496235259005</v>
      </c>
      <c r="Q2482" s="19">
        <f ca="1">IF(O2482="","",IF(Tipo_Vertedor="Retangular",IF(O2482&lt;=cota_s*100,0,IF(Tipo_Vertedor="Retangular",Cd_sr*Lef_sr*((O2482/100-cota_s)^(3/2))*1000)),IF(O2482&lt;=cota_s*100+fi_s/20,0,(OFFSET('Base de dados'!$A$4,IF(O2482&lt;20,1,IF(O2482&gt;1000,10,MATCH(O2482,Cargas,1))),Coluna_fis,1,1))*(PI()*(fi_s/1000)^2/4)*(2*9.81*(O2482/100-cota_s-fi_s/2/1000))^0.5*1000)))</f>
        <v>14560.461418926861</v>
      </c>
      <c r="R2482" s="19">
        <f t="shared" ca="1" si="280"/>
        <v>14627.291915162121</v>
      </c>
      <c r="S2482" s="19">
        <f t="shared" ca="1" si="281"/>
        <v>15733.582190499954</v>
      </c>
    </row>
    <row r="2483" spans="13:19">
      <c r="M2483" s="81">
        <f t="shared" ca="1" si="278"/>
        <v>30377.766554753947</v>
      </c>
      <c r="N2483" s="19">
        <f t="shared" si="279"/>
        <v>472.22142010968406</v>
      </c>
      <c r="O2483" s="17">
        <f t="shared" si="277"/>
        <v>620.5</v>
      </c>
      <c r="P2483" s="19">
        <f ca="1">IF(ISERROR(IF(O2483&lt;fi_h/20,0,(OFFSET('Base de dados'!$A$5,IF(O2483&lt;20,1,IF(O2483&gt;1000,10,MATCH(O2483,Cargas,1))),Coluna_fih,1,1))*(1+0.13*0.25)*(PI()*(fi_h/1000)^2/4)*SQRT(2*9.81*(O2483/100-fi_h/2/1000))*1000)),"",IF(O2483&lt;fi_h/20,0,(OFFSET('Base de dados'!$A$5,IF(O2483&lt;20,1,IF(O2483&gt;1000,10,MATCH(O2483,Cargas,1))),Coluna_fih,1,1))*(PI()*(fi_h/1000)^2/4)*SQRT(2*9.81*(O2483/100-fi_h/2/1000))*1000))</f>
        <v>66.844086906902476</v>
      </c>
      <c r="Q2483" s="19">
        <f ca="1">IF(O2483="","",IF(Tipo_Vertedor="Retangular",IF(O2483&lt;=cota_s*100,0,IF(Tipo_Vertedor="Retangular",Cd_sr*Lef_sr*((O2483/100-cota_s)^(3/2))*1000)),IF(O2483&lt;=cota_s*100+fi_s/20,0,(OFFSET('Base de dados'!$A$4,IF(O2483&lt;20,1,IF(O2483&gt;1000,10,MATCH(O2483,Cargas,1))),Coluna_fis,1,1))*(PI()*(fi_s/1000)^2/4)*(2*9.81*(O2483/100-cota_s-fi_s/2/1000))^0.5*1000)))</f>
        <v>14570.20846419091</v>
      </c>
      <c r="R2483" s="19">
        <f t="shared" ca="1" si="280"/>
        <v>14637.052551097811</v>
      </c>
      <c r="S2483" s="19">
        <f t="shared" ca="1" si="281"/>
        <v>15740.714003656136</v>
      </c>
    </row>
    <row r="2484" spans="13:19">
      <c r="M2484" s="81">
        <f t="shared" ca="1" si="278"/>
        <v>30394.661533027407</v>
      </c>
      <c r="N2484" s="19">
        <f t="shared" si="279"/>
        <v>472.43538524325618</v>
      </c>
      <c r="O2484" s="17">
        <f t="shared" si="277"/>
        <v>620.75</v>
      </c>
      <c r="P2484" s="19">
        <f ca="1">IF(ISERROR(IF(O2484&lt;fi_h/20,0,(OFFSET('Base de dados'!$A$5,IF(O2484&lt;20,1,IF(O2484&gt;1000,10,MATCH(O2484,Cargas,1))),Coluna_fih,1,1))*(1+0.13*0.25)*(PI()*(fi_h/1000)^2/4)*SQRT(2*9.81*(O2484/100-fi_h/2/1000))*1000)),"",IF(O2484&lt;fi_h/20,0,(OFFSET('Base de dados'!$A$5,IF(O2484&lt;20,1,IF(O2484&gt;1000,10,MATCH(O2484,Cargas,1))),Coluna_fih,1,1))*(PI()*(fi_h/1000)^2/4)*SQRT(2*9.81*(O2484/100-fi_h/2/1000))*1000))</f>
        <v>66.857674815866076</v>
      </c>
      <c r="Q2484" s="19">
        <f ca="1">IF(O2484="","",IF(Tipo_Vertedor="Retangular",IF(O2484&lt;=cota_s*100,0,IF(Tipo_Vertedor="Retangular",Cd_sr*Lef_sr*((O2484/100-cota_s)^(3/2))*1000)),IF(O2484&lt;=cota_s*100+fi_s/20,0,(OFFSET('Base de dados'!$A$4,IF(O2484&lt;20,1,IF(O2484&gt;1000,10,MATCH(O2484,Cargas,1))),Coluna_fis,1,1))*(PI()*(fi_s/1000)^2/4)*(2*9.81*(O2484/100-cota_s-fi_s/2/1000))^0.5*1000)))</f>
        <v>14579.957683436336</v>
      </c>
      <c r="R2484" s="19">
        <f t="shared" ca="1" si="280"/>
        <v>14646.815358252203</v>
      </c>
      <c r="S2484" s="19">
        <f t="shared" ca="1" si="281"/>
        <v>15747.846174775206</v>
      </c>
    </row>
    <row r="2485" spans="13:19">
      <c r="M2485" s="81">
        <f t="shared" ca="1" si="278"/>
        <v>30411.559039873264</v>
      </c>
      <c r="N2485" s="19">
        <f t="shared" si="279"/>
        <v>472.64936111192907</v>
      </c>
      <c r="O2485" s="17">
        <f t="shared" si="277"/>
        <v>621</v>
      </c>
      <c r="P2485" s="19">
        <f ca="1">IF(ISERROR(IF(O2485&lt;fi_h/20,0,(OFFSET('Base de dados'!$A$5,IF(O2485&lt;20,1,IF(O2485&gt;1000,10,MATCH(O2485,Cargas,1))),Coluna_fih,1,1))*(1+0.13*0.25)*(PI()*(fi_h/1000)^2/4)*SQRT(2*9.81*(O2485/100-fi_h/2/1000))*1000)),"",IF(O2485&lt;fi_h/20,0,(OFFSET('Base de dados'!$A$5,IF(O2485&lt;20,1,IF(O2485&gt;1000,10,MATCH(O2485,Cargas,1))),Coluna_fih,1,1))*(PI()*(fi_h/1000)^2/4)*SQRT(2*9.81*(O2485/100-fi_h/2/1000))*1000))</f>
        <v>66.871259963833907</v>
      </c>
      <c r="Q2485" s="19">
        <f ca="1">IF(O2485="","",IF(Tipo_Vertedor="Retangular",IF(O2485&lt;=cota_s*100,0,IF(Tipo_Vertedor="Retangular",Cd_sr*Lef_sr*((O2485/100-cota_s)^(3/2))*1000)),IF(O2485&lt;=cota_s*100+fi_s/20,0,(OFFSET('Base de dados'!$A$4,IF(O2485&lt;20,1,IF(O2485&gt;1000,10,MATCH(O2485,Cargas,1))),Coluna_fis,1,1))*(PI()*(fi_s/1000)^2/4)*(2*9.81*(O2485/100-cota_s-fi_s/2/1000))^0.5*1000)))</f>
        <v>14589.70907617846</v>
      </c>
      <c r="R2485" s="19">
        <f t="shared" ca="1" si="280"/>
        <v>14656.580336142295</v>
      </c>
      <c r="S2485" s="19">
        <f t="shared" ca="1" si="281"/>
        <v>15754.978703730969</v>
      </c>
    </row>
    <row r="2486" spans="13:19">
      <c r="M2486" s="81">
        <f t="shared" ca="1" si="278"/>
        <v>30428.459074682731</v>
      </c>
      <c r="N2486" s="19">
        <f t="shared" si="279"/>
        <v>472.863347711919</v>
      </c>
      <c r="O2486" s="17">
        <f t="shared" si="277"/>
        <v>621.25</v>
      </c>
      <c r="P2486" s="19">
        <f ca="1">IF(ISERROR(IF(O2486&lt;fi_h/20,0,(OFFSET('Base de dados'!$A$5,IF(O2486&lt;20,1,IF(O2486&gt;1000,10,MATCH(O2486,Cargas,1))),Coluna_fih,1,1))*(1+0.13*0.25)*(PI()*(fi_h/1000)^2/4)*SQRT(2*9.81*(O2486/100-fi_h/2/1000))*1000)),"",IF(O2486&lt;fi_h/20,0,(OFFSET('Base de dados'!$A$5,IF(O2486&lt;20,1,IF(O2486&gt;1000,10,MATCH(O2486,Cargas,1))),Coluna_fih,1,1))*(PI()*(fi_h/1000)^2/4)*SQRT(2*9.81*(O2486/100-fi_h/2/1000))*1000))</f>
        <v>66.884842352488334</v>
      </c>
      <c r="Q2486" s="19">
        <f ca="1">IF(O2486="","",IF(Tipo_Vertedor="Retangular",IF(O2486&lt;=cota_s*100,0,IF(Tipo_Vertedor="Retangular",Cd_sr*Lef_sr*((O2486/100-cota_s)^(3/2))*1000)),IF(O2486&lt;=cota_s*100+fi_s/20,0,(OFFSET('Base de dados'!$A$4,IF(O2486&lt;20,1,IF(O2486&gt;1000,10,MATCH(O2486,Cargas,1))),Coluna_fis,1,1))*(PI()*(fi_s/1000)^2/4)*(2*9.81*(O2486/100-cota_s-fi_s/2/1000))^0.5*1000)))</f>
        <v>14599.462641932942</v>
      </c>
      <c r="R2486" s="19">
        <f t="shared" ca="1" si="280"/>
        <v>14666.34748428543</v>
      </c>
      <c r="S2486" s="19">
        <f t="shared" ca="1" si="281"/>
        <v>15762.1115903973</v>
      </c>
    </row>
    <row r="2487" spans="13:19">
      <c r="M2487" s="81">
        <f t="shared" ca="1" si="278"/>
        <v>30445.36163684744</v>
      </c>
      <c r="N2487" s="19">
        <f t="shared" si="279"/>
        <v>473.0773450394455</v>
      </c>
      <c r="O2487" s="17">
        <f t="shared" si="277"/>
        <v>621.5</v>
      </c>
      <c r="P2487" s="19">
        <f ca="1">IF(ISERROR(IF(O2487&lt;fi_h/20,0,(OFFSET('Base de dados'!$A$5,IF(O2487&lt;20,1,IF(O2487&gt;1000,10,MATCH(O2487,Cargas,1))),Coluna_fih,1,1))*(1+0.13*0.25)*(PI()*(fi_h/1000)^2/4)*SQRT(2*9.81*(O2487/100-fi_h/2/1000))*1000)),"",IF(O2487&lt;fi_h/20,0,(OFFSET('Base de dados'!$A$5,IF(O2487&lt;20,1,IF(O2487&gt;1000,10,MATCH(O2487,Cargas,1))),Coluna_fih,1,1))*(PI()*(fi_h/1000)^2/4)*SQRT(2*9.81*(O2487/100-fi_h/2/1000))*1000))</f>
        <v>66.898421983510033</v>
      </c>
      <c r="Q2487" s="19">
        <f ca="1">IF(O2487="","",IF(Tipo_Vertedor="Retangular",IF(O2487&lt;=cota_s*100,0,IF(Tipo_Vertedor="Retangular",Cd_sr*Lef_sr*((O2487/100-cota_s)^(3/2))*1000)),IF(O2487&lt;=cota_s*100+fi_s/20,0,(OFFSET('Base de dados'!$A$4,IF(O2487&lt;20,1,IF(O2487&gt;1000,10,MATCH(O2487,Cargas,1))),Coluna_fis,1,1))*(PI()*(fi_s/1000)^2/4)*(2*9.81*(O2487/100-cota_s-fi_s/2/1000))^0.5*1000)))</f>
        <v>14609.218380215747</v>
      </c>
      <c r="R2487" s="19">
        <f t="shared" ca="1" si="280"/>
        <v>14676.116802199256</v>
      </c>
      <c r="S2487" s="19">
        <f t="shared" ca="1" si="281"/>
        <v>15769.244834648183</v>
      </c>
    </row>
    <row r="2488" spans="13:19">
      <c r="M2488" s="81">
        <f t="shared" ca="1" si="278"/>
        <v>30462.266725759466</v>
      </c>
      <c r="N2488" s="19">
        <f t="shared" si="279"/>
        <v>473.29135309073098</v>
      </c>
      <c r="O2488" s="17">
        <f t="shared" si="277"/>
        <v>621.75</v>
      </c>
      <c r="P2488" s="19">
        <f ca="1">IF(ISERROR(IF(O2488&lt;fi_h/20,0,(OFFSET('Base de dados'!$A$5,IF(O2488&lt;20,1,IF(O2488&gt;1000,10,MATCH(O2488,Cargas,1))),Coluna_fih,1,1))*(1+0.13*0.25)*(PI()*(fi_h/1000)^2/4)*SQRT(2*9.81*(O2488/100-fi_h/2/1000))*1000)),"",IF(O2488&lt;fi_h/20,0,(OFFSET('Base de dados'!$A$5,IF(O2488&lt;20,1,IF(O2488&gt;1000,10,MATCH(O2488,Cargas,1))),Coluna_fih,1,1))*(PI()*(fi_h/1000)^2/4)*SQRT(2*9.81*(O2488/100-fi_h/2/1000))*1000))</f>
        <v>66.911998858577988</v>
      </c>
      <c r="Q2488" s="19">
        <f ca="1">IF(O2488="","",IF(Tipo_Vertedor="Retangular",IF(O2488&lt;=cota_s*100,0,IF(Tipo_Vertedor="Retangular",Cd_sr*Lef_sr*((O2488/100-cota_s)^(3/2))*1000)),IF(O2488&lt;=cota_s*100+fi_s/20,0,(OFFSET('Base de dados'!$A$4,IF(O2488&lt;20,1,IF(O2488&gt;1000,10,MATCH(O2488,Cargas,1))),Coluna_fis,1,1))*(PI()*(fi_s/1000)^2/4)*(2*9.81*(O2488/100-cota_s-fi_s/2/1000))^0.5*1000)))</f>
        <v>14618.976290543193</v>
      </c>
      <c r="R2488" s="19">
        <f t="shared" ca="1" si="280"/>
        <v>14685.88828940177</v>
      </c>
      <c r="S2488" s="19">
        <f t="shared" ca="1" si="281"/>
        <v>15776.378436357698</v>
      </c>
    </row>
    <row r="2489" spans="13:19">
      <c r="M2489" s="81">
        <f t="shared" ca="1" si="278"/>
        <v>30479.174340811274</v>
      </c>
      <c r="N2489" s="19">
        <f t="shared" si="279"/>
        <v>473.50537186200017</v>
      </c>
      <c r="O2489" s="17">
        <f t="shared" si="277"/>
        <v>622</v>
      </c>
      <c r="P2489" s="19">
        <f ca="1">IF(ISERROR(IF(O2489&lt;fi_h/20,0,(OFFSET('Base de dados'!$A$5,IF(O2489&lt;20,1,IF(O2489&gt;1000,10,MATCH(O2489,Cargas,1))),Coluna_fih,1,1))*(1+0.13*0.25)*(PI()*(fi_h/1000)^2/4)*SQRT(2*9.81*(O2489/100-fi_h/2/1000))*1000)),"",IF(O2489&lt;fi_h/20,0,(OFFSET('Base de dados'!$A$5,IF(O2489&lt;20,1,IF(O2489&gt;1000,10,MATCH(O2489,Cargas,1))),Coluna_fih,1,1))*(PI()*(fi_h/1000)^2/4)*SQRT(2*9.81*(O2489/100-fi_h/2/1000))*1000))</f>
        <v>66.925572979369434</v>
      </c>
      <c r="Q2489" s="19">
        <f ca="1">IF(O2489="","",IF(Tipo_Vertedor="Retangular",IF(O2489&lt;=cota_s*100,0,IF(Tipo_Vertedor="Retangular",Cd_sr*Lef_sr*((O2489/100-cota_s)^(3/2))*1000)),IF(O2489&lt;=cota_s*100+fi_s/20,0,(OFFSET('Base de dados'!$A$4,IF(O2489&lt;20,1,IF(O2489&gt;1000,10,MATCH(O2489,Cargas,1))),Coluna_fis,1,1))*(PI()*(fi_s/1000)^2/4)*(2*9.81*(O2489/100-cota_s-fi_s/2/1000))^0.5*1000)))</f>
        <v>14628.736372431897</v>
      </c>
      <c r="R2489" s="19">
        <f t="shared" ca="1" si="280"/>
        <v>14695.661945411266</v>
      </c>
      <c r="S2489" s="19">
        <f t="shared" ca="1" si="281"/>
        <v>15783.512395400006</v>
      </c>
    </row>
    <row r="2490" spans="13:19">
      <c r="M2490" s="81">
        <f t="shared" ca="1" si="278"/>
        <v>30496.084481395774</v>
      </c>
      <c r="N2490" s="19">
        <f t="shared" si="279"/>
        <v>473.7194013494817</v>
      </c>
      <c r="O2490" s="17">
        <f t="shared" si="277"/>
        <v>622.25</v>
      </c>
      <c r="P2490" s="19">
        <f ca="1">IF(ISERROR(IF(O2490&lt;fi_h/20,0,(OFFSET('Base de dados'!$A$5,IF(O2490&lt;20,1,IF(O2490&gt;1000,10,MATCH(O2490,Cargas,1))),Coluna_fih,1,1))*(1+0.13*0.25)*(PI()*(fi_h/1000)^2/4)*SQRT(2*9.81*(O2490/100-fi_h/2/1000))*1000)),"",IF(O2490&lt;fi_h/20,0,(OFFSET('Base de dados'!$A$5,IF(O2490&lt;20,1,IF(O2490&gt;1000,10,MATCH(O2490,Cargas,1))),Coluna_fih,1,1))*(PI()*(fi_h/1000)^2/4)*SQRT(2*9.81*(O2490/100-fi_h/2/1000))*1000))</f>
        <v>66.939144347559932</v>
      </c>
      <c r="Q2490" s="19">
        <f ca="1">IF(O2490="","",IF(Tipo_Vertedor="Retangular",IF(O2490&lt;=cota_s*100,0,IF(Tipo_Vertedor="Retangular",Cd_sr*Lef_sr*((O2490/100-cota_s)^(3/2))*1000)),IF(O2490&lt;=cota_s*100+fi_s/20,0,(OFFSET('Base de dados'!$A$4,IF(O2490&lt;20,1,IF(O2490&gt;1000,10,MATCH(O2490,Cargas,1))),Coluna_fis,1,1))*(PI()*(fi_s/1000)^2/4)*(2*9.81*(O2490/100-cota_s-fi_s/2/1000))^0.5*1000)))</f>
        <v>14638.498625398823</v>
      </c>
      <c r="R2490" s="19">
        <f t="shared" ca="1" si="280"/>
        <v>14705.437769746382</v>
      </c>
      <c r="S2490" s="19">
        <f t="shared" ca="1" si="281"/>
        <v>15790.646711649391</v>
      </c>
    </row>
    <row r="2491" spans="13:19">
      <c r="M2491" s="81">
        <f t="shared" ca="1" si="278"/>
        <v>30512.997146906237</v>
      </c>
      <c r="N2491" s="19">
        <f t="shared" si="279"/>
        <v>473.93344154940581</v>
      </c>
      <c r="O2491" s="17">
        <f t="shared" si="277"/>
        <v>622.5</v>
      </c>
      <c r="P2491" s="19">
        <f ca="1">IF(ISERROR(IF(O2491&lt;fi_h/20,0,(OFFSET('Base de dados'!$A$5,IF(O2491&lt;20,1,IF(O2491&gt;1000,10,MATCH(O2491,Cargas,1))),Coluna_fih,1,1))*(1+0.13*0.25)*(PI()*(fi_h/1000)^2/4)*SQRT(2*9.81*(O2491/100-fi_h/2/1000))*1000)),"",IF(O2491&lt;fi_h/20,0,(OFFSET('Base de dados'!$A$5,IF(O2491&lt;20,1,IF(O2491&gt;1000,10,MATCH(O2491,Cargas,1))),Coluna_fih,1,1))*(PI()*(fi_h/1000)^2/4)*SQRT(2*9.81*(O2491/100-fi_h/2/1000))*1000))</f>
        <v>66.952712964823363</v>
      </c>
      <c r="Q2491" s="19">
        <f ca="1">IF(O2491="","",IF(Tipo_Vertedor="Retangular",IF(O2491&lt;=cota_s*100,0,IF(Tipo_Vertedor="Retangular",Cd_sr*Lef_sr*((O2491/100-cota_s)^(3/2))*1000)),IF(O2491&lt;=cota_s*100+fi_s/20,0,(OFFSET('Base de dados'!$A$4,IF(O2491&lt;20,1,IF(O2491&gt;1000,10,MATCH(O2491,Cargas,1))),Coluna_fis,1,1))*(PI()*(fi_s/1000)^2/4)*(2*9.81*(O2491/100-cota_s-fi_s/2/1000))^0.5*1000)))</f>
        <v>14648.263048961218</v>
      </c>
      <c r="R2491" s="19">
        <f t="shared" ca="1" si="280"/>
        <v>14715.215761926042</v>
      </c>
      <c r="S2491" s="19">
        <f t="shared" ca="1" si="281"/>
        <v>15797.781384980193</v>
      </c>
    </row>
    <row r="2492" spans="13:19">
      <c r="M2492" s="81">
        <f t="shared" ca="1" si="278"/>
        <v>30529.912336736394</v>
      </c>
      <c r="N2492" s="19">
        <f t="shared" si="279"/>
        <v>474.14749245800647</v>
      </c>
      <c r="O2492" s="17">
        <f t="shared" si="277"/>
        <v>622.75</v>
      </c>
      <c r="P2492" s="19">
        <f ca="1">IF(ISERROR(IF(O2492&lt;fi_h/20,0,(OFFSET('Base de dados'!$A$5,IF(O2492&lt;20,1,IF(O2492&gt;1000,10,MATCH(O2492,Cargas,1))),Coluna_fih,1,1))*(1+0.13*0.25)*(PI()*(fi_h/1000)^2/4)*SQRT(2*9.81*(O2492/100-fi_h/2/1000))*1000)),"",IF(O2492&lt;fi_h/20,0,(OFFSET('Base de dados'!$A$5,IF(O2492&lt;20,1,IF(O2492&gt;1000,10,MATCH(O2492,Cargas,1))),Coluna_fih,1,1))*(PI()*(fi_h/1000)^2/4)*SQRT(2*9.81*(O2492/100-fi_h/2/1000))*1000))</f>
        <v>66.966278832831904</v>
      </c>
      <c r="Q2492" s="19">
        <f ca="1">IF(O2492="","",IF(Tipo_Vertedor="Retangular",IF(O2492&lt;=cota_s*100,0,IF(Tipo_Vertedor="Retangular",Cd_sr*Lef_sr*((O2492/100-cota_s)^(3/2))*1000)),IF(O2492&lt;=cota_s*100+fi_s/20,0,(OFFSET('Base de dados'!$A$4,IF(O2492&lt;20,1,IF(O2492&gt;1000,10,MATCH(O2492,Cargas,1))),Coluna_fis,1,1))*(PI()*(fi_s/1000)^2/4)*(2*9.81*(O2492/100-cota_s-fi_s/2/1000))^0.5*1000)))</f>
        <v>14658.02964263668</v>
      </c>
      <c r="R2492" s="19">
        <f t="shared" ca="1" si="280"/>
        <v>14724.995921469512</v>
      </c>
      <c r="S2492" s="19">
        <f t="shared" ca="1" si="281"/>
        <v>15804.916415266884</v>
      </c>
    </row>
    <row r="2493" spans="13:19">
      <c r="M2493" s="81">
        <f t="shared" ca="1" si="278"/>
        <v>30546.830050280405</v>
      </c>
      <c r="N2493" s="19">
        <f t="shared" si="279"/>
        <v>474.36155407152006</v>
      </c>
      <c r="O2493" s="17">
        <f t="shared" si="277"/>
        <v>623</v>
      </c>
      <c r="P2493" s="19">
        <f ca="1">IF(ISERROR(IF(O2493&lt;fi_h/20,0,(OFFSET('Base de dados'!$A$5,IF(O2493&lt;20,1,IF(O2493&gt;1000,10,MATCH(O2493,Cargas,1))),Coluna_fih,1,1))*(1+0.13*0.25)*(PI()*(fi_h/1000)^2/4)*SQRT(2*9.81*(O2493/100-fi_h/2/1000))*1000)),"",IF(O2493&lt;fi_h/20,0,(OFFSET('Base de dados'!$A$5,IF(O2493&lt;20,1,IF(O2493&gt;1000,10,MATCH(O2493,Cargas,1))),Coluna_fih,1,1))*(PI()*(fi_h/1000)^2/4)*SQRT(2*9.81*(O2493/100-fi_h/2/1000))*1000))</f>
        <v>66.979841953255999</v>
      </c>
      <c r="Q2493" s="19">
        <f ca="1">IF(O2493="","",IF(Tipo_Vertedor="Retangular",IF(O2493&lt;=cota_s*100,0,IF(Tipo_Vertedor="Retangular",Cd_sr*Lef_sr*((O2493/100-cota_s)^(3/2))*1000)),IF(O2493&lt;=cota_s*100+fi_s/20,0,(OFFSET('Base de dados'!$A$4,IF(O2493&lt;20,1,IF(O2493&gt;1000,10,MATCH(O2493,Cargas,1))),Coluna_fis,1,1))*(PI()*(fi_s/1000)^2/4)*(2*9.81*(O2493/100-cota_s-fi_s/2/1000))^0.5*1000)))</f>
        <v>14667.798405943146</v>
      </c>
      <c r="R2493" s="19">
        <f t="shared" ca="1" si="280"/>
        <v>14734.778247896402</v>
      </c>
      <c r="S2493" s="19">
        <f t="shared" ca="1" si="281"/>
        <v>15812.051802384001</v>
      </c>
    </row>
    <row r="2494" spans="13:19">
      <c r="M2494" s="81">
        <f t="shared" ca="1" si="278"/>
        <v>30563.750286932773</v>
      </c>
      <c r="N2494" s="19">
        <f t="shared" si="279"/>
        <v>474.57562638618595</v>
      </c>
      <c r="O2494" s="17">
        <f t="shared" si="277"/>
        <v>623.25</v>
      </c>
      <c r="P2494" s="19">
        <f ca="1">IF(ISERROR(IF(O2494&lt;fi_h/20,0,(OFFSET('Base de dados'!$A$5,IF(O2494&lt;20,1,IF(O2494&gt;1000,10,MATCH(O2494,Cargas,1))),Coluna_fih,1,1))*(1+0.13*0.25)*(PI()*(fi_h/1000)^2/4)*SQRT(2*9.81*(O2494/100-fi_h/2/1000))*1000)),"",IF(O2494&lt;fi_h/20,0,(OFFSET('Base de dados'!$A$5,IF(O2494&lt;20,1,IF(O2494&gt;1000,10,MATCH(O2494,Cargas,1))),Coluna_fih,1,1))*(PI()*(fi_h/1000)^2/4)*SQRT(2*9.81*(O2494/100-fi_h/2/1000))*1000))</f>
        <v>66.993402327764443</v>
      </c>
      <c r="Q2494" s="19">
        <f ca="1">IF(O2494="","",IF(Tipo_Vertedor="Retangular",IF(O2494&lt;=cota_s*100,0,IF(Tipo_Vertedor="Retangular",Cd_sr*Lef_sr*((O2494/100-cota_s)^(3/2))*1000)),IF(O2494&lt;=cota_s*100+fi_s/20,0,(OFFSET('Base de dados'!$A$4,IF(O2494&lt;20,1,IF(O2494&gt;1000,10,MATCH(O2494,Cargas,1))),Coluna_fis,1,1))*(PI()*(fi_s/1000)^2/4)*(2*9.81*(O2494/100-cota_s-fi_s/2/1000))^0.5*1000)))</f>
        <v>14677.569338398809</v>
      </c>
      <c r="R2494" s="19">
        <f t="shared" ca="1" si="280"/>
        <v>14744.562740726573</v>
      </c>
      <c r="S2494" s="19">
        <f t="shared" ca="1" si="281"/>
        <v>15819.187546206198</v>
      </c>
    </row>
    <row r="2495" spans="13:19">
      <c r="M2495" s="81">
        <f t="shared" ca="1" si="278"/>
        <v>30580.673046088494</v>
      </c>
      <c r="N2495" s="19">
        <f t="shared" si="279"/>
        <v>474.7897093982462</v>
      </c>
      <c r="O2495" s="17">
        <f t="shared" si="277"/>
        <v>623.5</v>
      </c>
      <c r="P2495" s="19">
        <f ca="1">IF(ISERROR(IF(O2495&lt;fi_h/20,0,(OFFSET('Base de dados'!$A$5,IF(O2495&lt;20,1,IF(O2495&gt;1000,10,MATCH(O2495,Cargas,1))),Coluna_fih,1,1))*(1+0.13*0.25)*(PI()*(fi_h/1000)^2/4)*SQRT(2*9.81*(O2495/100-fi_h/2/1000))*1000)),"",IF(O2495&lt;fi_h/20,0,(OFFSET('Base de dados'!$A$5,IF(O2495&lt;20,1,IF(O2495&gt;1000,10,MATCH(O2495,Cargas,1))),Coluna_fih,1,1))*(PI()*(fi_h/1000)^2/4)*SQRT(2*9.81*(O2495/100-fi_h/2/1000))*1000))</f>
        <v>67.006959958024325</v>
      </c>
      <c r="Q2495" s="19">
        <f ca="1">IF(O2495="","",IF(Tipo_Vertedor="Retangular",IF(O2495&lt;=cota_s*100,0,IF(Tipo_Vertedor="Retangular",Cd_sr*Lef_sr*((O2495/100-cota_s)^(3/2))*1000)),IF(O2495&lt;=cota_s*100+fi_s/20,0,(OFFSET('Base de dados'!$A$4,IF(O2495&lt;20,1,IF(O2495&gt;1000,10,MATCH(O2495,Cargas,1))),Coluna_fis,1,1))*(PI()*(fi_s/1000)^2/4)*(2*9.81*(O2495/100-cota_s-fi_s/2/1000))^0.5*1000)))</f>
        <v>14687.342439522263</v>
      </c>
      <c r="R2495" s="19">
        <f t="shared" ca="1" si="280"/>
        <v>14754.349399480287</v>
      </c>
      <c r="S2495" s="19">
        <f t="shared" ca="1" si="281"/>
        <v>15826.323646608207</v>
      </c>
    </row>
    <row r="2496" spans="13:19">
      <c r="M2496" s="81">
        <f t="shared" ca="1" si="278"/>
        <v>30597.598327142914</v>
      </c>
      <c r="N2496" s="19">
        <f t="shared" si="279"/>
        <v>475.00380310394587</v>
      </c>
      <c r="O2496" s="17">
        <f t="shared" si="277"/>
        <v>623.75</v>
      </c>
      <c r="P2496" s="19">
        <f ca="1">IF(ISERROR(IF(O2496&lt;fi_h/20,0,(OFFSET('Base de dados'!$A$5,IF(O2496&lt;20,1,IF(O2496&gt;1000,10,MATCH(O2496,Cargas,1))),Coluna_fih,1,1))*(1+0.13*0.25)*(PI()*(fi_h/1000)^2/4)*SQRT(2*9.81*(O2496/100-fi_h/2/1000))*1000)),"",IF(O2496&lt;fi_h/20,0,(OFFSET('Base de dados'!$A$5,IF(O2496&lt;20,1,IF(O2496&gt;1000,10,MATCH(O2496,Cargas,1))),Coluna_fih,1,1))*(PI()*(fi_h/1000)^2/4)*SQRT(2*9.81*(O2496/100-fi_h/2/1000))*1000))</f>
        <v>67.020514845701072</v>
      </c>
      <c r="Q2496" s="19">
        <f ca="1">IF(O2496="","",IF(Tipo_Vertedor="Retangular",IF(O2496&lt;=cota_s*100,0,IF(Tipo_Vertedor="Retangular",Cd_sr*Lef_sr*((O2496/100-cota_s)^(3/2))*1000)),IF(O2496&lt;=cota_s*100+fi_s/20,0,(OFFSET('Base de dados'!$A$4,IF(O2496&lt;20,1,IF(O2496&gt;1000,10,MATCH(O2496,Cargas,1))),Coluna_fis,1,1))*(PI()*(fi_s/1000)^2/4)*(2*9.81*(O2496/100-cota_s-fi_s/2/1000))^0.5*1000)))</f>
        <v>14697.117708832351</v>
      </c>
      <c r="R2496" s="19">
        <f t="shared" ca="1" si="280"/>
        <v>14764.138223678052</v>
      </c>
      <c r="S2496" s="19">
        <f t="shared" ca="1" si="281"/>
        <v>15833.460103464862</v>
      </c>
    </row>
    <row r="2497" spans="13:19">
      <c r="M2497" s="81">
        <f t="shared" ca="1" si="278"/>
        <v>30614.526129491856</v>
      </c>
      <c r="N2497" s="19">
        <f t="shared" si="279"/>
        <v>475.21790749953306</v>
      </c>
      <c r="O2497" s="17">
        <f t="shared" si="277"/>
        <v>624</v>
      </c>
      <c r="P2497" s="19">
        <f ca="1">IF(ISERROR(IF(O2497&lt;fi_h/20,0,(OFFSET('Base de dados'!$A$5,IF(O2497&lt;20,1,IF(O2497&gt;1000,10,MATCH(O2497,Cargas,1))),Coluna_fih,1,1))*(1+0.13*0.25)*(PI()*(fi_h/1000)^2/4)*SQRT(2*9.81*(O2497/100-fi_h/2/1000))*1000)),"",IF(O2497&lt;fi_h/20,0,(OFFSET('Base de dados'!$A$5,IF(O2497&lt;20,1,IF(O2497&gt;1000,10,MATCH(O2497,Cargas,1))),Coluna_fih,1,1))*(PI()*(fi_h/1000)^2/4)*SQRT(2*9.81*(O2497/100-fi_h/2/1000))*1000))</f>
        <v>67.034066992458392</v>
      </c>
      <c r="Q2497" s="19">
        <f ca="1">IF(O2497="","",IF(Tipo_Vertedor="Retangular",IF(O2497&lt;=cota_s*100,0,IF(Tipo_Vertedor="Retangular",Cd_sr*Lef_sr*((O2497/100-cota_s)^(3/2))*1000)),IF(O2497&lt;=cota_s*100+fi_s/20,0,(OFFSET('Base de dados'!$A$4,IF(O2497&lt;20,1,IF(O2497&gt;1000,10,MATCH(O2497,Cargas,1))),Coluna_fis,1,1))*(PI()*(fi_s/1000)^2/4)*(2*9.81*(O2497/100-cota_s-fi_s/2/1000))^0.5*1000)))</f>
        <v>14706.895145848297</v>
      </c>
      <c r="R2497" s="19">
        <f t="shared" ca="1" si="280"/>
        <v>14773.929212840756</v>
      </c>
      <c r="S2497" s="19">
        <f t="shared" ca="1" si="281"/>
        <v>15840.5969166511</v>
      </c>
    </row>
    <row r="2498" spans="13:19">
      <c r="M2498" s="81">
        <f t="shared" ca="1" si="278"/>
        <v>30631.456452531485</v>
      </c>
      <c r="N2498" s="19">
        <f t="shared" si="279"/>
        <v>475.43202258125791</v>
      </c>
      <c r="O2498" s="17">
        <f t="shared" si="277"/>
        <v>624.25</v>
      </c>
      <c r="P2498" s="19">
        <f ca="1">IF(ISERROR(IF(O2498&lt;fi_h/20,0,(OFFSET('Base de dados'!$A$5,IF(O2498&lt;20,1,IF(O2498&gt;1000,10,MATCH(O2498,Cargas,1))),Coluna_fih,1,1))*(1+0.13*0.25)*(PI()*(fi_h/1000)^2/4)*SQRT(2*9.81*(O2498/100-fi_h/2/1000))*1000)),"",IF(O2498&lt;fi_h/20,0,(OFFSET('Base de dados'!$A$5,IF(O2498&lt;20,1,IF(O2498&gt;1000,10,MATCH(O2498,Cargas,1))),Coluna_fih,1,1))*(PI()*(fi_h/1000)^2/4)*SQRT(2*9.81*(O2498/100-fi_h/2/1000))*1000))</f>
        <v>67.047616399958329</v>
      </c>
      <c r="Q2498" s="19">
        <f ca="1">IF(O2498="","",IF(Tipo_Vertedor="Retangular",IF(O2498&lt;=cota_s*100,0,IF(Tipo_Vertedor="Retangular",Cd_sr*Lef_sr*((O2498/100-cota_s)^(3/2))*1000)),IF(O2498&lt;=cota_s*100+fi_s/20,0,(OFFSET('Base de dados'!$A$4,IF(O2498&lt;20,1,IF(O2498&gt;1000,10,MATCH(O2498,Cargas,1))),Coluna_fis,1,1))*(PI()*(fi_s/1000)^2/4)*(2*9.81*(O2498/100-cota_s-fi_s/2/1000))^0.5*1000)))</f>
        <v>14716.674750089594</v>
      </c>
      <c r="R2498" s="19">
        <f t="shared" ca="1" si="280"/>
        <v>14783.722366489554</v>
      </c>
      <c r="S2498" s="19">
        <f t="shared" ca="1" si="281"/>
        <v>15847.73408604193</v>
      </c>
    </row>
    <row r="2499" spans="13:19">
      <c r="M2499" s="81">
        <f t="shared" ca="1" si="278"/>
        <v>30648.389295658424</v>
      </c>
      <c r="N2499" s="19">
        <f t="shared" si="279"/>
        <v>475.64614834537417</v>
      </c>
      <c r="O2499" s="17">
        <f t="shared" si="277"/>
        <v>624.5</v>
      </c>
      <c r="P2499" s="19">
        <f ca="1">IF(ISERROR(IF(O2499&lt;fi_h/20,0,(OFFSET('Base de dados'!$A$5,IF(O2499&lt;20,1,IF(O2499&gt;1000,10,MATCH(O2499,Cargas,1))),Coluna_fih,1,1))*(1+0.13*0.25)*(PI()*(fi_h/1000)^2/4)*SQRT(2*9.81*(O2499/100-fi_h/2/1000))*1000)),"",IF(O2499&lt;fi_h/20,0,(OFFSET('Base de dados'!$A$5,IF(O2499&lt;20,1,IF(O2499&gt;1000,10,MATCH(O2499,Cargas,1))),Coluna_fih,1,1))*(PI()*(fi_h/1000)^2/4)*SQRT(2*9.81*(O2499/100-fi_h/2/1000))*1000))</f>
        <v>67.061163069861266</v>
      </c>
      <c r="Q2499" s="19">
        <f ca="1">IF(O2499="","",IF(Tipo_Vertedor="Retangular",IF(O2499&lt;=cota_s*100,0,IF(Tipo_Vertedor="Retangular",Cd_sr*Lef_sr*((O2499/100-cota_s)^(3/2))*1000)),IF(O2499&lt;=cota_s*100+fi_s/20,0,(OFFSET('Base de dados'!$A$4,IF(O2499&lt;20,1,IF(O2499&gt;1000,10,MATCH(O2499,Cargas,1))),Coluna_fis,1,1))*(PI()*(fi_s/1000)^2/4)*(2*9.81*(O2499/100-cota_s-fi_s/2/1000))^0.5*1000)))</f>
        <v>14726.456521076094</v>
      </c>
      <c r="R2499" s="19">
        <f t="shared" ca="1" si="280"/>
        <v>14793.517684145954</v>
      </c>
      <c r="S2499" s="19">
        <f t="shared" ca="1" si="281"/>
        <v>15854.871611512472</v>
      </c>
    </row>
    <row r="2500" spans="13:19">
      <c r="M2500" s="81">
        <f t="shared" ca="1" si="278"/>
        <v>30665.324658269688</v>
      </c>
      <c r="N2500" s="19">
        <f t="shared" si="279"/>
        <v>475.86028478813762</v>
      </c>
      <c r="O2500" s="17">
        <f t="shared" si="277"/>
        <v>624.75</v>
      </c>
      <c r="P2500" s="19">
        <f ca="1">IF(ISERROR(IF(O2500&lt;fi_h/20,0,(OFFSET('Base de dados'!$A$5,IF(O2500&lt;20,1,IF(O2500&gt;1000,10,MATCH(O2500,Cargas,1))),Coluna_fih,1,1))*(1+0.13*0.25)*(PI()*(fi_h/1000)^2/4)*SQRT(2*9.81*(O2500/100-fi_h/2/1000))*1000)),"",IF(O2500&lt;fi_h/20,0,(OFFSET('Base de dados'!$A$5,IF(O2500&lt;20,1,IF(O2500&gt;1000,10,MATCH(O2500,Cargas,1))),Coluna_fih,1,1))*(PI()*(fi_h/1000)^2/4)*SQRT(2*9.81*(O2500/100-fi_h/2/1000))*1000))</f>
        <v>67.074707003825864</v>
      </c>
      <c r="Q2500" s="19">
        <f ca="1">IF(O2500="","",IF(Tipo_Vertedor="Retangular",IF(O2500&lt;=cota_s*100,0,IF(Tipo_Vertedor="Retangular",Cd_sr*Lef_sr*((O2500/100-cota_s)^(3/2))*1000)),IF(O2500&lt;=cota_s*100+fi_s/20,0,(OFFSET('Base de dados'!$A$4,IF(O2500&lt;20,1,IF(O2500&gt;1000,10,MATCH(O2500,Cargas,1))),Coluna_fis,1,1))*(PI()*(fi_s/1000)^2/4)*(2*9.81*(O2500/100-cota_s-fi_s/2/1000))^0.5*1000)))</f>
        <v>14736.240458327944</v>
      </c>
      <c r="R2500" s="19">
        <f t="shared" ca="1" si="280"/>
        <v>14803.315165331769</v>
      </c>
      <c r="S2500" s="19">
        <f t="shared" ca="1" si="281"/>
        <v>15862.009492937919</v>
      </c>
    </row>
    <row r="2501" spans="13:19">
      <c r="M2501" s="81">
        <f t="shared" ca="1" si="278"/>
        <v>30682.262539762727</v>
      </c>
      <c r="N2501" s="19">
        <f t="shared" si="279"/>
        <v>476.07443190580824</v>
      </c>
      <c r="O2501" s="17">
        <f t="shared" si="277"/>
        <v>625</v>
      </c>
      <c r="P2501" s="19">
        <f ca="1">IF(ISERROR(IF(O2501&lt;fi_h/20,0,(OFFSET('Base de dados'!$A$5,IF(O2501&lt;20,1,IF(O2501&gt;1000,10,MATCH(O2501,Cargas,1))),Coluna_fih,1,1))*(1+0.13*0.25)*(PI()*(fi_h/1000)^2/4)*SQRT(2*9.81*(O2501/100-fi_h/2/1000))*1000)),"",IF(O2501&lt;fi_h/20,0,(OFFSET('Base de dados'!$A$5,IF(O2501&lt;20,1,IF(O2501&gt;1000,10,MATCH(O2501,Cargas,1))),Coluna_fih,1,1))*(PI()*(fi_h/1000)^2/4)*SQRT(2*9.81*(O2501/100-fi_h/2/1000))*1000))</f>
        <v>67.088248203509139</v>
      </c>
      <c r="Q2501" s="19">
        <f ca="1">IF(O2501="","",IF(Tipo_Vertedor="Retangular",IF(O2501&lt;=cota_s*100,0,IF(Tipo_Vertedor="Retangular",Cd_sr*Lef_sr*((O2501/100-cota_s)^(3/2))*1000)),IF(O2501&lt;=cota_s*100+fi_s/20,0,(OFFSET('Base de dados'!$A$4,IF(O2501&lt;20,1,IF(O2501&gt;1000,10,MATCH(O2501,Cargas,1))),Coluna_fis,1,1))*(PI()*(fi_s/1000)^2/4)*(2*9.81*(O2501/100-cota_s-fi_s/2/1000))^0.5*1000)))</f>
        <v>14746.026561365614</v>
      </c>
      <c r="R2501" s="19">
        <f t="shared" ca="1" si="280"/>
        <v>14813.114809569122</v>
      </c>
      <c r="S2501" s="19">
        <f t="shared" ca="1" si="281"/>
        <v>15869.147730193607</v>
      </c>
    </row>
    <row r="2502" spans="13:19">
      <c r="M2502" s="81">
        <f t="shared" ca="1" si="278"/>
        <v>30699.20293953536</v>
      </c>
      <c r="N2502" s="19">
        <f t="shared" si="279"/>
        <v>476.2885896946471</v>
      </c>
      <c r="O2502" s="17">
        <f t="shared" si="277"/>
        <v>625.25</v>
      </c>
      <c r="P2502" s="19">
        <f ca="1">IF(ISERROR(IF(O2502&lt;fi_h/20,0,(OFFSET('Base de dados'!$A$5,IF(O2502&lt;20,1,IF(O2502&gt;1000,10,MATCH(O2502,Cargas,1))),Coluna_fih,1,1))*(1+0.13*0.25)*(PI()*(fi_h/1000)^2/4)*SQRT(2*9.81*(O2502/100-fi_h/2/1000))*1000)),"",IF(O2502&lt;fi_h/20,0,(OFFSET('Base de dados'!$A$5,IF(O2502&lt;20,1,IF(O2502&gt;1000,10,MATCH(O2502,Cargas,1))),Coluna_fih,1,1))*(PI()*(fi_h/1000)^2/4)*SQRT(2*9.81*(O2502/100-fi_h/2/1000))*1000))</f>
        <v>67.101786670566455</v>
      </c>
      <c r="Q2502" s="19">
        <f ca="1">IF(O2502="","",IF(Tipo_Vertedor="Retangular",IF(O2502&lt;=cota_s*100,0,IF(Tipo_Vertedor="Retangular",Cd_sr*Lef_sr*((O2502/100-cota_s)^(3/2))*1000)),IF(O2502&lt;=cota_s*100+fi_s/20,0,(OFFSET('Base de dados'!$A$4,IF(O2502&lt;20,1,IF(O2502&gt;1000,10,MATCH(O2502,Cargas,1))),Coluna_fis,1,1))*(PI()*(fi_s/1000)^2/4)*(2*9.81*(O2502/100-cota_s-fi_s/2/1000))^0.5*1000)))</f>
        <v>14755.814829709891</v>
      </c>
      <c r="R2502" s="19">
        <f t="shared" ca="1" si="280"/>
        <v>14822.916616380457</v>
      </c>
      <c r="S2502" s="19">
        <f t="shared" ca="1" si="281"/>
        <v>15876.286323154904</v>
      </c>
    </row>
    <row r="2503" spans="13:19">
      <c r="M2503" s="81">
        <f t="shared" ca="1" si="278"/>
        <v>30716.145856985859</v>
      </c>
      <c r="N2503" s="19">
        <f t="shared" si="279"/>
        <v>476.50275815091919</v>
      </c>
      <c r="O2503" s="17">
        <f t="shared" si="277"/>
        <v>625.5</v>
      </c>
      <c r="P2503" s="19">
        <f ca="1">IF(ISERROR(IF(O2503&lt;fi_h/20,0,(OFFSET('Base de dados'!$A$5,IF(O2503&lt;20,1,IF(O2503&gt;1000,10,MATCH(O2503,Cargas,1))),Coluna_fih,1,1))*(1+0.13*0.25)*(PI()*(fi_h/1000)^2/4)*SQRT(2*9.81*(O2503/100-fi_h/2/1000))*1000)),"",IF(O2503&lt;fi_h/20,0,(OFFSET('Base de dados'!$A$5,IF(O2503&lt;20,1,IF(O2503&gt;1000,10,MATCH(O2503,Cargas,1))),Coluna_fih,1,1))*(PI()*(fi_h/1000)^2/4)*SQRT(2*9.81*(O2503/100-fi_h/2/1000))*1000))</f>
        <v>67.115322406651472</v>
      </c>
      <c r="Q2503" s="19">
        <f ca="1">IF(O2503="","",IF(Tipo_Vertedor="Retangular",IF(O2503&lt;=cota_s*100,0,IF(Tipo_Vertedor="Retangular",Cd_sr*Lef_sr*((O2503/100-cota_s)^(3/2))*1000)),IF(O2503&lt;=cota_s*100+fi_s/20,0,(OFFSET('Base de dados'!$A$4,IF(O2503&lt;20,1,IF(O2503&gt;1000,10,MATCH(O2503,Cargas,1))),Coluna_fis,1,1))*(PI()*(fi_s/1000)^2/4)*(2*9.81*(O2503/100-cota_s-fi_s/2/1000))^0.5*1000)))</f>
        <v>14765.6052628819</v>
      </c>
      <c r="R2503" s="19">
        <f t="shared" ca="1" si="280"/>
        <v>14832.720585288551</v>
      </c>
      <c r="S2503" s="19">
        <f t="shared" ca="1" si="281"/>
        <v>15883.425271697306</v>
      </c>
    </row>
    <row r="2504" spans="13:19">
      <c r="M2504" s="81">
        <f t="shared" ca="1" si="278"/>
        <v>30733.091291512857</v>
      </c>
      <c r="N2504" s="19">
        <f t="shared" si="279"/>
        <v>476.71693727089178</v>
      </c>
      <c r="O2504" s="17">
        <f t="shared" si="277"/>
        <v>625.75</v>
      </c>
      <c r="P2504" s="19">
        <f ca="1">IF(ISERROR(IF(O2504&lt;fi_h/20,0,(OFFSET('Base de dados'!$A$5,IF(O2504&lt;20,1,IF(O2504&gt;1000,10,MATCH(O2504,Cargas,1))),Coluna_fih,1,1))*(1+0.13*0.25)*(PI()*(fi_h/1000)^2/4)*SQRT(2*9.81*(O2504/100-fi_h/2/1000))*1000)),"",IF(O2504&lt;fi_h/20,0,(OFFSET('Base de dados'!$A$5,IF(O2504&lt;20,1,IF(O2504&gt;1000,10,MATCH(O2504,Cargas,1))),Coluna_fih,1,1))*(PI()*(fi_h/1000)^2/4)*SQRT(2*9.81*(O2504/100-fi_h/2/1000))*1000))</f>
        <v>67.128855413416176</v>
      </c>
      <c r="Q2504" s="19">
        <f ca="1">IF(O2504="","",IF(Tipo_Vertedor="Retangular",IF(O2504&lt;=cota_s*100,0,IF(Tipo_Vertedor="Retangular",Cd_sr*Lef_sr*((O2504/100-cota_s)^(3/2))*1000)),IF(O2504&lt;=cota_s*100+fi_s/20,0,(OFFSET('Base de dados'!$A$4,IF(O2504&lt;20,1,IF(O2504&gt;1000,10,MATCH(O2504,Cargas,1))),Coluna_fis,1,1))*(PI()*(fi_s/1000)^2/4)*(2*9.81*(O2504/100-cota_s-fi_s/2/1000))^0.5*1000)))</f>
        <v>14775.397860403051</v>
      </c>
      <c r="R2504" s="19">
        <f t="shared" ca="1" si="280"/>
        <v>14842.526715816466</v>
      </c>
      <c r="S2504" s="19">
        <f t="shared" ca="1" si="281"/>
        <v>15890.564575696393</v>
      </c>
    </row>
    <row r="2505" spans="13:19">
      <c r="M2505" s="81">
        <f t="shared" ca="1" si="278"/>
        <v>30750.03924251545</v>
      </c>
      <c r="N2505" s="19">
        <f t="shared" si="279"/>
        <v>476.93112705083541</v>
      </c>
      <c r="O2505" s="17">
        <f t="shared" si="277"/>
        <v>626</v>
      </c>
      <c r="P2505" s="19">
        <f ca="1">IF(ISERROR(IF(O2505&lt;fi_h/20,0,(OFFSET('Base de dados'!$A$5,IF(O2505&lt;20,1,IF(O2505&gt;1000,10,MATCH(O2505,Cargas,1))),Coluna_fih,1,1))*(1+0.13*0.25)*(PI()*(fi_h/1000)^2/4)*SQRT(2*9.81*(O2505/100-fi_h/2/1000))*1000)),"",IF(O2505&lt;fi_h/20,0,(OFFSET('Base de dados'!$A$5,IF(O2505&lt;20,1,IF(O2505&gt;1000,10,MATCH(O2505,Cargas,1))),Coluna_fih,1,1))*(PI()*(fi_h/1000)^2/4)*SQRT(2*9.81*(O2505/100-fi_h/2/1000))*1000))</f>
        <v>67.142385692510942</v>
      </c>
      <c r="Q2505" s="19">
        <f ca="1">IF(O2505="","",IF(Tipo_Vertedor="Retangular",IF(O2505&lt;=cota_s*100,0,IF(Tipo_Vertedor="Retangular",Cd_sr*Lef_sr*((O2505/100-cota_s)^(3/2))*1000)),IF(O2505&lt;=cota_s*100+fi_s/20,0,(OFFSET('Base de dados'!$A$4,IF(O2505&lt;20,1,IF(O2505&gt;1000,10,MATCH(O2505,Cargas,1))),Coluna_fis,1,1))*(PI()*(fi_s/1000)^2/4)*(2*9.81*(O2505/100-cota_s-fi_s/2/1000))^0.5*1000)))</f>
        <v>14785.192621795093</v>
      </c>
      <c r="R2505" s="19">
        <f t="shared" ca="1" si="280"/>
        <v>14852.335007487603</v>
      </c>
      <c r="S2505" s="19">
        <f t="shared" ca="1" si="281"/>
        <v>15897.704235027846</v>
      </c>
    </row>
    <row r="2506" spans="13:19">
      <c r="M2506" s="81">
        <f t="shared" ca="1" si="278"/>
        <v>30766.98970939311</v>
      </c>
      <c r="N2506" s="19">
        <f t="shared" si="279"/>
        <v>477.14532748702311</v>
      </c>
      <c r="O2506" s="17">
        <f t="shared" si="277"/>
        <v>626.25</v>
      </c>
      <c r="P2506" s="19">
        <f ca="1">IF(ISERROR(IF(O2506&lt;fi_h/20,0,(OFFSET('Base de dados'!$A$5,IF(O2506&lt;20,1,IF(O2506&gt;1000,10,MATCH(O2506,Cargas,1))),Coluna_fih,1,1))*(1+0.13*0.25)*(PI()*(fi_h/1000)^2/4)*SQRT(2*9.81*(O2506/100-fi_h/2/1000))*1000)),"",IF(O2506&lt;fi_h/20,0,(OFFSET('Base de dados'!$A$5,IF(O2506&lt;20,1,IF(O2506&gt;1000,10,MATCH(O2506,Cargas,1))),Coluna_fih,1,1))*(PI()*(fi_h/1000)^2/4)*SQRT(2*9.81*(O2506/100-fi_h/2/1000))*1000))</f>
        <v>67.155913245584401</v>
      </c>
      <c r="Q2506" s="19">
        <f ca="1">IF(O2506="","",IF(Tipo_Vertedor="Retangular",IF(O2506&lt;=cota_s*100,0,IF(Tipo_Vertedor="Retangular",Cd_sr*Lef_sr*((O2506/100-cota_s)^(3/2))*1000)),IF(O2506&lt;=cota_s*100+fi_s/20,0,(OFFSET('Base de dados'!$A$4,IF(O2506&lt;20,1,IF(O2506&gt;1000,10,MATCH(O2506,Cargas,1))),Coluna_fis,1,1))*(PI()*(fi_s/1000)^2/4)*(2*9.81*(O2506/100-cota_s-fi_s/2/1000))^0.5*1000)))</f>
        <v>14794.989546580091</v>
      </c>
      <c r="R2506" s="19">
        <f t="shared" ca="1" si="280"/>
        <v>14862.145459825675</v>
      </c>
      <c r="S2506" s="19">
        <f t="shared" ca="1" si="281"/>
        <v>15904.844249567435</v>
      </c>
    </row>
    <row r="2507" spans="13:19">
      <c r="M2507" s="81">
        <f t="shared" ca="1" si="278"/>
        <v>30783.942691545715</v>
      </c>
      <c r="N2507" s="19">
        <f t="shared" si="279"/>
        <v>477.3595385757306</v>
      </c>
      <c r="O2507" s="17">
        <f t="shared" si="277"/>
        <v>626.5</v>
      </c>
      <c r="P2507" s="19">
        <f ca="1">IF(ISERROR(IF(O2507&lt;fi_h/20,0,(OFFSET('Base de dados'!$A$5,IF(O2507&lt;20,1,IF(O2507&gt;1000,10,MATCH(O2507,Cargas,1))),Coluna_fih,1,1))*(1+0.13*0.25)*(PI()*(fi_h/1000)^2/4)*SQRT(2*9.81*(O2507/100-fi_h/2/1000))*1000)),"",IF(O2507&lt;fi_h/20,0,(OFFSET('Base de dados'!$A$5,IF(O2507&lt;20,1,IF(O2507&gt;1000,10,MATCH(O2507,Cargas,1))),Coluna_fih,1,1))*(PI()*(fi_h/1000)^2/4)*SQRT(2*9.81*(O2507/100-fi_h/2/1000))*1000))</f>
        <v>67.169438074283605</v>
      </c>
      <c r="Q2507" s="19">
        <f ca="1">IF(O2507="","",IF(Tipo_Vertedor="Retangular",IF(O2507&lt;=cota_s*100,0,IF(Tipo_Vertedor="Retangular",Cd_sr*Lef_sr*((O2507/100-cota_s)^(3/2))*1000)),IF(O2507&lt;=cota_s*100+fi_s/20,0,(OFFSET('Base de dados'!$A$4,IF(O2507&lt;20,1,IF(O2507&gt;1000,10,MATCH(O2507,Cargas,1))),Coluna_fis,1,1))*(PI()*(fi_s/1000)^2/4)*(2*9.81*(O2507/100-cota_s-fi_s/2/1000))^0.5*1000)))</f>
        <v>14804.788634280414</v>
      </c>
      <c r="R2507" s="19">
        <f t="shared" ca="1" si="280"/>
        <v>14871.958072354697</v>
      </c>
      <c r="S2507" s="19">
        <f t="shared" ca="1" si="281"/>
        <v>15911.98461919102</v>
      </c>
    </row>
    <row r="2508" spans="13:19">
      <c r="M2508" s="81">
        <f t="shared" ca="1" si="278"/>
        <v>30800.898188373572</v>
      </c>
      <c r="N2508" s="19">
        <f t="shared" si="279"/>
        <v>477.57376031323662</v>
      </c>
      <c r="O2508" s="17">
        <f t="shared" si="277"/>
        <v>626.75</v>
      </c>
      <c r="P2508" s="19">
        <f ca="1">IF(ISERROR(IF(O2508&lt;fi_h/20,0,(OFFSET('Base de dados'!$A$5,IF(O2508&lt;20,1,IF(O2508&gt;1000,10,MATCH(O2508,Cargas,1))),Coluna_fih,1,1))*(1+0.13*0.25)*(PI()*(fi_h/1000)^2/4)*SQRT(2*9.81*(O2508/100-fi_h/2/1000))*1000)),"",IF(O2508&lt;fi_h/20,0,(OFFSET('Base de dados'!$A$5,IF(O2508&lt;20,1,IF(O2508&gt;1000,10,MATCH(O2508,Cargas,1))),Coluna_fih,1,1))*(PI()*(fi_h/1000)^2/4)*SQRT(2*9.81*(O2508/100-fi_h/2/1000))*1000))</f>
        <v>67.182960180253914</v>
      </c>
      <c r="Q2508" s="19">
        <f ca="1">IF(O2508="","",IF(Tipo_Vertedor="Retangular",IF(O2508&lt;=cota_s*100,0,IF(Tipo_Vertedor="Retangular",Cd_sr*Lef_sr*((O2508/100-cota_s)^(3/2))*1000)),IF(O2508&lt;=cota_s*100+fi_s/20,0,(OFFSET('Base de dados'!$A$4,IF(O2508&lt;20,1,IF(O2508&gt;1000,10,MATCH(O2508,Cargas,1))),Coluna_fis,1,1))*(PI()*(fi_s/1000)^2/4)*(2*9.81*(O2508/100-cota_s-fi_s/2/1000))^0.5*1000)))</f>
        <v>14814.589884418763</v>
      </c>
      <c r="R2508" s="19">
        <f t="shared" ca="1" si="280"/>
        <v>14881.772844599018</v>
      </c>
      <c r="S2508" s="19">
        <f t="shared" ca="1" si="281"/>
        <v>15919.125343774554</v>
      </c>
    </row>
    <row r="2509" spans="13:19">
      <c r="M2509" s="81">
        <f t="shared" ca="1" si="278"/>
        <v>30817.856199277372</v>
      </c>
      <c r="N2509" s="19">
        <f t="shared" si="279"/>
        <v>477.78799269582265</v>
      </c>
      <c r="O2509" s="17">
        <f t="shared" si="277"/>
        <v>627</v>
      </c>
      <c r="P2509" s="19">
        <f ca="1">IF(ISERROR(IF(O2509&lt;fi_h/20,0,(OFFSET('Base de dados'!$A$5,IF(O2509&lt;20,1,IF(O2509&gt;1000,10,MATCH(O2509,Cargas,1))),Coluna_fih,1,1))*(1+0.13*0.25)*(PI()*(fi_h/1000)^2/4)*SQRT(2*9.81*(O2509/100-fi_h/2/1000))*1000)),"",IF(O2509&lt;fi_h/20,0,(OFFSET('Base de dados'!$A$5,IF(O2509&lt;20,1,IF(O2509&gt;1000,10,MATCH(O2509,Cargas,1))),Coluna_fih,1,1))*(PI()*(fi_h/1000)^2/4)*SQRT(2*9.81*(O2509/100-fi_h/2/1000))*1000))</f>
        <v>67.196479565139015</v>
      </c>
      <c r="Q2509" s="19">
        <f ca="1">IF(O2509="","",IF(Tipo_Vertedor="Retangular",IF(O2509&lt;=cota_s*100,0,IF(Tipo_Vertedor="Retangular",Cd_sr*Lef_sr*((O2509/100-cota_s)^(3/2))*1000)),IF(O2509&lt;=cota_s*100+fi_s/20,0,(OFFSET('Base de dados'!$A$4,IF(O2509&lt;20,1,IF(O2509&gt;1000,10,MATCH(O2509,Cargas,1))),Coluna_fis,1,1))*(PI()*(fi_s/1000)^2/4)*(2*9.81*(O2509/100-cota_s-fi_s/2/1000))^0.5*1000)))</f>
        <v>14824.393296518145</v>
      </c>
      <c r="R2509" s="19">
        <f t="shared" ca="1" si="280"/>
        <v>14891.589776083283</v>
      </c>
      <c r="S2509" s="19">
        <f t="shared" ca="1" si="281"/>
        <v>15926.266423194089</v>
      </c>
    </row>
    <row r="2510" spans="13:19">
      <c r="M2510" s="81">
        <f t="shared" ca="1" si="278"/>
        <v>30834.816723658212</v>
      </c>
      <c r="N2510" s="19">
        <f t="shared" si="279"/>
        <v>478.00223571977244</v>
      </c>
      <c r="O2510" s="17">
        <f t="shared" si="277"/>
        <v>627.25</v>
      </c>
      <c r="P2510" s="19">
        <f ca="1">IF(ISERROR(IF(O2510&lt;fi_h/20,0,(OFFSET('Base de dados'!$A$5,IF(O2510&lt;20,1,IF(O2510&gt;1000,10,MATCH(O2510,Cargas,1))),Coluna_fih,1,1))*(1+0.13*0.25)*(PI()*(fi_h/1000)^2/4)*SQRT(2*9.81*(O2510/100-fi_h/2/1000))*1000)),"",IF(O2510&lt;fi_h/20,0,(OFFSET('Base de dados'!$A$5,IF(O2510&lt;20,1,IF(O2510&gt;1000,10,MATCH(O2510,Cargas,1))),Coluna_fih,1,1))*(PI()*(fi_h/1000)^2/4)*SQRT(2*9.81*(O2510/100-fi_h/2/1000))*1000))</f>
        <v>67.20999623058097</v>
      </c>
      <c r="Q2510" s="19">
        <f ca="1">IF(O2510="","",IF(Tipo_Vertedor="Retangular",IF(O2510&lt;=cota_s*100,0,IF(Tipo_Vertedor="Retangular",Cd_sr*Lef_sr*((O2510/100-cota_s)^(3/2))*1000)),IF(O2510&lt;=cota_s*100+fi_s/20,0,(OFFSET('Base de dados'!$A$4,IF(O2510&lt;20,1,IF(O2510&gt;1000,10,MATCH(O2510,Cargas,1))),Coluna_fis,1,1))*(PI()*(fi_s/1000)^2/4)*(2*9.81*(O2510/100-cota_s-fi_s/2/1000))^0.5*1000)))</f>
        <v>14834.198870101884</v>
      </c>
      <c r="R2510" s="19">
        <f t="shared" ca="1" si="280"/>
        <v>14901.408866332464</v>
      </c>
      <c r="S2510" s="19">
        <f t="shared" ca="1" si="281"/>
        <v>15933.407857325748</v>
      </c>
    </row>
    <row r="2511" spans="13:19">
      <c r="M2511" s="81">
        <f t="shared" ca="1" si="278"/>
        <v>30851.779760917627</v>
      </c>
      <c r="N2511" s="19">
        <f t="shared" si="279"/>
        <v>478.21648938137378</v>
      </c>
      <c r="O2511" s="17">
        <f t="shared" si="277"/>
        <v>627.5</v>
      </c>
      <c r="P2511" s="19">
        <f ca="1">IF(ISERROR(IF(O2511&lt;fi_h/20,0,(OFFSET('Base de dados'!$A$5,IF(O2511&lt;20,1,IF(O2511&gt;1000,10,MATCH(O2511,Cargas,1))),Coluna_fih,1,1))*(1+0.13*0.25)*(PI()*(fi_h/1000)^2/4)*SQRT(2*9.81*(O2511/100-fi_h/2/1000))*1000)),"",IF(O2511&lt;fi_h/20,0,(OFFSET('Base de dados'!$A$5,IF(O2511&lt;20,1,IF(O2511&gt;1000,10,MATCH(O2511,Cargas,1))),Coluna_fih,1,1))*(PI()*(fi_h/1000)^2/4)*SQRT(2*9.81*(O2511/100-fi_h/2/1000))*1000))</f>
        <v>67.223510178220181</v>
      </c>
      <c r="Q2511" s="19">
        <f ca="1">IF(O2511="","",IF(Tipo_Vertedor="Retangular",IF(O2511&lt;=cota_s*100,0,IF(Tipo_Vertedor="Retangular",Cd_sr*Lef_sr*((O2511/100-cota_s)^(3/2))*1000)),IF(O2511&lt;=cota_s*100+fi_s/20,0,(OFFSET('Base de dados'!$A$4,IF(O2511&lt;20,1,IF(O2511&gt;1000,10,MATCH(O2511,Cargas,1))),Coluna_fis,1,1))*(PI()*(fi_s/1000)^2/4)*(2*9.81*(O2511/100-cota_s-fi_s/2/1000))^0.5*1000)))</f>
        <v>14844.006604693615</v>
      </c>
      <c r="R2511" s="19">
        <f t="shared" ca="1" si="280"/>
        <v>14911.230114871836</v>
      </c>
      <c r="S2511" s="19">
        <f t="shared" ca="1" si="281"/>
        <v>15940.549646045793</v>
      </c>
    </row>
    <row r="2512" spans="13:19">
      <c r="M2512" s="81">
        <f t="shared" ca="1" si="278"/>
        <v>30868.745310457514</v>
      </c>
      <c r="N2512" s="19">
        <f t="shared" si="279"/>
        <v>478.43075367691574</v>
      </c>
      <c r="O2512" s="17">
        <f t="shared" si="277"/>
        <v>627.75</v>
      </c>
      <c r="P2512" s="19">
        <f ca="1">IF(ISERROR(IF(O2512&lt;fi_h/20,0,(OFFSET('Base de dados'!$A$5,IF(O2512&lt;20,1,IF(O2512&gt;1000,10,MATCH(O2512,Cargas,1))),Coluna_fih,1,1))*(1+0.13*0.25)*(PI()*(fi_h/1000)^2/4)*SQRT(2*9.81*(O2512/100-fi_h/2/1000))*1000)),"",IF(O2512&lt;fi_h/20,0,(OFFSET('Base de dados'!$A$5,IF(O2512&lt;20,1,IF(O2512&gt;1000,10,MATCH(O2512,Cargas,1))),Coluna_fih,1,1))*(PI()*(fi_h/1000)^2/4)*SQRT(2*9.81*(O2512/100-fi_h/2/1000))*1000))</f>
        <v>67.237021409695373</v>
      </c>
      <c r="Q2512" s="19">
        <f ca="1">IF(O2512="","",IF(Tipo_Vertedor="Retangular",IF(O2512&lt;=cota_s*100,0,IF(Tipo_Vertedor="Retangular",Cd_sr*Lef_sr*((O2512/100-cota_s)^(3/2))*1000)),IF(O2512&lt;=cota_s*100+fi_s/20,0,(OFFSET('Base de dados'!$A$4,IF(O2512&lt;20,1,IF(O2512&gt;1000,10,MATCH(O2512,Cargas,1))),Coluna_fis,1,1))*(PI()*(fi_s/1000)^2/4)*(2*9.81*(O2512/100-cota_s-fi_s/2/1000))^0.5*1000)))</f>
        <v>14853.816499817294</v>
      </c>
      <c r="R2512" s="19">
        <f t="shared" ca="1" si="280"/>
        <v>14921.05352122699</v>
      </c>
      <c r="S2512" s="19">
        <f t="shared" ca="1" si="281"/>
        <v>15947.691789230525</v>
      </c>
    </row>
    <row r="2513" spans="13:19">
      <c r="M2513" s="81">
        <f t="shared" ca="1" si="278"/>
        <v>30885.713371680213</v>
      </c>
      <c r="N2513" s="19">
        <f t="shared" si="279"/>
        <v>478.64502860269118</v>
      </c>
      <c r="O2513" s="17">
        <f t="shared" si="277"/>
        <v>628</v>
      </c>
      <c r="P2513" s="19">
        <f ca="1">IF(ISERROR(IF(O2513&lt;fi_h/20,0,(OFFSET('Base de dados'!$A$5,IF(O2513&lt;20,1,IF(O2513&gt;1000,10,MATCH(O2513,Cargas,1))),Coluna_fih,1,1))*(1+0.13*0.25)*(PI()*(fi_h/1000)^2/4)*SQRT(2*9.81*(O2513/100-fi_h/2/1000))*1000)),"",IF(O2513&lt;fi_h/20,0,(OFFSET('Base de dados'!$A$5,IF(O2513&lt;20,1,IF(O2513&gt;1000,10,MATCH(O2513,Cargas,1))),Coluna_fih,1,1))*(PI()*(fi_h/1000)^2/4)*SQRT(2*9.81*(O2513/100-fi_h/2/1000))*1000))</f>
        <v>67.250529926643665</v>
      </c>
      <c r="Q2513" s="19">
        <f ca="1">IF(O2513="","",IF(Tipo_Vertedor="Retangular",IF(O2513&lt;=cota_s*100,0,IF(Tipo_Vertedor="Retangular",Cd_sr*Lef_sr*((O2513/100-cota_s)^(3/2))*1000)),IF(O2513&lt;=cota_s*100+fi_s/20,0,(OFFSET('Base de dados'!$A$4,IF(O2513&lt;20,1,IF(O2513&gt;1000,10,MATCH(O2513,Cargas,1))),Coluna_fis,1,1))*(PI()*(fi_s/1000)^2/4)*(2*9.81*(O2513/100-cota_s-fi_s/2/1000))^0.5*1000)))</f>
        <v>14863.628554997198</v>
      </c>
      <c r="R2513" s="19">
        <f t="shared" ca="1" si="280"/>
        <v>14930.879084923841</v>
      </c>
      <c r="S2513" s="19">
        <f t="shared" ca="1" si="281"/>
        <v>15954.834286756373</v>
      </c>
    </row>
    <row r="2514" spans="13:19">
      <c r="M2514" s="81">
        <f t="shared" ca="1" si="278"/>
        <v>30902.683943988442</v>
      </c>
      <c r="N2514" s="19">
        <f t="shared" si="279"/>
        <v>478.85931415499527</v>
      </c>
      <c r="O2514" s="17">
        <f t="shared" si="277"/>
        <v>628.25</v>
      </c>
      <c r="P2514" s="19">
        <f ca="1">IF(ISERROR(IF(O2514&lt;fi_h/20,0,(OFFSET('Base de dados'!$A$5,IF(O2514&lt;20,1,IF(O2514&gt;1000,10,MATCH(O2514,Cargas,1))),Coluna_fih,1,1))*(1+0.13*0.25)*(PI()*(fi_h/1000)^2/4)*SQRT(2*9.81*(O2514/100-fi_h/2/1000))*1000)),"",IF(O2514&lt;fi_h/20,0,(OFFSET('Base de dados'!$A$5,IF(O2514&lt;20,1,IF(O2514&gt;1000,10,MATCH(O2514,Cargas,1))),Coluna_fih,1,1))*(PI()*(fi_h/1000)^2/4)*SQRT(2*9.81*(O2514/100-fi_h/2/1000))*1000))</f>
        <v>67.264035730700513</v>
      </c>
      <c r="Q2514" s="19">
        <f ca="1">IF(O2514="","",IF(Tipo_Vertedor="Retangular",IF(O2514&lt;=cota_s*100,0,IF(Tipo_Vertedor="Retangular",Cd_sr*Lef_sr*((O2514/100-cota_s)^(3/2))*1000)),IF(O2514&lt;=cota_s*100+fi_s/20,0,(OFFSET('Base de dados'!$A$4,IF(O2514&lt;20,1,IF(O2514&gt;1000,10,MATCH(O2514,Cargas,1))),Coluna_fis,1,1))*(PI()*(fi_s/1000)^2/4)*(2*9.81*(O2514/100-cota_s-fi_s/2/1000))^0.5*1000)))</f>
        <v>14873.442769757901</v>
      </c>
      <c r="R2514" s="19">
        <f t="shared" ca="1" si="280"/>
        <v>14940.706805488602</v>
      </c>
      <c r="S2514" s="19">
        <f t="shared" ca="1" si="281"/>
        <v>15961.977138499842</v>
      </c>
    </row>
    <row r="2515" spans="13:19">
      <c r="M2515" s="81">
        <f t="shared" ca="1" si="278"/>
        <v>30919.657026785357</v>
      </c>
      <c r="N2515" s="19">
        <f t="shared" si="279"/>
        <v>479.07361033012626</v>
      </c>
      <c r="O2515" s="17">
        <f t="shared" ref="O2515:O2578" si="282">IF(ISERROR(IF(O2514+passo_altura&gt;h_max_puls*100,"",O2514+passo_altura)),"",IF(O2514+passo_altura&gt;h_max_puls*100,"",O2514+passo_altura))</f>
        <v>628.5</v>
      </c>
      <c r="P2515" s="19">
        <f ca="1">IF(ISERROR(IF(O2515&lt;fi_h/20,0,(OFFSET('Base de dados'!$A$5,IF(O2515&lt;20,1,IF(O2515&gt;1000,10,MATCH(O2515,Cargas,1))),Coluna_fih,1,1))*(1+0.13*0.25)*(PI()*(fi_h/1000)^2/4)*SQRT(2*9.81*(O2515/100-fi_h/2/1000))*1000)),"",IF(O2515&lt;fi_h/20,0,(OFFSET('Base de dados'!$A$5,IF(O2515&lt;20,1,IF(O2515&gt;1000,10,MATCH(O2515,Cargas,1))),Coluna_fih,1,1))*(PI()*(fi_h/1000)^2/4)*SQRT(2*9.81*(O2515/100-fi_h/2/1000))*1000))</f>
        <v>67.277538823499768</v>
      </c>
      <c r="Q2515" s="19">
        <f ca="1">IF(O2515="","",IF(Tipo_Vertedor="Retangular",IF(O2515&lt;=cota_s*100,0,IF(Tipo_Vertedor="Retangular",Cd_sr*Lef_sr*((O2515/100-cota_s)^(3/2))*1000)),IF(O2515&lt;=cota_s*100+fi_s/20,0,(OFFSET('Base de dados'!$A$4,IF(O2515&lt;20,1,IF(O2515&gt;1000,10,MATCH(O2515,Cargas,1))),Coluna_fis,1,1))*(PI()*(fi_s/1000)^2/4)*(2*9.81*(O2515/100-cota_s-fi_s/2/1000))^0.5*1000)))</f>
        <v>14883.259143624315</v>
      </c>
      <c r="R2515" s="19">
        <f t="shared" ca="1" si="280"/>
        <v>14950.536682447815</v>
      </c>
      <c r="S2515" s="19">
        <f t="shared" ca="1" si="281"/>
        <v>15969.120344337542</v>
      </c>
    </row>
    <row r="2516" spans="13:19">
      <c r="M2516" s="81">
        <f t="shared" ca="1" si="278"/>
        <v>30936.632619474454</v>
      </c>
      <c r="N2516" s="19">
        <f t="shared" si="279"/>
        <v>479.28791712438488</v>
      </c>
      <c r="O2516" s="17">
        <f t="shared" si="282"/>
        <v>628.75</v>
      </c>
      <c r="P2516" s="19">
        <f ca="1">IF(ISERROR(IF(O2516&lt;fi_h/20,0,(OFFSET('Base de dados'!$A$5,IF(O2516&lt;20,1,IF(O2516&gt;1000,10,MATCH(O2516,Cargas,1))),Coluna_fih,1,1))*(1+0.13*0.25)*(PI()*(fi_h/1000)^2/4)*SQRT(2*9.81*(O2516/100-fi_h/2/1000))*1000)),"",IF(O2516&lt;fi_h/20,0,(OFFSET('Base de dados'!$A$5,IF(O2516&lt;20,1,IF(O2516&gt;1000,10,MATCH(O2516,Cargas,1))),Coluna_fih,1,1))*(PI()*(fi_h/1000)^2/4)*SQRT(2*9.81*(O2516/100-fi_h/2/1000))*1000))</f>
        <v>67.291039206673574</v>
      </c>
      <c r="Q2516" s="19">
        <f ca="1">IF(O2516="","",IF(Tipo_Vertedor="Retangular",IF(O2516&lt;=cota_s*100,0,IF(Tipo_Vertedor="Retangular",Cd_sr*Lef_sr*((O2516/100-cota_s)^(3/2))*1000)),IF(O2516&lt;=cota_s*100+fi_s/20,0,(OFFSET('Base de dados'!$A$4,IF(O2516&lt;20,1,IF(O2516&gt;1000,10,MATCH(O2516,Cargas,1))),Coluna_fis,1,1))*(PI()*(fi_s/1000)^2/4)*(2*9.81*(O2516/100-cota_s-fi_s/2/1000))^0.5*1000)))</f>
        <v>14893.07767612162</v>
      </c>
      <c r="R2516" s="19">
        <f t="shared" ca="1" si="280"/>
        <v>14960.368715328294</v>
      </c>
      <c r="S2516" s="19">
        <f t="shared" ca="1" si="281"/>
        <v>15976.263904146163</v>
      </c>
    </row>
    <row r="2517" spans="13:19">
      <c r="M2517" s="81">
        <f t="shared" ca="1" si="278"/>
        <v>30953.610721459707</v>
      </c>
      <c r="N2517" s="19">
        <f t="shared" si="279"/>
        <v>479.50223453407443</v>
      </c>
      <c r="O2517" s="17">
        <f t="shared" si="282"/>
        <v>629</v>
      </c>
      <c r="P2517" s="19">
        <f ca="1">IF(ISERROR(IF(O2517&lt;fi_h/20,0,(OFFSET('Base de dados'!$A$5,IF(O2517&lt;20,1,IF(O2517&gt;1000,10,MATCH(O2517,Cargas,1))),Coluna_fih,1,1))*(1+0.13*0.25)*(PI()*(fi_h/1000)^2/4)*SQRT(2*9.81*(O2517/100-fi_h/2/1000))*1000)),"",IF(O2517&lt;fi_h/20,0,(OFFSET('Base de dados'!$A$5,IF(O2517&lt;20,1,IF(O2517&gt;1000,10,MATCH(O2517,Cargas,1))),Coluna_fih,1,1))*(PI()*(fi_h/1000)^2/4)*SQRT(2*9.81*(O2517/100-fi_h/2/1000))*1000))</f>
        <v>67.304536881852485</v>
      </c>
      <c r="Q2517" s="19">
        <f ca="1">IF(O2517="","",IF(Tipo_Vertedor="Retangular",IF(O2517&lt;=cota_s*100,0,IF(Tipo_Vertedor="Retangular",Cd_sr*Lef_sr*((O2517/100-cota_s)^(3/2))*1000)),IF(O2517&lt;=cota_s*100+fi_s/20,0,(OFFSET('Base de dados'!$A$4,IF(O2517&lt;20,1,IF(O2517&gt;1000,10,MATCH(O2517,Cargas,1))),Coluna_fis,1,1))*(PI()*(fi_s/1000)^2/4)*(2*9.81*(O2517/100-cota_s-fi_s/2/1000))^0.5*1000)))</f>
        <v>14902.898366775373</v>
      </c>
      <c r="R2517" s="19">
        <f t="shared" ca="1" si="280"/>
        <v>14970.202903657226</v>
      </c>
      <c r="S2517" s="19">
        <f t="shared" ca="1" si="281"/>
        <v>15983.407817802481</v>
      </c>
    </row>
    <row r="2518" spans="13:19">
      <c r="M2518" s="81">
        <f t="shared" ca="1" si="278"/>
        <v>30970.591332145446</v>
      </c>
      <c r="N2518" s="19">
        <f t="shared" si="279"/>
        <v>479.71656255550158</v>
      </c>
      <c r="O2518" s="17">
        <f t="shared" si="282"/>
        <v>629.25</v>
      </c>
      <c r="P2518" s="19">
        <f ca="1">IF(ISERROR(IF(O2518&lt;fi_h/20,0,(OFFSET('Base de dados'!$A$5,IF(O2518&lt;20,1,IF(O2518&gt;1000,10,MATCH(O2518,Cargas,1))),Coluna_fih,1,1))*(1+0.13*0.25)*(PI()*(fi_h/1000)^2/4)*SQRT(2*9.81*(O2518/100-fi_h/2/1000))*1000)),"",IF(O2518&lt;fi_h/20,0,(OFFSET('Base de dados'!$A$5,IF(O2518&lt;20,1,IF(O2518&gt;1000,10,MATCH(O2518,Cargas,1))),Coluna_fih,1,1))*(PI()*(fi_h/1000)^2/4)*SQRT(2*9.81*(O2518/100-fi_h/2/1000))*1000))</f>
        <v>67.31803185066542</v>
      </c>
      <c r="Q2518" s="19">
        <f ca="1">IF(O2518="","",IF(Tipo_Vertedor="Retangular",IF(O2518&lt;=cota_s*100,0,IF(Tipo_Vertedor="Retangular",Cd_sr*Lef_sr*((O2518/100-cota_s)^(3/2))*1000)),IF(O2518&lt;=cota_s*100+fi_s/20,0,(OFFSET('Base de dados'!$A$4,IF(O2518&lt;20,1,IF(O2518&gt;1000,10,MATCH(O2518,Cargas,1))),Coluna_fis,1,1))*(PI()*(fi_s/1000)^2/4)*(2*9.81*(O2518/100-cota_s-fi_s/2/1000))^0.5*1000)))</f>
        <v>14912.721215111394</v>
      </c>
      <c r="R2518" s="19">
        <f t="shared" ca="1" si="280"/>
        <v>14980.03924696206</v>
      </c>
      <c r="S2518" s="19">
        <f t="shared" ca="1" si="281"/>
        <v>15990.552085183386</v>
      </c>
    </row>
    <row r="2519" spans="13:19">
      <c r="M2519" s="81">
        <f t="shared" ref="M2519:M2582" ca="1" si="283">IF(O2519="","",2*N2519*1000/(Passo*60)+R2519)</f>
        <v>30987.574450936416</v>
      </c>
      <c r="N2519" s="19">
        <f t="shared" ref="N2519:N2582" si="284">IF(O2519="","",b_0*(O2519/100)^c_0)</f>
        <v>479.93090118497537</v>
      </c>
      <c r="O2519" s="17">
        <f t="shared" si="282"/>
        <v>629.5</v>
      </c>
      <c r="P2519" s="19">
        <f ca="1">IF(ISERROR(IF(O2519&lt;fi_h/20,0,(OFFSET('Base de dados'!$A$5,IF(O2519&lt;20,1,IF(O2519&gt;1000,10,MATCH(O2519,Cargas,1))),Coluna_fih,1,1))*(1+0.13*0.25)*(PI()*(fi_h/1000)^2/4)*SQRT(2*9.81*(O2519/100-fi_h/2/1000))*1000)),"",IF(O2519&lt;fi_h/20,0,(OFFSET('Base de dados'!$A$5,IF(O2519&lt;20,1,IF(O2519&gt;1000,10,MATCH(O2519,Cargas,1))),Coluna_fih,1,1))*(PI()*(fi_h/1000)^2/4)*SQRT(2*9.81*(O2519/100-fi_h/2/1000))*1000))</f>
        <v>67.331524114739636</v>
      </c>
      <c r="Q2519" s="19">
        <f ca="1">IF(O2519="","",IF(Tipo_Vertedor="Retangular",IF(O2519&lt;=cota_s*100,0,IF(Tipo_Vertedor="Retangular",Cd_sr*Lef_sr*((O2519/100-cota_s)^(3/2))*1000)),IF(O2519&lt;=cota_s*100+fi_s/20,0,(OFFSET('Base de dados'!$A$4,IF(O2519&lt;20,1,IF(O2519&gt;1000,10,MATCH(O2519,Cargas,1))),Coluna_fis,1,1))*(PI()*(fi_s/1000)^2/4)*(2*9.81*(O2519/100-cota_s-fi_s/2/1000))^0.5*1000)))</f>
        <v>14922.546220655831</v>
      </c>
      <c r="R2519" s="19">
        <f t="shared" ref="R2519:R2582" ca="1" si="285">IF(O2519="","",Q2519+P2519)</f>
        <v>14989.877744770571</v>
      </c>
      <c r="S2519" s="19">
        <f t="shared" ref="S2519:S2582" ca="1" si="286">IF(M2519="","",2*N2519*1000/(Passo*60))</f>
        <v>15997.696706165845</v>
      </c>
    </row>
    <row r="2520" spans="13:19">
      <c r="M2520" s="81">
        <f t="shared" ca="1" si="283"/>
        <v>31004.560077237773</v>
      </c>
      <c r="N2520" s="19">
        <f t="shared" si="284"/>
        <v>480.14525041880779</v>
      </c>
      <c r="O2520" s="17">
        <f t="shared" si="282"/>
        <v>629.75</v>
      </c>
      <c r="P2520" s="19">
        <f ca="1">IF(ISERROR(IF(O2520&lt;fi_h/20,0,(OFFSET('Base de dados'!$A$5,IF(O2520&lt;20,1,IF(O2520&gt;1000,10,MATCH(O2520,Cargas,1))),Coluna_fih,1,1))*(1+0.13*0.25)*(PI()*(fi_h/1000)^2/4)*SQRT(2*9.81*(O2520/100-fi_h/2/1000))*1000)),"",IF(O2520&lt;fi_h/20,0,(OFFSET('Base de dados'!$A$5,IF(O2520&lt;20,1,IF(O2520&gt;1000,10,MATCH(O2520,Cargas,1))),Coluna_fih,1,1))*(PI()*(fi_h/1000)^2/4)*SQRT(2*9.81*(O2520/100-fi_h/2/1000))*1000))</f>
        <v>67.345013675700812</v>
      </c>
      <c r="Q2520" s="19">
        <f ca="1">IF(O2520="","",IF(Tipo_Vertedor="Retangular",IF(O2520&lt;=cota_s*100,0,IF(Tipo_Vertedor="Retangular",Cd_sr*Lef_sr*((O2520/100-cota_s)^(3/2))*1000)),IF(O2520&lt;=cota_s*100+fi_s/20,0,(OFFSET('Base de dados'!$A$4,IF(O2520&lt;20,1,IF(O2520&gt;1000,10,MATCH(O2520,Cargas,1))),Coluna_fis,1,1))*(PI()*(fi_s/1000)^2/4)*(2*9.81*(O2520/100-cota_s-fi_s/2/1000))^0.5*1000)))</f>
        <v>14932.373382935148</v>
      </c>
      <c r="R2520" s="19">
        <f t="shared" ca="1" si="285"/>
        <v>14999.718396610848</v>
      </c>
      <c r="S2520" s="19">
        <f t="shared" ca="1" si="286"/>
        <v>16004.841680626927</v>
      </c>
    </row>
    <row r="2521" spans="13:19">
      <c r="M2521" s="81">
        <f t="shared" ca="1" si="283"/>
        <v>31021.548210455057</v>
      </c>
      <c r="N2521" s="19">
        <f t="shared" si="284"/>
        <v>480.35961025331301</v>
      </c>
      <c r="O2521" s="17">
        <f t="shared" si="282"/>
        <v>630</v>
      </c>
      <c r="P2521" s="19">
        <f ca="1">IF(ISERROR(IF(O2521&lt;fi_h/20,0,(OFFSET('Base de dados'!$A$5,IF(O2521&lt;20,1,IF(O2521&gt;1000,10,MATCH(O2521,Cargas,1))),Coluna_fih,1,1))*(1+0.13*0.25)*(PI()*(fi_h/1000)^2/4)*SQRT(2*9.81*(O2521/100-fi_h/2/1000))*1000)),"",IF(O2521&lt;fi_h/20,0,(OFFSET('Base de dados'!$A$5,IF(O2521&lt;20,1,IF(O2521&gt;1000,10,MATCH(O2521,Cargas,1))),Coluna_fih,1,1))*(PI()*(fi_h/1000)^2/4)*SQRT(2*9.81*(O2521/100-fi_h/2/1000))*1000))</f>
        <v>67.358500535172922</v>
      </c>
      <c r="Q2521" s="19">
        <f ca="1">IF(O2521="","",IF(Tipo_Vertedor="Retangular",IF(O2521&lt;=cota_s*100,0,IF(Tipo_Vertedor="Retangular",Cd_sr*Lef_sr*((O2521/100-cota_s)^(3/2))*1000)),IF(O2521&lt;=cota_s*100+fi_s/20,0,(OFFSET('Base de dados'!$A$4,IF(O2521&lt;20,1,IF(O2521&gt;1000,10,MATCH(O2521,Cargas,1))),Coluna_fis,1,1))*(PI()*(fi_s/1000)^2/4)*(2*9.81*(O2521/100-cota_s-fi_s/2/1000))^0.5*1000)))</f>
        <v>14942.202701476117</v>
      </c>
      <c r="R2521" s="19">
        <f t="shared" ca="1" si="285"/>
        <v>15009.561202011289</v>
      </c>
      <c r="S2521" s="19">
        <f t="shared" ca="1" si="286"/>
        <v>16011.987008443768</v>
      </c>
    </row>
    <row r="2522" spans="13:19">
      <c r="M2522" s="81">
        <f t="shared" ca="1" si="283"/>
        <v>31038.53884999422</v>
      </c>
      <c r="N2522" s="19">
        <f t="shared" si="284"/>
        <v>480.5739806848087</v>
      </c>
      <c r="O2522" s="17">
        <f t="shared" si="282"/>
        <v>630.25</v>
      </c>
      <c r="P2522" s="19">
        <f ca="1">IF(ISERROR(IF(O2522&lt;fi_h/20,0,(OFFSET('Base de dados'!$A$5,IF(O2522&lt;20,1,IF(O2522&gt;1000,10,MATCH(O2522,Cargas,1))),Coluna_fih,1,1))*(1+0.13*0.25)*(PI()*(fi_h/1000)^2/4)*SQRT(2*9.81*(O2522/100-fi_h/2/1000))*1000)),"",IF(O2522&lt;fi_h/20,0,(OFFSET('Base de dados'!$A$5,IF(O2522&lt;20,1,IF(O2522&gt;1000,10,MATCH(O2522,Cargas,1))),Coluna_fih,1,1))*(PI()*(fi_h/1000)^2/4)*SQRT(2*9.81*(O2522/100-fi_h/2/1000))*1000))</f>
        <v>67.371984694778391</v>
      </c>
      <c r="Q2522" s="19">
        <f ca="1">IF(O2522="","",IF(Tipo_Vertedor="Retangular",IF(O2522&lt;=cota_s*100,0,IF(Tipo_Vertedor="Retangular",Cd_sr*Lef_sr*((O2522/100-cota_s)^(3/2))*1000)),IF(O2522&lt;=cota_s*100+fi_s/20,0,(OFFSET('Base de dados'!$A$4,IF(O2522&lt;20,1,IF(O2522&gt;1000,10,MATCH(O2522,Cargas,1))),Coluna_fis,1,1))*(PI()*(fi_s/1000)^2/4)*(2*9.81*(O2522/100-cota_s-fi_s/2/1000))^0.5*1000)))</f>
        <v>14952.034175805818</v>
      </c>
      <c r="R2522" s="19">
        <f t="shared" ca="1" si="285"/>
        <v>15019.406160500597</v>
      </c>
      <c r="S2522" s="19">
        <f t="shared" ca="1" si="286"/>
        <v>16019.132689493623</v>
      </c>
    </row>
    <row r="2523" spans="13:19">
      <c r="M2523" s="81">
        <f t="shared" ca="1" si="283"/>
        <v>31055.531995261605</v>
      </c>
      <c r="N2523" s="19">
        <f t="shared" si="284"/>
        <v>480.78836170961472</v>
      </c>
      <c r="O2523" s="17">
        <f t="shared" si="282"/>
        <v>630.5</v>
      </c>
      <c r="P2523" s="19">
        <f ca="1">IF(ISERROR(IF(O2523&lt;fi_h/20,0,(OFFSET('Base de dados'!$A$5,IF(O2523&lt;20,1,IF(O2523&gt;1000,10,MATCH(O2523,Cargas,1))),Coluna_fih,1,1))*(1+0.13*0.25)*(PI()*(fi_h/1000)^2/4)*SQRT(2*9.81*(O2523/100-fi_h/2/1000))*1000)),"",IF(O2523&lt;fi_h/20,0,(OFFSET('Base de dados'!$A$5,IF(O2523&lt;20,1,IF(O2523&gt;1000,10,MATCH(O2523,Cargas,1))),Coluna_fih,1,1))*(PI()*(fi_h/1000)^2/4)*SQRT(2*9.81*(O2523/100-fi_h/2/1000))*1000))</f>
        <v>67.385466156137952</v>
      </c>
      <c r="Q2523" s="19">
        <f ca="1">IF(O2523="","",IF(Tipo_Vertedor="Retangular",IF(O2523&lt;=cota_s*100,0,IF(Tipo_Vertedor="Retangular",Cd_sr*Lef_sr*((O2523/100-cota_s)^(3/2))*1000)),IF(O2523&lt;=cota_s*100+fi_s/20,0,(OFFSET('Base de dados'!$A$4,IF(O2523&lt;20,1,IF(O2523&gt;1000,10,MATCH(O2523,Cargas,1))),Coluna_fis,1,1))*(PI()*(fi_s/1000)^2/4)*(2*9.81*(O2523/100-cota_s-fi_s/2/1000))^0.5*1000)))</f>
        <v>14961.867805451646</v>
      </c>
      <c r="R2523" s="19">
        <f t="shared" ca="1" si="285"/>
        <v>15029.253271607784</v>
      </c>
      <c r="S2523" s="19">
        <f t="shared" ca="1" si="286"/>
        <v>16026.278723653822</v>
      </c>
    </row>
    <row r="2524" spans="13:19">
      <c r="M2524" s="81">
        <f t="shared" ca="1" si="283"/>
        <v>31072.527645663991</v>
      </c>
      <c r="N2524" s="19">
        <f t="shared" si="284"/>
        <v>481.00275332405397</v>
      </c>
      <c r="O2524" s="17">
        <f t="shared" si="282"/>
        <v>630.75</v>
      </c>
      <c r="P2524" s="19">
        <f ca="1">IF(ISERROR(IF(O2524&lt;fi_h/20,0,(OFFSET('Base de dados'!$A$5,IF(O2524&lt;20,1,IF(O2524&gt;1000,10,MATCH(O2524,Cargas,1))),Coluna_fih,1,1))*(1+0.13*0.25)*(PI()*(fi_h/1000)^2/4)*SQRT(2*9.81*(O2524/100-fi_h/2/1000))*1000)),"",IF(O2524&lt;fi_h/20,0,(OFFSET('Base de dados'!$A$5,IF(O2524&lt;20,1,IF(O2524&gt;1000,10,MATCH(O2524,Cargas,1))),Coluna_fih,1,1))*(PI()*(fi_h/1000)^2/4)*SQRT(2*9.81*(O2524/100-fi_h/2/1000))*1000))</f>
        <v>67.398944920870818</v>
      </c>
      <c r="Q2524" s="19">
        <f ca="1">IF(O2524="","",IF(Tipo_Vertedor="Retangular",IF(O2524&lt;=cota_s*100,0,IF(Tipo_Vertedor="Retangular",Cd_sr*Lef_sr*((O2524/100-cota_s)^(3/2))*1000)),IF(O2524&lt;=cota_s*100+fi_s/20,0,(OFFSET('Base de dados'!$A$4,IF(O2524&lt;20,1,IF(O2524&gt;1000,10,MATCH(O2524,Cargas,1))),Coluna_fis,1,1))*(PI()*(fi_s/1000)^2/4)*(2*9.81*(O2524/100-cota_s-fi_s/2/1000))^0.5*1000)))</f>
        <v>14971.703589941322</v>
      </c>
      <c r="R2524" s="19">
        <f t="shared" ca="1" si="285"/>
        <v>15039.102534862193</v>
      </c>
      <c r="S2524" s="19">
        <f t="shared" ca="1" si="286"/>
        <v>16033.425110801798</v>
      </c>
    </row>
    <row r="2525" spans="13:19">
      <c r="M2525" s="81">
        <f t="shared" ca="1" si="283"/>
        <v>31089.525800608506</v>
      </c>
      <c r="N2525" s="19">
        <f t="shared" si="284"/>
        <v>481.21715552445221</v>
      </c>
      <c r="O2525" s="17">
        <f t="shared" si="282"/>
        <v>631</v>
      </c>
      <c r="P2525" s="19">
        <f ca="1">IF(ISERROR(IF(O2525&lt;fi_h/20,0,(OFFSET('Base de dados'!$A$5,IF(O2525&lt;20,1,IF(O2525&gt;1000,10,MATCH(O2525,Cargas,1))),Coluna_fih,1,1))*(1+0.13*0.25)*(PI()*(fi_h/1000)^2/4)*SQRT(2*9.81*(O2525/100-fi_h/2/1000))*1000)),"",IF(O2525&lt;fi_h/20,0,(OFFSET('Base de dados'!$A$5,IF(O2525&lt;20,1,IF(O2525&gt;1000,10,MATCH(O2525,Cargas,1))),Coluna_fih,1,1))*(PI()*(fi_h/1000)^2/4)*SQRT(2*9.81*(O2525/100-fi_h/2/1000))*1000))</f>
        <v>67.412420990594455</v>
      </c>
      <c r="Q2525" s="19">
        <f ca="1">IF(O2525="","",IF(Tipo_Vertedor="Retangular",IF(O2525&lt;=cota_s*100,0,IF(Tipo_Vertedor="Retangular",Cd_sr*Lef_sr*((O2525/100-cota_s)^(3/2))*1000)),IF(O2525&lt;=cota_s*100+fi_s/20,0,(OFFSET('Base de dados'!$A$4,IF(O2525&lt;20,1,IF(O2525&gt;1000,10,MATCH(O2525,Cargas,1))),Coluna_fis,1,1))*(PI()*(fi_s/1000)^2/4)*(2*9.81*(O2525/100-cota_s-fi_s/2/1000))^0.5*1000)))</f>
        <v>14981.54152880284</v>
      </c>
      <c r="R2525" s="19">
        <f t="shared" ca="1" si="285"/>
        <v>15048.953949793435</v>
      </c>
      <c r="S2525" s="19">
        <f t="shared" ca="1" si="286"/>
        <v>16040.571850815073</v>
      </c>
    </row>
    <row r="2526" spans="13:19">
      <c r="M2526" s="81">
        <f t="shared" ca="1" si="283"/>
        <v>31106.526459502707</v>
      </c>
      <c r="N2526" s="19">
        <f t="shared" si="284"/>
        <v>481.43156830713735</v>
      </c>
      <c r="O2526" s="17">
        <f t="shared" si="282"/>
        <v>631.25</v>
      </c>
      <c r="P2526" s="19">
        <f ca="1">IF(ISERROR(IF(O2526&lt;fi_h/20,0,(OFFSET('Base de dados'!$A$5,IF(O2526&lt;20,1,IF(O2526&gt;1000,10,MATCH(O2526,Cargas,1))),Coluna_fih,1,1))*(1+0.13*0.25)*(PI()*(fi_h/1000)^2/4)*SQRT(2*9.81*(O2526/100-fi_h/2/1000))*1000)),"",IF(O2526&lt;fi_h/20,0,(OFFSET('Base de dados'!$A$5,IF(O2526&lt;20,1,IF(O2526&gt;1000,10,MATCH(O2526,Cargas,1))),Coluna_fih,1,1))*(PI()*(fi_h/1000)^2/4)*SQRT(2*9.81*(O2526/100-fi_h/2/1000))*1000))</f>
        <v>67.425894366924808</v>
      </c>
      <c r="Q2526" s="19">
        <f ca="1">IF(O2526="","",IF(Tipo_Vertedor="Retangular",IF(O2526&lt;=cota_s*100,0,IF(Tipo_Vertedor="Retangular",Cd_sr*Lef_sr*((O2526/100-cota_s)^(3/2))*1000)),IF(O2526&lt;=cota_s*100+fi_s/20,0,(OFFSET('Base de dados'!$A$4,IF(O2526&lt;20,1,IF(O2526&gt;1000,10,MATCH(O2526,Cargas,1))),Coluna_fis,1,1))*(PI()*(fi_s/1000)^2/4)*(2*9.81*(O2526/100-cota_s-fi_s/2/1000))^0.5*1000)))</f>
        <v>14991.381621564538</v>
      </c>
      <c r="R2526" s="19">
        <f t="shared" ca="1" si="285"/>
        <v>15058.807515931463</v>
      </c>
      <c r="S2526" s="19">
        <f t="shared" ca="1" si="286"/>
        <v>16047.718943571244</v>
      </c>
    </row>
    <row r="2527" spans="13:19">
      <c r="M2527" s="81">
        <f t="shared" ca="1" si="283"/>
        <v>31123.52962175454</v>
      </c>
      <c r="N2527" s="19">
        <f t="shared" si="284"/>
        <v>481.64599166844056</v>
      </c>
      <c r="O2527" s="17">
        <f t="shared" si="282"/>
        <v>631.5</v>
      </c>
      <c r="P2527" s="19">
        <f ca="1">IF(ISERROR(IF(O2527&lt;fi_h/20,0,(OFFSET('Base de dados'!$A$5,IF(O2527&lt;20,1,IF(O2527&gt;1000,10,MATCH(O2527,Cargas,1))),Coluna_fih,1,1))*(1+0.13*0.25)*(PI()*(fi_h/1000)^2/4)*SQRT(2*9.81*(O2527/100-fi_h/2/1000))*1000)),"",IF(O2527&lt;fi_h/20,0,(OFFSET('Base de dados'!$A$5,IF(O2527&lt;20,1,IF(O2527&gt;1000,10,MATCH(O2527,Cargas,1))),Coluna_fih,1,1))*(PI()*(fi_h/1000)^2/4)*SQRT(2*9.81*(O2527/100-fi_h/2/1000))*1000))</f>
        <v>67.439365051476159</v>
      </c>
      <c r="Q2527" s="19">
        <f ca="1">IF(O2527="","",IF(Tipo_Vertedor="Retangular",IF(O2527&lt;=cota_s*100,0,IF(Tipo_Vertedor="Retangular",Cd_sr*Lef_sr*((O2527/100-cota_s)^(3/2))*1000)),IF(O2527&lt;=cota_s*100+fi_s/20,0,(OFFSET('Base de dados'!$A$4,IF(O2527&lt;20,1,IF(O2527&gt;1000,10,MATCH(O2527,Cargas,1))),Coluna_fis,1,1))*(PI()*(fi_s/1000)^2/4)*(2*9.81*(O2527/100-cota_s-fi_s/2/1000))^0.5*1000)))</f>
        <v>15001.223867755043</v>
      </c>
      <c r="R2527" s="19">
        <f t="shared" ca="1" si="285"/>
        <v>15068.663232806519</v>
      </c>
      <c r="S2527" s="19">
        <f t="shared" ca="1" si="286"/>
        <v>16054.866388948019</v>
      </c>
    </row>
    <row r="2528" spans="13:19">
      <c r="M2528" s="81">
        <f t="shared" ca="1" si="283"/>
        <v>31140.535286772349</v>
      </c>
      <c r="N2528" s="19">
        <f t="shared" si="284"/>
        <v>481.86042560469531</v>
      </c>
      <c r="O2528" s="17">
        <f t="shared" si="282"/>
        <v>631.75</v>
      </c>
      <c r="P2528" s="19">
        <f ca="1">IF(ISERROR(IF(O2528&lt;fi_h/20,0,(OFFSET('Base de dados'!$A$5,IF(O2528&lt;20,1,IF(O2528&gt;1000,10,MATCH(O2528,Cargas,1))),Coluna_fih,1,1))*(1+0.13*0.25)*(PI()*(fi_h/1000)^2/4)*SQRT(2*9.81*(O2528/100-fi_h/2/1000))*1000)),"",IF(O2528&lt;fi_h/20,0,(OFFSET('Base de dados'!$A$5,IF(O2528&lt;20,1,IF(O2528&gt;1000,10,MATCH(O2528,Cargas,1))),Coluna_fih,1,1))*(PI()*(fi_h/1000)^2/4)*SQRT(2*9.81*(O2528/100-fi_h/2/1000))*1000))</f>
        <v>67.452833045861212</v>
      </c>
      <c r="Q2528" s="19">
        <f ca="1">IF(O2528="","",IF(Tipo_Vertedor="Retangular",IF(O2528&lt;=cota_s*100,0,IF(Tipo_Vertedor="Retangular",Cd_sr*Lef_sr*((O2528/100-cota_s)^(3/2))*1000)),IF(O2528&lt;=cota_s*100+fi_s/20,0,(OFFSET('Base de dados'!$A$4,IF(O2528&lt;20,1,IF(O2528&gt;1000,10,MATCH(O2528,Cargas,1))),Coluna_fis,1,1))*(PI()*(fi_s/1000)^2/4)*(2*9.81*(O2528/100-cota_s-fi_s/2/1000))^0.5*1000)))</f>
        <v>15011.06826690331</v>
      </c>
      <c r="R2528" s="19">
        <f t="shared" ca="1" si="285"/>
        <v>15078.521099949172</v>
      </c>
      <c r="S2528" s="19">
        <f t="shared" ca="1" si="286"/>
        <v>16062.014186823177</v>
      </c>
    </row>
    <row r="2529" spans="13:19">
      <c r="M2529" s="81">
        <f t="shared" ca="1" si="283"/>
        <v>31157.543453964892</v>
      </c>
      <c r="N2529" s="19">
        <f t="shared" si="284"/>
        <v>482.07487011223856</v>
      </c>
      <c r="O2529" s="17">
        <f t="shared" si="282"/>
        <v>632</v>
      </c>
      <c r="P2529" s="19">
        <f ca="1">IF(ISERROR(IF(O2529&lt;fi_h/20,0,(OFFSET('Base de dados'!$A$5,IF(O2529&lt;20,1,IF(O2529&gt;1000,10,MATCH(O2529,Cargas,1))),Coluna_fih,1,1))*(1+0.13*0.25)*(PI()*(fi_h/1000)^2/4)*SQRT(2*9.81*(O2529/100-fi_h/2/1000))*1000)),"",IF(O2529&lt;fi_h/20,0,(OFFSET('Base de dados'!$A$5,IF(O2529&lt;20,1,IF(O2529&gt;1000,10,MATCH(O2529,Cargas,1))),Coluna_fih,1,1))*(PI()*(fi_h/1000)^2/4)*SQRT(2*9.81*(O2529/100-fi_h/2/1000))*1000))</f>
        <v>67.466298351691037</v>
      </c>
      <c r="Q2529" s="19">
        <f ca="1">IF(O2529="","",IF(Tipo_Vertedor="Retangular",IF(O2529&lt;=cota_s*100,0,IF(Tipo_Vertedor="Retangular",Cd_sr*Lef_sr*((O2529/100-cota_s)^(3/2))*1000)),IF(O2529&lt;=cota_s*100+fi_s/20,0,(OFFSET('Base de dados'!$A$4,IF(O2529&lt;20,1,IF(O2529&gt;1000,10,MATCH(O2529,Cargas,1))),Coluna_fis,1,1))*(PI()*(fi_s/1000)^2/4)*(2*9.81*(O2529/100-cota_s-fi_s/2/1000))^0.5*1000)))</f>
        <v>15020.914818538584</v>
      </c>
      <c r="R2529" s="19">
        <f t="shared" ca="1" si="285"/>
        <v>15088.381116890276</v>
      </c>
      <c r="S2529" s="19">
        <f t="shared" ca="1" si="286"/>
        <v>16069.162337074618</v>
      </c>
    </row>
    <row r="2530" spans="13:19">
      <c r="M2530" s="81">
        <f t="shared" ca="1" si="283"/>
        <v>31174.554122741305</v>
      </c>
      <c r="N2530" s="19">
        <f t="shared" si="284"/>
        <v>482.28932518740896</v>
      </c>
      <c r="O2530" s="17">
        <f t="shared" si="282"/>
        <v>632.25</v>
      </c>
      <c r="P2530" s="19">
        <f ca="1">IF(ISERROR(IF(O2530&lt;fi_h/20,0,(OFFSET('Base de dados'!$A$5,IF(O2530&lt;20,1,IF(O2530&gt;1000,10,MATCH(O2530,Cargas,1))),Coluna_fih,1,1))*(1+0.13*0.25)*(PI()*(fi_h/1000)^2/4)*SQRT(2*9.81*(O2530/100-fi_h/2/1000))*1000)),"",IF(O2530&lt;fi_h/20,0,(OFFSET('Base de dados'!$A$5,IF(O2530&lt;20,1,IF(O2530&gt;1000,10,MATCH(O2530,Cargas,1))),Coluna_fih,1,1))*(PI()*(fi_h/1000)^2/4)*SQRT(2*9.81*(O2530/100-fi_h/2/1000))*1000))</f>
        <v>67.479760970575086</v>
      </c>
      <c r="Q2530" s="19">
        <f ca="1">IF(O2530="","",IF(Tipo_Vertedor="Retangular",IF(O2530&lt;=cota_s*100,0,IF(Tipo_Vertedor="Retangular",Cd_sr*Lef_sr*((O2530/100-cota_s)^(3/2))*1000)),IF(O2530&lt;=cota_s*100+fi_s/20,0,(OFFSET('Base de dados'!$A$4,IF(O2530&lt;20,1,IF(O2530&gt;1000,10,MATCH(O2530,Cargas,1))),Coluna_fis,1,1))*(PI()*(fi_s/1000)^2/4)*(2*9.81*(O2530/100-cota_s-fi_s/2/1000))^0.5*1000)))</f>
        <v>15030.763522190431</v>
      </c>
      <c r="R2530" s="19">
        <f t="shared" ca="1" si="285"/>
        <v>15098.243283161006</v>
      </c>
      <c r="S2530" s="19">
        <f t="shared" ca="1" si="286"/>
        <v>16076.310839580297</v>
      </c>
    </row>
    <row r="2531" spans="13:19">
      <c r="M2531" s="81">
        <f t="shared" ca="1" si="283"/>
        <v>31191.56729251115</v>
      </c>
      <c r="N2531" s="19">
        <f t="shared" si="284"/>
        <v>482.50379082654882</v>
      </c>
      <c r="O2531" s="17">
        <f t="shared" si="282"/>
        <v>632.5</v>
      </c>
      <c r="P2531" s="19">
        <f ca="1">IF(ISERROR(IF(O2531&lt;fi_h/20,0,(OFFSET('Base de dados'!$A$5,IF(O2531&lt;20,1,IF(O2531&gt;1000,10,MATCH(O2531,Cargas,1))),Coluna_fih,1,1))*(1+0.13*0.25)*(PI()*(fi_h/1000)^2/4)*SQRT(2*9.81*(O2531/100-fi_h/2/1000))*1000)),"",IF(O2531&lt;fi_h/20,0,(OFFSET('Base de dados'!$A$5,IF(O2531&lt;20,1,IF(O2531&gt;1000,10,MATCH(O2531,Cargas,1))),Coluna_fih,1,1))*(PI()*(fi_h/1000)^2/4)*SQRT(2*9.81*(O2531/100-fi_h/2/1000))*1000))</f>
        <v>67.493220904121273</v>
      </c>
      <c r="Q2531" s="19">
        <f ca="1">IF(O2531="","",IF(Tipo_Vertedor="Retangular",IF(O2531&lt;=cota_s*100,0,IF(Tipo_Vertedor="Retangular",Cd_sr*Lef_sr*((O2531/100-cota_s)^(3/2))*1000)),IF(O2531&lt;=cota_s*100+fi_s/20,0,(OFFSET('Base de dados'!$A$4,IF(O2531&lt;20,1,IF(O2531&gt;1000,10,MATCH(O2531,Cargas,1))),Coluna_fis,1,1))*(PI()*(fi_s/1000)^2/4)*(2*9.81*(O2531/100-cota_s-fi_s/2/1000))^0.5*1000)))</f>
        <v>15040.614377388732</v>
      </c>
      <c r="R2531" s="19">
        <f t="shared" ca="1" si="285"/>
        <v>15108.107598292854</v>
      </c>
      <c r="S2531" s="19">
        <f t="shared" ca="1" si="286"/>
        <v>16083.459694218294</v>
      </c>
    </row>
    <row r="2532" spans="13:19">
      <c r="M2532" s="81">
        <f t="shared" ca="1" si="283"/>
        <v>31208.582962684322</v>
      </c>
      <c r="N2532" s="19">
        <f t="shared" si="284"/>
        <v>482.71826702600231</v>
      </c>
      <c r="O2532" s="17">
        <f t="shared" si="282"/>
        <v>632.75</v>
      </c>
      <c r="P2532" s="19">
        <f ca="1">IF(ISERROR(IF(O2532&lt;fi_h/20,0,(OFFSET('Base de dados'!$A$5,IF(O2532&lt;20,1,IF(O2532&gt;1000,10,MATCH(O2532,Cargas,1))),Coluna_fih,1,1))*(1+0.13*0.25)*(PI()*(fi_h/1000)^2/4)*SQRT(2*9.81*(O2532/100-fi_h/2/1000))*1000)),"",IF(O2532&lt;fi_h/20,0,(OFFSET('Base de dados'!$A$5,IF(O2532&lt;20,1,IF(O2532&gt;1000,10,MATCH(O2532,Cargas,1))),Coluna_fih,1,1))*(PI()*(fi_h/1000)^2/4)*SQRT(2*9.81*(O2532/100-fi_h/2/1000))*1000))</f>
        <v>67.506678153935809</v>
      </c>
      <c r="Q2532" s="19">
        <f ca="1">IF(O2532="","",IF(Tipo_Vertedor="Retangular",IF(O2532&lt;=cota_s*100,0,IF(Tipo_Vertedor="Retangular",Cd_sr*Lef_sr*((O2532/100-cota_s)^(3/2))*1000)),IF(O2532&lt;=cota_s*100+fi_s/20,0,(OFFSET('Base de dados'!$A$4,IF(O2532&lt;20,1,IF(O2532&gt;1000,10,MATCH(O2532,Cargas,1))),Coluna_fis,1,1))*(PI()*(fi_s/1000)^2/4)*(2*9.81*(O2532/100-cota_s-fi_s/2/1000))^0.5*1000)))</f>
        <v>15050.467383663645</v>
      </c>
      <c r="R2532" s="19">
        <f t="shared" ca="1" si="285"/>
        <v>15117.97406181758</v>
      </c>
      <c r="S2532" s="19">
        <f t="shared" ca="1" si="286"/>
        <v>16090.608900866742</v>
      </c>
    </row>
    <row r="2533" spans="13:19">
      <c r="M2533" s="81">
        <f t="shared" ca="1" si="283"/>
        <v>31225.601132671203</v>
      </c>
      <c r="N2533" s="19">
        <f t="shared" si="284"/>
        <v>482.93275378211717</v>
      </c>
      <c r="O2533" s="17">
        <f t="shared" si="282"/>
        <v>633</v>
      </c>
      <c r="P2533" s="19">
        <f ca="1">IF(ISERROR(IF(O2533&lt;fi_h/20,0,(OFFSET('Base de dados'!$A$5,IF(O2533&lt;20,1,IF(O2533&gt;1000,10,MATCH(O2533,Cargas,1))),Coluna_fih,1,1))*(1+0.13*0.25)*(PI()*(fi_h/1000)^2/4)*SQRT(2*9.81*(O2533/100-fi_h/2/1000))*1000)),"",IF(O2533&lt;fi_h/20,0,(OFFSET('Base de dados'!$A$5,IF(O2533&lt;20,1,IF(O2533&gt;1000,10,MATCH(O2533,Cargas,1))),Coluna_fih,1,1))*(PI()*(fi_h/1000)^2/4)*SQRT(2*9.81*(O2533/100-fi_h/2/1000))*1000))</f>
        <v>67.520132721623384</v>
      </c>
      <c r="Q2533" s="19">
        <f ca="1">IF(O2533="","",IF(Tipo_Vertedor="Retangular",IF(O2533&lt;=cota_s*100,0,IF(Tipo_Vertedor="Retangular",Cd_sr*Lef_sr*((O2533/100-cota_s)^(3/2))*1000)),IF(O2533&lt;=cota_s*100+fi_s/20,0,(OFFSET('Base de dados'!$A$4,IF(O2533&lt;20,1,IF(O2533&gt;1000,10,MATCH(O2533,Cargas,1))),Coluna_fis,1,1))*(PI()*(fi_s/1000)^2/4)*(2*9.81*(O2533/100-cota_s-fi_s/2/1000))^0.5*1000)))</f>
        <v>15060.322540545676</v>
      </c>
      <c r="R2533" s="19">
        <f t="shared" ca="1" si="285"/>
        <v>15127.8426732673</v>
      </c>
      <c r="S2533" s="19">
        <f t="shared" ca="1" si="286"/>
        <v>16097.758459403905</v>
      </c>
    </row>
    <row r="2534" spans="13:19">
      <c r="M2534" s="81">
        <f t="shared" ca="1" si="283"/>
        <v>31242.621801882487</v>
      </c>
      <c r="N2534" s="19">
        <f t="shared" si="284"/>
        <v>483.14725109124288</v>
      </c>
      <c r="O2534" s="17">
        <f t="shared" si="282"/>
        <v>633.25</v>
      </c>
      <c r="P2534" s="19">
        <f ca="1">IF(ISERROR(IF(O2534&lt;fi_h/20,0,(OFFSET('Base de dados'!$A$5,IF(O2534&lt;20,1,IF(O2534&gt;1000,10,MATCH(O2534,Cargas,1))),Coluna_fih,1,1))*(1+0.13*0.25)*(PI()*(fi_h/1000)^2/4)*SQRT(2*9.81*(O2534/100-fi_h/2/1000))*1000)),"",IF(O2534&lt;fi_h/20,0,(OFFSET('Base de dados'!$A$5,IF(O2534&lt;20,1,IF(O2534&gt;1000,10,MATCH(O2534,Cargas,1))),Coluna_fih,1,1))*(PI()*(fi_h/1000)^2/4)*SQRT(2*9.81*(O2534/100-fi_h/2/1000))*1000))</f>
        <v>67.533584608787038</v>
      </c>
      <c r="Q2534" s="19">
        <f ca="1">IF(O2534="","",IF(Tipo_Vertedor="Retangular",IF(O2534&lt;=cota_s*100,0,IF(Tipo_Vertedor="Retangular",Cd_sr*Lef_sr*((O2534/100-cota_s)^(3/2))*1000)),IF(O2534&lt;=cota_s*100+fi_s/20,0,(OFFSET('Base de dados'!$A$4,IF(O2534&lt;20,1,IF(O2534&gt;1000,10,MATCH(O2534,Cargas,1))),Coluna_fis,1,1))*(PI()*(fi_s/1000)^2/4)*(2*9.81*(O2534/100-cota_s-fi_s/2/1000))^0.5*1000)))</f>
        <v>15070.179847565601</v>
      </c>
      <c r="R2534" s="19">
        <f t="shared" ca="1" si="285"/>
        <v>15137.713432174389</v>
      </c>
      <c r="S2534" s="19">
        <f t="shared" ca="1" si="286"/>
        <v>16104.908369708097</v>
      </c>
    </row>
    <row r="2535" spans="13:19">
      <c r="M2535" s="81">
        <f t="shared" ca="1" si="283"/>
        <v>31259.644969729314</v>
      </c>
      <c r="N2535" s="19">
        <f t="shared" si="284"/>
        <v>483.36175894973258</v>
      </c>
      <c r="O2535" s="17">
        <f t="shared" si="282"/>
        <v>633.5</v>
      </c>
      <c r="P2535" s="19">
        <f ca="1">IF(ISERROR(IF(O2535&lt;fi_h/20,0,(OFFSET('Base de dados'!$A$5,IF(O2535&lt;20,1,IF(O2535&gt;1000,10,MATCH(O2535,Cargas,1))),Coluna_fih,1,1))*(1+0.13*0.25)*(PI()*(fi_h/1000)^2/4)*SQRT(2*9.81*(O2535/100-fi_h/2/1000))*1000)),"",IF(O2535&lt;fi_h/20,0,(OFFSET('Base de dados'!$A$5,IF(O2535&lt;20,1,IF(O2535&gt;1000,10,MATCH(O2535,Cargas,1))),Coluna_fih,1,1))*(PI()*(fi_h/1000)^2/4)*SQRT(2*9.81*(O2535/100-fi_h/2/1000))*1000))</f>
        <v>67.547033817028264</v>
      </c>
      <c r="Q2535" s="19">
        <f ca="1">IF(O2535="","",IF(Tipo_Vertedor="Retangular",IF(O2535&lt;=cota_s*100,0,IF(Tipo_Vertedor="Retangular",Cd_sr*Lef_sr*((O2535/100-cota_s)^(3/2))*1000)),IF(O2535&lt;=cota_s*100+fi_s/20,0,(OFFSET('Base de dados'!$A$4,IF(O2535&lt;20,1,IF(O2535&gt;1000,10,MATCH(O2535,Cargas,1))),Coluna_fis,1,1))*(PI()*(fi_s/1000)^2/4)*(2*9.81*(O2535/100-cota_s-fi_s/2/1000))^0.5*1000)))</f>
        <v>15080.039304254535</v>
      </c>
      <c r="R2535" s="19">
        <f t="shared" ca="1" si="285"/>
        <v>15147.586338071564</v>
      </c>
      <c r="S2535" s="19">
        <f t="shared" ca="1" si="286"/>
        <v>16112.058631657752</v>
      </c>
    </row>
    <row r="2536" spans="13:19">
      <c r="M2536" s="81">
        <f t="shared" ca="1" si="283"/>
        <v>31276.67063562321</v>
      </c>
      <c r="N2536" s="19">
        <f t="shared" si="284"/>
        <v>483.57627735394152</v>
      </c>
      <c r="O2536" s="17">
        <f t="shared" si="282"/>
        <v>633.75</v>
      </c>
      <c r="P2536" s="19">
        <f ca="1">IF(ISERROR(IF(O2536&lt;fi_h/20,0,(OFFSET('Base de dados'!$A$5,IF(O2536&lt;20,1,IF(O2536&gt;1000,10,MATCH(O2536,Cargas,1))),Coluna_fih,1,1))*(1+0.13*0.25)*(PI()*(fi_h/1000)^2/4)*SQRT(2*9.81*(O2536/100-fi_h/2/1000))*1000)),"",IF(O2536&lt;fi_h/20,0,(OFFSET('Base de dados'!$A$5,IF(O2536&lt;20,1,IF(O2536&gt;1000,10,MATCH(O2536,Cargas,1))),Coluna_fih,1,1))*(PI()*(fi_h/1000)^2/4)*SQRT(2*9.81*(O2536/100-fi_h/2/1000))*1000))</f>
        <v>67.560480347946921</v>
      </c>
      <c r="Q2536" s="19">
        <f ca="1">IF(O2536="","",IF(Tipo_Vertedor="Retangular",IF(O2536&lt;=cota_s*100,0,IF(Tipo_Vertedor="Retangular",Cd_sr*Lef_sr*((O2536/100-cota_s)^(3/2))*1000)),IF(O2536&lt;=cota_s*100+fi_s/20,0,(OFFSET('Base de dados'!$A$4,IF(O2536&lt;20,1,IF(O2536&gt;1000,10,MATCH(O2536,Cargas,1))),Coluna_fis,1,1))*(PI()*(fi_s/1000)^2/4)*(2*9.81*(O2536/100-cota_s-fi_s/2/1000))^0.5*1000)))</f>
        <v>15089.900910143881</v>
      </c>
      <c r="R2536" s="19">
        <f t="shared" ca="1" si="285"/>
        <v>15157.461390491828</v>
      </c>
      <c r="S2536" s="19">
        <f t="shared" ca="1" si="286"/>
        <v>16119.209245131384</v>
      </c>
    </row>
    <row r="2537" spans="13:19">
      <c r="M2537" s="81">
        <f t="shared" ca="1" si="283"/>
        <v>31293.698798976075</v>
      </c>
      <c r="N2537" s="19">
        <f t="shared" si="284"/>
        <v>483.79080630022764</v>
      </c>
      <c r="O2537" s="17">
        <f t="shared" si="282"/>
        <v>634</v>
      </c>
      <c r="P2537" s="19">
        <f ca="1">IF(ISERROR(IF(O2537&lt;fi_h/20,0,(OFFSET('Base de dados'!$A$5,IF(O2537&lt;20,1,IF(O2537&gt;1000,10,MATCH(O2537,Cargas,1))),Coluna_fih,1,1))*(1+0.13*0.25)*(PI()*(fi_h/1000)^2/4)*SQRT(2*9.81*(O2537/100-fi_h/2/1000))*1000)),"",IF(O2537&lt;fi_h/20,0,(OFFSET('Base de dados'!$A$5,IF(O2537&lt;20,1,IF(O2537&gt;1000,10,MATCH(O2537,Cargas,1))),Coluna_fih,1,1))*(PI()*(fi_h/1000)^2/4)*SQRT(2*9.81*(O2537/100-fi_h/2/1000))*1000))</f>
        <v>67.573924203141289</v>
      </c>
      <c r="Q2537" s="19">
        <f ca="1">IF(O2537="","",IF(Tipo_Vertedor="Retangular",IF(O2537&lt;=cota_s*100,0,IF(Tipo_Vertedor="Retangular",Cd_sr*Lef_sr*((O2537/100-cota_s)^(3/2))*1000)),IF(O2537&lt;=cota_s*100+fi_s/20,0,(OFFSET('Base de dados'!$A$4,IF(O2537&lt;20,1,IF(O2537&gt;1000,10,MATCH(O2537,Cargas,1))),Coluna_fis,1,1))*(PI()*(fi_s/1000)^2/4)*(2*9.81*(O2537/100-cota_s-fi_s/2/1000))^0.5*1000)))</f>
        <v>15099.764664765344</v>
      </c>
      <c r="R2537" s="19">
        <f t="shared" ca="1" si="285"/>
        <v>15167.338588968485</v>
      </c>
      <c r="S2537" s="19">
        <f t="shared" ca="1" si="286"/>
        <v>16126.360210007588</v>
      </c>
    </row>
    <row r="2538" spans="13:19">
      <c r="M2538" s="81">
        <f t="shared" ca="1" si="283"/>
        <v>31310.729459200229</v>
      </c>
      <c r="N2538" s="19">
        <f t="shared" si="284"/>
        <v>484.00534578495194</v>
      </c>
      <c r="O2538" s="17">
        <f t="shared" si="282"/>
        <v>634.25</v>
      </c>
      <c r="P2538" s="19">
        <f ca="1">IF(ISERROR(IF(O2538&lt;fi_h/20,0,(OFFSET('Base de dados'!$A$5,IF(O2538&lt;20,1,IF(O2538&gt;1000,10,MATCH(O2538,Cargas,1))),Coluna_fih,1,1))*(1+0.13*0.25)*(PI()*(fi_h/1000)^2/4)*SQRT(2*9.81*(O2538/100-fi_h/2/1000))*1000)),"",IF(O2538&lt;fi_h/20,0,(OFFSET('Base de dados'!$A$5,IF(O2538&lt;20,1,IF(O2538&gt;1000,10,MATCH(O2538,Cargas,1))),Coluna_fih,1,1))*(PI()*(fi_h/1000)^2/4)*SQRT(2*9.81*(O2538/100-fi_h/2/1000))*1000))</f>
        <v>67.587365384208084</v>
      </c>
      <c r="Q2538" s="19">
        <f ca="1">IF(O2538="","",IF(Tipo_Vertedor="Retangular",IF(O2538&lt;=cota_s*100,0,IF(Tipo_Vertedor="Retangular",Cd_sr*Lef_sr*((O2538/100-cota_s)^(3/2))*1000)),IF(O2538&lt;=cota_s*100+fi_s/20,0,(OFFSET('Base de dados'!$A$4,IF(O2538&lt;20,1,IF(O2538&gt;1000,10,MATCH(O2538,Cargas,1))),Coluna_fis,1,1))*(PI()*(fi_s/1000)^2/4)*(2*9.81*(O2538/100-cota_s-fi_s/2/1000))^0.5*1000)))</f>
        <v>15109.630567650956</v>
      </c>
      <c r="R2538" s="19">
        <f t="shared" ca="1" si="285"/>
        <v>15177.217933035165</v>
      </c>
      <c r="S2538" s="19">
        <f t="shared" ca="1" si="286"/>
        <v>16133.511526165064</v>
      </c>
    </row>
    <row r="2539" spans="13:19">
      <c r="M2539" s="81">
        <f t="shared" ca="1" si="283"/>
        <v>31327.762615708372</v>
      </c>
      <c r="N2539" s="19">
        <f t="shared" si="284"/>
        <v>484.2198958044778</v>
      </c>
      <c r="O2539" s="17">
        <f t="shared" si="282"/>
        <v>634.5</v>
      </c>
      <c r="P2539" s="19">
        <f ca="1">IF(ISERROR(IF(O2539&lt;fi_h/20,0,(OFFSET('Base de dados'!$A$5,IF(O2539&lt;20,1,IF(O2539&gt;1000,10,MATCH(O2539,Cargas,1))),Coluna_fih,1,1))*(1+0.13*0.25)*(PI()*(fi_h/1000)^2/4)*SQRT(2*9.81*(O2539/100-fi_h/2/1000))*1000)),"",IF(O2539&lt;fi_h/20,0,(OFFSET('Base de dados'!$A$5,IF(O2539&lt;20,1,IF(O2539&gt;1000,10,MATCH(O2539,Cargas,1))),Coluna_fih,1,1))*(PI()*(fi_h/1000)^2/4)*SQRT(2*9.81*(O2539/100-fi_h/2/1000))*1000))</f>
        <v>67.600803892742348</v>
      </c>
      <c r="Q2539" s="19">
        <f ca="1">IF(O2539="","",IF(Tipo_Vertedor="Retangular",IF(O2539&lt;=cota_s*100,0,IF(Tipo_Vertedor="Retangular",Cd_sr*Lef_sr*((O2539/100-cota_s)^(3/2))*1000)),IF(O2539&lt;=cota_s*100+fi_s/20,0,(OFFSET('Base de dados'!$A$4,IF(O2539&lt;20,1,IF(O2539&gt;1000,10,MATCH(O2539,Cargas,1))),Coluna_fis,1,1))*(PI()*(fi_s/1000)^2/4)*(2*9.81*(O2539/100-cota_s-fi_s/2/1000))^0.5*1000)))</f>
        <v>15119.498618333037</v>
      </c>
      <c r="R2539" s="19">
        <f t="shared" ca="1" si="285"/>
        <v>15187.09942222578</v>
      </c>
      <c r="S2539" s="19">
        <f t="shared" ca="1" si="286"/>
        <v>16140.663193482593</v>
      </c>
    </row>
    <row r="2540" spans="13:19">
      <c r="M2540" s="81">
        <f t="shared" ca="1" si="283"/>
        <v>31344.798267913604</v>
      </c>
      <c r="N2540" s="19">
        <f t="shared" si="284"/>
        <v>484.43445635517162</v>
      </c>
      <c r="O2540" s="17">
        <f t="shared" si="282"/>
        <v>634.75</v>
      </c>
      <c r="P2540" s="19">
        <f ca="1">IF(ISERROR(IF(O2540&lt;fi_h/20,0,(OFFSET('Base de dados'!$A$5,IF(O2540&lt;20,1,IF(O2540&gt;1000,10,MATCH(O2540,Cargas,1))),Coluna_fih,1,1))*(1+0.13*0.25)*(PI()*(fi_h/1000)^2/4)*SQRT(2*9.81*(O2540/100-fi_h/2/1000))*1000)),"",IF(O2540&lt;fi_h/20,0,(OFFSET('Base de dados'!$A$5,IF(O2540&lt;20,1,IF(O2540&gt;1000,10,MATCH(O2540,Cargas,1))),Coluna_fih,1,1))*(PI()*(fi_h/1000)^2/4)*SQRT(2*9.81*(O2540/100-fi_h/2/1000))*1000))</f>
        <v>67.614239730337658</v>
      </c>
      <c r="Q2540" s="19">
        <f ca="1">IF(O2540="","",IF(Tipo_Vertedor="Retangular",IF(O2540&lt;=cota_s*100,0,IF(Tipo_Vertedor="Retangular",Cd_sr*Lef_sr*((O2540/100-cota_s)^(3/2))*1000)),IF(O2540&lt;=cota_s*100+fi_s/20,0,(OFFSET('Base de dados'!$A$4,IF(O2540&lt;20,1,IF(O2540&gt;1000,10,MATCH(O2540,Cargas,1))),Coluna_fis,1,1))*(PI()*(fi_s/1000)^2/4)*(2*9.81*(O2540/100-cota_s-fi_s/2/1000))^0.5*1000)))</f>
        <v>15129.368816344215</v>
      </c>
      <c r="R2540" s="19">
        <f t="shared" ca="1" si="285"/>
        <v>15196.983056074552</v>
      </c>
      <c r="S2540" s="19">
        <f t="shared" ca="1" si="286"/>
        <v>16147.815211839054</v>
      </c>
    </row>
    <row r="2541" spans="13:19">
      <c r="M2541" s="81">
        <f t="shared" ca="1" si="283"/>
        <v>31361.836415229409</v>
      </c>
      <c r="N2541" s="19">
        <f t="shared" si="284"/>
        <v>484.64902743340173</v>
      </c>
      <c r="O2541" s="17">
        <f t="shared" si="282"/>
        <v>635</v>
      </c>
      <c r="P2541" s="19">
        <f ca="1">IF(ISERROR(IF(O2541&lt;fi_h/20,0,(OFFSET('Base de dados'!$A$5,IF(O2541&lt;20,1,IF(O2541&gt;1000,10,MATCH(O2541,Cargas,1))),Coluna_fih,1,1))*(1+0.13*0.25)*(PI()*(fi_h/1000)^2/4)*SQRT(2*9.81*(O2541/100-fi_h/2/1000))*1000)),"",IF(O2541&lt;fi_h/20,0,(OFFSET('Base de dados'!$A$5,IF(O2541&lt;20,1,IF(O2541&gt;1000,10,MATCH(O2541,Cargas,1))),Coluna_fih,1,1))*(PI()*(fi_h/1000)^2/4)*SQRT(2*9.81*(O2541/100-fi_h/2/1000))*1000))</f>
        <v>67.627672898585914</v>
      </c>
      <c r="Q2541" s="19">
        <f ca="1">IF(O2541="","",IF(Tipo_Vertedor="Retangular",IF(O2541&lt;=cota_s*100,0,IF(Tipo_Vertedor="Retangular",Cd_sr*Lef_sr*((O2541/100-cota_s)^(3/2))*1000)),IF(O2541&lt;=cota_s*100+fi_s/20,0,(OFFSET('Base de dados'!$A$4,IF(O2541&lt;20,1,IF(O2541&gt;1000,10,MATCH(O2541,Cargas,1))),Coluna_fis,1,1))*(PI()*(fi_s/1000)^2/4)*(2*9.81*(O2541/100-cota_s-fi_s/2/1000))^0.5*1000)))</f>
        <v>15139.241161217433</v>
      </c>
      <c r="R2541" s="19">
        <f t="shared" ca="1" si="285"/>
        <v>15206.86883411602</v>
      </c>
      <c r="S2541" s="19">
        <f t="shared" ca="1" si="286"/>
        <v>16154.967581113391</v>
      </c>
    </row>
    <row r="2542" spans="13:19">
      <c r="M2542" s="81">
        <f t="shared" ca="1" si="283"/>
        <v>31378.87705706968</v>
      </c>
      <c r="N2542" s="19">
        <f t="shared" si="284"/>
        <v>484.86360903554043</v>
      </c>
      <c r="O2542" s="17">
        <f t="shared" si="282"/>
        <v>635.25</v>
      </c>
      <c r="P2542" s="19">
        <f ca="1">IF(ISERROR(IF(O2542&lt;fi_h/20,0,(OFFSET('Base de dados'!$A$5,IF(O2542&lt;20,1,IF(O2542&gt;1000,10,MATCH(O2542,Cargas,1))),Coluna_fih,1,1))*(1+0.13*0.25)*(PI()*(fi_h/1000)^2/4)*SQRT(2*9.81*(O2542/100-fi_h/2/1000))*1000)),"",IF(O2542&lt;fi_h/20,0,(OFFSET('Base de dados'!$A$5,IF(O2542&lt;20,1,IF(O2542&gt;1000,10,MATCH(O2542,Cargas,1))),Coluna_fih,1,1))*(PI()*(fi_h/1000)^2/4)*SQRT(2*9.81*(O2542/100-fi_h/2/1000))*1000))</f>
        <v>67.641103399077508</v>
      </c>
      <c r="Q2542" s="19">
        <f ca="1">IF(O2542="","",IF(Tipo_Vertedor="Retangular",IF(O2542&lt;=cota_s*100,0,IF(Tipo_Vertedor="Retangular",Cd_sr*Lef_sr*((O2542/100-cota_s)^(3/2))*1000)),IF(O2542&lt;=cota_s*100+fi_s/20,0,(OFFSET('Base de dados'!$A$4,IF(O2542&lt;20,1,IF(O2542&gt;1000,10,MATCH(O2542,Cargas,1))),Coluna_fis,1,1))*(PI()*(fi_s/1000)^2/4)*(2*9.81*(O2542/100-cota_s-fi_s/2/1000))^0.5*1000)))</f>
        <v>15149.11565248592</v>
      </c>
      <c r="R2542" s="19">
        <f t="shared" ca="1" si="285"/>
        <v>15216.756755884997</v>
      </c>
      <c r="S2542" s="19">
        <f t="shared" ca="1" si="286"/>
        <v>16162.120301184681</v>
      </c>
    </row>
    <row r="2543" spans="13:19">
      <c r="M2543" s="81">
        <f t="shared" ca="1" si="283"/>
        <v>31395.920192848669</v>
      </c>
      <c r="N2543" s="19">
        <f t="shared" si="284"/>
        <v>485.07820115796119</v>
      </c>
      <c r="O2543" s="17">
        <f t="shared" si="282"/>
        <v>635.5</v>
      </c>
      <c r="P2543" s="19">
        <f ca="1">IF(ISERROR(IF(O2543&lt;fi_h/20,0,(OFFSET('Base de dados'!$A$5,IF(O2543&lt;20,1,IF(O2543&gt;1000,10,MATCH(O2543,Cargas,1))),Coluna_fih,1,1))*(1+0.13*0.25)*(PI()*(fi_h/1000)^2/4)*SQRT(2*9.81*(O2543/100-fi_h/2/1000))*1000)),"",IF(O2543&lt;fi_h/20,0,(OFFSET('Base de dados'!$A$5,IF(O2543&lt;20,1,IF(O2543&gt;1000,10,MATCH(O2543,Cargas,1))),Coluna_fih,1,1))*(PI()*(fi_h/1000)^2/4)*SQRT(2*9.81*(O2543/100-fi_h/2/1000))*1000))</f>
        <v>67.654531233401187</v>
      </c>
      <c r="Q2543" s="19">
        <f ca="1">IF(O2543="","",IF(Tipo_Vertedor="Retangular",IF(O2543&lt;=cota_s*100,0,IF(Tipo_Vertedor="Retangular",Cd_sr*Lef_sr*((O2543/100-cota_s)^(3/2))*1000)),IF(O2543&lt;=cota_s*100+fi_s/20,0,(OFFSET('Base de dados'!$A$4,IF(O2543&lt;20,1,IF(O2543&gt;1000,10,MATCH(O2543,Cargas,1))),Coluna_fis,1,1))*(PI()*(fi_s/1000)^2/4)*(2*9.81*(O2543/100-cota_s-fi_s/2/1000))^0.5*1000)))</f>
        <v>15158.992289683227</v>
      </c>
      <c r="R2543" s="19">
        <f t="shared" ca="1" si="285"/>
        <v>15226.646820916629</v>
      </c>
      <c r="S2543" s="19">
        <f t="shared" ca="1" si="286"/>
        <v>16169.27337193204</v>
      </c>
    </row>
    <row r="2544" spans="13:19">
      <c r="M2544" s="81">
        <f t="shared" ca="1" si="283"/>
        <v>31412.965821981055</v>
      </c>
      <c r="N2544" s="19">
        <f t="shared" si="284"/>
        <v>485.2928037970413</v>
      </c>
      <c r="O2544" s="17">
        <f t="shared" si="282"/>
        <v>635.75</v>
      </c>
      <c r="P2544" s="19">
        <f ca="1">IF(ISERROR(IF(O2544&lt;fi_h/20,0,(OFFSET('Base de dados'!$A$5,IF(O2544&lt;20,1,IF(O2544&gt;1000,10,MATCH(O2544,Cargas,1))),Coluna_fih,1,1))*(1+0.13*0.25)*(PI()*(fi_h/1000)^2/4)*SQRT(2*9.81*(O2544/100-fi_h/2/1000))*1000)),"",IF(O2544&lt;fi_h/20,0,(OFFSET('Base de dados'!$A$5,IF(O2544&lt;20,1,IF(O2544&gt;1000,10,MATCH(O2544,Cargas,1))),Coluna_fih,1,1))*(PI()*(fi_h/1000)^2/4)*SQRT(2*9.81*(O2544/100-fi_h/2/1000))*1000))</f>
        <v>67.66795640314416</v>
      </c>
      <c r="Q2544" s="19">
        <f ca="1">IF(O2544="","",IF(Tipo_Vertedor="Retangular",IF(O2544&lt;=cota_s*100,0,IF(Tipo_Vertedor="Retangular",Cd_sr*Lef_sr*((O2544/100-cota_s)^(3/2))*1000)),IF(O2544&lt;=cota_s*100+fi_s/20,0,(OFFSET('Base de dados'!$A$4,IF(O2544&lt;20,1,IF(O2544&gt;1000,10,MATCH(O2544,Cargas,1))),Coluna_fis,1,1))*(PI()*(fi_s/1000)^2/4)*(2*9.81*(O2544/100-cota_s-fi_s/2/1000))^0.5*1000)))</f>
        <v>15168.871072343201</v>
      </c>
      <c r="R2544" s="19">
        <f t="shared" ca="1" si="285"/>
        <v>15236.539028746345</v>
      </c>
      <c r="S2544" s="19">
        <f t="shared" ca="1" si="286"/>
        <v>16176.42679323471</v>
      </c>
    </row>
    <row r="2545" spans="13:19">
      <c r="M2545" s="81">
        <f t="shared" ca="1" si="283"/>
        <v>31430.013943881899</v>
      </c>
      <c r="N2545" s="19">
        <f t="shared" si="284"/>
        <v>485.50741694916007</v>
      </c>
      <c r="O2545" s="17">
        <f t="shared" si="282"/>
        <v>636</v>
      </c>
      <c r="P2545" s="19">
        <f ca="1">IF(ISERROR(IF(O2545&lt;fi_h/20,0,(OFFSET('Base de dados'!$A$5,IF(O2545&lt;20,1,IF(O2545&gt;1000,10,MATCH(O2545,Cargas,1))),Coluna_fih,1,1))*(1+0.13*0.25)*(PI()*(fi_h/1000)^2/4)*SQRT(2*9.81*(O2545/100-fi_h/2/1000))*1000)),"",IF(O2545&lt;fi_h/20,0,(OFFSET('Base de dados'!$A$5,IF(O2545&lt;20,1,IF(O2545&gt;1000,10,MATCH(O2545,Cargas,1))),Coluna_fih,1,1))*(PI()*(fi_h/1000)^2/4)*SQRT(2*9.81*(O2545/100-fi_h/2/1000))*1000))</f>
        <v>67.681378909892061</v>
      </c>
      <c r="Q2545" s="19">
        <f ca="1">IF(O2545="","",IF(Tipo_Vertedor="Retangular",IF(O2545&lt;=cota_s*100,0,IF(Tipo_Vertedor="Retangular",Cd_sr*Lef_sr*((O2545/100-cota_s)^(3/2))*1000)),IF(O2545&lt;=cota_s*100+fi_s/20,0,(OFFSET('Base de dados'!$A$4,IF(O2545&lt;20,1,IF(O2545&gt;1000,10,MATCH(O2545,Cargas,1))),Coluna_fis,1,1))*(PI()*(fi_s/1000)^2/4)*(2*9.81*(O2545/100-cota_s-fi_s/2/1000))^0.5*1000)))</f>
        <v>15178.752000000004</v>
      </c>
      <c r="R2545" s="19">
        <f t="shared" ca="1" si="285"/>
        <v>15246.433378909896</v>
      </c>
      <c r="S2545" s="19">
        <f t="shared" ca="1" si="286"/>
        <v>16183.580564972002</v>
      </c>
    </row>
    <row r="2546" spans="13:19">
      <c r="M2546" s="81">
        <f t="shared" ca="1" si="283"/>
        <v>31447.064557966638</v>
      </c>
      <c r="N2546" s="19">
        <f t="shared" si="284"/>
        <v>485.72204061069999</v>
      </c>
      <c r="O2546" s="17">
        <f t="shared" si="282"/>
        <v>636.25</v>
      </c>
      <c r="P2546" s="19">
        <f ca="1">IF(ISERROR(IF(O2546&lt;fi_h/20,0,(OFFSET('Base de dados'!$A$5,IF(O2546&lt;20,1,IF(O2546&gt;1000,10,MATCH(O2546,Cargas,1))),Coluna_fih,1,1))*(1+0.13*0.25)*(PI()*(fi_h/1000)^2/4)*SQRT(2*9.81*(O2546/100-fi_h/2/1000))*1000)),"",IF(O2546&lt;fi_h/20,0,(OFFSET('Base de dados'!$A$5,IF(O2546&lt;20,1,IF(O2546&gt;1000,10,MATCH(O2546,Cargas,1))),Coluna_fih,1,1))*(PI()*(fi_h/1000)^2/4)*SQRT(2*9.81*(O2546/100-fi_h/2/1000))*1000))</f>
        <v>67.694798755228931</v>
      </c>
      <c r="Q2546" s="19">
        <f ca="1">IF(O2546="","",IF(Tipo_Vertedor="Retangular",IF(O2546&lt;=cota_s*100,0,IF(Tipo_Vertedor="Retangular",Cd_sr*Lef_sr*((O2546/100-cota_s)^(3/2))*1000)),IF(O2546&lt;=cota_s*100+fi_s/20,0,(OFFSET('Base de dados'!$A$4,IF(O2546&lt;20,1,IF(O2546&gt;1000,10,MATCH(O2546,Cargas,1))),Coluna_fis,1,1))*(PI()*(fi_s/1000)^2/4)*(2*9.81*(O2546/100-cota_s-fi_s/2/1000))^0.5*1000)))</f>
        <v>15188.635072188077</v>
      </c>
      <c r="R2546" s="19">
        <f t="shared" ca="1" si="285"/>
        <v>15256.329870943306</v>
      </c>
      <c r="S2546" s="19">
        <f t="shared" ca="1" si="286"/>
        <v>16190.734687023332</v>
      </c>
    </row>
    <row r="2547" spans="13:19">
      <c r="M2547" s="81">
        <f t="shared" ca="1" si="283"/>
        <v>31464.117663651115</v>
      </c>
      <c r="N2547" s="19">
        <f t="shared" si="284"/>
        <v>485.93667477804604</v>
      </c>
      <c r="O2547" s="17">
        <f t="shared" si="282"/>
        <v>636.5</v>
      </c>
      <c r="P2547" s="19">
        <f ca="1">IF(ISERROR(IF(O2547&lt;fi_h/20,0,(OFFSET('Base de dados'!$A$5,IF(O2547&lt;20,1,IF(O2547&gt;1000,10,MATCH(O2547,Cargas,1))),Coluna_fih,1,1))*(1+0.13*0.25)*(PI()*(fi_h/1000)^2/4)*SQRT(2*9.81*(O2547/100-fi_h/2/1000))*1000)),"",IF(O2547&lt;fi_h/20,0,(OFFSET('Base de dados'!$A$5,IF(O2547&lt;20,1,IF(O2547&gt;1000,10,MATCH(O2547,Cargas,1))),Coluna_fih,1,1))*(PI()*(fi_h/1000)^2/4)*SQRT(2*9.81*(O2547/100-fi_h/2/1000))*1000))</f>
        <v>67.708215940737247</v>
      </c>
      <c r="Q2547" s="19">
        <f ca="1">IF(O2547="","",IF(Tipo_Vertedor="Retangular",IF(O2547&lt;=cota_s*100,0,IF(Tipo_Vertedor="Retangular",Cd_sr*Lef_sr*((O2547/100-cota_s)^(3/2))*1000)),IF(O2547&lt;=cota_s*100+fi_s/20,0,(OFFSET('Base de dados'!$A$4,IF(O2547&lt;20,1,IF(O2547&gt;1000,10,MATCH(O2547,Cargas,1))),Coluna_fis,1,1))*(PI()*(fi_s/1000)^2/4)*(2*9.81*(O2547/100-cota_s-fi_s/2/1000))^0.5*1000)))</f>
        <v>15198.52028844218</v>
      </c>
      <c r="R2547" s="19">
        <f t="shared" ca="1" si="285"/>
        <v>15266.228504382916</v>
      </c>
      <c r="S2547" s="19">
        <f t="shared" ca="1" si="286"/>
        <v>16197.889159268201</v>
      </c>
    </row>
    <row r="2548" spans="13:19">
      <c r="M2548" s="81">
        <f t="shared" ca="1" si="283"/>
        <v>31481.173260351556</v>
      </c>
      <c r="N2548" s="19">
        <f t="shared" si="284"/>
        <v>486.15131944758531</v>
      </c>
      <c r="O2548" s="17">
        <f t="shared" si="282"/>
        <v>636.75</v>
      </c>
      <c r="P2548" s="19">
        <f ca="1">IF(ISERROR(IF(O2548&lt;fi_h/20,0,(OFFSET('Base de dados'!$A$5,IF(O2548&lt;20,1,IF(O2548&gt;1000,10,MATCH(O2548,Cargas,1))),Coluna_fih,1,1))*(1+0.13*0.25)*(PI()*(fi_h/1000)^2/4)*SQRT(2*9.81*(O2548/100-fi_h/2/1000))*1000)),"",IF(O2548&lt;fi_h/20,0,(OFFSET('Base de dados'!$A$5,IF(O2548&lt;20,1,IF(O2548&gt;1000,10,MATCH(O2548,Cargas,1))),Coluna_fih,1,1))*(PI()*(fi_h/1000)^2/4)*SQRT(2*9.81*(O2548/100-fi_h/2/1000))*1000))</f>
        <v>67.721630467997954</v>
      </c>
      <c r="Q2548" s="19">
        <f ca="1">IF(O2548="","",IF(Tipo_Vertedor="Retangular",IF(O2548&lt;=cota_s*100,0,IF(Tipo_Vertedor="Retangular",Cd_sr*Lef_sr*((O2548/100-cota_s)^(3/2))*1000)),IF(O2548&lt;=cota_s*100+fi_s/20,0,(OFFSET('Base de dados'!$A$4,IF(O2548&lt;20,1,IF(O2548&gt;1000,10,MATCH(O2548,Cargas,1))),Coluna_fis,1,1))*(PI()*(fi_s/1000)^2/4)*(2*9.81*(O2548/100-cota_s-fi_s/2/1000))^0.5*1000)))</f>
        <v>15208.407648297381</v>
      </c>
      <c r="R2548" s="19">
        <f t="shared" ca="1" si="285"/>
        <v>15276.12927876538</v>
      </c>
      <c r="S2548" s="19">
        <f t="shared" ca="1" si="286"/>
        <v>16205.043981586177</v>
      </c>
    </row>
    <row r="2549" spans="13:19">
      <c r="M2549" s="81">
        <f t="shared" ca="1" si="283"/>
        <v>31498.231347484587</v>
      </c>
      <c r="N2549" s="19">
        <f t="shared" si="284"/>
        <v>486.36597461570869</v>
      </c>
      <c r="O2549" s="17">
        <f t="shared" si="282"/>
        <v>637</v>
      </c>
      <c r="P2549" s="19">
        <f ca="1">IF(ISERROR(IF(O2549&lt;fi_h/20,0,(OFFSET('Base de dados'!$A$5,IF(O2549&lt;20,1,IF(O2549&gt;1000,10,MATCH(O2549,Cargas,1))),Coluna_fih,1,1))*(1+0.13*0.25)*(PI()*(fi_h/1000)^2/4)*SQRT(2*9.81*(O2549/100-fi_h/2/1000))*1000)),"",IF(O2549&lt;fi_h/20,0,(OFFSET('Base de dados'!$A$5,IF(O2549&lt;20,1,IF(O2549&gt;1000,10,MATCH(O2549,Cargas,1))),Coluna_fih,1,1))*(PI()*(fi_h/1000)^2/4)*SQRT(2*9.81*(O2549/100-fi_h/2/1000))*1000))</f>
        <v>67.735042338590361</v>
      </c>
      <c r="Q2549" s="19">
        <f ca="1">IF(O2549="","",IF(Tipo_Vertedor="Retangular",IF(O2549&lt;=cota_s*100,0,IF(Tipo_Vertedor="Retangular",Cd_sr*Lef_sr*((O2549/100-cota_s)^(3/2))*1000)),IF(O2549&lt;=cota_s*100+fi_s/20,0,(OFFSET('Base de dados'!$A$4,IF(O2549&lt;20,1,IF(O2549&gt;1000,10,MATCH(O2549,Cargas,1))),Coluna_fis,1,1))*(PI()*(fi_s/1000)^2/4)*(2*9.81*(O2549/100-cota_s-fi_s/2/1000))^0.5*1000)))</f>
        <v>15218.297151289042</v>
      </c>
      <c r="R2549" s="19">
        <f t="shared" ca="1" si="285"/>
        <v>15286.032193627632</v>
      </c>
      <c r="S2549" s="19">
        <f t="shared" ca="1" si="286"/>
        <v>16212.199153856956</v>
      </c>
    </row>
    <row r="2550" spans="13:19">
      <c r="M2550" s="81">
        <f t="shared" ca="1" si="283"/>
        <v>31515.291924467187</v>
      </c>
      <c r="N2550" s="19">
        <f t="shared" si="284"/>
        <v>486.58064027880818</v>
      </c>
      <c r="O2550" s="17">
        <f t="shared" si="282"/>
        <v>637.25</v>
      </c>
      <c r="P2550" s="19">
        <f ca="1">IF(ISERROR(IF(O2550&lt;fi_h/20,0,(OFFSET('Base de dados'!$A$5,IF(O2550&lt;20,1,IF(O2550&gt;1000,10,MATCH(O2550,Cargas,1))),Coluna_fih,1,1))*(1+0.13*0.25)*(PI()*(fi_h/1000)^2/4)*SQRT(2*9.81*(O2550/100-fi_h/2/1000))*1000)),"",IF(O2550&lt;fi_h/20,0,(OFFSET('Base de dados'!$A$5,IF(O2550&lt;20,1,IF(O2550&gt;1000,10,MATCH(O2550,Cargas,1))),Coluna_fih,1,1))*(PI()*(fi_h/1000)^2/4)*SQRT(2*9.81*(O2550/100-fi_h/2/1000))*1000))</f>
        <v>67.748451554092298</v>
      </c>
      <c r="Q2550" s="19">
        <f ca="1">IF(O2550="","",IF(Tipo_Vertedor="Retangular",IF(O2550&lt;=cota_s*100,0,IF(Tipo_Vertedor="Retangular",Cd_sr*Lef_sr*((O2550/100-cota_s)^(3/2))*1000)),IF(O2550&lt;=cota_s*100+fi_s/20,0,(OFFSET('Base de dados'!$A$4,IF(O2550&lt;20,1,IF(O2550&gt;1000,10,MATCH(O2550,Cargas,1))),Coluna_fis,1,1))*(PI()*(fi_s/1000)^2/4)*(2*9.81*(O2550/100-cota_s-fi_s/2/1000))^0.5*1000)))</f>
        <v>15228.18879695282</v>
      </c>
      <c r="R2550" s="19">
        <f t="shared" ca="1" si="285"/>
        <v>15295.937248506913</v>
      </c>
      <c r="S2550" s="19">
        <f t="shared" ca="1" si="286"/>
        <v>16219.354675960272</v>
      </c>
    </row>
    <row r="2551" spans="13:19">
      <c r="M2551" s="81">
        <f t="shared" ca="1" si="283"/>
        <v>31532.354990716773</v>
      </c>
      <c r="N2551" s="19">
        <f t="shared" si="284"/>
        <v>486.79531643328011</v>
      </c>
      <c r="O2551" s="17">
        <f t="shared" si="282"/>
        <v>637.5</v>
      </c>
      <c r="P2551" s="19">
        <f ca="1">IF(ISERROR(IF(O2551&lt;fi_h/20,0,(OFFSET('Base de dados'!$A$5,IF(O2551&lt;20,1,IF(O2551&gt;1000,10,MATCH(O2551,Cargas,1))),Coluna_fih,1,1))*(1+0.13*0.25)*(PI()*(fi_h/1000)^2/4)*SQRT(2*9.81*(O2551/100-fi_h/2/1000))*1000)),"",IF(O2551&lt;fi_h/20,0,(OFFSET('Base de dados'!$A$5,IF(O2551&lt;20,1,IF(O2551&gt;1000,10,MATCH(O2551,Cargas,1))),Coluna_fih,1,1))*(PI()*(fi_h/1000)^2/4)*SQRT(2*9.81*(O2551/100-fi_h/2/1000))*1000))</f>
        <v>67.761858116079992</v>
      </c>
      <c r="Q2551" s="19">
        <f ca="1">IF(O2551="","",IF(Tipo_Vertedor="Retangular",IF(O2551&lt;=cota_s*100,0,IF(Tipo_Vertedor="Retangular",Cd_sr*Lef_sr*((O2551/100-cota_s)^(3/2))*1000)),IF(O2551&lt;=cota_s*100+fi_s/20,0,(OFFSET('Base de dados'!$A$4,IF(O2551&lt;20,1,IF(O2551&gt;1000,10,MATCH(O2551,Cargas,1))),Coluna_fis,1,1))*(PI()*(fi_s/1000)^2/4)*(2*9.81*(O2551/100-cota_s-fi_s/2/1000))^0.5*1000)))</f>
        <v>15238.082584824688</v>
      </c>
      <c r="R2551" s="19">
        <f t="shared" ca="1" si="285"/>
        <v>15305.844442940768</v>
      </c>
      <c r="S2551" s="19">
        <f t="shared" ca="1" si="286"/>
        <v>16226.510547776004</v>
      </c>
    </row>
    <row r="2552" spans="13:19">
      <c r="M2552" s="81">
        <f t="shared" ca="1" si="283"/>
        <v>31549.420545651126</v>
      </c>
      <c r="N2552" s="19">
        <f t="shared" si="284"/>
        <v>487.01000307552226</v>
      </c>
      <c r="O2552" s="17">
        <f t="shared" si="282"/>
        <v>637.75</v>
      </c>
      <c r="P2552" s="19">
        <f ca="1">IF(ISERROR(IF(O2552&lt;fi_h/20,0,(OFFSET('Base de dados'!$A$5,IF(O2552&lt;20,1,IF(O2552&gt;1000,10,MATCH(O2552,Cargas,1))),Coluna_fih,1,1))*(1+0.13*0.25)*(PI()*(fi_h/1000)^2/4)*SQRT(2*9.81*(O2552/100-fi_h/2/1000))*1000)),"",IF(O2552&lt;fi_h/20,0,(OFFSET('Base de dados'!$A$5,IF(O2552&lt;20,1,IF(O2552&gt;1000,10,MATCH(O2552,Cargas,1))),Coluna_fih,1,1))*(PI()*(fi_h/1000)^2/4)*SQRT(2*9.81*(O2552/100-fi_h/2/1000))*1000))</f>
        <v>67.775262026128061</v>
      </c>
      <c r="Q2552" s="19">
        <f ca="1">IF(O2552="","",IF(Tipo_Vertedor="Retangular",IF(O2552&lt;=cota_s*100,0,IF(Tipo_Vertedor="Retangular",Cd_sr*Lef_sr*((O2552/100-cota_s)^(3/2))*1000)),IF(O2552&lt;=cota_s*100+fi_s/20,0,(OFFSET('Base de dados'!$A$4,IF(O2552&lt;20,1,IF(O2552&gt;1000,10,MATCH(O2552,Cargas,1))),Coluna_fis,1,1))*(PI()*(fi_s/1000)^2/4)*(2*9.81*(O2552/100-cota_s-fi_s/2/1000))^0.5*1000)))</f>
        <v>15247.978514440923</v>
      </c>
      <c r="R2552" s="19">
        <f t="shared" ca="1" si="285"/>
        <v>15315.753776467051</v>
      </c>
      <c r="S2552" s="19">
        <f t="shared" ca="1" si="286"/>
        <v>16233.666769184076</v>
      </c>
    </row>
    <row r="2553" spans="13:19">
      <c r="M2553" s="81">
        <f t="shared" ca="1" si="283"/>
        <v>31566.488588688415</v>
      </c>
      <c r="N2553" s="19">
        <f t="shared" si="284"/>
        <v>487.2247002019356</v>
      </c>
      <c r="O2553" s="17">
        <f t="shared" si="282"/>
        <v>638</v>
      </c>
      <c r="P2553" s="19">
        <f ca="1">IF(ISERROR(IF(O2553&lt;fi_h/20,0,(OFFSET('Base de dados'!$A$5,IF(O2553&lt;20,1,IF(O2553&gt;1000,10,MATCH(O2553,Cargas,1))),Coluna_fih,1,1))*(1+0.13*0.25)*(PI()*(fi_h/1000)^2/4)*SQRT(2*9.81*(O2553/100-fi_h/2/1000))*1000)),"",IF(O2553&lt;fi_h/20,0,(OFFSET('Base de dados'!$A$5,IF(O2553&lt;20,1,IF(O2553&gt;1000,10,MATCH(O2553,Cargas,1))),Coluna_fih,1,1))*(PI()*(fi_h/1000)^2/4)*SQRT(2*9.81*(O2553/100-fi_h/2/1000))*1000))</f>
        <v>67.788663285809648</v>
      </c>
      <c r="Q2553" s="19">
        <f ca="1">IF(O2553="","",IF(Tipo_Vertedor="Retangular",IF(O2553&lt;=cota_s*100,0,IF(Tipo_Vertedor="Retangular",Cd_sr*Lef_sr*((O2553/100-cota_s)^(3/2))*1000)),IF(O2553&lt;=cota_s*100+fi_s/20,0,(OFFSET('Base de dados'!$A$4,IF(O2553&lt;20,1,IF(O2553&gt;1000,10,MATCH(O2553,Cargas,1))),Coluna_fis,1,1))*(PI()*(fi_s/1000)^2/4)*(2*9.81*(O2553/100-cota_s-fi_s/2/1000))^0.5*1000)))</f>
        <v>15257.876585338083</v>
      </c>
      <c r="R2553" s="19">
        <f t="shared" ca="1" si="285"/>
        <v>15325.665248623893</v>
      </c>
      <c r="S2553" s="19">
        <f t="shared" ca="1" si="286"/>
        <v>16240.82334006452</v>
      </c>
    </row>
    <row r="2554" spans="13:19">
      <c r="M2554" s="81">
        <f t="shared" ca="1" si="283"/>
        <v>31583.559119247184</v>
      </c>
      <c r="N2554" s="19">
        <f t="shared" si="284"/>
        <v>487.43940780892353</v>
      </c>
      <c r="O2554" s="17">
        <f t="shared" si="282"/>
        <v>638.25</v>
      </c>
      <c r="P2554" s="19">
        <f ca="1">IF(ISERROR(IF(O2554&lt;fi_h/20,0,(OFFSET('Base de dados'!$A$5,IF(O2554&lt;20,1,IF(O2554&gt;1000,10,MATCH(O2554,Cargas,1))),Coluna_fih,1,1))*(1+0.13*0.25)*(PI()*(fi_h/1000)^2/4)*SQRT(2*9.81*(O2554/100-fi_h/2/1000))*1000)),"",IF(O2554&lt;fi_h/20,0,(OFFSET('Base de dados'!$A$5,IF(O2554&lt;20,1,IF(O2554&gt;1000,10,MATCH(O2554,Cargas,1))),Coluna_fih,1,1))*(PI()*(fi_h/1000)^2/4)*SQRT(2*9.81*(O2554/100-fi_h/2/1000))*1000))</f>
        <v>67.802061896696344</v>
      </c>
      <c r="Q2554" s="19">
        <f ca="1">IF(O2554="","",IF(Tipo_Vertedor="Retangular",IF(O2554&lt;=cota_s*100,0,IF(Tipo_Vertedor="Retangular",Cd_sr*Lef_sr*((O2554/100-cota_s)^(3/2))*1000)),IF(O2554&lt;=cota_s*100+fi_s/20,0,(OFFSET('Base de dados'!$A$4,IF(O2554&lt;20,1,IF(O2554&gt;1000,10,MATCH(O2554,Cargas,1))),Coluna_fis,1,1))*(PI()*(fi_s/1000)^2/4)*(2*9.81*(O2554/100-cota_s-fi_s/2/1000))^0.5*1000)))</f>
        <v>15267.776797053039</v>
      </c>
      <c r="R2554" s="19">
        <f t="shared" ca="1" si="285"/>
        <v>15335.578858949735</v>
      </c>
      <c r="S2554" s="19">
        <f t="shared" ca="1" si="286"/>
        <v>16247.980260297451</v>
      </c>
    </row>
    <row r="2555" spans="13:19">
      <c r="M2555" s="81">
        <f t="shared" ca="1" si="283"/>
        <v>31600.63213674639</v>
      </c>
      <c r="N2555" s="19">
        <f t="shared" si="284"/>
        <v>487.65412589289207</v>
      </c>
      <c r="O2555" s="17">
        <f t="shared" si="282"/>
        <v>638.5</v>
      </c>
      <c r="P2555" s="19">
        <f ca="1">IF(ISERROR(IF(O2555&lt;fi_h/20,0,(OFFSET('Base de dados'!$A$5,IF(O2555&lt;20,1,IF(O2555&gt;1000,10,MATCH(O2555,Cargas,1))),Coluna_fih,1,1))*(1+0.13*0.25)*(PI()*(fi_h/1000)^2/4)*SQRT(2*9.81*(O2555/100-fi_h/2/1000))*1000)),"",IF(O2555&lt;fi_h/20,0,(OFFSET('Base de dados'!$A$5,IF(O2555&lt;20,1,IF(O2555&gt;1000,10,MATCH(O2555,Cargas,1))),Coluna_fih,1,1))*(PI()*(fi_h/1000)^2/4)*SQRT(2*9.81*(O2555/100-fi_h/2/1000))*1000))</f>
        <v>67.81545786035808</v>
      </c>
      <c r="Q2555" s="19">
        <f ca="1">IF(O2555="","",IF(Tipo_Vertedor="Retangular",IF(O2555&lt;=cota_s*100,0,IF(Tipo_Vertedor="Retangular",Cd_sr*Lef_sr*((O2555/100-cota_s)^(3/2))*1000)),IF(O2555&lt;=cota_s*100+fi_s/20,0,(OFFSET('Base de dados'!$A$4,IF(O2555&lt;20,1,IF(O2555&gt;1000,10,MATCH(O2555,Cargas,1))),Coluna_fis,1,1))*(PI()*(fi_s/1000)^2/4)*(2*9.81*(O2555/100-cota_s-fi_s/2/1000))^0.5*1000)))</f>
        <v>15277.679149122961</v>
      </c>
      <c r="R2555" s="19">
        <f t="shared" ca="1" si="285"/>
        <v>15345.49460698332</v>
      </c>
      <c r="S2555" s="19">
        <f t="shared" ca="1" si="286"/>
        <v>16255.137529763069</v>
      </c>
    </row>
    <row r="2556" spans="13:19">
      <c r="M2556" s="81">
        <f t="shared" ca="1" si="283"/>
        <v>31617.70764060536</v>
      </c>
      <c r="N2556" s="19">
        <f t="shared" si="284"/>
        <v>487.86885445025007</v>
      </c>
      <c r="O2556" s="17">
        <f t="shared" si="282"/>
        <v>638.75</v>
      </c>
      <c r="P2556" s="19">
        <f ca="1">IF(ISERROR(IF(O2556&lt;fi_h/20,0,(OFFSET('Base de dados'!$A$5,IF(O2556&lt;20,1,IF(O2556&gt;1000,10,MATCH(O2556,Cargas,1))),Coluna_fih,1,1))*(1+0.13*0.25)*(PI()*(fi_h/1000)^2/4)*SQRT(2*9.81*(O2556/100-fi_h/2/1000))*1000)),"",IF(O2556&lt;fi_h/20,0,(OFFSET('Base de dados'!$A$5,IF(O2556&lt;20,1,IF(O2556&gt;1000,10,MATCH(O2556,Cargas,1))),Coluna_fih,1,1))*(PI()*(fi_h/1000)^2/4)*SQRT(2*9.81*(O2556/100-fi_h/2/1000))*1000))</f>
        <v>67.828851178363365</v>
      </c>
      <c r="Q2556" s="19">
        <f ca="1">IF(O2556="","",IF(Tipo_Vertedor="Retangular",IF(O2556&lt;=cota_s*100,0,IF(Tipo_Vertedor="Retangular",Cd_sr*Lef_sr*((O2556/100-cota_s)^(3/2))*1000)),IF(O2556&lt;=cota_s*100+fi_s/20,0,(OFFSET('Base de dados'!$A$4,IF(O2556&lt;20,1,IF(O2556&gt;1000,10,MATCH(O2556,Cargas,1))),Coluna_fis,1,1))*(PI()*(fi_s/1000)^2/4)*(2*9.81*(O2556/100-cota_s-fi_s/2/1000))^0.5*1000)))</f>
        <v>15287.58364108533</v>
      </c>
      <c r="R2556" s="19">
        <f t="shared" ca="1" si="285"/>
        <v>15355.412492263693</v>
      </c>
      <c r="S2556" s="19">
        <f t="shared" ca="1" si="286"/>
        <v>16262.295148341667</v>
      </c>
    </row>
    <row r="2557" spans="13:19">
      <c r="M2557" s="81">
        <f t="shared" ca="1" si="283"/>
        <v>31634.785630243816</v>
      </c>
      <c r="N2557" s="19">
        <f t="shared" si="284"/>
        <v>488.08359347740918</v>
      </c>
      <c r="O2557" s="17">
        <f t="shared" si="282"/>
        <v>639</v>
      </c>
      <c r="P2557" s="19">
        <f ca="1">IF(ISERROR(IF(O2557&lt;fi_h/20,0,(OFFSET('Base de dados'!$A$5,IF(O2557&lt;20,1,IF(O2557&gt;1000,10,MATCH(O2557,Cargas,1))),Coluna_fih,1,1))*(1+0.13*0.25)*(PI()*(fi_h/1000)^2/4)*SQRT(2*9.81*(O2557/100-fi_h/2/1000))*1000)),"",IF(O2557&lt;fi_h/20,0,(OFFSET('Base de dados'!$A$5,IF(O2557&lt;20,1,IF(O2557&gt;1000,10,MATCH(O2557,Cargas,1))),Coluna_fih,1,1))*(PI()*(fi_h/1000)^2/4)*SQRT(2*9.81*(O2557/100-fi_h/2/1000))*1000))</f>
        <v>67.842241852279074</v>
      </c>
      <c r="Q2557" s="19">
        <f ca="1">IF(O2557="","",IF(Tipo_Vertedor="Retangular",IF(O2557&lt;=cota_s*100,0,IF(Tipo_Vertedor="Retangular",Cd_sr*Lef_sr*((O2557/100-cota_s)^(3/2))*1000)),IF(O2557&lt;=cota_s*100+fi_s/20,0,(OFFSET('Base de dados'!$A$4,IF(O2557&lt;20,1,IF(O2557&gt;1000,10,MATCH(O2557,Cargas,1))),Coluna_fis,1,1))*(PI()*(fi_s/1000)^2/4)*(2*9.81*(O2557/100-cota_s-fi_s/2/1000))^0.5*1000)))</f>
        <v>15297.4902724779</v>
      </c>
      <c r="R2557" s="19">
        <f t="shared" ca="1" si="285"/>
        <v>15365.332514330179</v>
      </c>
      <c r="S2557" s="19">
        <f t="shared" ca="1" si="286"/>
        <v>16269.453115913639</v>
      </c>
    </row>
    <row r="2558" spans="13:19">
      <c r="M2558" s="81">
        <f t="shared" ca="1" si="283"/>
        <v>31651.866105081866</v>
      </c>
      <c r="N2558" s="19">
        <f t="shared" si="284"/>
        <v>488.2983429707831</v>
      </c>
      <c r="O2558" s="17">
        <f t="shared" si="282"/>
        <v>639.25</v>
      </c>
      <c r="P2558" s="19">
        <f ca="1">IF(ISERROR(IF(O2558&lt;fi_h/20,0,(OFFSET('Base de dados'!$A$5,IF(O2558&lt;20,1,IF(O2558&gt;1000,10,MATCH(O2558,Cargas,1))),Coluna_fih,1,1))*(1+0.13*0.25)*(PI()*(fi_h/1000)^2/4)*SQRT(2*9.81*(O2558/100-fi_h/2/1000))*1000)),"",IF(O2558&lt;fi_h/20,0,(OFFSET('Base de dados'!$A$5,IF(O2558&lt;20,1,IF(O2558&gt;1000,10,MATCH(O2558,Cargas,1))),Coluna_fih,1,1))*(PI()*(fi_h/1000)^2/4)*SQRT(2*9.81*(O2558/100-fi_h/2/1000))*1000))</f>
        <v>67.855629883670602</v>
      </c>
      <c r="Q2558" s="19">
        <f ca="1">IF(O2558="","",IF(Tipo_Vertedor="Retangular",IF(O2558&lt;=cota_s*100,0,IF(Tipo_Vertedor="Retangular",Cd_sr*Lef_sr*((O2558/100-cota_s)^(3/2))*1000)),IF(O2558&lt;=cota_s*100+fi_s/20,0,(OFFSET('Base de dados'!$A$4,IF(O2558&lt;20,1,IF(O2558&gt;1000,10,MATCH(O2558,Cargas,1))),Coluna_fis,1,1))*(PI()*(fi_s/1000)^2/4)*(2*9.81*(O2558/100-cota_s-fi_s/2/1000))^0.5*1000)))</f>
        <v>15307.399042838759</v>
      </c>
      <c r="R2558" s="19">
        <f t="shared" ca="1" si="285"/>
        <v>15375.254672722429</v>
      </c>
      <c r="S2558" s="19">
        <f t="shared" ca="1" si="286"/>
        <v>16276.611432359437</v>
      </c>
    </row>
    <row r="2559" spans="13:19">
      <c r="M2559" s="81">
        <f t="shared" ca="1" si="283"/>
        <v>31668.949064539964</v>
      </c>
      <c r="N2559" s="19">
        <f t="shared" si="284"/>
        <v>488.51310292678829</v>
      </c>
      <c r="O2559" s="17">
        <f t="shared" si="282"/>
        <v>639.5</v>
      </c>
      <c r="P2559" s="19">
        <f ca="1">IF(ISERROR(IF(O2559&lt;fi_h/20,0,(OFFSET('Base de dados'!$A$5,IF(O2559&lt;20,1,IF(O2559&gt;1000,10,MATCH(O2559,Cargas,1))),Coluna_fih,1,1))*(1+0.13*0.25)*(PI()*(fi_h/1000)^2/4)*SQRT(2*9.81*(O2559/100-fi_h/2/1000))*1000)),"",IF(O2559&lt;fi_h/20,0,(OFFSET('Base de dados'!$A$5,IF(O2559&lt;20,1,IF(O2559&gt;1000,10,MATCH(O2559,Cargas,1))),Coluna_fih,1,1))*(PI()*(fi_h/1000)^2/4)*SQRT(2*9.81*(O2559/100-fi_h/2/1000))*1000))</f>
        <v>67.869015274101699</v>
      </c>
      <c r="Q2559" s="19">
        <f ca="1">IF(O2559="","",IF(Tipo_Vertedor="Retangular",IF(O2559&lt;=cota_s*100,0,IF(Tipo_Vertedor="Retangular",Cd_sr*Lef_sr*((O2559/100-cota_s)^(3/2))*1000)),IF(O2559&lt;=cota_s*100+fi_s/20,0,(OFFSET('Base de dados'!$A$4,IF(O2559&lt;20,1,IF(O2559&gt;1000,10,MATCH(O2559,Cargas,1))),Coluna_fis,1,1))*(PI()*(fi_s/1000)^2/4)*(2*9.81*(O2559/100-cota_s-fi_s/2/1000))^0.5*1000)))</f>
        <v>15317.309951706255</v>
      </c>
      <c r="R2559" s="19">
        <f t="shared" ca="1" si="285"/>
        <v>15385.178966980357</v>
      </c>
      <c r="S2559" s="19">
        <f t="shared" ca="1" si="286"/>
        <v>16283.770097559609</v>
      </c>
    </row>
    <row r="2560" spans="13:19">
      <c r="M2560" s="81">
        <f t="shared" ca="1" si="283"/>
        <v>31686.034508039033</v>
      </c>
      <c r="N2560" s="19">
        <f t="shared" si="284"/>
        <v>488.72787334184471</v>
      </c>
      <c r="O2560" s="17">
        <f t="shared" si="282"/>
        <v>639.75</v>
      </c>
      <c r="P2560" s="19">
        <f ca="1">IF(ISERROR(IF(O2560&lt;fi_h/20,0,(OFFSET('Base de dados'!$A$5,IF(O2560&lt;20,1,IF(O2560&gt;1000,10,MATCH(O2560,Cargas,1))),Coluna_fih,1,1))*(1+0.13*0.25)*(PI()*(fi_h/1000)^2/4)*SQRT(2*9.81*(O2560/100-fi_h/2/1000))*1000)),"",IF(O2560&lt;fi_h/20,0,(OFFSET('Base de dados'!$A$5,IF(O2560&lt;20,1,IF(O2560&gt;1000,10,MATCH(O2560,Cargas,1))),Coluna_fih,1,1))*(PI()*(fi_h/1000)^2/4)*SQRT(2*9.81*(O2560/100-fi_h/2/1000))*1000))</f>
        <v>67.882398025134719</v>
      </c>
      <c r="Q2560" s="19">
        <f ca="1">IF(O2560="","",IF(Tipo_Vertedor="Retangular",IF(O2560&lt;=cota_s*100,0,IF(Tipo_Vertedor="Retangular",Cd_sr*Lef_sr*((O2560/100-cota_s)^(3/2))*1000)),IF(O2560&lt;=cota_s*100+fi_s/20,0,(OFFSET('Base de dados'!$A$4,IF(O2560&lt;20,1,IF(O2560&gt;1000,10,MATCH(O2560,Cargas,1))),Coluna_fis,1,1))*(PI()*(fi_s/1000)^2/4)*(2*9.81*(O2560/100-cota_s-fi_s/2/1000))^0.5*1000)))</f>
        <v>15327.222998619076</v>
      </c>
      <c r="R2560" s="19">
        <f t="shared" ca="1" si="285"/>
        <v>15395.10539664421</v>
      </c>
      <c r="S2560" s="19">
        <f t="shared" ca="1" si="286"/>
        <v>16290.929111394824</v>
      </c>
    </row>
    <row r="2561" spans="13:19">
      <c r="M2561" s="81">
        <f t="shared" ca="1" si="283"/>
        <v>31703.122435000296</v>
      </c>
      <c r="N2561" s="19">
        <f t="shared" si="284"/>
        <v>488.94265421237367</v>
      </c>
      <c r="O2561" s="17">
        <f t="shared" si="282"/>
        <v>640</v>
      </c>
      <c r="P2561" s="19">
        <f ca="1">IF(ISERROR(IF(O2561&lt;fi_h/20,0,(OFFSET('Base de dados'!$A$5,IF(O2561&lt;20,1,IF(O2561&gt;1000,10,MATCH(O2561,Cargas,1))),Coluna_fih,1,1))*(1+0.13*0.25)*(PI()*(fi_h/1000)^2/4)*SQRT(2*9.81*(O2561/100-fi_h/2/1000))*1000)),"",IF(O2561&lt;fi_h/20,0,(OFFSET('Base de dados'!$A$5,IF(O2561&lt;20,1,IF(O2561&gt;1000,10,MATCH(O2561,Cargas,1))),Coluna_fih,1,1))*(PI()*(fi_h/1000)^2/4)*SQRT(2*9.81*(O2561/100-fi_h/2/1000))*1000))</f>
        <v>67.895778138330343</v>
      </c>
      <c r="Q2561" s="19">
        <f ca="1">IF(O2561="","",IF(Tipo_Vertedor="Retangular",IF(O2561&lt;=cota_s*100,0,IF(Tipo_Vertedor="Retangular",Cd_sr*Lef_sr*((O2561/100-cota_s)^(3/2))*1000)),IF(O2561&lt;=cota_s*100+fi_s/20,0,(OFFSET('Base de dados'!$A$4,IF(O2561&lt;20,1,IF(O2561&gt;1000,10,MATCH(O2561,Cargas,1))),Coluna_fis,1,1))*(PI()*(fi_s/1000)^2/4)*(2*9.81*(O2561/100-cota_s-fi_s/2/1000))^0.5*1000)))</f>
        <v>15337.138183116176</v>
      </c>
      <c r="R2561" s="19">
        <f t="shared" ca="1" si="285"/>
        <v>15405.033961254507</v>
      </c>
      <c r="S2561" s="19">
        <f t="shared" ca="1" si="286"/>
        <v>16298.088473745789</v>
      </c>
    </row>
    <row r="2562" spans="13:19">
      <c r="M2562" s="81">
        <f t="shared" ca="1" si="283"/>
        <v>31720.212844845388</v>
      </c>
      <c r="N2562" s="19">
        <f t="shared" si="284"/>
        <v>489.15744553479982</v>
      </c>
      <c r="O2562" s="17">
        <f t="shared" si="282"/>
        <v>640.25</v>
      </c>
      <c r="P2562" s="19">
        <f ca="1">IF(ISERROR(IF(O2562&lt;fi_h/20,0,(OFFSET('Base de dados'!$A$5,IF(O2562&lt;20,1,IF(O2562&gt;1000,10,MATCH(O2562,Cargas,1))),Coluna_fih,1,1))*(1+0.13*0.25)*(PI()*(fi_h/1000)^2/4)*SQRT(2*9.81*(O2562/100-fi_h/2/1000))*1000)),"",IF(O2562&lt;fi_h/20,0,(OFFSET('Base de dados'!$A$5,IF(O2562&lt;20,1,IF(O2562&gt;1000,10,MATCH(O2562,Cargas,1))),Coluna_fih,1,1))*(PI()*(fi_h/1000)^2/4)*SQRT(2*9.81*(O2562/100-fi_h/2/1000))*1000))</f>
        <v>67.909155615247769</v>
      </c>
      <c r="Q2562" s="19">
        <f ca="1">IF(O2562="","",IF(Tipo_Vertedor="Retangular",IF(O2562&lt;=cota_s*100,0,IF(Tipo_Vertedor="Retangular",Cd_sr*Lef_sr*((O2562/100-cota_s)^(3/2))*1000)),IF(O2562&lt;=cota_s*100+fi_s/20,0,(OFFSET('Base de dados'!$A$4,IF(O2562&lt;20,1,IF(O2562&gt;1000,10,MATCH(O2562,Cargas,1))),Coluna_fis,1,1))*(PI()*(fi_s/1000)^2/4)*(2*9.81*(O2562/100-cota_s-fi_s/2/1000))^0.5*1000)))</f>
        <v>15347.055504736814</v>
      </c>
      <c r="R2562" s="19">
        <f t="shared" ca="1" si="285"/>
        <v>15414.964660352061</v>
      </c>
      <c r="S2562" s="19">
        <f t="shared" ca="1" si="286"/>
        <v>16305.248184493328</v>
      </c>
    </row>
    <row r="2563" spans="13:19">
      <c r="M2563" s="81">
        <f t="shared" ca="1" si="283"/>
        <v>31737.305736996364</v>
      </c>
      <c r="N2563" s="19">
        <f t="shared" si="284"/>
        <v>489.3722473055505</v>
      </c>
      <c r="O2563" s="17">
        <f t="shared" si="282"/>
        <v>640.5</v>
      </c>
      <c r="P2563" s="19">
        <f ca="1">IF(ISERROR(IF(O2563&lt;fi_h/20,0,(OFFSET('Base de dados'!$A$5,IF(O2563&lt;20,1,IF(O2563&gt;1000,10,MATCH(O2563,Cargas,1))),Coluna_fih,1,1))*(1+0.13*0.25)*(PI()*(fi_h/1000)^2/4)*SQRT(2*9.81*(O2563/100-fi_h/2/1000))*1000)),"",IF(O2563&lt;fi_h/20,0,(OFFSET('Base de dados'!$A$5,IF(O2563&lt;20,1,IF(O2563&gt;1000,10,MATCH(O2563,Cargas,1))),Coluna_fih,1,1))*(PI()*(fi_h/1000)^2/4)*SQRT(2*9.81*(O2563/100-fi_h/2/1000))*1000))</f>
        <v>67.92253045744468</v>
      </c>
      <c r="Q2563" s="19">
        <f ca="1">IF(O2563="","",IF(Tipo_Vertedor="Retangular",IF(O2563&lt;=cota_s*100,0,IF(Tipo_Vertedor="Retangular",Cd_sr*Lef_sr*((O2563/100-cota_s)^(3/2))*1000)),IF(O2563&lt;=cota_s*100+fi_s/20,0,(OFFSET('Base de dados'!$A$4,IF(O2563&lt;20,1,IF(O2563&gt;1000,10,MATCH(O2563,Cargas,1))),Coluna_fis,1,1))*(PI()*(fi_s/1000)^2/4)*(2*9.81*(O2563/100-cota_s-fi_s/2/1000))^0.5*1000)))</f>
        <v>15356.974963020572</v>
      </c>
      <c r="R2563" s="19">
        <f t="shared" ca="1" si="285"/>
        <v>15424.897493478016</v>
      </c>
      <c r="S2563" s="19">
        <f t="shared" ca="1" si="286"/>
        <v>16312.40824351835</v>
      </c>
    </row>
    <row r="2564" spans="13:19">
      <c r="M2564" s="81">
        <f t="shared" ca="1" si="283"/>
        <v>31754.401110875595</v>
      </c>
      <c r="N2564" s="19">
        <f t="shared" si="284"/>
        <v>489.58705952105515</v>
      </c>
      <c r="O2564" s="17">
        <f t="shared" si="282"/>
        <v>640.75</v>
      </c>
      <c r="P2564" s="19">
        <f ca="1">IF(ISERROR(IF(O2564&lt;fi_h/20,0,(OFFSET('Base de dados'!$A$5,IF(O2564&lt;20,1,IF(O2564&gt;1000,10,MATCH(O2564,Cargas,1))),Coluna_fih,1,1))*(1+0.13*0.25)*(PI()*(fi_h/1000)^2/4)*SQRT(2*9.81*(O2564/100-fi_h/2/1000))*1000)),"",IF(O2564&lt;fi_h/20,0,(OFFSET('Base de dados'!$A$5,IF(O2564&lt;20,1,IF(O2564&gt;1000,10,MATCH(O2564,Cargas,1))),Coluna_fih,1,1))*(PI()*(fi_h/1000)^2/4)*SQRT(2*9.81*(O2564/100-fi_h/2/1000))*1000))</f>
        <v>67.93590266647719</v>
      </c>
      <c r="Q2564" s="19">
        <f ca="1">IF(O2564="","",IF(Tipo_Vertedor="Retangular",IF(O2564&lt;=cota_s*100,0,IF(Tipo_Vertedor="Retangular",Cd_sr*Lef_sr*((O2564/100-cota_s)^(3/2))*1000)),IF(O2564&lt;=cota_s*100+fi_s/20,0,(OFFSET('Base de dados'!$A$4,IF(O2564&lt;20,1,IF(O2564&gt;1000,10,MATCH(O2564,Cargas,1))),Coluna_fis,1,1))*(PI()*(fi_s/1000)^2/4)*(2*9.81*(O2564/100-cota_s-fi_s/2/1000))^0.5*1000)))</f>
        <v>15366.896557507282</v>
      </c>
      <c r="R2564" s="19">
        <f t="shared" ca="1" si="285"/>
        <v>15434.832460173759</v>
      </c>
      <c r="S2564" s="19">
        <f t="shared" ca="1" si="286"/>
        <v>16319.568650701838</v>
      </c>
    </row>
    <row r="2565" spans="13:19">
      <c r="M2565" s="81">
        <f t="shared" ca="1" si="283"/>
        <v>31771.498965905914</v>
      </c>
      <c r="N2565" s="19">
        <f t="shared" si="284"/>
        <v>489.80188217774662</v>
      </c>
      <c r="O2565" s="17">
        <f t="shared" si="282"/>
        <v>641</v>
      </c>
      <c r="P2565" s="19">
        <f ca="1">IF(ISERROR(IF(O2565&lt;fi_h/20,0,(OFFSET('Base de dados'!$A$5,IF(O2565&lt;20,1,IF(O2565&gt;1000,10,MATCH(O2565,Cargas,1))),Coluna_fih,1,1))*(1+0.13*0.25)*(PI()*(fi_h/1000)^2/4)*SQRT(2*9.81*(O2565/100-fi_h/2/1000))*1000)),"",IF(O2565&lt;fi_h/20,0,(OFFSET('Base de dados'!$A$5,IF(O2565&lt;20,1,IF(O2565&gt;1000,10,MATCH(O2565,Cargas,1))),Coluna_fih,1,1))*(PI()*(fi_h/1000)^2/4)*SQRT(2*9.81*(O2565/100-fi_h/2/1000))*1000))</f>
        <v>67.949272243899898</v>
      </c>
      <c r="Q2565" s="19">
        <f ca="1">IF(O2565="","",IF(Tipo_Vertedor="Retangular",IF(O2565&lt;=cota_s*100,0,IF(Tipo_Vertedor="Retangular",Cd_sr*Lef_sr*((O2565/100-cota_s)^(3/2))*1000)),IF(O2565&lt;=cota_s*100+fi_s/20,0,(OFFSET('Base de dados'!$A$4,IF(O2565&lt;20,1,IF(O2565&gt;1000,10,MATCH(O2565,Cargas,1))),Coluna_fis,1,1))*(PI()*(fi_s/1000)^2/4)*(2*9.81*(O2565/100-cota_s-fi_s/2/1000))^0.5*1000)))</f>
        <v>15376.820287737128</v>
      </c>
      <c r="R2565" s="19">
        <f t="shared" ca="1" si="285"/>
        <v>15444.769559981027</v>
      </c>
      <c r="S2565" s="19">
        <f t="shared" ca="1" si="286"/>
        <v>16326.729405924887</v>
      </c>
    </row>
    <row r="2566" spans="13:19">
      <c r="M2566" s="81">
        <f t="shared" ca="1" si="283"/>
        <v>31788.599301510454</v>
      </c>
      <c r="N2566" s="19">
        <f t="shared" si="284"/>
        <v>490.0167152720594</v>
      </c>
      <c r="O2566" s="17">
        <f t="shared" si="282"/>
        <v>641.25</v>
      </c>
      <c r="P2566" s="19">
        <f ca="1">IF(ISERROR(IF(O2566&lt;fi_h/20,0,(OFFSET('Base de dados'!$A$5,IF(O2566&lt;20,1,IF(O2566&gt;1000,10,MATCH(O2566,Cargas,1))),Coluna_fih,1,1))*(1+0.13*0.25)*(PI()*(fi_h/1000)^2/4)*SQRT(2*9.81*(O2566/100-fi_h/2/1000))*1000)),"",IF(O2566&lt;fi_h/20,0,(OFFSET('Base de dados'!$A$5,IF(O2566&lt;20,1,IF(O2566&gt;1000,10,MATCH(O2566,Cargas,1))),Coluna_fih,1,1))*(PI()*(fi_h/1000)^2/4)*SQRT(2*9.81*(O2566/100-fi_h/2/1000))*1000))</f>
        <v>67.962639191265851</v>
      </c>
      <c r="Q2566" s="19">
        <f ca="1">IF(O2566="","",IF(Tipo_Vertedor="Retangular",IF(O2566&lt;=cota_s*100,0,IF(Tipo_Vertedor="Retangular",Cd_sr*Lef_sr*((O2566/100-cota_s)^(3/2))*1000)),IF(O2566&lt;=cota_s*100+fi_s/20,0,(OFFSET('Base de dados'!$A$4,IF(O2566&lt;20,1,IF(O2566&gt;1000,10,MATCH(O2566,Cargas,1))),Coluna_fis,1,1))*(PI()*(fi_s/1000)^2/4)*(2*9.81*(O2566/100-cota_s-fi_s/2/1000))^0.5*1000)))</f>
        <v>15386.746153250542</v>
      </c>
      <c r="R2566" s="19">
        <f t="shared" ca="1" si="285"/>
        <v>15454.708792441808</v>
      </c>
      <c r="S2566" s="19">
        <f t="shared" ca="1" si="286"/>
        <v>16333.890509068646</v>
      </c>
    </row>
    <row r="2567" spans="13:19">
      <c r="M2567" s="81">
        <f t="shared" ca="1" si="283"/>
        <v>31805.702117112793</v>
      </c>
      <c r="N2567" s="19">
        <f t="shared" si="284"/>
        <v>490.2315588004314</v>
      </c>
      <c r="O2567" s="17">
        <f t="shared" si="282"/>
        <v>641.5</v>
      </c>
      <c r="P2567" s="19">
        <f ca="1">IF(ISERROR(IF(O2567&lt;fi_h/20,0,(OFFSET('Base de dados'!$A$5,IF(O2567&lt;20,1,IF(O2567&gt;1000,10,MATCH(O2567,Cargas,1))),Coluna_fih,1,1))*(1+0.13*0.25)*(PI()*(fi_h/1000)^2/4)*SQRT(2*9.81*(O2567/100-fi_h/2/1000))*1000)),"",IF(O2567&lt;fi_h/20,0,(OFFSET('Base de dados'!$A$5,IF(O2567&lt;20,1,IF(O2567&gt;1000,10,MATCH(O2567,Cargas,1))),Coluna_fih,1,1))*(PI()*(fi_h/1000)^2/4)*SQRT(2*9.81*(O2567/100-fi_h/2/1000))*1000))</f>
        <v>67.976003510126631</v>
      </c>
      <c r="Q2567" s="19">
        <f ca="1">IF(O2567="","",IF(Tipo_Vertedor="Retangular",IF(O2567&lt;=cota_s*100,0,IF(Tipo_Vertedor="Retangular",Cd_sr*Lef_sr*((O2567/100-cota_s)^(3/2))*1000)),IF(O2567&lt;=cota_s*100+fi_s/20,0,(OFFSET('Base de dados'!$A$4,IF(O2567&lt;20,1,IF(O2567&gt;1000,10,MATCH(O2567,Cargas,1))),Coluna_fis,1,1))*(PI()*(fi_s/1000)^2/4)*(2*9.81*(O2567/100-cota_s-fi_s/2/1000))^0.5*1000)))</f>
        <v>15396.674153588288</v>
      </c>
      <c r="R2567" s="19">
        <f t="shared" ca="1" si="285"/>
        <v>15464.650157098415</v>
      </c>
      <c r="S2567" s="19">
        <f t="shared" ca="1" si="286"/>
        <v>16341.05196001438</v>
      </c>
    </row>
    <row r="2568" spans="13:19">
      <c r="M2568" s="81">
        <f t="shared" ca="1" si="283"/>
        <v>31822.807412136863</v>
      </c>
      <c r="N2568" s="19">
        <f t="shared" si="284"/>
        <v>490.4464127593028</v>
      </c>
      <c r="O2568" s="17">
        <f t="shared" si="282"/>
        <v>641.75</v>
      </c>
      <c r="P2568" s="19">
        <f ca="1">IF(ISERROR(IF(O2568&lt;fi_h/20,0,(OFFSET('Base de dados'!$A$5,IF(O2568&lt;20,1,IF(O2568&gt;1000,10,MATCH(O2568,Cargas,1))),Coluna_fih,1,1))*(1+0.13*0.25)*(PI()*(fi_h/1000)^2/4)*SQRT(2*9.81*(O2568/100-fi_h/2/1000))*1000)),"",IF(O2568&lt;fi_h/20,0,(OFFSET('Base de dados'!$A$5,IF(O2568&lt;20,1,IF(O2568&gt;1000,10,MATCH(O2568,Cargas,1))),Coluna_fih,1,1))*(PI()*(fi_h/1000)^2/4)*SQRT(2*9.81*(O2568/100-fi_h/2/1000))*1000))</f>
        <v>67.989365202032218</v>
      </c>
      <c r="Q2568" s="19">
        <f ca="1">IF(O2568="","",IF(Tipo_Vertedor="Retangular",IF(O2568&lt;=cota_s*100,0,IF(Tipo_Vertedor="Retangular",Cd_sr*Lef_sr*((O2568/100-cota_s)^(3/2))*1000)),IF(O2568&lt;=cota_s*100+fi_s/20,0,(OFFSET('Base de dados'!$A$4,IF(O2568&lt;20,1,IF(O2568&gt;1000,10,MATCH(O2568,Cargas,1))),Coluna_fis,1,1))*(PI()*(fi_s/1000)^2/4)*(2*9.81*(O2568/100-cota_s-fi_s/2/1000))^0.5*1000)))</f>
        <v>15406.604288291403</v>
      </c>
      <c r="R2568" s="19">
        <f t="shared" ca="1" si="285"/>
        <v>15474.593653493435</v>
      </c>
      <c r="S2568" s="19">
        <f t="shared" ca="1" si="286"/>
        <v>16348.213758643427</v>
      </c>
    </row>
    <row r="2569" spans="13:19">
      <c r="M2569" s="81">
        <f t="shared" ca="1" si="283"/>
        <v>31839.915186006961</v>
      </c>
      <c r="N2569" s="19">
        <f t="shared" si="284"/>
        <v>490.661277145116</v>
      </c>
      <c r="O2569" s="17">
        <f t="shared" si="282"/>
        <v>642</v>
      </c>
      <c r="P2569" s="19">
        <f ca="1">IF(ISERROR(IF(O2569&lt;fi_h/20,0,(OFFSET('Base de dados'!$A$5,IF(O2569&lt;20,1,IF(O2569&gt;1000,10,MATCH(O2569,Cargas,1))),Coluna_fih,1,1))*(1+0.13*0.25)*(PI()*(fi_h/1000)^2/4)*SQRT(2*9.81*(O2569/100-fi_h/2/1000))*1000)),"",IF(O2569&lt;fi_h/20,0,(OFFSET('Base de dados'!$A$5,IF(O2569&lt;20,1,IF(O2569&gt;1000,10,MATCH(O2569,Cargas,1))),Coluna_fih,1,1))*(PI()*(fi_h/1000)^2/4)*SQRT(2*9.81*(O2569/100-fi_h/2/1000))*1000))</f>
        <v>68.002724268531125</v>
      </c>
      <c r="Q2569" s="19">
        <f ca="1">IF(O2569="","",IF(Tipo_Vertedor="Retangular",IF(O2569&lt;=cota_s*100,0,IF(Tipo_Vertedor="Retangular",Cd_sr*Lef_sr*((O2569/100-cota_s)^(3/2))*1000)),IF(O2569&lt;=cota_s*100+fi_s/20,0,(OFFSET('Base de dados'!$A$4,IF(O2569&lt;20,1,IF(O2569&gt;1000,10,MATCH(O2569,Cargas,1))),Coluna_fis,1,1))*(PI()*(fi_s/1000)^2/4)*(2*9.81*(O2569/100-cota_s-fi_s/2/1000))^0.5*1000)))</f>
        <v>15416.53655690123</v>
      </c>
      <c r="R2569" s="19">
        <f t="shared" ca="1" si="285"/>
        <v>15484.539281169762</v>
      </c>
      <c r="S2569" s="19">
        <f t="shared" ca="1" si="286"/>
        <v>16355.375904837199</v>
      </c>
    </row>
    <row r="2570" spans="13:19">
      <c r="M2570" s="81">
        <f t="shared" ca="1" si="283"/>
        <v>31857.025438147815</v>
      </c>
      <c r="N2570" s="19">
        <f t="shared" si="284"/>
        <v>490.87615195431692</v>
      </c>
      <c r="O2570" s="17">
        <f t="shared" si="282"/>
        <v>642.25</v>
      </c>
      <c r="P2570" s="19">
        <f ca="1">IF(ISERROR(IF(O2570&lt;fi_h/20,0,(OFFSET('Base de dados'!$A$5,IF(O2570&lt;20,1,IF(O2570&gt;1000,10,MATCH(O2570,Cargas,1))),Coluna_fih,1,1))*(1+0.13*0.25)*(PI()*(fi_h/1000)^2/4)*SQRT(2*9.81*(O2570/100-fi_h/2/1000))*1000)),"",IF(O2570&lt;fi_h/20,0,(OFFSET('Base de dados'!$A$5,IF(O2570&lt;20,1,IF(O2570&gt;1000,10,MATCH(O2570,Cargas,1))),Coluna_fih,1,1))*(PI()*(fi_h/1000)^2/4)*SQRT(2*9.81*(O2570/100-fi_h/2/1000))*1000))</f>
        <v>68.016080711170318</v>
      </c>
      <c r="Q2570" s="19">
        <f ca="1">IF(O2570="","",IF(Tipo_Vertedor="Retangular",IF(O2570&lt;=cota_s*100,0,IF(Tipo_Vertedor="Retangular",Cd_sr*Lef_sr*((O2570/100-cota_s)^(3/2))*1000)),IF(O2570&lt;=cota_s*100+fi_s/20,0,(OFFSET('Base de dados'!$A$4,IF(O2570&lt;20,1,IF(O2570&gt;1000,10,MATCH(O2570,Cargas,1))),Coluna_fis,1,1))*(PI()*(fi_s/1000)^2/4)*(2*9.81*(O2570/100-cota_s-fi_s/2/1000))^0.5*1000)))</f>
        <v>15426.470958959415</v>
      </c>
      <c r="R2570" s="19">
        <f t="shared" ca="1" si="285"/>
        <v>15494.487039670585</v>
      </c>
      <c r="S2570" s="19">
        <f t="shared" ca="1" si="286"/>
        <v>16362.538398477231</v>
      </c>
    </row>
    <row r="2571" spans="13:19">
      <c r="M2571" s="81">
        <f t="shared" ca="1" si="283"/>
        <v>31874.138167984478</v>
      </c>
      <c r="N2571" s="19">
        <f t="shared" si="284"/>
        <v>491.09103718335314</v>
      </c>
      <c r="O2571" s="17">
        <f t="shared" si="282"/>
        <v>642.5</v>
      </c>
      <c r="P2571" s="19">
        <f ca="1">IF(ISERROR(IF(O2571&lt;fi_h/20,0,(OFFSET('Base de dados'!$A$5,IF(O2571&lt;20,1,IF(O2571&gt;1000,10,MATCH(O2571,Cargas,1))),Coluna_fih,1,1))*(1+0.13*0.25)*(PI()*(fi_h/1000)^2/4)*SQRT(2*9.81*(O2571/100-fi_h/2/1000))*1000)),"",IF(O2571&lt;fi_h/20,0,(OFFSET('Base de dados'!$A$5,IF(O2571&lt;20,1,IF(O2571&gt;1000,10,MATCH(O2571,Cargas,1))),Coluna_fih,1,1))*(PI()*(fi_h/1000)^2/4)*SQRT(2*9.81*(O2571/100-fi_h/2/1000))*1000))</f>
        <v>68.029434531495241</v>
      </c>
      <c r="Q2571" s="19">
        <f ca="1">IF(O2571="","",IF(Tipo_Vertedor="Retangular",IF(O2571&lt;=cota_s*100,0,IF(Tipo_Vertedor="Retangular",Cd_sr*Lef_sr*((O2571/100-cota_s)^(3/2))*1000)),IF(O2571&lt;=cota_s*100+fi_s/20,0,(OFFSET('Base de dados'!$A$4,IF(O2571&lt;20,1,IF(O2571&gt;1000,10,MATCH(O2571,Cargas,1))),Coluna_fis,1,1))*(PI()*(fi_s/1000)^2/4)*(2*9.81*(O2571/100-cota_s-fi_s/2/1000))^0.5*1000)))</f>
        <v>15436.407494007879</v>
      </c>
      <c r="R2571" s="19">
        <f t="shared" ca="1" si="285"/>
        <v>15504.436928539375</v>
      </c>
      <c r="S2571" s="19">
        <f t="shared" ca="1" si="286"/>
        <v>16369.701239445105</v>
      </c>
    </row>
    <row r="2572" spans="13:19">
      <c r="M2572" s="81">
        <f t="shared" ca="1" si="283"/>
        <v>31891.253374942426</v>
      </c>
      <c r="N2572" s="19">
        <f t="shared" si="284"/>
        <v>491.30593282867557</v>
      </c>
      <c r="O2572" s="17">
        <f t="shared" si="282"/>
        <v>642.75</v>
      </c>
      <c r="P2572" s="19">
        <f ca="1">IF(ISERROR(IF(O2572&lt;fi_h/20,0,(OFFSET('Base de dados'!$A$5,IF(O2572&lt;20,1,IF(O2572&gt;1000,10,MATCH(O2572,Cargas,1))),Coluna_fih,1,1))*(1+0.13*0.25)*(PI()*(fi_h/1000)^2/4)*SQRT(2*9.81*(O2572/100-fi_h/2/1000))*1000)),"",IF(O2572&lt;fi_h/20,0,(OFFSET('Base de dados'!$A$5,IF(O2572&lt;20,1,IF(O2572&gt;1000,10,MATCH(O2572,Cargas,1))),Coluna_fih,1,1))*(PI()*(fi_h/1000)^2/4)*SQRT(2*9.81*(O2572/100-fi_h/2/1000))*1000))</f>
        <v>68.042785731049833</v>
      </c>
      <c r="Q2572" s="19">
        <f ca="1">IF(O2572="","",IF(Tipo_Vertedor="Retangular",IF(O2572&lt;=cota_s*100,0,IF(Tipo_Vertedor="Retangular",Cd_sr*Lef_sr*((O2572/100-cota_s)^(3/2))*1000)),IF(O2572&lt;=cota_s*100+fi_s/20,0,(OFFSET('Base de dados'!$A$4,IF(O2572&lt;20,1,IF(O2572&gt;1000,10,MATCH(O2572,Cargas,1))),Coluna_fis,1,1))*(PI()*(fi_s/1000)^2/4)*(2*9.81*(O2572/100-cota_s-fi_s/2/1000))^0.5*1000)))</f>
        <v>15446.346161588859</v>
      </c>
      <c r="R2572" s="19">
        <f t="shared" ca="1" si="285"/>
        <v>15514.388947319909</v>
      </c>
      <c r="S2572" s="19">
        <f t="shared" ca="1" si="286"/>
        <v>16376.864427622519</v>
      </c>
    </row>
    <row r="2573" spans="13:19">
      <c r="M2573" s="81">
        <f t="shared" ca="1" si="283"/>
        <v>31908.371058447479</v>
      </c>
      <c r="N2573" s="19">
        <f t="shared" si="284"/>
        <v>491.52083888673718</v>
      </c>
      <c r="O2573" s="17">
        <f t="shared" si="282"/>
        <v>643</v>
      </c>
      <c r="P2573" s="19">
        <f ca="1">IF(ISERROR(IF(O2573&lt;fi_h/20,0,(OFFSET('Base de dados'!$A$5,IF(O2573&lt;20,1,IF(O2573&gt;1000,10,MATCH(O2573,Cargas,1))),Coluna_fih,1,1))*(1+0.13*0.25)*(PI()*(fi_h/1000)^2/4)*SQRT(2*9.81*(O2573/100-fi_h/2/1000))*1000)),"",IF(O2573&lt;fi_h/20,0,(OFFSET('Base de dados'!$A$5,IF(O2573&lt;20,1,IF(O2573&gt;1000,10,MATCH(O2573,Cargas,1))),Coluna_fih,1,1))*(PI()*(fi_h/1000)^2/4)*SQRT(2*9.81*(O2573/100-fi_h/2/1000))*1000))</f>
        <v>68.056134311376525</v>
      </c>
      <c r="Q2573" s="19">
        <f ca="1">IF(O2573="","",IF(Tipo_Vertedor="Retangular",IF(O2573&lt;=cota_s*100,0,IF(Tipo_Vertedor="Retangular",Cd_sr*Lef_sr*((O2573/100-cota_s)^(3/2))*1000)),IF(O2573&lt;=cota_s*100+fi_s/20,0,(OFFSET('Base de dados'!$A$4,IF(O2573&lt;20,1,IF(O2573&gt;1000,10,MATCH(O2573,Cargas,1))),Coluna_fis,1,1))*(PI()*(fi_s/1000)^2/4)*(2*9.81*(O2573/100-cota_s-fi_s/2/1000))^0.5*1000)))</f>
        <v>15456.286961244863</v>
      </c>
      <c r="R2573" s="19">
        <f t="shared" ca="1" si="285"/>
        <v>15524.34309555624</v>
      </c>
      <c r="S2573" s="19">
        <f t="shared" ca="1" si="286"/>
        <v>16384.027962891239</v>
      </c>
    </row>
    <row r="2574" spans="13:19">
      <c r="M2574" s="81">
        <f t="shared" ca="1" si="283"/>
        <v>31925.491217925868</v>
      </c>
      <c r="N2574" s="19">
        <f t="shared" si="284"/>
        <v>491.7357553539938</v>
      </c>
      <c r="O2574" s="17">
        <f t="shared" si="282"/>
        <v>643.25</v>
      </c>
      <c r="P2574" s="19">
        <f ca="1">IF(ISERROR(IF(O2574&lt;fi_h/20,0,(OFFSET('Base de dados'!$A$5,IF(O2574&lt;20,1,IF(O2574&gt;1000,10,MATCH(O2574,Cargas,1))),Coluna_fih,1,1))*(1+0.13*0.25)*(PI()*(fi_h/1000)^2/4)*SQRT(2*9.81*(O2574/100-fi_h/2/1000))*1000)),"",IF(O2574&lt;fi_h/20,0,(OFFSET('Base de dados'!$A$5,IF(O2574&lt;20,1,IF(O2574&gt;1000,10,MATCH(O2574,Cargas,1))),Coluna_fih,1,1))*(PI()*(fi_h/1000)^2/4)*SQRT(2*9.81*(O2574/100-fi_h/2/1000))*1000))</f>
        <v>68.069480274016215</v>
      </c>
      <c r="Q2574" s="19">
        <f ca="1">IF(O2574="","",IF(Tipo_Vertedor="Retangular",IF(O2574&lt;=cota_s*100,0,IF(Tipo_Vertedor="Retangular",Cd_sr*Lef_sr*((O2574/100-cota_s)^(3/2))*1000)),IF(O2574&lt;=cota_s*100+fi_s/20,0,(OFFSET('Base de dados'!$A$4,IF(O2574&lt;20,1,IF(O2574&gt;1000,10,MATCH(O2574,Cargas,1))),Coluna_fis,1,1))*(PI()*(fi_s/1000)^2/4)*(2*9.81*(O2574/100-cota_s-fi_s/2/1000))^0.5*1000)))</f>
        <v>15466.229892518728</v>
      </c>
      <c r="R2574" s="19">
        <f t="shared" ca="1" si="285"/>
        <v>15534.299372792744</v>
      </c>
      <c r="S2574" s="19">
        <f t="shared" ca="1" si="286"/>
        <v>16391.191845133126</v>
      </c>
    </row>
    <row r="2575" spans="13:19">
      <c r="M2575" s="81">
        <f t="shared" ca="1" si="283"/>
        <v>31942.613852804181</v>
      </c>
      <c r="N2575" s="19">
        <f t="shared" si="284"/>
        <v>491.95068222690367</v>
      </c>
      <c r="O2575" s="17">
        <f t="shared" si="282"/>
        <v>643.5</v>
      </c>
      <c r="P2575" s="19">
        <f ca="1">IF(ISERROR(IF(O2575&lt;fi_h/20,0,(OFFSET('Base de dados'!$A$5,IF(O2575&lt;20,1,IF(O2575&gt;1000,10,MATCH(O2575,Cargas,1))),Coluna_fih,1,1))*(1+0.13*0.25)*(PI()*(fi_h/1000)^2/4)*SQRT(2*9.81*(O2575/100-fi_h/2/1000))*1000)),"",IF(O2575&lt;fi_h/20,0,(OFFSET('Base de dados'!$A$5,IF(O2575&lt;20,1,IF(O2575&gt;1000,10,MATCH(O2575,Cargas,1))),Coluna_fih,1,1))*(PI()*(fi_h/1000)^2/4)*SQRT(2*9.81*(O2575/100-fi_h/2/1000))*1000))</f>
        <v>68.082823620508321</v>
      </c>
      <c r="Q2575" s="19">
        <f ca="1">IF(O2575="","",IF(Tipo_Vertedor="Retangular",IF(O2575&lt;=cota_s*100,0,IF(Tipo_Vertedor="Retangular",Cd_sr*Lef_sr*((O2575/100-cota_s)^(3/2))*1000)),IF(O2575&lt;=cota_s*100+fi_s/20,0,(OFFSET('Base de dados'!$A$4,IF(O2575&lt;20,1,IF(O2575&gt;1000,10,MATCH(O2575,Cargas,1))),Coluna_fis,1,1))*(PI()*(fi_s/1000)^2/4)*(2*9.81*(O2575/100-cota_s-fi_s/2/1000))^0.5*1000)))</f>
        <v>15476.174954953549</v>
      </c>
      <c r="R2575" s="19">
        <f t="shared" ca="1" si="285"/>
        <v>15544.257778574058</v>
      </c>
      <c r="S2575" s="19">
        <f t="shared" ca="1" si="286"/>
        <v>16398.356074230123</v>
      </c>
    </row>
    <row r="2576" spans="13:19">
      <c r="M2576" s="81">
        <f t="shared" ca="1" si="283"/>
        <v>31959.738962509389</v>
      </c>
      <c r="N2576" s="19">
        <f t="shared" si="284"/>
        <v>492.16561950192772</v>
      </c>
      <c r="O2576" s="17">
        <f t="shared" si="282"/>
        <v>643.75</v>
      </c>
      <c r="P2576" s="19">
        <f ca="1">IF(ISERROR(IF(O2576&lt;fi_h/20,0,(OFFSET('Base de dados'!$A$5,IF(O2576&lt;20,1,IF(O2576&gt;1000,10,MATCH(O2576,Cargas,1))),Coluna_fih,1,1))*(1+0.13*0.25)*(PI()*(fi_h/1000)^2/4)*SQRT(2*9.81*(O2576/100-fi_h/2/1000))*1000)),"",IF(O2576&lt;fi_h/20,0,(OFFSET('Base de dados'!$A$5,IF(O2576&lt;20,1,IF(O2576&gt;1000,10,MATCH(O2576,Cargas,1))),Coluna_fih,1,1))*(PI()*(fi_h/1000)^2/4)*SQRT(2*9.81*(O2576/100-fi_h/2/1000))*1000))</f>
        <v>68.096164352390716</v>
      </c>
      <c r="Q2576" s="19">
        <f ca="1">IF(O2576="","",IF(Tipo_Vertedor="Retangular",IF(O2576&lt;=cota_s*100,0,IF(Tipo_Vertedor="Retangular",Cd_sr*Lef_sr*((O2576/100-cota_s)^(3/2))*1000)),IF(O2576&lt;=cota_s*100+fi_s/20,0,(OFFSET('Base de dados'!$A$4,IF(O2576&lt;20,1,IF(O2576&gt;1000,10,MATCH(O2576,Cargas,1))),Coluna_fis,1,1))*(PI()*(fi_s/1000)^2/4)*(2*9.81*(O2576/100-cota_s-fi_s/2/1000))^0.5*1000)))</f>
        <v>15486.122148092738</v>
      </c>
      <c r="R2576" s="19">
        <f t="shared" ca="1" si="285"/>
        <v>15554.218312445129</v>
      </c>
      <c r="S2576" s="19">
        <f t="shared" ca="1" si="286"/>
        <v>16405.52065006426</v>
      </c>
    </row>
    <row r="2577" spans="13:19">
      <c r="M2577" s="81">
        <f t="shared" ca="1" si="283"/>
        <v>31976.86654646886</v>
      </c>
      <c r="N2577" s="19">
        <f t="shared" si="284"/>
        <v>492.38056717552979</v>
      </c>
      <c r="O2577" s="17">
        <f t="shared" si="282"/>
        <v>644</v>
      </c>
      <c r="P2577" s="19">
        <f ca="1">IF(ISERROR(IF(O2577&lt;fi_h/20,0,(OFFSET('Base de dados'!$A$5,IF(O2577&lt;20,1,IF(O2577&gt;1000,10,MATCH(O2577,Cargas,1))),Coluna_fih,1,1))*(1+0.13*0.25)*(PI()*(fi_h/1000)^2/4)*SQRT(2*9.81*(O2577/100-fi_h/2/1000))*1000)),"",IF(O2577&lt;fi_h/20,0,(OFFSET('Base de dados'!$A$5,IF(O2577&lt;20,1,IF(O2577&gt;1000,10,MATCH(O2577,Cargas,1))),Coluna_fih,1,1))*(PI()*(fi_h/1000)^2/4)*SQRT(2*9.81*(O2577/100-fi_h/2/1000))*1000))</f>
        <v>68.109502471199789</v>
      </c>
      <c r="Q2577" s="19">
        <f ca="1">IF(O2577="","",IF(Tipo_Vertedor="Retangular",IF(O2577&lt;=cota_s*100,0,IF(Tipo_Vertedor="Retangular",Cd_sr*Lef_sr*((O2577/100-cota_s)^(3/2))*1000)),IF(O2577&lt;=cota_s*100+fi_s/20,0,(OFFSET('Base de dados'!$A$4,IF(O2577&lt;20,1,IF(O2577&gt;1000,10,MATCH(O2577,Cargas,1))),Coluna_fis,1,1))*(PI()*(fi_s/1000)^2/4)*(2*9.81*(O2577/100-cota_s-fi_s/2/1000))^0.5*1000)))</f>
        <v>15496.071471479998</v>
      </c>
      <c r="R2577" s="19">
        <f t="shared" ca="1" si="285"/>
        <v>15564.180973951197</v>
      </c>
      <c r="S2577" s="19">
        <f t="shared" ca="1" si="286"/>
        <v>16412.685572517661</v>
      </c>
    </row>
    <row r="2578" spans="13:19">
      <c r="M2578" s="81">
        <f t="shared" ca="1" si="283"/>
        <v>31993.996604110282</v>
      </c>
      <c r="N2578" s="19">
        <f t="shared" si="284"/>
        <v>492.59552524417535</v>
      </c>
      <c r="O2578" s="17">
        <f t="shared" si="282"/>
        <v>644.25</v>
      </c>
      <c r="P2578" s="19">
        <f ca="1">IF(ISERROR(IF(O2578&lt;fi_h/20,0,(OFFSET('Base de dados'!$A$5,IF(O2578&lt;20,1,IF(O2578&gt;1000,10,MATCH(O2578,Cargas,1))),Coluna_fih,1,1))*(1+0.13*0.25)*(PI()*(fi_h/1000)^2/4)*SQRT(2*9.81*(O2578/100-fi_h/2/1000))*1000)),"",IF(O2578&lt;fi_h/20,0,(OFFSET('Base de dados'!$A$5,IF(O2578&lt;20,1,IF(O2578&gt;1000,10,MATCH(O2578,Cargas,1))),Coluna_fih,1,1))*(PI()*(fi_h/1000)^2/4)*SQRT(2*9.81*(O2578/100-fi_h/2/1000))*1000))</f>
        <v>68.122837978470415</v>
      </c>
      <c r="Q2578" s="19">
        <f ca="1">IF(O2578="","",IF(Tipo_Vertedor="Retangular",IF(O2578&lt;=cota_s*100,0,IF(Tipo_Vertedor="Retangular",Cd_sr*Lef_sr*((O2578/100-cota_s)^(3/2))*1000)),IF(O2578&lt;=cota_s*100+fi_s/20,0,(OFFSET('Base de dados'!$A$4,IF(O2578&lt;20,1,IF(O2578&gt;1000,10,MATCH(O2578,Cargas,1))),Coluna_fis,1,1))*(PI()*(fi_s/1000)^2/4)*(2*9.81*(O2578/100-cota_s-fi_s/2/1000))^0.5*1000)))</f>
        <v>15506.022924659303</v>
      </c>
      <c r="R2578" s="19">
        <f t="shared" ca="1" si="285"/>
        <v>15574.145762637772</v>
      </c>
      <c r="S2578" s="19">
        <f t="shared" ca="1" si="286"/>
        <v>16419.850841472511</v>
      </c>
    </row>
    <row r="2579" spans="13:19">
      <c r="M2579" s="81">
        <f t="shared" ca="1" si="283"/>
        <v>32011.129134861796</v>
      </c>
      <c r="N2579" s="19">
        <f t="shared" si="284"/>
        <v>492.81049370433351</v>
      </c>
      <c r="O2579" s="17">
        <f t="shared" ref="O2579:O2642" si="287">IF(ISERROR(IF(O2578+passo_altura&gt;h_max_puls*100,"",O2578+passo_altura)),"",IF(O2578+passo_altura&gt;h_max_puls*100,"",O2578+passo_altura))</f>
        <v>644.5</v>
      </c>
      <c r="P2579" s="19">
        <f ca="1">IF(ISERROR(IF(O2579&lt;fi_h/20,0,(OFFSET('Base de dados'!$A$5,IF(O2579&lt;20,1,IF(O2579&gt;1000,10,MATCH(O2579,Cargas,1))),Coluna_fih,1,1))*(1+0.13*0.25)*(PI()*(fi_h/1000)^2/4)*SQRT(2*9.81*(O2579/100-fi_h/2/1000))*1000)),"",IF(O2579&lt;fi_h/20,0,(OFFSET('Base de dados'!$A$5,IF(O2579&lt;20,1,IF(O2579&gt;1000,10,MATCH(O2579,Cargas,1))),Coluna_fih,1,1))*(PI()*(fi_h/1000)^2/4)*SQRT(2*9.81*(O2579/100-fi_h/2/1000))*1000))</f>
        <v>68.136170875735999</v>
      </c>
      <c r="Q2579" s="19">
        <f ca="1">IF(O2579="","",IF(Tipo_Vertedor="Retangular",IF(O2579&lt;=cota_s*100,0,IF(Tipo_Vertedor="Retangular",Cd_sr*Lef_sr*((O2579/100-cota_s)^(3/2))*1000)),IF(O2579&lt;=cota_s*100+fi_s/20,0,(OFFSET('Base de dados'!$A$4,IF(O2579&lt;20,1,IF(O2579&gt;1000,10,MATCH(O2579,Cargas,1))),Coluna_fis,1,1))*(PI()*(fi_s/1000)^2/4)*(2*9.81*(O2579/100-cota_s-fi_s/2/1000))^0.5*1000)))</f>
        <v>15515.976507174943</v>
      </c>
      <c r="R2579" s="19">
        <f t="shared" ca="1" si="285"/>
        <v>15584.112678050678</v>
      </c>
      <c r="S2579" s="19">
        <f t="shared" ca="1" si="286"/>
        <v>16427.016456811118</v>
      </c>
    </row>
    <row r="2580" spans="13:19">
      <c r="M2580" s="81">
        <f t="shared" ca="1" si="283"/>
        <v>32028.264138151852</v>
      </c>
      <c r="N2580" s="19">
        <f t="shared" si="284"/>
        <v>493.02547255247521</v>
      </c>
      <c r="O2580" s="17">
        <f t="shared" si="287"/>
        <v>644.75</v>
      </c>
      <c r="P2580" s="19">
        <f ca="1">IF(ISERROR(IF(O2580&lt;fi_h/20,0,(OFFSET('Base de dados'!$A$5,IF(O2580&lt;20,1,IF(O2580&gt;1000,10,MATCH(O2580,Cargas,1))),Coluna_fih,1,1))*(1+0.13*0.25)*(PI()*(fi_h/1000)^2/4)*SQRT(2*9.81*(O2580/100-fi_h/2/1000))*1000)),"",IF(O2580&lt;fi_h/20,0,(OFFSET('Base de dados'!$A$5,IF(O2580&lt;20,1,IF(O2580&gt;1000,10,MATCH(O2580,Cargas,1))),Coluna_fih,1,1))*(PI()*(fi_h/1000)^2/4)*SQRT(2*9.81*(O2580/100-fi_h/2/1000))*1000))</f>
        <v>68.149501164528374</v>
      </c>
      <c r="Q2580" s="19">
        <f ca="1">IF(O2580="","",IF(Tipo_Vertedor="Retangular",IF(O2580&lt;=cota_s*100,0,IF(Tipo_Vertedor="Retangular",Cd_sr*Lef_sr*((O2580/100-cota_s)^(3/2))*1000)),IF(O2580&lt;=cota_s*100+fi_s/20,0,(OFFSET('Base de dados'!$A$4,IF(O2580&lt;20,1,IF(O2580&gt;1000,10,MATCH(O2580,Cargas,1))),Coluna_fis,1,1))*(PI()*(fi_s/1000)^2/4)*(2*9.81*(O2580/100-cota_s-fi_s/2/1000))^0.5*1000)))</f>
        <v>15525.932218571485</v>
      </c>
      <c r="R2580" s="19">
        <f t="shared" ca="1" si="285"/>
        <v>15594.081719736012</v>
      </c>
      <c r="S2580" s="19">
        <f t="shared" ca="1" si="286"/>
        <v>16434.182418415839</v>
      </c>
    </row>
    <row r="2581" spans="13:19">
      <c r="M2581" s="81">
        <f t="shared" ca="1" si="283"/>
        <v>32045.401613409347</v>
      </c>
      <c r="N2581" s="19">
        <f t="shared" si="284"/>
        <v>493.24046178507433</v>
      </c>
      <c r="O2581" s="17">
        <f t="shared" si="287"/>
        <v>645</v>
      </c>
      <c r="P2581" s="19">
        <f ca="1">IF(ISERROR(IF(O2581&lt;fi_h/20,0,(OFFSET('Base de dados'!$A$5,IF(O2581&lt;20,1,IF(O2581&gt;1000,10,MATCH(O2581,Cargas,1))),Coluna_fih,1,1))*(1+0.13*0.25)*(PI()*(fi_h/1000)^2/4)*SQRT(2*9.81*(O2581/100-fi_h/2/1000))*1000)),"",IF(O2581&lt;fi_h/20,0,(OFFSET('Base de dados'!$A$5,IF(O2581&lt;20,1,IF(O2581&gt;1000,10,MATCH(O2581,Cargas,1))),Coluna_fih,1,1))*(PI()*(fi_h/1000)^2/4)*SQRT(2*9.81*(O2581/100-fi_h/2/1000))*1000))</f>
        <v>68.162828846377977</v>
      </c>
      <c r="Q2581" s="19">
        <f ca="1">IF(O2581="","",IF(Tipo_Vertedor="Retangular",IF(O2581&lt;=cota_s*100,0,IF(Tipo_Vertedor="Retangular",Cd_sr*Lef_sr*((O2581/100-cota_s)^(3/2))*1000)),IF(O2581&lt;=cota_s*100+fi_s/20,0,(OFFSET('Base de dados'!$A$4,IF(O2581&lt;20,1,IF(O2581&gt;1000,10,MATCH(O2581,Cargas,1))),Coluna_fis,1,1))*(PI()*(fi_s/1000)^2/4)*(2*9.81*(O2581/100-cota_s-fi_s/2/1000))^0.5*1000)))</f>
        <v>15535.890058393827</v>
      </c>
      <c r="R2581" s="19">
        <f t="shared" ca="1" si="285"/>
        <v>15604.052887240205</v>
      </c>
      <c r="S2581" s="19">
        <f t="shared" ca="1" si="286"/>
        <v>16441.348726169144</v>
      </c>
    </row>
    <row r="2582" spans="13:19">
      <c r="M2582" s="81">
        <f t="shared" ca="1" si="283"/>
        <v>32062.541560063495</v>
      </c>
      <c r="N2582" s="19">
        <f t="shared" si="284"/>
        <v>493.45546139860733</v>
      </c>
      <c r="O2582" s="17">
        <f t="shared" si="287"/>
        <v>645.25</v>
      </c>
      <c r="P2582" s="19">
        <f ca="1">IF(ISERROR(IF(O2582&lt;fi_h/20,0,(OFFSET('Base de dados'!$A$5,IF(O2582&lt;20,1,IF(O2582&gt;1000,10,MATCH(O2582,Cargas,1))),Coluna_fih,1,1))*(1+0.13*0.25)*(PI()*(fi_h/1000)^2/4)*SQRT(2*9.81*(O2582/100-fi_h/2/1000))*1000)),"",IF(O2582&lt;fi_h/20,0,(OFFSET('Base de dados'!$A$5,IF(O2582&lt;20,1,IF(O2582&gt;1000,10,MATCH(O2582,Cargas,1))),Coluna_fih,1,1))*(PI()*(fi_h/1000)^2/4)*SQRT(2*9.81*(O2582/100-fi_h/2/1000))*1000))</f>
        <v>68.176153922813668</v>
      </c>
      <c r="Q2582" s="19">
        <f ca="1">IF(O2582="","",IF(Tipo_Vertedor="Retangular",IF(O2582&lt;=cota_s*100,0,IF(Tipo_Vertedor="Retangular",Cd_sr*Lef_sr*((O2582/100-cota_s)^(3/2))*1000)),IF(O2582&lt;=cota_s*100+fi_s/20,0,(OFFSET('Base de dados'!$A$4,IF(O2582&lt;20,1,IF(O2582&gt;1000,10,MATCH(O2582,Cargas,1))),Coluna_fis,1,1))*(PI()*(fi_s/1000)^2/4)*(2*9.81*(O2582/100-cota_s-fi_s/2/1000))^0.5*1000)))</f>
        <v>15545.8500261871</v>
      </c>
      <c r="R2582" s="19">
        <f t="shared" ca="1" si="285"/>
        <v>15614.026180109913</v>
      </c>
      <c r="S2582" s="19">
        <f t="shared" ca="1" si="286"/>
        <v>16448.51537995358</v>
      </c>
    </row>
    <row r="2583" spans="13:19">
      <c r="M2583" s="81">
        <f t="shared" ref="M2583:M2646" ca="1" si="288">IF(O2583="","",2*N2583*1000/(Passo*60)+R2583)</f>
        <v>32079.683977543893</v>
      </c>
      <c r="N2583" s="19">
        <f t="shared" ref="N2583:N2646" si="289">IF(O2583="","",b_0*(O2583/100)^c_0)</f>
        <v>493.67047138955309</v>
      </c>
      <c r="O2583" s="17">
        <f t="shared" si="287"/>
        <v>645.5</v>
      </c>
      <c r="P2583" s="19">
        <f ca="1">IF(ISERROR(IF(O2583&lt;fi_h/20,0,(OFFSET('Base de dados'!$A$5,IF(O2583&lt;20,1,IF(O2583&gt;1000,10,MATCH(O2583,Cargas,1))),Coluna_fih,1,1))*(1+0.13*0.25)*(PI()*(fi_h/1000)^2/4)*SQRT(2*9.81*(O2583/100-fi_h/2/1000))*1000)),"",IF(O2583&lt;fi_h/20,0,(OFFSET('Base de dados'!$A$5,IF(O2583&lt;20,1,IF(O2583&gt;1000,10,MATCH(O2583,Cargas,1))),Coluna_fih,1,1))*(PI()*(fi_h/1000)^2/4)*SQRT(2*9.81*(O2583/100-fi_h/2/1000))*1000))</f>
        <v>68.189476395362817</v>
      </c>
      <c r="Q2583" s="19">
        <f ca="1">IF(O2583="","",IF(Tipo_Vertedor="Retangular",IF(O2583&lt;=cota_s*100,0,IF(Tipo_Vertedor="Retangular",Cd_sr*Lef_sr*((O2583/100-cota_s)^(3/2))*1000)),IF(O2583&lt;=cota_s*100+fi_s/20,0,(OFFSET('Base de dados'!$A$4,IF(O2583&lt;20,1,IF(O2583&gt;1000,10,MATCH(O2583,Cargas,1))),Coluna_fis,1,1))*(PI()*(fi_s/1000)^2/4)*(2*9.81*(O2583/100-cota_s-fi_s/2/1000))^0.5*1000)))</f>
        <v>15555.81212149676</v>
      </c>
      <c r="R2583" s="19">
        <f t="shared" ref="R2583:R2646" ca="1" si="290">IF(O2583="","",Q2583+P2583)</f>
        <v>15624.001597892122</v>
      </c>
      <c r="S2583" s="19">
        <f t="shared" ref="S2583:S2646" ca="1" si="291">IF(M2583="","",2*N2583*1000/(Passo*60))</f>
        <v>16455.682379651771</v>
      </c>
    </row>
    <row r="2584" spans="13:19">
      <c r="M2584" s="81">
        <f t="shared" ca="1" si="288"/>
        <v>32096.828865280539</v>
      </c>
      <c r="N2584" s="19">
        <f t="shared" si="289"/>
        <v>493.88549175439272</v>
      </c>
      <c r="O2584" s="17">
        <f t="shared" si="287"/>
        <v>645.75</v>
      </c>
      <c r="P2584" s="19">
        <f ca="1">IF(ISERROR(IF(O2584&lt;fi_h/20,0,(OFFSET('Base de dados'!$A$5,IF(O2584&lt;20,1,IF(O2584&gt;1000,10,MATCH(O2584,Cargas,1))),Coluna_fih,1,1))*(1+0.13*0.25)*(PI()*(fi_h/1000)^2/4)*SQRT(2*9.81*(O2584/100-fi_h/2/1000))*1000)),"",IF(O2584&lt;fi_h/20,0,(OFFSET('Base de dados'!$A$5,IF(O2584&lt;20,1,IF(O2584&gt;1000,10,MATCH(O2584,Cargas,1))),Coluna_fih,1,1))*(PI()*(fi_h/1000)^2/4)*SQRT(2*9.81*(O2584/100-fi_h/2/1000))*1000))</f>
        <v>68.202796265551342</v>
      </c>
      <c r="Q2584" s="19">
        <f ca="1">IF(O2584="","",IF(Tipo_Vertedor="Retangular",IF(O2584&lt;=cota_s*100,0,IF(Tipo_Vertedor="Retangular",Cd_sr*Lef_sr*((O2584/100-cota_s)^(3/2))*1000)),IF(O2584&lt;=cota_s*100+fi_s/20,0,(OFFSET('Base de dados'!$A$4,IF(O2584&lt;20,1,IF(O2584&gt;1000,10,MATCH(O2584,Cargas,1))),Coluna_fis,1,1))*(PI()*(fi_s/1000)^2/4)*(2*9.81*(O2584/100-cota_s-fi_s/2/1000))^0.5*1000)))</f>
        <v>15565.776343868562</v>
      </c>
      <c r="R2584" s="19">
        <f t="shared" ca="1" si="290"/>
        <v>15633.979140134114</v>
      </c>
      <c r="S2584" s="19">
        <f t="shared" ca="1" si="291"/>
        <v>16462.849725146425</v>
      </c>
    </row>
    <row r="2585" spans="13:19">
      <c r="M2585" s="81">
        <f t="shared" ca="1" si="288"/>
        <v>32113.976222703779</v>
      </c>
      <c r="N2585" s="19">
        <f t="shared" si="289"/>
        <v>494.10052248961074</v>
      </c>
      <c r="O2585" s="17">
        <f t="shared" si="287"/>
        <v>646</v>
      </c>
      <c r="P2585" s="19">
        <f ca="1">IF(ISERROR(IF(O2585&lt;fi_h/20,0,(OFFSET('Base de dados'!$A$5,IF(O2585&lt;20,1,IF(O2585&gt;1000,10,MATCH(O2585,Cargas,1))),Coluna_fih,1,1))*(1+0.13*0.25)*(PI()*(fi_h/1000)^2/4)*SQRT(2*9.81*(O2585/100-fi_h/2/1000))*1000)),"",IF(O2585&lt;fi_h/20,0,(OFFSET('Base de dados'!$A$5,IF(O2585&lt;20,1,IF(O2585&gt;1000,10,MATCH(O2585,Cargas,1))),Coluna_fih,1,1))*(PI()*(fi_h/1000)^2/4)*SQRT(2*9.81*(O2585/100-fi_h/2/1000))*1000))</f>
        <v>68.216113534903656</v>
      </c>
      <c r="Q2585" s="19">
        <f ca="1">IF(O2585="","",IF(Tipo_Vertedor="Retangular",IF(O2585&lt;=cota_s*100,0,IF(Tipo_Vertedor="Retangular",Cd_sr*Lef_sr*((O2585/100-cota_s)^(3/2))*1000)),IF(O2585&lt;=cota_s*100+fi_s/20,0,(OFFSET('Base de dados'!$A$4,IF(O2585&lt;20,1,IF(O2585&gt;1000,10,MATCH(O2585,Cargas,1))),Coluna_fis,1,1))*(PI()*(fi_s/1000)^2/4)*(2*9.81*(O2585/100-cota_s-fi_s/2/1000))^0.5*1000)))</f>
        <v>15575.742692848518</v>
      </c>
      <c r="R2585" s="19">
        <f t="shared" ca="1" si="290"/>
        <v>15643.958806383422</v>
      </c>
      <c r="S2585" s="19">
        <f t="shared" ca="1" si="291"/>
        <v>16470.017416320356</v>
      </c>
    </row>
    <row r="2586" spans="13:19">
      <c r="M2586" s="81">
        <f t="shared" ca="1" si="288"/>
        <v>32131.126049244369</v>
      </c>
      <c r="N2586" s="19">
        <f t="shared" si="289"/>
        <v>494.3155635916936</v>
      </c>
      <c r="O2586" s="17">
        <f t="shared" si="287"/>
        <v>646.25</v>
      </c>
      <c r="P2586" s="19">
        <f ca="1">IF(ISERROR(IF(O2586&lt;fi_h/20,0,(OFFSET('Base de dados'!$A$5,IF(O2586&lt;20,1,IF(O2586&gt;1000,10,MATCH(O2586,Cargas,1))),Coluna_fih,1,1))*(1+0.13*0.25)*(PI()*(fi_h/1000)^2/4)*SQRT(2*9.81*(O2586/100-fi_h/2/1000))*1000)),"",IF(O2586&lt;fi_h/20,0,(OFFSET('Base de dados'!$A$5,IF(O2586&lt;20,1,IF(O2586&gt;1000,10,MATCH(O2586,Cargas,1))),Coluna_fih,1,1))*(PI()*(fi_h/1000)^2/4)*SQRT(2*9.81*(O2586/100-fi_h/2/1000))*1000))</f>
        <v>68.229428204942678</v>
      </c>
      <c r="Q2586" s="19">
        <f ca="1">IF(O2586="","",IF(Tipo_Vertedor="Retangular",IF(O2586&lt;=cota_s*100,0,IF(Tipo_Vertedor="Retangular",Cd_sr*Lef_sr*((O2586/100-cota_s)^(3/2))*1000)),IF(O2586&lt;=cota_s*100+fi_s/20,0,(OFFSET('Base de dados'!$A$4,IF(O2586&lt;20,1,IF(O2586&gt;1000,10,MATCH(O2586,Cargas,1))),Coluna_fis,1,1))*(PI()*(fi_s/1000)^2/4)*(2*9.81*(O2586/100-cota_s-fi_s/2/1000))^0.5*1000)))</f>
        <v>15585.711167982976</v>
      </c>
      <c r="R2586" s="19">
        <f t="shared" ca="1" si="290"/>
        <v>15653.940596187918</v>
      </c>
      <c r="S2586" s="19">
        <f t="shared" ca="1" si="291"/>
        <v>16477.185453056452</v>
      </c>
    </row>
    <row r="2587" spans="13:19">
      <c r="M2587" s="81">
        <f t="shared" ca="1" si="288"/>
        <v>32148.278344333383</v>
      </c>
      <c r="N2587" s="19">
        <f t="shared" si="289"/>
        <v>494.53061505713003</v>
      </c>
      <c r="O2587" s="17">
        <f t="shared" si="287"/>
        <v>646.5</v>
      </c>
      <c r="P2587" s="19">
        <f ca="1">IF(ISERROR(IF(O2587&lt;fi_h/20,0,(OFFSET('Base de dados'!$A$5,IF(O2587&lt;20,1,IF(O2587&gt;1000,10,MATCH(O2587,Cargas,1))),Coluna_fih,1,1))*(1+0.13*0.25)*(PI()*(fi_h/1000)^2/4)*SQRT(2*9.81*(O2587/100-fi_h/2/1000))*1000)),"",IF(O2587&lt;fi_h/20,0,(OFFSET('Base de dados'!$A$5,IF(O2587&lt;20,1,IF(O2587&gt;1000,10,MATCH(O2587,Cargas,1))),Coluna_fih,1,1))*(PI()*(fi_h/1000)^2/4)*SQRT(2*9.81*(O2587/100-fi_h/2/1000))*1000))</f>
        <v>68.242740277189867</v>
      </c>
      <c r="Q2587" s="19">
        <f ca="1">IF(O2587="","",IF(Tipo_Vertedor="Retangular",IF(O2587&lt;=cota_s*100,0,IF(Tipo_Vertedor="Retangular",Cd_sr*Lef_sr*((O2587/100-cota_s)^(3/2))*1000)),IF(O2587&lt;=cota_s*100+fi_s/20,0,(OFFSET('Base de dados'!$A$4,IF(O2587&lt;20,1,IF(O2587&gt;1000,10,MATCH(O2587,Cargas,1))),Coluna_fis,1,1))*(PI()*(fi_s/1000)^2/4)*(2*9.81*(O2587/100-cota_s-fi_s/2/1000))^0.5*1000)))</f>
        <v>15595.681768818527</v>
      </c>
      <c r="R2587" s="19">
        <f t="shared" ca="1" si="290"/>
        <v>15663.924509095717</v>
      </c>
      <c r="S2587" s="19">
        <f t="shared" ca="1" si="291"/>
        <v>16484.353835237667</v>
      </c>
    </row>
    <row r="2588" spans="13:19">
      <c r="M2588" s="81">
        <f t="shared" ca="1" si="288"/>
        <v>32165.433107402321</v>
      </c>
      <c r="N2588" s="19">
        <f t="shared" si="289"/>
        <v>494.745676882412</v>
      </c>
      <c r="O2588" s="17">
        <f t="shared" si="287"/>
        <v>646.75</v>
      </c>
      <c r="P2588" s="19">
        <f ca="1">IF(ISERROR(IF(O2588&lt;fi_h/20,0,(OFFSET('Base de dados'!$A$5,IF(O2588&lt;20,1,IF(O2588&gt;1000,10,MATCH(O2588,Cargas,1))),Coluna_fih,1,1))*(1+0.13*0.25)*(PI()*(fi_h/1000)^2/4)*SQRT(2*9.81*(O2588/100-fi_h/2/1000))*1000)),"",IF(O2588&lt;fi_h/20,0,(OFFSET('Base de dados'!$A$5,IF(O2588&lt;20,1,IF(O2588&gt;1000,10,MATCH(O2588,Cargas,1))),Coluna_fih,1,1))*(PI()*(fi_h/1000)^2/4)*SQRT(2*9.81*(O2588/100-fi_h/2/1000))*1000))</f>
        <v>68.256049753165129</v>
      </c>
      <c r="Q2588" s="19">
        <f ca="1">IF(O2588="","",IF(Tipo_Vertedor="Retangular",IF(O2588&lt;=cota_s*100,0,IF(Tipo_Vertedor="Retangular",Cd_sr*Lef_sr*((O2588/100-cota_s)^(3/2))*1000)),IF(O2588&lt;=cota_s*100+fi_s/20,0,(OFFSET('Base de dados'!$A$4,IF(O2588&lt;20,1,IF(O2588&gt;1000,10,MATCH(O2588,Cargas,1))),Coluna_fis,1,1))*(PI()*(fi_s/1000)^2/4)*(2*9.81*(O2588/100-cota_s-fi_s/2/1000))^0.5*1000)))</f>
        <v>15605.65449490209</v>
      </c>
      <c r="R2588" s="19">
        <f t="shared" ca="1" si="290"/>
        <v>15673.910544655255</v>
      </c>
      <c r="S2588" s="19">
        <f t="shared" ca="1" si="291"/>
        <v>16491.522562747068</v>
      </c>
    </row>
    <row r="2589" spans="13:19">
      <c r="M2589" s="81">
        <f t="shared" ca="1" si="288"/>
        <v>32182.590337883026</v>
      </c>
      <c r="N2589" s="19">
        <f t="shared" si="289"/>
        <v>494.96074906403356</v>
      </c>
      <c r="O2589" s="17">
        <f t="shared" si="287"/>
        <v>647</v>
      </c>
      <c r="P2589" s="19">
        <f ca="1">IF(ISERROR(IF(O2589&lt;fi_h/20,0,(OFFSET('Base de dados'!$A$5,IF(O2589&lt;20,1,IF(O2589&gt;1000,10,MATCH(O2589,Cargas,1))),Coluna_fih,1,1))*(1+0.13*0.25)*(PI()*(fi_h/1000)^2/4)*SQRT(2*9.81*(O2589/100-fi_h/2/1000))*1000)),"",IF(O2589&lt;fi_h/20,0,(OFFSET('Base de dados'!$A$5,IF(O2589&lt;20,1,IF(O2589&gt;1000,10,MATCH(O2589,Cargas,1))),Coluna_fih,1,1))*(PI()*(fi_h/1000)^2/4)*SQRT(2*9.81*(O2589/100-fi_h/2/1000))*1000))</f>
        <v>68.269356634386966</v>
      </c>
      <c r="Q2589" s="19">
        <f ca="1">IF(O2589="","",IF(Tipo_Vertedor="Retangular",IF(O2589&lt;=cota_s*100,0,IF(Tipo_Vertedor="Retangular",Cd_sr*Lef_sr*((O2589/100-cota_s)^(3/2))*1000)),IF(O2589&lt;=cota_s*100+fi_s/20,0,(OFFSET('Base de dados'!$A$4,IF(O2589&lt;20,1,IF(O2589&gt;1000,10,MATCH(O2589,Cargas,1))),Coluna_fis,1,1))*(PI()*(fi_s/1000)^2/4)*(2*9.81*(O2589/100-cota_s-fi_s/2/1000))^0.5*1000)))</f>
        <v>15615.629345780855</v>
      </c>
      <c r="R2589" s="19">
        <f t="shared" ca="1" si="290"/>
        <v>15683.898702415243</v>
      </c>
      <c r="S2589" s="19">
        <f t="shared" ca="1" si="291"/>
        <v>16498.691635467785</v>
      </c>
    </row>
    <row r="2590" spans="13:19">
      <c r="M2590" s="81">
        <f t="shared" ca="1" si="288"/>
        <v>32199.750035207726</v>
      </c>
      <c r="N2590" s="19">
        <f t="shared" si="289"/>
        <v>495.17583159849175</v>
      </c>
      <c r="O2590" s="17">
        <f t="shared" si="287"/>
        <v>647.25</v>
      </c>
      <c r="P2590" s="19">
        <f ca="1">IF(ISERROR(IF(O2590&lt;fi_h/20,0,(OFFSET('Base de dados'!$A$5,IF(O2590&lt;20,1,IF(O2590&gt;1000,10,MATCH(O2590,Cargas,1))),Coluna_fih,1,1))*(1+0.13*0.25)*(PI()*(fi_h/1000)^2/4)*SQRT(2*9.81*(O2590/100-fi_h/2/1000))*1000)),"",IF(O2590&lt;fi_h/20,0,(OFFSET('Base de dados'!$A$5,IF(O2590&lt;20,1,IF(O2590&gt;1000,10,MATCH(O2590,Cargas,1))),Coluna_fih,1,1))*(PI()*(fi_h/1000)^2/4)*SQRT(2*9.81*(O2590/100-fi_h/2/1000))*1000))</f>
        <v>68.282660922372372</v>
      </c>
      <c r="Q2590" s="19">
        <f ca="1">IF(O2590="","",IF(Tipo_Vertedor="Retangular",IF(O2590&lt;=cota_s*100,0,IF(Tipo_Vertedor="Retangular",Cd_sr*Lef_sr*((O2590/100-cota_s)^(3/2))*1000)),IF(O2590&lt;=cota_s*100+fi_s/20,0,(OFFSET('Base de dados'!$A$4,IF(O2590&lt;20,1,IF(O2590&gt;1000,10,MATCH(O2590,Cargas,1))),Coluna_fis,1,1))*(PI()*(fi_s/1000)^2/4)*(2*9.81*(O2590/100-cota_s-fi_s/2/1000))^0.5*1000)))</f>
        <v>15625.606321002295</v>
      </c>
      <c r="R2590" s="19">
        <f t="shared" ca="1" si="290"/>
        <v>15693.888981924667</v>
      </c>
      <c r="S2590" s="19">
        <f t="shared" ca="1" si="291"/>
        <v>16505.861053283057</v>
      </c>
    </row>
    <row r="2591" spans="13:19">
      <c r="M2591" s="81">
        <f t="shared" ca="1" si="288"/>
        <v>32216.912198809012</v>
      </c>
      <c r="N2591" s="19">
        <f t="shared" si="289"/>
        <v>495.39092448228558</v>
      </c>
      <c r="O2591" s="17">
        <f t="shared" si="287"/>
        <v>647.5</v>
      </c>
      <c r="P2591" s="19">
        <f ca="1">IF(ISERROR(IF(O2591&lt;fi_h/20,0,(OFFSET('Base de dados'!$A$5,IF(O2591&lt;20,1,IF(O2591&gt;1000,10,MATCH(O2591,Cargas,1))),Coluna_fih,1,1))*(1+0.13*0.25)*(PI()*(fi_h/1000)^2/4)*SQRT(2*9.81*(O2591/100-fi_h/2/1000))*1000)),"",IF(O2591&lt;fi_h/20,0,(OFFSET('Base de dados'!$A$5,IF(O2591&lt;20,1,IF(O2591&gt;1000,10,MATCH(O2591,Cargas,1))),Coluna_fih,1,1))*(PI()*(fi_h/1000)^2/4)*SQRT(2*9.81*(O2591/100-fi_h/2/1000))*1000))</f>
        <v>68.295962618636821</v>
      </c>
      <c r="Q2591" s="19">
        <f ca="1">IF(O2591="","",IF(Tipo_Vertedor="Retangular",IF(O2591&lt;=cota_s*100,0,IF(Tipo_Vertedor="Retangular",Cd_sr*Lef_sr*((O2591/100-cota_s)^(3/2))*1000)),IF(O2591&lt;=cota_s*100+fi_s/20,0,(OFFSET('Base de dados'!$A$4,IF(O2591&lt;20,1,IF(O2591&gt;1000,10,MATCH(O2591,Cargas,1))),Coluna_fis,1,1))*(PI()*(fi_s/1000)^2/4)*(2*9.81*(O2591/100-cota_s-fi_s/2/1000))^0.5*1000)))</f>
        <v>15635.585420114192</v>
      </c>
      <c r="R2591" s="19">
        <f t="shared" ca="1" si="290"/>
        <v>15703.881382732829</v>
      </c>
      <c r="S2591" s="19">
        <f t="shared" ca="1" si="291"/>
        <v>16513.030816076185</v>
      </c>
    </row>
    <row r="2592" spans="13:19">
      <c r="M2592" s="81">
        <f t="shared" ca="1" si="288"/>
        <v>32234.076828119869</v>
      </c>
      <c r="N2592" s="19">
        <f t="shared" si="289"/>
        <v>495.60602771191697</v>
      </c>
      <c r="O2592" s="17">
        <f t="shared" si="287"/>
        <v>647.75</v>
      </c>
      <c r="P2592" s="19">
        <f ca="1">IF(ISERROR(IF(O2592&lt;fi_h/20,0,(OFFSET('Base de dados'!$A$5,IF(O2592&lt;20,1,IF(O2592&gt;1000,10,MATCH(O2592,Cargas,1))),Coluna_fih,1,1))*(1+0.13*0.25)*(PI()*(fi_h/1000)^2/4)*SQRT(2*9.81*(O2592/100-fi_h/2/1000))*1000)),"",IF(O2592&lt;fi_h/20,0,(OFFSET('Base de dados'!$A$5,IF(O2592&lt;20,1,IF(O2592&gt;1000,10,MATCH(O2592,Cargas,1))),Coluna_fih,1,1))*(PI()*(fi_h/1000)^2/4)*SQRT(2*9.81*(O2592/100-fi_h/2/1000))*1000))</f>
        <v>68.309261724694409</v>
      </c>
      <c r="Q2592" s="19">
        <f ca="1">IF(O2592="","",IF(Tipo_Vertedor="Retangular",IF(O2592&lt;=cota_s*100,0,IF(Tipo_Vertedor="Retangular",Cd_sr*Lef_sr*((O2592/100-cota_s)^(3/2))*1000)),IF(O2592&lt;=cota_s*100+fi_s/20,0,(OFFSET('Base de dados'!$A$4,IF(O2592&lt;20,1,IF(O2592&gt;1000,10,MATCH(O2592,Cargas,1))),Coluna_fis,1,1))*(PI()*(fi_s/1000)^2/4)*(2*9.81*(O2592/100-cota_s-fi_s/2/1000))^0.5*1000)))</f>
        <v>15645.566642664611</v>
      </c>
      <c r="R2592" s="19">
        <f t="shared" ca="1" si="290"/>
        <v>15713.875904389306</v>
      </c>
      <c r="S2592" s="19">
        <f t="shared" ca="1" si="291"/>
        <v>16520.200923730565</v>
      </c>
    </row>
    <row r="2593" spans="13:19">
      <c r="M2593" s="81">
        <f t="shared" ca="1" si="288"/>
        <v>32251.243922573623</v>
      </c>
      <c r="N2593" s="19">
        <f t="shared" si="289"/>
        <v>495.82114128389037</v>
      </c>
      <c r="O2593" s="17">
        <f t="shared" si="287"/>
        <v>648</v>
      </c>
      <c r="P2593" s="19">
        <f ca="1">IF(ISERROR(IF(O2593&lt;fi_h/20,0,(OFFSET('Base de dados'!$A$5,IF(O2593&lt;20,1,IF(O2593&gt;1000,10,MATCH(O2593,Cargas,1))),Coluna_fih,1,1))*(1+0.13*0.25)*(PI()*(fi_h/1000)^2/4)*SQRT(2*9.81*(O2593/100-fi_h/2/1000))*1000)),"",IF(O2593&lt;fi_h/20,0,(OFFSET('Base de dados'!$A$5,IF(O2593&lt;20,1,IF(O2593&gt;1000,10,MATCH(O2593,Cargas,1))),Coluna_fih,1,1))*(PI()*(fi_h/1000)^2/4)*SQRT(2*9.81*(O2593/100-fi_h/2/1000))*1000))</f>
        <v>68.322558242057667</v>
      </c>
      <c r="Q2593" s="19">
        <f ca="1">IF(O2593="","",IF(Tipo_Vertedor="Retangular",IF(O2593&lt;=cota_s*100,0,IF(Tipo_Vertedor="Retangular",Cd_sr*Lef_sr*((O2593/100-cota_s)^(3/2))*1000)),IF(O2593&lt;=cota_s*100+fi_s/20,0,(OFFSET('Base de dados'!$A$4,IF(O2593&lt;20,1,IF(O2593&gt;1000,10,MATCH(O2593,Cargas,1))),Coluna_fis,1,1))*(PI()*(fi_s/1000)^2/4)*(2*9.81*(O2593/100-cota_s-fi_s/2/1000))^0.5*1000)))</f>
        <v>15655.549988201885</v>
      </c>
      <c r="R2593" s="19">
        <f t="shared" ca="1" si="290"/>
        <v>15723.872546443943</v>
      </c>
      <c r="S2593" s="19">
        <f t="shared" ca="1" si="291"/>
        <v>16527.371376129679</v>
      </c>
    </row>
    <row r="2594" spans="13:19">
      <c r="M2594" s="81">
        <f t="shared" ca="1" si="288"/>
        <v>32268.413481603977</v>
      </c>
      <c r="N2594" s="19">
        <f t="shared" si="289"/>
        <v>496.03626519471237</v>
      </c>
      <c r="O2594" s="17">
        <f t="shared" si="287"/>
        <v>648.25</v>
      </c>
      <c r="P2594" s="19">
        <f ca="1">IF(ISERROR(IF(O2594&lt;fi_h/20,0,(OFFSET('Base de dados'!$A$5,IF(O2594&lt;20,1,IF(O2594&gt;1000,10,MATCH(O2594,Cargas,1))),Coluna_fih,1,1))*(1+0.13*0.25)*(PI()*(fi_h/1000)^2/4)*SQRT(2*9.81*(O2594/100-fi_h/2/1000))*1000)),"",IF(O2594&lt;fi_h/20,0,(OFFSET('Base de dados'!$A$5,IF(O2594&lt;20,1,IF(O2594&gt;1000,10,MATCH(O2594,Cargas,1))),Coluna_fih,1,1))*(PI()*(fi_h/1000)^2/4)*SQRT(2*9.81*(O2594/100-fi_h/2/1000))*1000))</f>
        <v>68.335852172237708</v>
      </c>
      <c r="Q2594" s="19">
        <f ca="1">IF(O2594="","",IF(Tipo_Vertedor="Retangular",IF(O2594&lt;=cota_s*100,0,IF(Tipo_Vertedor="Retangular",Cd_sr*Lef_sr*((O2594/100-cota_s)^(3/2))*1000)),IF(O2594&lt;=cota_s*100+fi_s/20,0,(OFFSET('Base de dados'!$A$4,IF(O2594&lt;20,1,IF(O2594&gt;1000,10,MATCH(O2594,Cargas,1))),Coluna_fis,1,1))*(PI()*(fi_s/1000)^2/4)*(2*9.81*(O2594/100-cota_s-fi_s/2/1000))^0.5*1000)))</f>
        <v>15665.53545627466</v>
      </c>
      <c r="R2594" s="19">
        <f t="shared" ca="1" si="290"/>
        <v>15733.871308446898</v>
      </c>
      <c r="S2594" s="19">
        <f t="shared" ca="1" si="291"/>
        <v>16534.542173157079</v>
      </c>
    </row>
    <row r="2595" spans="13:19">
      <c r="M2595" s="81">
        <f t="shared" ca="1" si="288"/>
        <v>32285.585504645034</v>
      </c>
      <c r="N2595" s="19">
        <f t="shared" si="289"/>
        <v>496.25139944089261</v>
      </c>
      <c r="O2595" s="17">
        <f t="shared" si="287"/>
        <v>648.5</v>
      </c>
      <c r="P2595" s="19">
        <f ca="1">IF(ISERROR(IF(O2595&lt;fi_h/20,0,(OFFSET('Base de dados'!$A$5,IF(O2595&lt;20,1,IF(O2595&gt;1000,10,MATCH(O2595,Cargas,1))),Coluna_fih,1,1))*(1+0.13*0.25)*(PI()*(fi_h/1000)^2/4)*SQRT(2*9.81*(O2595/100-fi_h/2/1000))*1000)),"",IF(O2595&lt;fi_h/20,0,(OFFSET('Base de dados'!$A$5,IF(O2595&lt;20,1,IF(O2595&gt;1000,10,MATCH(O2595,Cargas,1))),Coluna_fih,1,1))*(PI()*(fi_h/1000)^2/4)*SQRT(2*9.81*(O2595/100-fi_h/2/1000))*1000))</f>
        <v>68.349143516744135</v>
      </c>
      <c r="Q2595" s="19">
        <f ca="1">IF(O2595="","",IF(Tipo_Vertedor="Retangular",IF(O2595&lt;=cota_s*100,0,IF(Tipo_Vertedor="Retangular",Cd_sr*Lef_sr*((O2595/100-cota_s)^(3/2))*1000)),IF(O2595&lt;=cota_s*100+fi_s/20,0,(OFFSET('Base de dados'!$A$4,IF(O2595&lt;20,1,IF(O2595&gt;1000,10,MATCH(O2595,Cargas,1))),Coluna_fis,1,1))*(PI()*(fi_s/1000)^2/4)*(2*9.81*(O2595/100-cota_s-fi_s/2/1000))^0.5*1000)))</f>
        <v>15675.523046431868</v>
      </c>
      <c r="R2595" s="19">
        <f t="shared" ca="1" si="290"/>
        <v>15743.872189948612</v>
      </c>
      <c r="S2595" s="19">
        <f t="shared" ca="1" si="291"/>
        <v>16541.713314696422</v>
      </c>
    </row>
    <row r="2596" spans="13:19">
      <c r="M2596" s="81">
        <f t="shared" ca="1" si="288"/>
        <v>32302.759991131221</v>
      </c>
      <c r="N2596" s="19">
        <f t="shared" si="289"/>
        <v>496.46654401894295</v>
      </c>
      <c r="O2596" s="17">
        <f t="shared" si="287"/>
        <v>648.75</v>
      </c>
      <c r="P2596" s="19">
        <f ca="1">IF(ISERROR(IF(O2596&lt;fi_h/20,0,(OFFSET('Base de dados'!$A$5,IF(O2596&lt;20,1,IF(O2596&gt;1000,10,MATCH(O2596,Cargas,1))),Coluna_fih,1,1))*(1+0.13*0.25)*(PI()*(fi_h/1000)^2/4)*SQRT(2*9.81*(O2596/100-fi_h/2/1000))*1000)),"",IF(O2596&lt;fi_h/20,0,(OFFSET('Base de dados'!$A$5,IF(O2596&lt;20,1,IF(O2596&gt;1000,10,MATCH(O2596,Cargas,1))),Coluna_fih,1,1))*(PI()*(fi_h/1000)^2/4)*SQRT(2*9.81*(O2596/100-fi_h/2/1000))*1000))</f>
        <v>68.362432277085119</v>
      </c>
      <c r="Q2596" s="19">
        <f ca="1">IF(O2596="","",IF(Tipo_Vertedor="Retangular",IF(O2596&lt;=cota_s*100,0,IF(Tipo_Vertedor="Retangular",Cd_sr*Lef_sr*((O2596/100-cota_s)^(3/2))*1000)),IF(O2596&lt;=cota_s*100+fi_s/20,0,(OFFSET('Base de dados'!$A$4,IF(O2596&lt;20,1,IF(O2596&gt;1000,10,MATCH(O2596,Cargas,1))),Coluna_fis,1,1))*(PI()*(fi_s/1000)^2/4)*(2*9.81*(O2596/100-cota_s-fi_s/2/1000))^0.5*1000)))</f>
        <v>15685.512758222705</v>
      </c>
      <c r="R2596" s="19">
        <f t="shared" ca="1" si="290"/>
        <v>15753.87519049979</v>
      </c>
      <c r="S2596" s="19">
        <f t="shared" ca="1" si="291"/>
        <v>16548.884800631433</v>
      </c>
    </row>
    <row r="2597" spans="13:19">
      <c r="M2597" s="81">
        <f t="shared" ca="1" si="288"/>
        <v>32319.936940497373</v>
      </c>
      <c r="N2597" s="19">
        <f t="shared" si="289"/>
        <v>496.68169892537787</v>
      </c>
      <c r="O2597" s="17">
        <f t="shared" si="287"/>
        <v>649</v>
      </c>
      <c r="P2597" s="19">
        <f ca="1">IF(ISERROR(IF(O2597&lt;fi_h/20,0,(OFFSET('Base de dados'!$A$5,IF(O2597&lt;20,1,IF(O2597&gt;1000,10,MATCH(O2597,Cargas,1))),Coluna_fih,1,1))*(1+0.13*0.25)*(PI()*(fi_h/1000)^2/4)*SQRT(2*9.81*(O2597/100-fi_h/2/1000))*1000)),"",IF(O2597&lt;fi_h/20,0,(OFFSET('Base de dados'!$A$5,IF(O2597&lt;20,1,IF(O2597&gt;1000,10,MATCH(O2597,Cargas,1))),Coluna_fih,1,1))*(PI()*(fi_h/1000)^2/4)*SQRT(2*9.81*(O2597/100-fi_h/2/1000))*1000))</f>
        <v>68.375718454767352</v>
      </c>
      <c r="Q2597" s="19">
        <f ca="1">IF(O2597="","",IF(Tipo_Vertedor="Retangular",IF(O2597&lt;=cota_s*100,0,IF(Tipo_Vertedor="Retangular",Cd_sr*Lef_sr*((O2597/100-cota_s)^(3/2))*1000)),IF(O2597&lt;=cota_s*100+fi_s/20,0,(OFFSET('Base de dados'!$A$4,IF(O2597&lt;20,1,IF(O2597&gt;1000,10,MATCH(O2597,Cargas,1))),Coluna_fis,1,1))*(PI()*(fi_s/1000)^2/4)*(2*9.81*(O2597/100-cota_s-fi_s/2/1000))^0.5*1000)))</f>
        <v>15695.504591196679</v>
      </c>
      <c r="R2597" s="19">
        <f t="shared" ca="1" si="290"/>
        <v>15763.880309651446</v>
      </c>
      <c r="S2597" s="19">
        <f t="shared" ca="1" si="291"/>
        <v>16556.056630845927</v>
      </c>
    </row>
    <row r="2598" spans="13:19">
      <c r="M2598" s="81">
        <f t="shared" ca="1" si="288"/>
        <v>32337.11635217868</v>
      </c>
      <c r="N2598" s="19">
        <f t="shared" si="289"/>
        <v>496.89686415671423</v>
      </c>
      <c r="O2598" s="17">
        <f t="shared" si="287"/>
        <v>649.25</v>
      </c>
      <c r="P2598" s="19">
        <f ca="1">IF(ISERROR(IF(O2598&lt;fi_h/20,0,(OFFSET('Base de dados'!$A$5,IF(O2598&lt;20,1,IF(O2598&gt;1000,10,MATCH(O2598,Cargas,1))),Coluna_fih,1,1))*(1+0.13*0.25)*(PI()*(fi_h/1000)^2/4)*SQRT(2*9.81*(O2598/100-fi_h/2/1000))*1000)),"",IF(O2598&lt;fi_h/20,0,(OFFSET('Base de dados'!$A$5,IF(O2598&lt;20,1,IF(O2598&gt;1000,10,MATCH(O2598,Cargas,1))),Coluna_fih,1,1))*(PI()*(fi_h/1000)^2/4)*SQRT(2*9.81*(O2598/100-fi_h/2/1000))*1000))</f>
        <v>68.389002051296046</v>
      </c>
      <c r="Q2598" s="19">
        <f ca="1">IF(O2598="","",IF(Tipo_Vertedor="Retangular",IF(O2598&lt;=cota_s*100,0,IF(Tipo_Vertedor="Retangular",Cd_sr*Lef_sr*((O2598/100-cota_s)^(3/2))*1000)),IF(O2598&lt;=cota_s*100+fi_s/20,0,(OFFSET('Base de dados'!$A$4,IF(O2598&lt;20,1,IF(O2598&gt;1000,10,MATCH(O2598,Cargas,1))),Coluna_fis,1,1))*(PI()*(fi_s/1000)^2/4)*(2*9.81*(O2598/100-cota_s-fi_s/2/1000))^0.5*1000)))</f>
        <v>15705.498544903578</v>
      </c>
      <c r="R2598" s="19">
        <f t="shared" ca="1" si="290"/>
        <v>15773.887546954873</v>
      </c>
      <c r="S2598" s="19">
        <f t="shared" ca="1" si="291"/>
        <v>16563.228805223807</v>
      </c>
    </row>
    <row r="2599" spans="13:19">
      <c r="M2599" s="81">
        <f t="shared" ca="1" si="288"/>
        <v>32354.298225610713</v>
      </c>
      <c r="N2599" s="19">
        <f t="shared" si="289"/>
        <v>497.11203970947179</v>
      </c>
      <c r="O2599" s="17">
        <f t="shared" si="287"/>
        <v>649.5</v>
      </c>
      <c r="P2599" s="19">
        <f ca="1">IF(ISERROR(IF(O2599&lt;fi_h/20,0,(OFFSET('Base de dados'!$A$5,IF(O2599&lt;20,1,IF(O2599&gt;1000,10,MATCH(O2599,Cargas,1))),Coluna_fih,1,1))*(1+0.13*0.25)*(PI()*(fi_h/1000)^2/4)*SQRT(2*9.81*(O2599/100-fi_h/2/1000))*1000)),"",IF(O2599&lt;fi_h/20,0,(OFFSET('Base de dados'!$A$5,IF(O2599&lt;20,1,IF(O2599&gt;1000,10,MATCH(O2599,Cargas,1))),Coluna_fih,1,1))*(PI()*(fi_h/1000)^2/4)*SQRT(2*9.81*(O2599/100-fi_h/2/1000))*1000))</f>
        <v>68.402283068174967</v>
      </c>
      <c r="Q2599" s="19">
        <f ca="1">IF(O2599="","",IF(Tipo_Vertedor="Retangular",IF(O2599&lt;=cota_s*100,0,IF(Tipo_Vertedor="Retangular",Cd_sr*Lef_sr*((O2599/100-cota_s)^(3/2))*1000)),IF(O2599&lt;=cota_s*100+fi_s/20,0,(OFFSET('Base de dados'!$A$4,IF(O2599&lt;20,1,IF(O2599&gt;1000,10,MATCH(O2599,Cargas,1))),Coluna_fis,1,1))*(PI()*(fi_s/1000)^2/4)*(2*9.81*(O2599/100-cota_s-fi_s/2/1000))^0.5*1000)))</f>
        <v>15715.494618893475</v>
      </c>
      <c r="R2599" s="19">
        <f t="shared" ca="1" si="290"/>
        <v>15783.896901961651</v>
      </c>
      <c r="S2599" s="19">
        <f t="shared" ca="1" si="291"/>
        <v>16570.401323649061</v>
      </c>
    </row>
    <row r="2600" spans="13:19">
      <c r="M2600" s="81">
        <f t="shared" ca="1" si="288"/>
        <v>32371.482560229357</v>
      </c>
      <c r="N2600" s="19">
        <f t="shared" si="289"/>
        <v>497.32722558017213</v>
      </c>
      <c r="O2600" s="17">
        <f t="shared" si="287"/>
        <v>649.75</v>
      </c>
      <c r="P2600" s="19">
        <f ca="1">IF(ISERROR(IF(O2600&lt;fi_h/20,0,(OFFSET('Base de dados'!$A$5,IF(O2600&lt;20,1,IF(O2600&gt;1000,10,MATCH(O2600,Cargas,1))),Coluna_fih,1,1))*(1+0.13*0.25)*(PI()*(fi_h/1000)^2/4)*SQRT(2*9.81*(O2600/100-fi_h/2/1000))*1000)),"",IF(O2600&lt;fi_h/20,0,(OFFSET('Base de dados'!$A$5,IF(O2600&lt;20,1,IF(O2600&gt;1000,10,MATCH(O2600,Cargas,1))),Coluna_fih,1,1))*(PI()*(fi_h/1000)^2/4)*SQRT(2*9.81*(O2600/100-fi_h/2/1000))*1000))</f>
        <v>68.415561506906428</v>
      </c>
      <c r="Q2600" s="19">
        <f ca="1">IF(O2600="","",IF(Tipo_Vertedor="Retangular",IF(O2600&lt;=cota_s*100,0,IF(Tipo_Vertedor="Retangular",Cd_sr*Lef_sr*((O2600/100-cota_s)^(3/2))*1000)),IF(O2600&lt;=cota_s*100+fi_s/20,0,(OFFSET('Base de dados'!$A$4,IF(O2600&lt;20,1,IF(O2600&gt;1000,10,MATCH(O2600,Cargas,1))),Coluna_fis,1,1))*(PI()*(fi_s/1000)^2/4)*(2*9.81*(O2600/100-cota_s-fi_s/2/1000))^0.5*1000)))</f>
        <v>15725.492812716711</v>
      </c>
      <c r="R2600" s="19">
        <f t="shared" ca="1" si="290"/>
        <v>15793.908374223618</v>
      </c>
      <c r="S2600" s="19">
        <f t="shared" ca="1" si="291"/>
        <v>16577.574186005739</v>
      </c>
    </row>
    <row r="2601" spans="13:19">
      <c r="M2601" s="81">
        <f t="shared" ca="1" si="288"/>
        <v>32388.669355470956</v>
      </c>
      <c r="N2601" s="19">
        <f t="shared" si="289"/>
        <v>497.54242176534024</v>
      </c>
      <c r="O2601" s="17">
        <f t="shared" si="287"/>
        <v>650</v>
      </c>
      <c r="P2601" s="19">
        <f ca="1">IF(ISERROR(IF(O2601&lt;fi_h/20,0,(OFFSET('Base de dados'!$A$5,IF(O2601&lt;20,1,IF(O2601&gt;1000,10,MATCH(O2601,Cargas,1))),Coluna_fih,1,1))*(1+0.13*0.25)*(PI()*(fi_h/1000)^2/4)*SQRT(2*9.81*(O2601/100-fi_h/2/1000))*1000)),"",IF(O2601&lt;fi_h/20,0,(OFFSET('Base de dados'!$A$5,IF(O2601&lt;20,1,IF(O2601&gt;1000,10,MATCH(O2601,Cargas,1))),Coluna_fih,1,1))*(PI()*(fi_h/1000)^2/4)*SQRT(2*9.81*(O2601/100-fi_h/2/1000))*1000))</f>
        <v>68.428837368991296</v>
      </c>
      <c r="Q2601" s="19">
        <f ca="1">IF(O2601="","",IF(Tipo_Vertedor="Retangular",IF(O2601&lt;=cota_s*100,0,IF(Tipo_Vertedor="Retangular",Cd_sr*Lef_sr*((O2601/100-cota_s)^(3/2))*1000)),IF(O2601&lt;=cota_s*100+fi_s/20,0,(OFFSET('Base de dados'!$A$4,IF(O2601&lt;20,1,IF(O2601&gt;1000,10,MATCH(O2601,Cargas,1))),Coluna_fis,1,1))*(PI()*(fi_s/1000)^2/4)*(2*9.81*(O2601/100-cota_s-fi_s/2/1000))^0.5*1000)))</f>
        <v>15735.493125923957</v>
      </c>
      <c r="R2601" s="19">
        <f t="shared" ca="1" si="290"/>
        <v>15803.921963292947</v>
      </c>
      <c r="S2601" s="19">
        <f t="shared" ca="1" si="291"/>
        <v>16584.747392178007</v>
      </c>
    </row>
    <row r="2602" spans="13:19">
      <c r="M2602" s="81">
        <f t="shared" ca="1" si="288"/>
        <v>32405.858610772142</v>
      </c>
      <c r="N2602" s="19">
        <f t="shared" si="289"/>
        <v>497.75762826150276</v>
      </c>
      <c r="O2602" s="17">
        <f t="shared" si="287"/>
        <v>650.25</v>
      </c>
      <c r="P2602" s="19">
        <f ca="1">IF(ISERROR(IF(O2602&lt;fi_h/20,0,(OFFSET('Base de dados'!$A$5,IF(O2602&lt;20,1,IF(O2602&gt;1000,10,MATCH(O2602,Cargas,1))),Coluna_fih,1,1))*(1+0.13*0.25)*(PI()*(fi_h/1000)^2/4)*SQRT(2*9.81*(O2602/100-fi_h/2/1000))*1000)),"",IF(O2602&lt;fi_h/20,0,(OFFSET('Base de dados'!$A$5,IF(O2602&lt;20,1,IF(O2602&gt;1000,10,MATCH(O2602,Cargas,1))),Coluna_fih,1,1))*(PI()*(fi_h/1000)^2/4)*SQRT(2*9.81*(O2602/100-fi_h/2/1000))*1000))</f>
        <v>68.442110655928957</v>
      </c>
      <c r="Q2602" s="19">
        <f ca="1">IF(O2602="","",IF(Tipo_Vertedor="Retangular",IF(O2602&lt;=cota_s*100,0,IF(Tipo_Vertedor="Retangular",Cd_sr*Lef_sr*((O2602/100-cota_s)^(3/2))*1000)),IF(O2602&lt;=cota_s*100+fi_s/20,0,(OFFSET('Base de dados'!$A$4,IF(O2602&lt;20,1,IF(O2602&gt;1000,10,MATCH(O2602,Cargas,1))),Coluna_fis,1,1))*(PI()*(fi_s/1000)^2/4)*(2*9.81*(O2602/100-cota_s-fi_s/2/1000))^0.5*1000)))</f>
        <v>15745.495558066123</v>
      </c>
      <c r="R2602" s="19">
        <f t="shared" ca="1" si="290"/>
        <v>15813.937668722052</v>
      </c>
      <c r="S2602" s="19">
        <f t="shared" ca="1" si="291"/>
        <v>16591.920942050092</v>
      </c>
    </row>
    <row r="2603" spans="13:19">
      <c r="M2603" s="81">
        <f t="shared" ca="1" si="288"/>
        <v>32423.050325569966</v>
      </c>
      <c r="N2603" s="19">
        <f t="shared" si="289"/>
        <v>497.97284506518935</v>
      </c>
      <c r="O2603" s="17">
        <f t="shared" si="287"/>
        <v>650.5</v>
      </c>
      <c r="P2603" s="19">
        <f ca="1">IF(ISERROR(IF(O2603&lt;fi_h/20,0,(OFFSET('Base de dados'!$A$5,IF(O2603&lt;20,1,IF(O2603&gt;1000,10,MATCH(O2603,Cargas,1))),Coluna_fih,1,1))*(1+0.13*0.25)*(PI()*(fi_h/1000)^2/4)*SQRT(2*9.81*(O2603/100-fi_h/2/1000))*1000)),"",IF(O2603&lt;fi_h/20,0,(OFFSET('Base de dados'!$A$5,IF(O2603&lt;20,1,IF(O2603&gt;1000,10,MATCH(O2603,Cargas,1))),Coluna_fih,1,1))*(PI()*(fi_h/1000)^2/4)*SQRT(2*9.81*(O2603/100-fi_h/2/1000))*1000))</f>
        <v>68.455381369217307</v>
      </c>
      <c r="Q2603" s="19">
        <f ca="1">IF(O2603="","",IF(Tipo_Vertedor="Retangular",IF(O2603&lt;=cota_s*100,0,IF(Tipo_Vertedor="Retangular",Cd_sr*Lef_sr*((O2603/100-cota_s)^(3/2))*1000)),IF(O2603&lt;=cota_s*100+fi_s/20,0,(OFFSET('Base de dados'!$A$4,IF(O2603&lt;20,1,IF(O2603&gt;1000,10,MATCH(O2603,Cargas,1))),Coluna_fis,1,1))*(PI()*(fi_s/1000)^2/4)*(2*9.81*(O2603/100-cota_s-fi_s/2/1000))^0.5*1000)))</f>
        <v>15755.500108694439</v>
      </c>
      <c r="R2603" s="19">
        <f t="shared" ca="1" si="290"/>
        <v>15823.955490063656</v>
      </c>
      <c r="S2603" s="19">
        <f t="shared" ca="1" si="291"/>
        <v>16599.094835506312</v>
      </c>
    </row>
    <row r="2604" spans="13:19">
      <c r="M2604" s="81">
        <f t="shared" ca="1" si="288"/>
        <v>32440.244499301822</v>
      </c>
      <c r="N2604" s="19">
        <f t="shared" si="289"/>
        <v>498.18807217293198</v>
      </c>
      <c r="O2604" s="17">
        <f t="shared" si="287"/>
        <v>650.75</v>
      </c>
      <c r="P2604" s="19">
        <f ca="1">IF(ISERROR(IF(O2604&lt;fi_h/20,0,(OFFSET('Base de dados'!$A$5,IF(O2604&lt;20,1,IF(O2604&gt;1000,10,MATCH(O2604,Cargas,1))),Coluna_fih,1,1))*(1+0.13*0.25)*(PI()*(fi_h/1000)^2/4)*SQRT(2*9.81*(O2604/100-fi_h/2/1000))*1000)),"",IF(O2604&lt;fi_h/20,0,(OFFSET('Base de dados'!$A$5,IF(O2604&lt;20,1,IF(O2604&gt;1000,10,MATCH(O2604,Cargas,1))),Coluna_fih,1,1))*(PI()*(fi_h/1000)^2/4)*SQRT(2*9.81*(O2604/100-fi_h/2/1000))*1000))</f>
        <v>68.46864951035289</v>
      </c>
      <c r="Q2604" s="19">
        <f ca="1">IF(O2604="","",IF(Tipo_Vertedor="Retangular",IF(O2604&lt;=cota_s*100,0,IF(Tipo_Vertedor="Retangular",Cd_sr*Lef_sr*((O2604/100-cota_s)^(3/2))*1000)),IF(O2604&lt;=cota_s*100+fi_s/20,0,(OFFSET('Base de dados'!$A$4,IF(O2604&lt;20,1,IF(O2604&gt;1000,10,MATCH(O2604,Cargas,1))),Coluna_fis,1,1))*(PI()*(fi_s/1000)^2/4)*(2*9.81*(O2604/100-cota_s-fi_s/2/1000))^0.5*1000)))</f>
        <v>15765.506777360404</v>
      </c>
      <c r="R2604" s="19">
        <f t="shared" ca="1" si="290"/>
        <v>15833.975426870757</v>
      </c>
      <c r="S2604" s="19">
        <f t="shared" ca="1" si="291"/>
        <v>16606.269072431067</v>
      </c>
    </row>
    <row r="2605" spans="13:19">
      <c r="M2605" s="81">
        <f t="shared" ca="1" si="288"/>
        <v>32457.44113140546</v>
      </c>
      <c r="N2605" s="19">
        <f t="shared" si="289"/>
        <v>498.40330958126515</v>
      </c>
      <c r="O2605" s="17">
        <f t="shared" si="287"/>
        <v>651</v>
      </c>
      <c r="P2605" s="19">
        <f ca="1">IF(ISERROR(IF(O2605&lt;fi_h/20,0,(OFFSET('Base de dados'!$A$5,IF(O2605&lt;20,1,IF(O2605&gt;1000,10,MATCH(O2605,Cargas,1))),Coluna_fih,1,1))*(1+0.13*0.25)*(PI()*(fi_h/1000)^2/4)*SQRT(2*9.81*(O2605/100-fi_h/2/1000))*1000)),"",IF(O2605&lt;fi_h/20,0,(OFFSET('Base de dados'!$A$5,IF(O2605&lt;20,1,IF(O2605&gt;1000,10,MATCH(O2605,Cargas,1))),Coluna_fih,1,1))*(PI()*(fi_h/1000)^2/4)*SQRT(2*9.81*(O2605/100-fi_h/2/1000))*1000))</f>
        <v>68.481915080830703</v>
      </c>
      <c r="Q2605" s="19">
        <f ca="1">IF(O2605="","",IF(Tipo_Vertedor="Retangular",IF(O2605&lt;=cota_s*100,0,IF(Tipo_Vertedor="Retangular",Cd_sr*Lef_sr*((O2605/100-cota_s)^(3/2))*1000)),IF(O2605&lt;=cota_s*100+fi_s/20,0,(OFFSET('Base de dados'!$A$4,IF(O2605&lt;20,1,IF(O2605&gt;1000,10,MATCH(O2605,Cargas,1))),Coluna_fis,1,1))*(PI()*(fi_s/1000)^2/4)*(2*9.81*(O2605/100-cota_s-fi_s/2/1000))^0.5*1000)))</f>
        <v>15775.515563615794</v>
      </c>
      <c r="R2605" s="19">
        <f t="shared" ca="1" si="290"/>
        <v>15843.997478696625</v>
      </c>
      <c r="S2605" s="19">
        <f t="shared" ca="1" si="291"/>
        <v>16613.443652708836</v>
      </c>
    </row>
    <row r="2606" spans="13:19">
      <c r="M2606" s="81">
        <f t="shared" ca="1" si="288"/>
        <v>32474.640221319023</v>
      </c>
      <c r="N2606" s="19">
        <f t="shared" si="289"/>
        <v>498.61855728672583</v>
      </c>
      <c r="O2606" s="17">
        <f t="shared" si="287"/>
        <v>651.25</v>
      </c>
      <c r="P2606" s="19">
        <f ca="1">IF(ISERROR(IF(O2606&lt;fi_h/20,0,(OFFSET('Base de dados'!$A$5,IF(O2606&lt;20,1,IF(O2606&gt;1000,10,MATCH(O2606,Cargas,1))),Coluna_fih,1,1))*(1+0.13*0.25)*(PI()*(fi_h/1000)^2/4)*SQRT(2*9.81*(O2606/100-fi_h/2/1000))*1000)),"",IF(O2606&lt;fi_h/20,0,(OFFSET('Base de dados'!$A$5,IF(O2606&lt;20,1,IF(O2606&gt;1000,10,MATCH(O2606,Cargas,1))),Coluna_fih,1,1))*(PI()*(fi_h/1000)^2/4)*SQRT(2*9.81*(O2606/100-fi_h/2/1000))*1000))</f>
        <v>68.495178082144363</v>
      </c>
      <c r="Q2606" s="19">
        <f ca="1">IF(O2606="","",IF(Tipo_Vertedor="Retangular",IF(O2606&lt;=cota_s*100,0,IF(Tipo_Vertedor="Retangular",Cd_sr*Lef_sr*((O2606/100-cota_s)^(3/2))*1000)),IF(O2606&lt;=cota_s*100+fi_s/20,0,(OFFSET('Base de dados'!$A$4,IF(O2606&lt;20,1,IF(O2606&gt;1000,10,MATCH(O2606,Cargas,1))),Coluna_fis,1,1))*(PI()*(fi_s/1000)^2/4)*(2*9.81*(O2606/100-cota_s-fi_s/2/1000))^0.5*1000)))</f>
        <v>15785.526467012682</v>
      </c>
      <c r="R2606" s="19">
        <f t="shared" ca="1" si="290"/>
        <v>15854.021645094826</v>
      </c>
      <c r="S2606" s="19">
        <f t="shared" ca="1" si="291"/>
        <v>16620.618576224195</v>
      </c>
    </row>
    <row r="2607" spans="13:19">
      <c r="M2607" s="81">
        <f t="shared" ca="1" si="288"/>
        <v>32491.841768481005</v>
      </c>
      <c r="N2607" s="19">
        <f t="shared" si="289"/>
        <v>498.83381528585386</v>
      </c>
      <c r="O2607" s="17">
        <f t="shared" si="287"/>
        <v>651.5</v>
      </c>
      <c r="P2607" s="19">
        <f ca="1">IF(ISERROR(IF(O2607&lt;fi_h/20,0,(OFFSET('Base de dados'!$A$5,IF(O2607&lt;20,1,IF(O2607&gt;1000,10,MATCH(O2607,Cargas,1))),Coluna_fih,1,1))*(1+0.13*0.25)*(PI()*(fi_h/1000)^2/4)*SQRT(2*9.81*(O2607/100-fi_h/2/1000))*1000)),"",IF(O2607&lt;fi_h/20,0,(OFFSET('Base de dados'!$A$5,IF(O2607&lt;20,1,IF(O2607&gt;1000,10,MATCH(O2607,Cargas,1))),Coluna_fih,1,1))*(PI()*(fi_h/1000)^2/4)*SQRT(2*9.81*(O2607/100-fi_h/2/1000))*1000))</f>
        <v>68.508438515786011</v>
      </c>
      <c r="Q2607" s="19">
        <f ca="1">IF(O2607="","",IF(Tipo_Vertedor="Retangular",IF(O2607&lt;=cota_s*100,0,IF(Tipo_Vertedor="Retangular",Cd_sr*Lef_sr*((O2607/100-cota_s)^(3/2))*1000)),IF(O2607&lt;=cota_s*100+fi_s/20,0,(OFFSET('Base de dados'!$A$4,IF(O2607&lt;20,1,IF(O2607&gt;1000,10,MATCH(O2607,Cargas,1))),Coluna_fis,1,1))*(PI()*(fi_s/1000)^2/4)*(2*9.81*(O2607/100-cota_s-fi_s/2/1000))^0.5*1000)))</f>
        <v>15795.539487103422</v>
      </c>
      <c r="R2607" s="19">
        <f t="shared" ca="1" si="290"/>
        <v>15864.047925619208</v>
      </c>
      <c r="S2607" s="19">
        <f t="shared" ca="1" si="291"/>
        <v>16627.793842861796</v>
      </c>
    </row>
    <row r="2608" spans="13:19">
      <c r="M2608" s="81">
        <f t="shared" ca="1" si="288"/>
        <v>32509.045772330261</v>
      </c>
      <c r="N2608" s="19">
        <f t="shared" si="289"/>
        <v>499.04908357519076</v>
      </c>
      <c r="O2608" s="17">
        <f t="shared" si="287"/>
        <v>651.75</v>
      </c>
      <c r="P2608" s="19">
        <f ca="1">IF(ISERROR(IF(O2608&lt;fi_h/20,0,(OFFSET('Base de dados'!$A$5,IF(O2608&lt;20,1,IF(O2608&gt;1000,10,MATCH(O2608,Cargas,1))),Coluna_fih,1,1))*(1+0.13*0.25)*(PI()*(fi_h/1000)^2/4)*SQRT(2*9.81*(O2608/100-fi_h/2/1000))*1000)),"",IF(O2608&lt;fi_h/20,0,(OFFSET('Base de dados'!$A$5,IF(O2608&lt;20,1,IF(O2608&gt;1000,10,MATCH(O2608,Cargas,1))),Coluna_fih,1,1))*(PI()*(fi_h/1000)^2/4)*SQRT(2*9.81*(O2608/100-fi_h/2/1000))*1000))</f>
        <v>68.521696383246351</v>
      </c>
      <c r="Q2608" s="19">
        <f ca="1">IF(O2608="","",IF(Tipo_Vertedor="Retangular",IF(O2608&lt;=cota_s*100,0,IF(Tipo_Vertedor="Retangular",Cd_sr*Lef_sr*((O2608/100-cota_s)^(3/2))*1000)),IF(O2608&lt;=cota_s*100+fi_s/20,0,(OFFSET('Base de dados'!$A$4,IF(O2608&lt;20,1,IF(O2608&gt;1000,10,MATCH(O2608,Cargas,1))),Coluna_fis,1,1))*(PI()*(fi_s/1000)^2/4)*(2*9.81*(O2608/100-cota_s-fi_s/2/1000))^0.5*1000)))</f>
        <v>15805.554623440659</v>
      </c>
      <c r="R2608" s="19">
        <f t="shared" ca="1" si="290"/>
        <v>15874.076319823906</v>
      </c>
      <c r="S2608" s="19">
        <f t="shared" ca="1" si="291"/>
        <v>16634.969452506357</v>
      </c>
    </row>
    <row r="2609" spans="13:19">
      <c r="M2609" s="81">
        <f t="shared" ca="1" si="288"/>
        <v>32526.25223230604</v>
      </c>
      <c r="N2609" s="19">
        <f t="shared" si="289"/>
        <v>499.26436215128138</v>
      </c>
      <c r="O2609" s="17">
        <f t="shared" si="287"/>
        <v>652</v>
      </c>
      <c r="P2609" s="19">
        <f ca="1">IF(ISERROR(IF(O2609&lt;fi_h/20,0,(OFFSET('Base de dados'!$A$5,IF(O2609&lt;20,1,IF(O2609&gt;1000,10,MATCH(O2609,Cargas,1))),Coluna_fih,1,1))*(1+0.13*0.25)*(PI()*(fi_h/1000)^2/4)*SQRT(2*9.81*(O2609/100-fi_h/2/1000))*1000)),"",IF(O2609&lt;fi_h/20,0,(OFFSET('Base de dados'!$A$5,IF(O2609&lt;20,1,IF(O2609&gt;1000,10,MATCH(O2609,Cargas,1))),Coluna_fih,1,1))*(PI()*(fi_h/1000)^2/4)*SQRT(2*9.81*(O2609/100-fi_h/2/1000))*1000))</f>
        <v>68.534951686014622</v>
      </c>
      <c r="Q2609" s="19">
        <f ca="1">IF(O2609="","",IF(Tipo_Vertedor="Retangular",IF(O2609&lt;=cota_s*100,0,IF(Tipo_Vertedor="Retangular",Cd_sr*Lef_sr*((O2609/100-cota_s)^(3/2))*1000)),IF(O2609&lt;=cota_s*100+fi_s/20,0,(OFFSET('Base de dados'!$A$4,IF(O2609&lt;20,1,IF(O2609&gt;1000,10,MATCH(O2609,Cargas,1))),Coluna_fis,1,1))*(PI()*(fi_s/1000)^2/4)*(2*9.81*(O2609/100-cota_s-fi_s/2/1000))^0.5*1000)))</f>
        <v>15815.57187557731</v>
      </c>
      <c r="R2609" s="19">
        <f t="shared" ca="1" si="290"/>
        <v>15884.106827263326</v>
      </c>
      <c r="S2609" s="19">
        <f t="shared" ca="1" si="291"/>
        <v>16642.145405042713</v>
      </c>
    </row>
    <row r="2610" spans="13:19">
      <c r="M2610" s="81">
        <f t="shared" ca="1" si="288"/>
        <v>32543.461147847913</v>
      </c>
      <c r="N2610" s="19">
        <f t="shared" si="289"/>
        <v>499.47965101067257</v>
      </c>
      <c r="O2610" s="17">
        <f t="shared" si="287"/>
        <v>652.25</v>
      </c>
      <c r="P2610" s="19">
        <f ca="1">IF(ISERROR(IF(O2610&lt;fi_h/20,0,(OFFSET('Base de dados'!$A$5,IF(O2610&lt;20,1,IF(O2610&gt;1000,10,MATCH(O2610,Cargas,1))),Coluna_fih,1,1))*(1+0.13*0.25)*(PI()*(fi_h/1000)^2/4)*SQRT(2*9.81*(O2610/100-fi_h/2/1000))*1000)),"",IF(O2610&lt;fi_h/20,0,(OFFSET('Base de dados'!$A$5,IF(O2610&lt;20,1,IF(O2610&gt;1000,10,MATCH(O2610,Cargas,1))),Coluna_fih,1,1))*(PI()*(fi_h/1000)^2/4)*SQRT(2*9.81*(O2610/100-fi_h/2/1000))*1000))</f>
        <v>68.548204425578646</v>
      </c>
      <c r="Q2610" s="19">
        <f ca="1">IF(O2610="","",IF(Tipo_Vertedor="Retangular",IF(O2610&lt;=cota_s*100,0,IF(Tipo_Vertedor="Retangular",Cd_sr*Lef_sr*((O2610/100-cota_s)^(3/2))*1000)),IF(O2610&lt;=cota_s*100+fi_s/20,0,(OFFSET('Base de dados'!$A$4,IF(O2610&lt;20,1,IF(O2610&gt;1000,10,MATCH(O2610,Cargas,1))),Coluna_fis,1,1))*(PI()*(fi_s/1000)^2/4)*(2*9.81*(O2610/100-cota_s-fi_s/2/1000))^0.5*1000)))</f>
        <v>15825.591243066581</v>
      </c>
      <c r="R2610" s="19">
        <f t="shared" ca="1" si="290"/>
        <v>15894.13944749216</v>
      </c>
      <c r="S2610" s="19">
        <f t="shared" ca="1" si="291"/>
        <v>16649.321700355751</v>
      </c>
    </row>
    <row r="2611" spans="13:19">
      <c r="M2611" s="81">
        <f t="shared" ca="1" si="288"/>
        <v>32560.672518395841</v>
      </c>
      <c r="N2611" s="19">
        <f t="shared" si="289"/>
        <v>499.69495014991372</v>
      </c>
      <c r="O2611" s="17">
        <f t="shared" si="287"/>
        <v>652.5</v>
      </c>
      <c r="P2611" s="19">
        <f ca="1">IF(ISERROR(IF(O2611&lt;fi_h/20,0,(OFFSET('Base de dados'!$A$5,IF(O2611&lt;20,1,IF(O2611&gt;1000,10,MATCH(O2611,Cargas,1))),Coluna_fih,1,1))*(1+0.13*0.25)*(PI()*(fi_h/1000)^2/4)*SQRT(2*9.81*(O2611/100-fi_h/2/1000))*1000)),"",IF(O2611&lt;fi_h/20,0,(OFFSET('Base de dados'!$A$5,IF(O2611&lt;20,1,IF(O2611&gt;1000,10,MATCH(O2611,Cargas,1))),Coluna_fih,1,1))*(PI()*(fi_h/1000)^2/4)*SQRT(2*9.81*(O2611/100-fi_h/2/1000))*1000))</f>
        <v>68.561454603424821</v>
      </c>
      <c r="Q2611" s="19">
        <f ca="1">IF(O2611="","",IF(Tipo_Vertedor="Retangular",IF(O2611&lt;=cota_s*100,0,IF(Tipo_Vertedor="Retangular",Cd_sr*Lef_sr*((O2611/100-cota_s)^(3/2))*1000)),IF(O2611&lt;=cota_s*100+fi_s/20,0,(OFFSET('Base de dados'!$A$4,IF(O2611&lt;20,1,IF(O2611&gt;1000,10,MATCH(O2611,Cargas,1))),Coluna_fis,1,1))*(PI()*(fi_s/1000)^2/4)*(2*9.81*(O2611/100-cota_s-fi_s/2/1000))^0.5*1000)))</f>
        <v>15835.612725461959</v>
      </c>
      <c r="R2611" s="19">
        <f t="shared" ca="1" si="290"/>
        <v>15904.174180065384</v>
      </c>
      <c r="S2611" s="19">
        <f t="shared" ca="1" si="291"/>
        <v>16656.498338330457</v>
      </c>
    </row>
    <row r="2612" spans="13:19">
      <c r="M2612" s="81">
        <f t="shared" ca="1" si="288"/>
        <v>32577.886343390135</v>
      </c>
      <c r="N2612" s="19">
        <f t="shared" si="289"/>
        <v>499.91025956555683</v>
      </c>
      <c r="O2612" s="17">
        <f t="shared" si="287"/>
        <v>652.75</v>
      </c>
      <c r="P2612" s="19">
        <f ca="1">IF(ISERROR(IF(O2612&lt;fi_h/20,0,(OFFSET('Base de dados'!$A$5,IF(O2612&lt;20,1,IF(O2612&gt;1000,10,MATCH(O2612,Cargas,1))),Coluna_fih,1,1))*(1+0.13*0.25)*(PI()*(fi_h/1000)^2/4)*SQRT(2*9.81*(O2612/100-fi_h/2/1000))*1000)),"",IF(O2612&lt;fi_h/20,0,(OFFSET('Base de dados'!$A$5,IF(O2612&lt;20,1,IF(O2612&gt;1000,10,MATCH(O2612,Cargas,1))),Coluna_fih,1,1))*(PI()*(fi_h/1000)^2/4)*SQRT(2*9.81*(O2612/100-fi_h/2/1000))*1000))</f>
        <v>68.574702221038066</v>
      </c>
      <c r="Q2612" s="19">
        <f ca="1">IF(O2612="","",IF(Tipo_Vertedor="Retangular",IF(O2612&lt;=cota_s*100,0,IF(Tipo_Vertedor="Retangular",Cd_sr*Lef_sr*((O2612/100-cota_s)^(3/2))*1000)),IF(O2612&lt;=cota_s*100+fi_s/20,0,(OFFSET('Base de dados'!$A$4,IF(O2612&lt;20,1,IF(O2612&gt;1000,10,MATCH(O2612,Cargas,1))),Coluna_fis,1,1))*(PI()*(fi_s/1000)^2/4)*(2*9.81*(O2612/100-cota_s-fi_s/2/1000))^0.5*1000)))</f>
        <v>15845.636322317203</v>
      </c>
      <c r="R2612" s="19">
        <f t="shared" ca="1" si="290"/>
        <v>15914.211024538241</v>
      </c>
      <c r="S2612" s="19">
        <f t="shared" ca="1" si="291"/>
        <v>16663.675318851896</v>
      </c>
    </row>
    <row r="2613" spans="13:19">
      <c r="M2613" s="81">
        <f t="shared" ca="1" si="288"/>
        <v>32595.102622271486</v>
      </c>
      <c r="N2613" s="19">
        <f t="shared" si="289"/>
        <v>500.12557925415609</v>
      </c>
      <c r="O2613" s="17">
        <f t="shared" si="287"/>
        <v>653</v>
      </c>
      <c r="P2613" s="19">
        <f ca="1">IF(ISERROR(IF(O2613&lt;fi_h/20,0,(OFFSET('Base de dados'!$A$5,IF(O2613&lt;20,1,IF(O2613&gt;1000,10,MATCH(O2613,Cargas,1))),Coluna_fih,1,1))*(1+0.13*0.25)*(PI()*(fi_h/1000)^2/4)*SQRT(2*9.81*(O2613/100-fi_h/2/1000))*1000)),"",IF(O2613&lt;fi_h/20,0,(OFFSET('Base de dados'!$A$5,IF(O2613&lt;20,1,IF(O2613&gt;1000,10,MATCH(O2613,Cargas,1))),Coluna_fih,1,1))*(PI()*(fi_h/1000)^2/4)*SQRT(2*9.81*(O2613/100-fi_h/2/1000))*1000))</f>
        <v>68.587947279901911</v>
      </c>
      <c r="Q2613" s="19">
        <f ca="1">IF(O2613="","",IF(Tipo_Vertedor="Retangular",IF(O2613&lt;=cota_s*100,0,IF(Tipo_Vertedor="Retangular",Cd_sr*Lef_sr*((O2613/100-cota_s)^(3/2))*1000)),IF(O2613&lt;=cota_s*100+fi_s/20,0,(OFFSET('Base de dados'!$A$4,IF(O2613&lt;20,1,IF(O2613&gt;1000,10,MATCH(O2613,Cargas,1))),Coluna_fis,1,1))*(PI()*(fi_s/1000)^2/4)*(2*9.81*(O2613/100-cota_s-fi_s/2/1000))^0.5*1000)))</f>
        <v>15855.662033186383</v>
      </c>
      <c r="R2613" s="19">
        <f t="shared" ca="1" si="290"/>
        <v>15924.249980466286</v>
      </c>
      <c r="S2613" s="19">
        <f t="shared" ca="1" si="291"/>
        <v>16670.852641805202</v>
      </c>
    </row>
    <row r="2614" spans="13:19">
      <c r="M2614" s="81">
        <f t="shared" ca="1" si="288"/>
        <v>32612.321354480955</v>
      </c>
      <c r="N2614" s="19">
        <f t="shared" si="289"/>
        <v>500.34090921226903</v>
      </c>
      <c r="O2614" s="17">
        <f t="shared" si="287"/>
        <v>653.25</v>
      </c>
      <c r="P2614" s="19">
        <f ca="1">IF(ISERROR(IF(O2614&lt;fi_h/20,0,(OFFSET('Base de dados'!$A$5,IF(O2614&lt;20,1,IF(O2614&gt;1000,10,MATCH(O2614,Cargas,1))),Coluna_fih,1,1))*(1+0.13*0.25)*(PI()*(fi_h/1000)^2/4)*SQRT(2*9.81*(O2614/100-fi_h/2/1000))*1000)),"",IF(O2614&lt;fi_h/20,0,(OFFSET('Base de dados'!$A$5,IF(O2614&lt;20,1,IF(O2614&gt;1000,10,MATCH(O2614,Cargas,1))),Coluna_fih,1,1))*(PI()*(fi_h/1000)^2/4)*SQRT(2*9.81*(O2614/100-fi_h/2/1000))*1000))</f>
        <v>68.601189781498448</v>
      </c>
      <c r="Q2614" s="19">
        <f ca="1">IF(O2614="","",IF(Tipo_Vertedor="Retangular",IF(O2614&lt;=cota_s*100,0,IF(Tipo_Vertedor="Retangular",Cd_sr*Lef_sr*((O2614/100-cota_s)^(3/2))*1000)),IF(O2614&lt;=cota_s*100+fi_s/20,0,(OFFSET('Base de dados'!$A$4,IF(O2614&lt;20,1,IF(O2614&gt;1000,10,MATCH(O2614,Cargas,1))),Coluna_fis,1,1))*(PI()*(fi_s/1000)^2/4)*(2*9.81*(O2614/100-cota_s-fi_s/2/1000))^0.5*1000)))</f>
        <v>15865.689857623822</v>
      </c>
      <c r="R2614" s="19">
        <f t="shared" ca="1" si="290"/>
        <v>15934.291047405321</v>
      </c>
      <c r="S2614" s="19">
        <f t="shared" ca="1" si="291"/>
        <v>16678.030307075634</v>
      </c>
    </row>
    <row r="2615" spans="13:19">
      <c r="M2615" s="81">
        <f t="shared" ca="1" si="288"/>
        <v>32629.542539459915</v>
      </c>
      <c r="N2615" s="19">
        <f t="shared" si="289"/>
        <v>500.55624943645404</v>
      </c>
      <c r="O2615" s="17">
        <f t="shared" si="287"/>
        <v>653.5</v>
      </c>
      <c r="P2615" s="19">
        <f ca="1">IF(ISERROR(IF(O2615&lt;fi_h/20,0,(OFFSET('Base de dados'!$A$5,IF(O2615&lt;20,1,IF(O2615&gt;1000,10,MATCH(O2615,Cargas,1))),Coluna_fih,1,1))*(1+0.13*0.25)*(PI()*(fi_h/1000)^2/4)*SQRT(2*9.81*(O2615/100-fi_h/2/1000))*1000)),"",IF(O2615&lt;fi_h/20,0,(OFFSET('Base de dados'!$A$5,IF(O2615&lt;20,1,IF(O2615&gt;1000,10,MATCH(O2615,Cargas,1))),Coluna_fih,1,1))*(PI()*(fi_h/1000)^2/4)*SQRT(2*9.81*(O2615/100-fi_h/2/1000))*1000))</f>
        <v>68.61442972730832</v>
      </c>
      <c r="Q2615" s="19">
        <f ca="1">IF(O2615="","",IF(Tipo_Vertedor="Retangular",IF(O2615&lt;=cota_s*100,0,IF(Tipo_Vertedor="Retangular",Cd_sr*Lef_sr*((O2615/100-cota_s)^(3/2))*1000)),IF(O2615&lt;=cota_s*100+fi_s/20,0,(OFFSET('Base de dados'!$A$4,IF(O2615&lt;20,1,IF(O2615&gt;1000,10,MATCH(O2615,Cargas,1))),Coluna_fis,1,1))*(PI()*(fi_s/1000)^2/4)*(2*9.81*(O2615/100-cota_s-fi_s/2/1000))^0.5*1000)))</f>
        <v>15875.719795184137</v>
      </c>
      <c r="R2615" s="19">
        <f t="shared" ca="1" si="290"/>
        <v>15944.334224911445</v>
      </c>
      <c r="S2615" s="19">
        <f t="shared" ca="1" si="291"/>
        <v>16685.208314548468</v>
      </c>
    </row>
    <row r="2616" spans="13:19">
      <c r="M2616" s="81">
        <f t="shared" ca="1" si="288"/>
        <v>32646.76617665017</v>
      </c>
      <c r="N2616" s="19">
        <f t="shared" si="289"/>
        <v>500.77159992327375</v>
      </c>
      <c r="O2616" s="17">
        <f t="shared" si="287"/>
        <v>653.75</v>
      </c>
      <c r="P2616" s="19">
        <f ca="1">IF(ISERROR(IF(O2616&lt;fi_h/20,0,(OFFSET('Base de dados'!$A$5,IF(O2616&lt;20,1,IF(O2616&gt;1000,10,MATCH(O2616,Cargas,1))),Coluna_fih,1,1))*(1+0.13*0.25)*(PI()*(fi_h/1000)^2/4)*SQRT(2*9.81*(O2616/100-fi_h/2/1000))*1000)),"",IF(O2616&lt;fi_h/20,0,(OFFSET('Base de dados'!$A$5,IF(O2616&lt;20,1,IF(O2616&gt;1000,10,MATCH(O2616,Cargas,1))),Coluna_fih,1,1))*(PI()*(fi_h/1000)^2/4)*SQRT(2*9.81*(O2616/100-fi_h/2/1000))*1000))</f>
        <v>68.627667118810706</v>
      </c>
      <c r="Q2616" s="19">
        <f ca="1">IF(O2616="","",IF(Tipo_Vertedor="Retangular",IF(O2616&lt;=cota_s*100,0,IF(Tipo_Vertedor="Retangular",Cd_sr*Lef_sr*((O2616/100-cota_s)^(3/2))*1000)),IF(O2616&lt;=cota_s*100+fi_s/20,0,(OFFSET('Base de dados'!$A$4,IF(O2616&lt;20,1,IF(O2616&gt;1000,10,MATCH(O2616,Cargas,1))),Coluna_fis,1,1))*(PI()*(fi_s/1000)^2/4)*(2*9.81*(O2616/100-cota_s-fi_s/2/1000))^0.5*1000)))</f>
        <v>15885.751845422232</v>
      </c>
      <c r="R2616" s="19">
        <f t="shared" ca="1" si="290"/>
        <v>15954.379512541043</v>
      </c>
      <c r="S2616" s="19">
        <f t="shared" ca="1" si="291"/>
        <v>16692.386664109126</v>
      </c>
    </row>
    <row r="2617" spans="13:19">
      <c r="M2617" s="81">
        <f t="shared" ca="1" si="288"/>
        <v>32663.992265493842</v>
      </c>
      <c r="N2617" s="19">
        <f t="shared" si="289"/>
        <v>500.98696066929205</v>
      </c>
      <c r="O2617" s="17">
        <f t="shared" si="287"/>
        <v>654</v>
      </c>
      <c r="P2617" s="19">
        <f ca="1">IF(ISERROR(IF(O2617&lt;fi_h/20,0,(OFFSET('Base de dados'!$A$5,IF(O2617&lt;20,1,IF(O2617&gt;1000,10,MATCH(O2617,Cargas,1))),Coluna_fih,1,1))*(1+0.13*0.25)*(PI()*(fi_h/1000)^2/4)*SQRT(2*9.81*(O2617/100-fi_h/2/1000))*1000)),"",IF(O2617&lt;fi_h/20,0,(OFFSET('Base de dados'!$A$5,IF(O2617&lt;20,1,IF(O2617&gt;1000,10,MATCH(O2617,Cargas,1))),Coluna_fih,1,1))*(PI()*(fi_h/1000)^2/4)*SQRT(2*9.81*(O2617/100-fi_h/2/1000))*1000))</f>
        <v>68.64090195748345</v>
      </c>
      <c r="Q2617" s="19">
        <f ca="1">IF(O2617="","",IF(Tipo_Vertedor="Retangular",IF(O2617&lt;=cota_s*100,0,IF(Tipo_Vertedor="Retangular",Cd_sr*Lef_sr*((O2617/100-cota_s)^(3/2))*1000)),IF(O2617&lt;=cota_s*100+fi_s/20,0,(OFFSET('Base de dados'!$A$4,IF(O2617&lt;20,1,IF(O2617&gt;1000,10,MATCH(O2617,Cargas,1))),Coluna_fis,1,1))*(PI()*(fi_s/1000)^2/4)*(2*9.81*(O2617/100-cota_s-fi_s/2/1000))^0.5*1000)))</f>
        <v>15895.786007893292</v>
      </c>
      <c r="R2617" s="19">
        <f t="shared" ca="1" si="290"/>
        <v>15964.426909850776</v>
      </c>
      <c r="S2617" s="19">
        <f t="shared" ca="1" si="291"/>
        <v>16699.565355643066</v>
      </c>
    </row>
    <row r="2618" spans="13:19">
      <c r="M2618" s="81">
        <f t="shared" ca="1" si="288"/>
        <v>32681.220805433437</v>
      </c>
      <c r="N2618" s="19">
        <f t="shared" si="289"/>
        <v>501.20233167107608</v>
      </c>
      <c r="O2618" s="17">
        <f t="shared" si="287"/>
        <v>654.25</v>
      </c>
      <c r="P2618" s="19">
        <f ca="1">IF(ISERROR(IF(O2618&lt;fi_h/20,0,(OFFSET('Base de dados'!$A$5,IF(O2618&lt;20,1,IF(O2618&gt;1000,10,MATCH(O2618,Cargas,1))),Coluna_fih,1,1))*(1+0.13*0.25)*(PI()*(fi_h/1000)^2/4)*SQRT(2*9.81*(O2618/100-fi_h/2/1000))*1000)),"",IF(O2618&lt;fi_h/20,0,(OFFSET('Base de dados'!$A$5,IF(O2618&lt;20,1,IF(O2618&gt;1000,10,MATCH(O2618,Cargas,1))),Coluna_fih,1,1))*(PI()*(fi_h/1000)^2/4)*SQRT(2*9.81*(O2618/100-fi_h/2/1000))*1000))</f>
        <v>68.654134244802876</v>
      </c>
      <c r="Q2618" s="19">
        <f ca="1">IF(O2618="","",IF(Tipo_Vertedor="Retangular",IF(O2618&lt;=cota_s*100,0,IF(Tipo_Vertedor="Retangular",Cd_sr*Lef_sr*((O2618/100-cota_s)^(3/2))*1000)),IF(O2618&lt;=cota_s*100+fi_s/20,0,(OFFSET('Base de dados'!$A$4,IF(O2618&lt;20,1,IF(O2618&gt;1000,10,MATCH(O2618,Cargas,1))),Coluna_fis,1,1))*(PI()*(fi_s/1000)^2/4)*(2*9.81*(O2618/100-cota_s-fi_s/2/1000))^0.5*1000)))</f>
        <v>15905.822282152763</v>
      </c>
      <c r="R2618" s="19">
        <f t="shared" ca="1" si="290"/>
        <v>15974.476416397567</v>
      </c>
      <c r="S2618" s="19">
        <f t="shared" ca="1" si="291"/>
        <v>16706.74438903587</v>
      </c>
    </row>
    <row r="2619" spans="13:19">
      <c r="M2619" s="81">
        <f t="shared" ca="1" si="288"/>
        <v>32698.451795911769</v>
      </c>
      <c r="N2619" s="19">
        <f t="shared" si="289"/>
        <v>501.41771292519439</v>
      </c>
      <c r="O2619" s="17">
        <f t="shared" si="287"/>
        <v>654.5</v>
      </c>
      <c r="P2619" s="19">
        <f ca="1">IF(ISERROR(IF(O2619&lt;fi_h/20,0,(OFFSET('Base de dados'!$A$5,IF(O2619&lt;20,1,IF(O2619&gt;1000,10,MATCH(O2619,Cargas,1))),Coluna_fih,1,1))*(1+0.13*0.25)*(PI()*(fi_h/1000)^2/4)*SQRT(2*9.81*(O2619/100-fi_h/2/1000))*1000)),"",IF(O2619&lt;fi_h/20,0,(OFFSET('Base de dados'!$A$5,IF(O2619&lt;20,1,IF(O2619&gt;1000,10,MATCH(O2619,Cargas,1))),Coluna_fih,1,1))*(PI()*(fi_h/1000)^2/4)*SQRT(2*9.81*(O2619/100-fi_h/2/1000))*1000))</f>
        <v>68.667363982243984</v>
      </c>
      <c r="Q2619" s="19">
        <f ca="1">IF(O2619="","",IF(Tipo_Vertedor="Retangular",IF(O2619&lt;=cota_s*100,0,IF(Tipo_Vertedor="Retangular",Cd_sr*Lef_sr*((O2619/100-cota_s)^(3/2))*1000)),IF(O2619&lt;=cota_s*100+fi_s/20,0,(OFFSET('Base de dados'!$A$4,IF(O2619&lt;20,1,IF(O2619&gt;1000,10,MATCH(O2619,Cargas,1))),Coluna_fis,1,1))*(PI()*(fi_s/1000)^2/4)*(2*9.81*(O2619/100-cota_s-fi_s/2/1000))^0.5*1000)))</f>
        <v>15915.860667756377</v>
      </c>
      <c r="R2619" s="19">
        <f t="shared" ca="1" si="290"/>
        <v>15984.52803173862</v>
      </c>
      <c r="S2619" s="19">
        <f t="shared" ca="1" si="291"/>
        <v>16713.923764173149</v>
      </c>
    </row>
    <row r="2620" spans="13:19">
      <c r="M2620" s="81">
        <f t="shared" ca="1" si="288"/>
        <v>32715.685236372097</v>
      </c>
      <c r="N2620" s="19">
        <f t="shared" si="289"/>
        <v>501.63310442821921</v>
      </c>
      <c r="O2620" s="17">
        <f t="shared" si="287"/>
        <v>654.75</v>
      </c>
      <c r="P2620" s="19">
        <f ca="1">IF(ISERROR(IF(O2620&lt;fi_h/20,0,(OFFSET('Base de dados'!$A$5,IF(O2620&lt;20,1,IF(O2620&gt;1000,10,MATCH(O2620,Cargas,1))),Coluna_fih,1,1))*(1+0.13*0.25)*(PI()*(fi_h/1000)^2/4)*SQRT(2*9.81*(O2620/100-fi_h/2/1000))*1000)),"",IF(O2620&lt;fi_h/20,0,(OFFSET('Base de dados'!$A$5,IF(O2620&lt;20,1,IF(O2620&gt;1000,10,MATCH(O2620,Cargas,1))),Coluna_fih,1,1))*(PI()*(fi_h/1000)^2/4)*SQRT(2*9.81*(O2620/100-fi_h/2/1000))*1000))</f>
        <v>68.68059117128027</v>
      </c>
      <c r="Q2620" s="19">
        <f ca="1">IF(O2620="","",IF(Tipo_Vertedor="Retangular",IF(O2620&lt;=cota_s*100,0,IF(Tipo_Vertedor="Retangular",Cd_sr*Lef_sr*((O2620/100-cota_s)^(3/2))*1000)),IF(O2620&lt;=cota_s*100+fi_s/20,0,(OFFSET('Base de dados'!$A$4,IF(O2620&lt;20,1,IF(O2620&gt;1000,10,MATCH(O2620,Cargas,1))),Coluna_fis,1,1))*(PI()*(fi_s/1000)^2/4)*(2*9.81*(O2620/100-cota_s-fi_s/2/1000))^0.5*1000)))</f>
        <v>15925.901164260178</v>
      </c>
      <c r="R2620" s="19">
        <f t="shared" ca="1" si="290"/>
        <v>15994.581755431458</v>
      </c>
      <c r="S2620" s="19">
        <f t="shared" ca="1" si="291"/>
        <v>16721.103480940641</v>
      </c>
    </row>
    <row r="2621" spans="13:19">
      <c r="M2621" s="81">
        <f t="shared" ca="1" si="288"/>
        <v>32732.921126257977</v>
      </c>
      <c r="N2621" s="19">
        <f t="shared" si="289"/>
        <v>501.84850617672424</v>
      </c>
      <c r="O2621" s="17">
        <f t="shared" si="287"/>
        <v>655</v>
      </c>
      <c r="P2621" s="19">
        <f ca="1">IF(ISERROR(IF(O2621&lt;fi_h/20,0,(OFFSET('Base de dados'!$A$5,IF(O2621&lt;20,1,IF(O2621&gt;1000,10,MATCH(O2621,Cargas,1))),Coluna_fih,1,1))*(1+0.13*0.25)*(PI()*(fi_h/1000)^2/4)*SQRT(2*9.81*(O2621/100-fi_h/2/1000))*1000)),"",IF(O2621&lt;fi_h/20,0,(OFFSET('Base de dados'!$A$5,IF(O2621&lt;20,1,IF(O2621&gt;1000,10,MATCH(O2621,Cargas,1))),Coluna_fih,1,1))*(PI()*(fi_h/1000)^2/4)*SQRT(2*9.81*(O2621/100-fi_h/2/1000))*1000))</f>
        <v>68.693815813383836</v>
      </c>
      <c r="Q2621" s="19">
        <f ca="1">IF(O2621="","",IF(Tipo_Vertedor="Retangular",IF(O2621&lt;=cota_s*100,0,IF(Tipo_Vertedor="Retangular",Cd_sr*Lef_sr*((O2621/100-cota_s)^(3/2))*1000)),IF(O2621&lt;=cota_s*100+fi_s/20,0,(OFFSET('Base de dados'!$A$4,IF(O2621&lt;20,1,IF(O2621&gt;1000,10,MATCH(O2621,Cargas,1))),Coluna_fis,1,1))*(PI()*(fi_s/1000)^2/4)*(2*9.81*(O2621/100-cota_s-fi_s/2/1000))^0.5*1000)))</f>
        <v>15935.943771220453</v>
      </c>
      <c r="R2621" s="19">
        <f t="shared" ca="1" si="290"/>
        <v>16004.637587033836</v>
      </c>
      <c r="S2621" s="19">
        <f t="shared" ca="1" si="291"/>
        <v>16728.28353922414</v>
      </c>
    </row>
    <row r="2622" spans="13:19">
      <c r="M2622" s="81">
        <f t="shared" ca="1" si="288"/>
        <v>32750.15946501337</v>
      </c>
      <c r="N2622" s="19">
        <f t="shared" si="289"/>
        <v>502.06391816728672</v>
      </c>
      <c r="O2622" s="17">
        <f t="shared" si="287"/>
        <v>655.25</v>
      </c>
      <c r="P2622" s="19">
        <f ca="1">IF(ISERROR(IF(O2622&lt;fi_h/20,0,(OFFSET('Base de dados'!$A$5,IF(O2622&lt;20,1,IF(O2622&gt;1000,10,MATCH(O2622,Cargas,1))),Coluna_fih,1,1))*(1+0.13*0.25)*(PI()*(fi_h/1000)^2/4)*SQRT(2*9.81*(O2622/100-fi_h/2/1000))*1000)),"",IF(O2622&lt;fi_h/20,0,(OFFSET('Base de dados'!$A$5,IF(O2622&lt;20,1,IF(O2622&gt;1000,10,MATCH(O2622,Cargas,1))),Coluna_fih,1,1))*(PI()*(fi_h/1000)^2/4)*SQRT(2*9.81*(O2622/100-fi_h/2/1000))*1000))</f>
        <v>68.707037910025377</v>
      </c>
      <c r="Q2622" s="19">
        <f ca="1">IF(O2622="","",IF(Tipo_Vertedor="Retangular",IF(O2622&lt;=cota_s*100,0,IF(Tipo_Vertedor="Retangular",Cd_sr*Lef_sr*((O2622/100-cota_s)^(3/2))*1000)),IF(O2622&lt;=cota_s*100+fi_s/20,0,(OFFSET('Base de dados'!$A$4,IF(O2622&lt;20,1,IF(O2622&gt;1000,10,MATCH(O2622,Cargas,1))),Coluna_fis,1,1))*(PI()*(fi_s/1000)^2/4)*(2*9.81*(O2622/100-cota_s-fi_s/2/1000))^0.5*1000)))</f>
        <v>15945.988488193789</v>
      </c>
      <c r="R2622" s="19">
        <f t="shared" ca="1" si="290"/>
        <v>16014.695526103815</v>
      </c>
      <c r="S2622" s="19">
        <f t="shared" ca="1" si="291"/>
        <v>16735.463938909557</v>
      </c>
    </row>
    <row r="2623" spans="13:19">
      <c r="M2623" s="81">
        <f t="shared" ca="1" si="288"/>
        <v>32767.400252082552</v>
      </c>
      <c r="N2623" s="19">
        <f t="shared" si="289"/>
        <v>502.27934039648505</v>
      </c>
      <c r="O2623" s="17">
        <f t="shared" si="287"/>
        <v>655.5</v>
      </c>
      <c r="P2623" s="19">
        <f ca="1">IF(ISERROR(IF(O2623&lt;fi_h/20,0,(OFFSET('Base de dados'!$A$5,IF(O2623&lt;20,1,IF(O2623&gt;1000,10,MATCH(O2623,Cargas,1))),Coluna_fih,1,1))*(1+0.13*0.25)*(PI()*(fi_h/1000)^2/4)*SQRT(2*9.81*(O2623/100-fi_h/2/1000))*1000)),"",IF(O2623&lt;fi_h/20,0,(OFFSET('Base de dados'!$A$5,IF(O2623&lt;20,1,IF(O2623&gt;1000,10,MATCH(O2623,Cargas,1))),Coluna_fih,1,1))*(PI()*(fi_h/1000)^2/4)*SQRT(2*9.81*(O2623/100-fi_h/2/1000))*1000))</f>
        <v>68.720257462674184</v>
      </c>
      <c r="Q2623" s="19">
        <f ca="1">IF(O2623="","",IF(Tipo_Vertedor="Retangular",IF(O2623&lt;=cota_s*100,0,IF(Tipo_Vertedor="Retangular",Cd_sr*Lef_sr*((O2623/100-cota_s)^(3/2))*1000)),IF(O2623&lt;=cota_s*100+fi_s/20,0,(OFFSET('Base de dados'!$A$4,IF(O2623&lt;20,1,IF(O2623&gt;1000,10,MATCH(O2623,Cargas,1))),Coluna_fis,1,1))*(PI()*(fi_s/1000)^2/4)*(2*9.81*(O2623/100-cota_s-fi_s/2/1000))^0.5*1000)))</f>
        <v>15956.035314737044</v>
      </c>
      <c r="R2623" s="19">
        <f t="shared" ca="1" si="290"/>
        <v>16024.755572199718</v>
      </c>
      <c r="S2623" s="19">
        <f t="shared" ca="1" si="291"/>
        <v>16742.644679882836</v>
      </c>
    </row>
    <row r="2624" spans="13:19">
      <c r="M2624" s="81">
        <f t="shared" ca="1" si="288"/>
        <v>32784.643486910172</v>
      </c>
      <c r="N2624" s="19">
        <f t="shared" si="289"/>
        <v>502.49477286090081</v>
      </c>
      <c r="O2624" s="17">
        <f t="shared" si="287"/>
        <v>655.75</v>
      </c>
      <c r="P2624" s="19">
        <f ca="1">IF(ISERROR(IF(O2624&lt;fi_h/20,0,(OFFSET('Base de dados'!$A$5,IF(O2624&lt;20,1,IF(O2624&gt;1000,10,MATCH(O2624,Cargas,1))),Coluna_fih,1,1))*(1+0.13*0.25)*(PI()*(fi_h/1000)^2/4)*SQRT(2*9.81*(O2624/100-fi_h/2/1000))*1000)),"",IF(O2624&lt;fi_h/20,0,(OFFSET('Base de dados'!$A$5,IF(O2624&lt;20,1,IF(O2624&gt;1000,10,MATCH(O2624,Cargas,1))),Coluna_fih,1,1))*(PI()*(fi_h/1000)^2/4)*SQRT(2*9.81*(O2624/100-fi_h/2/1000))*1000))</f>
        <v>68.733474472798108</v>
      </c>
      <c r="Q2624" s="19">
        <f ca="1">IF(O2624="","",IF(Tipo_Vertedor="Retangular",IF(O2624&lt;=cota_s*100,0,IF(Tipo_Vertedor="Retangular",Cd_sr*Lef_sr*((O2624/100-cota_s)^(3/2))*1000)),IF(O2624&lt;=cota_s*100+fi_s/20,0,(OFFSET('Base de dados'!$A$4,IF(O2624&lt;20,1,IF(O2624&gt;1000,10,MATCH(O2624,Cargas,1))),Coluna_fis,1,1))*(PI()*(fi_s/1000)^2/4)*(2*9.81*(O2624/100-cota_s-fi_s/2/1000))^0.5*1000)))</f>
        <v>15966.08425040735</v>
      </c>
      <c r="R2624" s="19">
        <f t="shared" ca="1" si="290"/>
        <v>16034.817724880148</v>
      </c>
      <c r="S2624" s="19">
        <f t="shared" ca="1" si="291"/>
        <v>16749.825762030025</v>
      </c>
    </row>
    <row r="2625" spans="13:19">
      <c r="M2625" s="81">
        <f t="shared" ca="1" si="288"/>
        <v>32801.889168941256</v>
      </c>
      <c r="N2625" s="19">
        <f t="shared" si="289"/>
        <v>502.71021555711798</v>
      </c>
      <c r="O2625" s="17">
        <f t="shared" si="287"/>
        <v>656</v>
      </c>
      <c r="P2625" s="19">
        <f ca="1">IF(ISERROR(IF(O2625&lt;fi_h/20,0,(OFFSET('Base de dados'!$A$5,IF(O2625&lt;20,1,IF(O2625&gt;1000,10,MATCH(O2625,Cargas,1))),Coluna_fih,1,1))*(1+0.13*0.25)*(PI()*(fi_h/1000)^2/4)*SQRT(2*9.81*(O2625/100-fi_h/2/1000))*1000)),"",IF(O2625&lt;fi_h/20,0,(OFFSET('Base de dados'!$A$5,IF(O2625&lt;20,1,IF(O2625&gt;1000,10,MATCH(O2625,Cargas,1))),Coluna_fih,1,1))*(PI()*(fi_h/1000)^2/4)*SQRT(2*9.81*(O2625/100-fi_h/2/1000))*1000))</f>
        <v>68.746688941863596</v>
      </c>
      <c r="Q2625" s="19">
        <f ca="1">IF(O2625="","",IF(Tipo_Vertedor="Retangular",IF(O2625&lt;=cota_s*100,0,IF(Tipo_Vertedor="Retangular",Cd_sr*Lef_sr*((O2625/100-cota_s)^(3/2))*1000)),IF(O2625&lt;=cota_s*100+fi_s/20,0,(OFFSET('Base de dados'!$A$4,IF(O2625&lt;20,1,IF(O2625&gt;1000,10,MATCH(O2625,Cargas,1))),Coluna_fis,1,1))*(PI()*(fi_s/1000)^2/4)*(2*9.81*(O2625/100-cota_s-fi_s/2/1000))^0.5*1000)))</f>
        <v>15976.135294762127</v>
      </c>
      <c r="R2625" s="19">
        <f t="shared" ca="1" si="290"/>
        <v>16044.88198370399</v>
      </c>
      <c r="S2625" s="19">
        <f t="shared" ca="1" si="291"/>
        <v>16757.007185237268</v>
      </c>
    </row>
    <row r="2626" spans="13:19">
      <c r="M2626" s="81">
        <f t="shared" ca="1" si="288"/>
        <v>32819.137297621179</v>
      </c>
      <c r="N2626" s="19">
        <f t="shared" si="289"/>
        <v>502.92566848172311</v>
      </c>
      <c r="O2626" s="17">
        <f t="shared" si="287"/>
        <v>656.25</v>
      </c>
      <c r="P2626" s="19">
        <f ca="1">IF(ISERROR(IF(O2626&lt;fi_h/20,0,(OFFSET('Base de dados'!$A$5,IF(O2626&lt;20,1,IF(O2626&gt;1000,10,MATCH(O2626,Cargas,1))),Coluna_fih,1,1))*(1+0.13*0.25)*(PI()*(fi_h/1000)^2/4)*SQRT(2*9.81*(O2626/100-fi_h/2/1000))*1000)),"",IF(O2626&lt;fi_h/20,0,(OFFSET('Base de dados'!$A$5,IF(O2626&lt;20,1,IF(O2626&gt;1000,10,MATCH(O2626,Cargas,1))),Coluna_fih,1,1))*(PI()*(fi_h/1000)^2/4)*SQRT(2*9.81*(O2626/100-fi_h/2/1000))*1000))</f>
        <v>68.759900871335716</v>
      </c>
      <c r="Q2626" s="19">
        <f ca="1">IF(O2626="","",IF(Tipo_Vertedor="Retangular",IF(O2626&lt;=cota_s*100,0,IF(Tipo_Vertedor="Retangular",Cd_sr*Lef_sr*((O2626/100-cota_s)^(3/2))*1000)),IF(O2626&lt;=cota_s*100+fi_s/20,0,(OFFSET('Base de dados'!$A$4,IF(O2626&lt;20,1,IF(O2626&gt;1000,10,MATCH(O2626,Cargas,1))),Coluna_fis,1,1))*(PI()*(fi_s/1000)^2/4)*(2*9.81*(O2626/100-cota_s-fi_s/2/1000))^0.5*1000)))</f>
        <v>15986.188447359073</v>
      </c>
      <c r="R2626" s="19">
        <f t="shared" ca="1" si="290"/>
        <v>16054.948348230408</v>
      </c>
      <c r="S2626" s="19">
        <f t="shared" ca="1" si="291"/>
        <v>16764.188949390769</v>
      </c>
    </row>
    <row r="2627" spans="13:19">
      <c r="M2627" s="81">
        <f t="shared" ca="1" si="288"/>
        <v>32836.387872395673</v>
      </c>
      <c r="N2627" s="19">
        <f t="shared" si="289"/>
        <v>503.14113163130486</v>
      </c>
      <c r="O2627" s="17">
        <f t="shared" si="287"/>
        <v>656.5</v>
      </c>
      <c r="P2627" s="19">
        <f ca="1">IF(ISERROR(IF(O2627&lt;fi_h/20,0,(OFFSET('Base de dados'!$A$5,IF(O2627&lt;20,1,IF(O2627&gt;1000,10,MATCH(O2627,Cargas,1))),Coluna_fih,1,1))*(1+0.13*0.25)*(PI()*(fi_h/1000)^2/4)*SQRT(2*9.81*(O2627/100-fi_h/2/1000))*1000)),"",IF(O2627&lt;fi_h/20,0,(OFFSET('Base de dados'!$A$5,IF(O2627&lt;20,1,IF(O2627&gt;1000,10,MATCH(O2627,Cargas,1))),Coluna_fih,1,1))*(PI()*(fi_h/1000)^2/4)*SQRT(2*9.81*(O2627/100-fi_h/2/1000))*1000))</f>
        <v>68.773110262678074</v>
      </c>
      <c r="Q2627" s="19">
        <f ca="1">IF(O2627="","",IF(Tipo_Vertedor="Retangular",IF(O2627&lt;=cota_s*100,0,IF(Tipo_Vertedor="Retangular",Cd_sr*Lef_sr*((O2627/100-cota_s)^(3/2))*1000)),IF(O2627&lt;=cota_s*100+fi_s/20,0,(OFFSET('Base de dados'!$A$4,IF(O2627&lt;20,1,IF(O2627&gt;1000,10,MATCH(O2627,Cargas,1))),Coluna_fis,1,1))*(PI()*(fi_s/1000)^2/4)*(2*9.81*(O2627/100-cota_s-fi_s/2/1000))^0.5*1000)))</f>
        <v>15996.243707756163</v>
      </c>
      <c r="R2627" s="19">
        <f t="shared" ca="1" si="290"/>
        <v>16065.016818018841</v>
      </c>
      <c r="S2627" s="19">
        <f t="shared" ca="1" si="291"/>
        <v>16771.371054376828</v>
      </c>
    </row>
    <row r="2628" spans="13:19">
      <c r="M2628" s="81">
        <f t="shared" ca="1" si="288"/>
        <v>32853.640892710806</v>
      </c>
      <c r="N2628" s="19">
        <f t="shared" si="289"/>
        <v>503.35660500245433</v>
      </c>
      <c r="O2628" s="17">
        <f t="shared" si="287"/>
        <v>656.75</v>
      </c>
      <c r="P2628" s="19">
        <f ca="1">IF(ISERROR(IF(O2628&lt;fi_h/20,0,(OFFSET('Base de dados'!$A$5,IF(O2628&lt;20,1,IF(O2628&gt;1000,10,MATCH(O2628,Cargas,1))),Coluna_fih,1,1))*(1+0.13*0.25)*(PI()*(fi_h/1000)^2/4)*SQRT(2*9.81*(O2628/100-fi_h/2/1000))*1000)),"",IF(O2628&lt;fi_h/20,0,(OFFSET('Base de dados'!$A$5,IF(O2628&lt;20,1,IF(O2628&gt;1000,10,MATCH(O2628,Cargas,1))),Coluna_fih,1,1))*(PI()*(fi_h/1000)^2/4)*SQRT(2*9.81*(O2628/100-fi_h/2/1000))*1000))</f>
        <v>68.786317117352908</v>
      </c>
      <c r="Q2628" s="19">
        <f ca="1">IF(O2628="","",IF(Tipo_Vertedor="Retangular",IF(O2628&lt;=cota_s*100,0,IF(Tipo_Vertedor="Retangular",Cd_sr*Lef_sr*((O2628/100-cota_s)^(3/2))*1000)),IF(O2628&lt;=cota_s*100+fi_s/20,0,(OFFSET('Base de dados'!$A$4,IF(O2628&lt;20,1,IF(O2628&gt;1000,10,MATCH(O2628,Cargas,1))),Coluna_fis,1,1))*(PI()*(fi_s/1000)^2/4)*(2*9.81*(O2628/100-cota_s-fi_s/2/1000))^0.5*1000)))</f>
        <v>16006.301075511643</v>
      </c>
      <c r="R2628" s="19">
        <f t="shared" ca="1" si="290"/>
        <v>16075.087392628995</v>
      </c>
      <c r="S2628" s="19">
        <f t="shared" ca="1" si="291"/>
        <v>16778.553500081809</v>
      </c>
    </row>
    <row r="2629" spans="13:19">
      <c r="M2629" s="81">
        <f t="shared" ca="1" si="288"/>
        <v>32870.896358013051</v>
      </c>
      <c r="N2629" s="19">
        <f t="shared" si="289"/>
        <v>503.57208859176524</v>
      </c>
      <c r="O2629" s="17">
        <f t="shared" si="287"/>
        <v>657</v>
      </c>
      <c r="P2629" s="19">
        <f ca="1">IF(ISERROR(IF(O2629&lt;fi_h/20,0,(OFFSET('Base de dados'!$A$5,IF(O2629&lt;20,1,IF(O2629&gt;1000,10,MATCH(O2629,Cargas,1))),Coluna_fih,1,1))*(1+0.13*0.25)*(PI()*(fi_h/1000)^2/4)*SQRT(2*9.81*(O2629/100-fi_h/2/1000))*1000)),"",IF(O2629&lt;fi_h/20,0,(OFFSET('Base de dados'!$A$5,IF(O2629&lt;20,1,IF(O2629&gt;1000,10,MATCH(O2629,Cargas,1))),Coluna_fih,1,1))*(PI()*(fi_h/1000)^2/4)*SQRT(2*9.81*(O2629/100-fi_h/2/1000))*1000))</f>
        <v>68.799521436821053</v>
      </c>
      <c r="Q2629" s="19">
        <f ca="1">IF(O2629="","",IF(Tipo_Vertedor="Retangular",IF(O2629&lt;=cota_s*100,0,IF(Tipo_Vertedor="Retangular",Cd_sr*Lef_sr*((O2629/100-cota_s)^(3/2))*1000)),IF(O2629&lt;=cota_s*100+fi_s/20,0,(OFFSET('Base de dados'!$A$4,IF(O2629&lt;20,1,IF(O2629&gt;1000,10,MATCH(O2629,Cargas,1))),Coluna_fis,1,1))*(PI()*(fi_s/1000)^2/4)*(2*9.81*(O2629/100-cota_s-fi_s/2/1000))^0.5*1000)))</f>
        <v>16016.360550184054</v>
      </c>
      <c r="R2629" s="19">
        <f t="shared" ca="1" si="290"/>
        <v>16085.160071620874</v>
      </c>
      <c r="S2629" s="19">
        <f t="shared" ca="1" si="291"/>
        <v>16785.736286392177</v>
      </c>
    </row>
    <row r="2630" spans="13:19">
      <c r="M2630" s="81">
        <f t="shared" ca="1" si="288"/>
        <v>32888.154267749203</v>
      </c>
      <c r="N2630" s="19">
        <f t="shared" si="289"/>
        <v>503.78758239583397</v>
      </c>
      <c r="O2630" s="17">
        <f t="shared" si="287"/>
        <v>657.25</v>
      </c>
      <c r="P2630" s="19">
        <f ca="1">IF(ISERROR(IF(O2630&lt;fi_h/20,0,(OFFSET('Base de dados'!$A$5,IF(O2630&lt;20,1,IF(O2630&gt;1000,10,MATCH(O2630,Cargas,1))),Coluna_fih,1,1))*(1+0.13*0.25)*(PI()*(fi_h/1000)^2/4)*SQRT(2*9.81*(O2630/100-fi_h/2/1000))*1000)),"",IF(O2630&lt;fi_h/20,0,(OFFSET('Base de dados'!$A$5,IF(O2630&lt;20,1,IF(O2630&gt;1000,10,MATCH(O2630,Cargas,1))),Coluna_fih,1,1))*(PI()*(fi_h/1000)^2/4)*SQRT(2*9.81*(O2630/100-fi_h/2/1000))*1000))</f>
        <v>68.812723222541933</v>
      </c>
      <c r="Q2630" s="19">
        <f ca="1">IF(O2630="","",IF(Tipo_Vertedor="Retangular",IF(O2630&lt;=cota_s*100,0,IF(Tipo_Vertedor="Retangular",Cd_sr*Lef_sr*((O2630/100-cota_s)^(3/2))*1000)),IF(O2630&lt;=cota_s*100+fi_s/20,0,(OFFSET('Base de dados'!$A$4,IF(O2630&lt;20,1,IF(O2630&gt;1000,10,MATCH(O2630,Cargas,1))),Coluna_fis,1,1))*(PI()*(fi_s/1000)^2/4)*(2*9.81*(O2630/100-cota_s-fi_s/2/1000))^0.5*1000)))</f>
        <v>16026.422131332198</v>
      </c>
      <c r="R2630" s="19">
        <f t="shared" ca="1" si="290"/>
        <v>16095.234854554739</v>
      </c>
      <c r="S2630" s="19">
        <f t="shared" ca="1" si="291"/>
        <v>16792.919413194464</v>
      </c>
    </row>
    <row r="2631" spans="13:19">
      <c r="M2631" s="81">
        <f t="shared" ca="1" si="288"/>
        <v>32905.414621366421</v>
      </c>
      <c r="N2631" s="19">
        <f t="shared" si="289"/>
        <v>504.00308641125872</v>
      </c>
      <c r="O2631" s="17">
        <f t="shared" si="287"/>
        <v>657.5</v>
      </c>
      <c r="P2631" s="19">
        <f ca="1">IF(ISERROR(IF(O2631&lt;fi_h/20,0,(OFFSET('Base de dados'!$A$5,IF(O2631&lt;20,1,IF(O2631&gt;1000,10,MATCH(O2631,Cargas,1))),Coluna_fih,1,1))*(1+0.13*0.25)*(PI()*(fi_h/1000)^2/4)*SQRT(2*9.81*(O2631/100-fi_h/2/1000))*1000)),"",IF(O2631&lt;fi_h/20,0,(OFFSET('Base de dados'!$A$5,IF(O2631&lt;20,1,IF(O2631&gt;1000,10,MATCH(O2631,Cargas,1))),Coluna_fih,1,1))*(PI()*(fi_h/1000)^2/4)*SQRT(2*9.81*(O2631/100-fi_h/2/1000))*1000))</f>
        <v>68.82592247597357</v>
      </c>
      <c r="Q2631" s="19">
        <f ca="1">IF(O2631="","",IF(Tipo_Vertedor="Retangular",IF(O2631&lt;=cota_s*100,0,IF(Tipo_Vertedor="Retangular",Cd_sr*Lef_sr*((O2631/100-cota_s)^(3/2))*1000)),IF(O2631&lt;=cota_s*100+fi_s/20,0,(OFFSET('Base de dados'!$A$4,IF(O2631&lt;20,1,IF(O2631&gt;1000,10,MATCH(O2631,Cargas,1))),Coluna_fis,1,1))*(PI()*(fi_s/1000)^2/4)*(2*9.81*(O2631/100-cota_s-fi_s/2/1000))^0.5*1000)))</f>
        <v>16036.485818515157</v>
      </c>
      <c r="R2631" s="19">
        <f t="shared" ca="1" si="290"/>
        <v>16105.31174099113</v>
      </c>
      <c r="S2631" s="19">
        <f t="shared" ca="1" si="291"/>
        <v>16800.102880375292</v>
      </c>
    </row>
    <row r="2632" spans="13:19">
      <c r="M2632" s="81">
        <f t="shared" ca="1" si="288"/>
        <v>32922.677418312203</v>
      </c>
      <c r="N2632" s="19">
        <f t="shared" si="289"/>
        <v>504.21860063464044</v>
      </c>
      <c r="O2632" s="17">
        <f t="shared" si="287"/>
        <v>657.75</v>
      </c>
      <c r="P2632" s="19">
        <f ca="1">IF(ISERROR(IF(O2632&lt;fi_h/20,0,(OFFSET('Base de dados'!$A$5,IF(O2632&lt;20,1,IF(O2632&gt;1000,10,MATCH(O2632,Cargas,1))),Coluna_fih,1,1))*(1+0.13*0.25)*(PI()*(fi_h/1000)^2/4)*SQRT(2*9.81*(O2632/100-fi_h/2/1000))*1000)),"",IF(O2632&lt;fi_h/20,0,(OFFSET('Base de dados'!$A$5,IF(O2632&lt;20,1,IF(O2632&gt;1000,10,MATCH(O2632,Cargas,1))),Coluna_fih,1,1))*(PI()*(fi_h/1000)^2/4)*SQRT(2*9.81*(O2632/100-fi_h/2/1000))*1000))</f>
        <v>68.83911919857259</v>
      </c>
      <c r="Q2632" s="19">
        <f ca="1">IF(O2632="","",IF(Tipo_Vertedor="Retangular",IF(O2632&lt;=cota_s*100,0,IF(Tipo_Vertedor="Retangular",Cd_sr*Lef_sr*((O2632/100-cota_s)^(3/2))*1000)),IF(O2632&lt;=cota_s*100+fi_s/20,0,(OFFSET('Base de dados'!$A$4,IF(O2632&lt;20,1,IF(O2632&gt;1000,10,MATCH(O2632,Cargas,1))),Coluna_fis,1,1))*(PI()*(fi_s/1000)^2/4)*(2*9.81*(O2632/100-cota_s-fi_s/2/1000))^0.5*1000)))</f>
        <v>16046.551611292287</v>
      </c>
      <c r="R2632" s="19">
        <f t="shared" ca="1" si="290"/>
        <v>16115.390730490859</v>
      </c>
      <c r="S2632" s="19">
        <f t="shared" ca="1" si="291"/>
        <v>16807.286687821346</v>
      </c>
    </row>
    <row r="2633" spans="13:19">
      <c r="M2633" s="81">
        <f t="shared" ca="1" si="288"/>
        <v>32939.942658034452</v>
      </c>
      <c r="N2633" s="19">
        <f t="shared" si="289"/>
        <v>504.43412506258284</v>
      </c>
      <c r="O2633" s="17">
        <f t="shared" si="287"/>
        <v>658</v>
      </c>
      <c r="P2633" s="19">
        <f ca="1">IF(ISERROR(IF(O2633&lt;fi_h/20,0,(OFFSET('Base de dados'!$A$5,IF(O2633&lt;20,1,IF(O2633&gt;1000,10,MATCH(O2633,Cargas,1))),Coluna_fih,1,1))*(1+0.13*0.25)*(PI()*(fi_h/1000)^2/4)*SQRT(2*9.81*(O2633/100-fi_h/2/1000))*1000)),"",IF(O2633&lt;fi_h/20,0,(OFFSET('Base de dados'!$A$5,IF(O2633&lt;20,1,IF(O2633&gt;1000,10,MATCH(O2633,Cargas,1))),Coluna_fih,1,1))*(PI()*(fi_h/1000)^2/4)*SQRT(2*9.81*(O2633/100-fi_h/2/1000))*1000))</f>
        <v>68.85231339179424</v>
      </c>
      <c r="Q2633" s="19">
        <f ca="1">IF(O2633="","",IF(Tipo_Vertedor="Retangular",IF(O2633&lt;=cota_s*100,0,IF(Tipo_Vertedor="Retangular",Cd_sr*Lef_sr*((O2633/100-cota_s)^(3/2))*1000)),IF(O2633&lt;=cota_s*100+fi_s/20,0,(OFFSET('Base de dados'!$A$4,IF(O2633&lt;20,1,IF(O2633&gt;1000,10,MATCH(O2633,Cargas,1))),Coluna_fis,1,1))*(PI()*(fi_s/1000)^2/4)*(2*9.81*(O2633/100-cota_s-fi_s/2/1000))^0.5*1000)))</f>
        <v>16056.619509223232</v>
      </c>
      <c r="R2633" s="19">
        <f t="shared" ca="1" si="290"/>
        <v>16125.471822615025</v>
      </c>
      <c r="S2633" s="19">
        <f t="shared" ca="1" si="291"/>
        <v>16814.470835419426</v>
      </c>
    </row>
    <row r="2634" spans="13:19">
      <c r="M2634" s="81">
        <f t="shared" ca="1" si="288"/>
        <v>32957.210339981364</v>
      </c>
      <c r="N2634" s="19">
        <f t="shared" si="289"/>
        <v>504.64965969169123</v>
      </c>
      <c r="O2634" s="17">
        <f t="shared" si="287"/>
        <v>658.25</v>
      </c>
      <c r="P2634" s="19">
        <f ca="1">IF(ISERROR(IF(O2634&lt;fi_h/20,0,(OFFSET('Base de dados'!$A$5,IF(O2634&lt;20,1,IF(O2634&gt;1000,10,MATCH(O2634,Cargas,1))),Coluna_fih,1,1))*(1+0.13*0.25)*(PI()*(fi_h/1000)^2/4)*SQRT(2*9.81*(O2634/100-fi_h/2/1000))*1000)),"",IF(O2634&lt;fi_h/20,0,(OFFSET('Base de dados'!$A$5,IF(O2634&lt;20,1,IF(O2634&gt;1000,10,MATCH(O2634,Cargas,1))),Coluna_fih,1,1))*(PI()*(fi_h/1000)^2/4)*SQRT(2*9.81*(O2634/100-fi_h/2/1000))*1000))</f>
        <v>68.865505057092335</v>
      </c>
      <c r="Q2634" s="19">
        <f ca="1">IF(O2634="","",IF(Tipo_Vertedor="Retangular",IF(O2634&lt;=cota_s*100,0,IF(Tipo_Vertedor="Retangular",Cd_sr*Lef_sr*((O2634/100-cota_s)^(3/2))*1000)),IF(O2634&lt;=cota_s*100+fi_s/20,0,(OFFSET('Base de dados'!$A$4,IF(O2634&lt;20,1,IF(O2634&gt;1000,10,MATCH(O2634,Cargas,1))),Coluna_fis,1,1))*(PI()*(fi_s/1000)^2/4)*(2*9.81*(O2634/100-cota_s-fi_s/2/1000))^0.5*1000)))</f>
        <v>16066.689511867902</v>
      </c>
      <c r="R2634" s="19">
        <f t="shared" ca="1" si="290"/>
        <v>16135.555016924995</v>
      </c>
      <c r="S2634" s="19">
        <f t="shared" ca="1" si="291"/>
        <v>16821.655323056373</v>
      </c>
    </row>
    <row r="2635" spans="13:19">
      <c r="M2635" s="81">
        <f t="shared" ca="1" si="288"/>
        <v>32974.480463601561</v>
      </c>
      <c r="N2635" s="19">
        <f t="shared" si="289"/>
        <v>504.86520451857427</v>
      </c>
      <c r="O2635" s="17">
        <f t="shared" si="287"/>
        <v>658.5</v>
      </c>
      <c r="P2635" s="19">
        <f ca="1">IF(ISERROR(IF(O2635&lt;fi_h/20,0,(OFFSET('Base de dados'!$A$5,IF(O2635&lt;20,1,IF(O2635&gt;1000,10,MATCH(O2635,Cargas,1))),Coluna_fih,1,1))*(1+0.13*0.25)*(PI()*(fi_h/1000)^2/4)*SQRT(2*9.81*(O2635/100-fi_h/2/1000))*1000)),"",IF(O2635&lt;fi_h/20,0,(OFFSET('Base de dados'!$A$5,IF(O2635&lt;20,1,IF(O2635&gt;1000,10,MATCH(O2635,Cargas,1))),Coluna_fih,1,1))*(PI()*(fi_h/1000)^2/4)*SQRT(2*9.81*(O2635/100-fi_h/2/1000))*1000))</f>
        <v>68.878694195919337</v>
      </c>
      <c r="Q2635" s="19">
        <f ca="1">IF(O2635="","",IF(Tipo_Vertedor="Retangular",IF(O2635&lt;=cota_s*100,0,IF(Tipo_Vertedor="Retangular",Cd_sr*Lef_sr*((O2635/100-cota_s)^(3/2))*1000)),IF(O2635&lt;=cota_s*100+fi_s/20,0,(OFFSET('Base de dados'!$A$4,IF(O2635&lt;20,1,IF(O2635&gt;1000,10,MATCH(O2635,Cargas,1))),Coluna_fis,1,1))*(PI()*(fi_s/1000)^2/4)*(2*9.81*(O2635/100-cota_s-fi_s/2/1000))^0.5*1000)))</f>
        <v>16076.761618786495</v>
      </c>
      <c r="R2635" s="19">
        <f t="shared" ca="1" si="290"/>
        <v>16145.640312982414</v>
      </c>
      <c r="S2635" s="19">
        <f t="shared" ca="1" si="291"/>
        <v>16828.840150619144</v>
      </c>
    </row>
    <row r="2636" spans="13:19">
      <c r="M2636" s="81">
        <f t="shared" ca="1" si="288"/>
        <v>32991.753028343941</v>
      </c>
      <c r="N2636" s="19">
        <f t="shared" si="289"/>
        <v>505.0807595398424</v>
      </c>
      <c r="O2636" s="17">
        <f t="shared" si="287"/>
        <v>658.75</v>
      </c>
      <c r="P2636" s="19">
        <f ca="1">IF(ISERROR(IF(O2636&lt;fi_h/20,0,(OFFSET('Base de dados'!$A$5,IF(O2636&lt;20,1,IF(O2636&gt;1000,10,MATCH(O2636,Cargas,1))),Coluna_fih,1,1))*(1+0.13*0.25)*(PI()*(fi_h/1000)^2/4)*SQRT(2*9.81*(O2636/100-fi_h/2/1000))*1000)),"",IF(O2636&lt;fi_h/20,0,(OFFSET('Base de dados'!$A$5,IF(O2636&lt;20,1,IF(O2636&gt;1000,10,MATCH(O2636,Cargas,1))),Coluna_fih,1,1))*(PI()*(fi_h/1000)^2/4)*SQRT(2*9.81*(O2636/100-fi_h/2/1000))*1000))</f>
        <v>68.891880809726302</v>
      </c>
      <c r="Q2636" s="19">
        <f ca="1">IF(O2636="","",IF(Tipo_Vertedor="Retangular",IF(O2636&lt;=cota_s*100,0,IF(Tipo_Vertedor="Retangular",Cd_sr*Lef_sr*((O2636/100-cota_s)^(3/2))*1000)),IF(O2636&lt;=cota_s*100+fi_s/20,0,(OFFSET('Base de dados'!$A$4,IF(O2636&lt;20,1,IF(O2636&gt;1000,10,MATCH(O2636,Cargas,1))),Coluna_fis,1,1))*(PI()*(fi_s/1000)^2/4)*(2*9.81*(O2636/100-cota_s-fi_s/2/1000))^0.5*1000)))</f>
        <v>16086.835829539466</v>
      </c>
      <c r="R2636" s="19">
        <f t="shared" ca="1" si="290"/>
        <v>16155.727710349192</v>
      </c>
      <c r="S2636" s="19">
        <f t="shared" ca="1" si="291"/>
        <v>16836.025317994747</v>
      </c>
    </row>
    <row r="2637" spans="13:19">
      <c r="M2637" s="81">
        <f t="shared" ca="1" si="288"/>
        <v>33009.028033657814</v>
      </c>
      <c r="N2637" s="19">
        <f t="shared" si="289"/>
        <v>505.2963247521086</v>
      </c>
      <c r="O2637" s="17">
        <f t="shared" si="287"/>
        <v>659</v>
      </c>
      <c r="P2637" s="19">
        <f ca="1">IF(ISERROR(IF(O2637&lt;fi_h/20,0,(OFFSET('Base de dados'!$A$5,IF(O2637&lt;20,1,IF(O2637&gt;1000,10,MATCH(O2637,Cargas,1))),Coluna_fih,1,1))*(1+0.13*0.25)*(PI()*(fi_h/1000)^2/4)*SQRT(2*9.81*(O2637/100-fi_h/2/1000))*1000)),"",IF(O2637&lt;fi_h/20,0,(OFFSET('Base de dados'!$A$5,IF(O2637&lt;20,1,IF(O2637&gt;1000,10,MATCH(O2637,Cargas,1))),Coluna_fih,1,1))*(PI()*(fi_h/1000)^2/4)*SQRT(2*9.81*(O2637/100-fi_h/2/1000))*1000))</f>
        <v>68.905064899962881</v>
      </c>
      <c r="Q2637" s="19">
        <f ca="1">IF(O2637="","",IF(Tipo_Vertedor="Retangular",IF(O2637&lt;=cota_s*100,0,IF(Tipo_Vertedor="Retangular",Cd_sr*Lef_sr*((O2637/100-cota_s)^(3/2))*1000)),IF(O2637&lt;=cota_s*100+fi_s/20,0,(OFFSET('Base de dados'!$A$4,IF(O2637&lt;20,1,IF(O2637&gt;1000,10,MATCH(O2637,Cargas,1))),Coluna_fis,1,1))*(PI()*(fi_s/1000)^2/4)*(2*9.81*(O2637/100-cota_s-fi_s/2/1000))^0.5*1000)))</f>
        <v>16096.912143687561</v>
      </c>
      <c r="R2637" s="19">
        <f t="shared" ca="1" si="290"/>
        <v>16165.817208587525</v>
      </c>
      <c r="S2637" s="19">
        <f t="shared" ca="1" si="291"/>
        <v>16843.210825070288</v>
      </c>
    </row>
    <row r="2638" spans="13:19">
      <c r="M2638" s="81">
        <f t="shared" ca="1" si="288"/>
        <v>33026.305478992821</v>
      </c>
      <c r="N2638" s="19">
        <f t="shared" si="289"/>
        <v>505.51190015198858</v>
      </c>
      <c r="O2638" s="17">
        <f t="shared" si="287"/>
        <v>659.25</v>
      </c>
      <c r="P2638" s="19">
        <f ca="1">IF(ISERROR(IF(O2638&lt;fi_h/20,0,(OFFSET('Base de dados'!$A$5,IF(O2638&lt;20,1,IF(O2638&gt;1000,10,MATCH(O2638,Cargas,1))),Coluna_fih,1,1))*(1+0.13*0.25)*(PI()*(fi_h/1000)^2/4)*SQRT(2*9.81*(O2638/100-fi_h/2/1000))*1000)),"",IF(O2638&lt;fi_h/20,0,(OFFSET('Base de dados'!$A$5,IF(O2638&lt;20,1,IF(O2638&gt;1000,10,MATCH(O2638,Cargas,1))),Coluna_fih,1,1))*(PI()*(fi_h/1000)^2/4)*SQRT(2*9.81*(O2638/100-fi_h/2/1000))*1000))</f>
        <v>68.918246468077356</v>
      </c>
      <c r="Q2638" s="19">
        <f ca="1">IF(O2638="","",IF(Tipo_Vertedor="Retangular",IF(O2638&lt;=cota_s*100,0,IF(Tipo_Vertedor="Retangular",Cd_sr*Lef_sr*((O2638/100-cota_s)^(3/2))*1000)),IF(O2638&lt;=cota_s*100+fi_s/20,0,(OFFSET('Base de dados'!$A$4,IF(O2638&lt;20,1,IF(O2638&gt;1000,10,MATCH(O2638,Cargas,1))),Coluna_fis,1,1))*(PI()*(fi_s/1000)^2/4)*(2*9.81*(O2638/100-cota_s-fi_s/2/1000))^0.5*1000)))</f>
        <v>16106.99056079179</v>
      </c>
      <c r="R2638" s="19">
        <f t="shared" ca="1" si="290"/>
        <v>16175.908807259868</v>
      </c>
      <c r="S2638" s="19">
        <f t="shared" ca="1" si="291"/>
        <v>16850.396671732953</v>
      </c>
    </row>
    <row r="2639" spans="13:19">
      <c r="M2639" s="81">
        <f t="shared" ca="1" si="288"/>
        <v>33043.585363798957</v>
      </c>
      <c r="N2639" s="19">
        <f t="shared" si="289"/>
        <v>505.72748573609977</v>
      </c>
      <c r="O2639" s="17">
        <f t="shared" si="287"/>
        <v>659.5</v>
      </c>
      <c r="P2639" s="19">
        <f ca="1">IF(ISERROR(IF(O2639&lt;fi_h/20,0,(OFFSET('Base de dados'!$A$5,IF(O2639&lt;20,1,IF(O2639&gt;1000,10,MATCH(O2639,Cargas,1))),Coluna_fih,1,1))*(1+0.13*0.25)*(PI()*(fi_h/1000)^2/4)*SQRT(2*9.81*(O2639/100-fi_h/2/1000))*1000)),"",IF(O2639&lt;fi_h/20,0,(OFFSET('Base de dados'!$A$5,IF(O2639&lt;20,1,IF(O2639&gt;1000,10,MATCH(O2639,Cargas,1))),Coluna_fih,1,1))*(PI()*(fi_h/1000)^2/4)*SQRT(2*9.81*(O2639/100-fi_h/2/1000))*1000))</f>
        <v>68.931425515516651</v>
      </c>
      <c r="Q2639" s="19">
        <f ca="1">IF(O2639="","",IF(Tipo_Vertedor="Retangular",IF(O2639&lt;=cota_s*100,0,IF(Tipo_Vertedor="Retangular",Cd_sr*Lef_sr*((O2639/100-cota_s)^(3/2))*1000)),IF(O2639&lt;=cota_s*100+fi_s/20,0,(OFFSET('Base de dados'!$A$4,IF(O2639&lt;20,1,IF(O2639&gt;1000,10,MATCH(O2639,Cargas,1))),Coluna_fis,1,1))*(PI()*(fi_s/1000)^2/4)*(2*9.81*(O2639/100-cota_s-fi_s/2/1000))^0.5*1000)))</f>
        <v>16117.071080413449</v>
      </c>
      <c r="R2639" s="19">
        <f t="shared" ca="1" si="290"/>
        <v>16186.002505928966</v>
      </c>
      <c r="S2639" s="19">
        <f t="shared" ca="1" si="291"/>
        <v>16857.582857869991</v>
      </c>
    </row>
    <row r="2640" spans="13:19">
      <c r="M2640" s="81">
        <f t="shared" ca="1" si="288"/>
        <v>33060.867687526596</v>
      </c>
      <c r="N2640" s="19">
        <f t="shared" si="289"/>
        <v>505.94308150106275</v>
      </c>
      <c r="O2640" s="17">
        <f t="shared" si="287"/>
        <v>659.75</v>
      </c>
      <c r="P2640" s="19">
        <f ca="1">IF(ISERROR(IF(O2640&lt;fi_h/20,0,(OFFSET('Base de dados'!$A$5,IF(O2640&lt;20,1,IF(O2640&gt;1000,10,MATCH(O2640,Cargas,1))),Coluna_fih,1,1))*(1+0.13*0.25)*(PI()*(fi_h/1000)^2/4)*SQRT(2*9.81*(O2640/100-fi_h/2/1000))*1000)),"",IF(O2640&lt;fi_h/20,0,(OFFSET('Base de dados'!$A$5,IF(O2640&lt;20,1,IF(O2640&gt;1000,10,MATCH(O2640,Cargas,1))),Coluna_fih,1,1))*(PI()*(fi_h/1000)^2/4)*SQRT(2*9.81*(O2640/100-fi_h/2/1000))*1000))</f>
        <v>68.944602043726249</v>
      </c>
      <c r="Q2640" s="19">
        <f ca="1">IF(O2640="","",IF(Tipo_Vertedor="Retangular",IF(O2640&lt;=cota_s*100,0,IF(Tipo_Vertedor="Retangular",Cd_sr*Lef_sr*((O2640/100-cota_s)^(3/2))*1000)),IF(O2640&lt;=cota_s*100+fi_s/20,0,(OFFSET('Base de dados'!$A$4,IF(O2640&lt;20,1,IF(O2640&gt;1000,10,MATCH(O2640,Cargas,1))),Coluna_fis,1,1))*(PI()*(fi_s/1000)^2/4)*(2*9.81*(O2640/100-cota_s-fi_s/2/1000))^0.5*1000)))</f>
        <v>16127.153702114107</v>
      </c>
      <c r="R2640" s="19">
        <f t="shared" ca="1" si="290"/>
        <v>16196.098304157833</v>
      </c>
      <c r="S2640" s="19">
        <f t="shared" ca="1" si="291"/>
        <v>16864.769383368759</v>
      </c>
    </row>
    <row r="2641" spans="13:19">
      <c r="M2641" s="81">
        <f t="shared" ca="1" si="288"/>
        <v>33078.152449626403</v>
      </c>
      <c r="N2641" s="19">
        <f t="shared" si="289"/>
        <v>506.15868744350001</v>
      </c>
      <c r="O2641" s="17">
        <f t="shared" si="287"/>
        <v>660</v>
      </c>
      <c r="P2641" s="19">
        <f ca="1">IF(ISERROR(IF(O2641&lt;fi_h/20,0,(OFFSET('Base de dados'!$A$5,IF(O2641&lt;20,1,IF(O2641&gt;1000,10,MATCH(O2641,Cargas,1))),Coluna_fih,1,1))*(1+0.13*0.25)*(PI()*(fi_h/1000)^2/4)*SQRT(2*9.81*(O2641/100-fi_h/2/1000))*1000)),"",IF(O2641&lt;fi_h/20,0,(OFFSET('Base de dados'!$A$5,IF(O2641&lt;20,1,IF(O2641&gt;1000,10,MATCH(O2641,Cargas,1))),Coluna_fih,1,1))*(PI()*(fi_h/1000)^2/4)*SQRT(2*9.81*(O2641/100-fi_h/2/1000))*1000))</f>
        <v>68.957776054150301</v>
      </c>
      <c r="Q2641" s="19">
        <f ca="1">IF(O2641="","",IF(Tipo_Vertedor="Retangular",IF(O2641&lt;=cota_s*100,0,IF(Tipo_Vertedor="Retangular",Cd_sr*Lef_sr*((O2641/100-cota_s)^(3/2))*1000)),IF(O2641&lt;=cota_s*100+fi_s/20,0,(OFFSET('Base de dados'!$A$4,IF(O2641&lt;20,1,IF(O2641&gt;1000,10,MATCH(O2641,Cargas,1))),Coluna_fis,1,1))*(PI()*(fi_s/1000)^2/4)*(2*9.81*(O2641/100-cota_s-fi_s/2/1000))^0.5*1000)))</f>
        <v>16137.238425455582</v>
      </c>
      <c r="R2641" s="19">
        <f t="shared" ca="1" si="290"/>
        <v>16206.196201509732</v>
      </c>
      <c r="S2641" s="19">
        <f t="shared" ca="1" si="291"/>
        <v>16871.956248116669</v>
      </c>
    </row>
    <row r="2642" spans="13:19">
      <c r="M2642" s="81">
        <f t="shared" ca="1" si="288"/>
        <v>33095.439649549466</v>
      </c>
      <c r="N2642" s="19">
        <f t="shared" si="289"/>
        <v>506.37430356003694</v>
      </c>
      <c r="O2642" s="17">
        <f t="shared" si="287"/>
        <v>660.25</v>
      </c>
      <c r="P2642" s="19">
        <f ca="1">IF(ISERROR(IF(O2642&lt;fi_h/20,0,(OFFSET('Base de dados'!$A$5,IF(O2642&lt;20,1,IF(O2642&gt;1000,10,MATCH(O2642,Cargas,1))),Coluna_fih,1,1))*(1+0.13*0.25)*(PI()*(fi_h/1000)^2/4)*SQRT(2*9.81*(O2642/100-fi_h/2/1000))*1000)),"",IF(O2642&lt;fi_h/20,0,(OFFSET('Base de dados'!$A$5,IF(O2642&lt;20,1,IF(O2642&gt;1000,10,MATCH(O2642,Cargas,1))),Coluna_fih,1,1))*(PI()*(fi_h/1000)^2/4)*SQRT(2*9.81*(O2642/100-fi_h/2/1000))*1000))</f>
        <v>68.970947548231536</v>
      </c>
      <c r="Q2642" s="19">
        <f ca="1">IF(O2642="","",IF(Tipo_Vertedor="Retangular",IF(O2642&lt;=cota_s*100,0,IF(Tipo_Vertedor="Retangular",Cd_sr*Lef_sr*((O2642/100-cota_s)^(3/2))*1000)),IF(O2642&lt;=cota_s*100+fi_s/20,0,(OFFSET('Base de dados'!$A$4,IF(O2642&lt;20,1,IF(O2642&gt;1000,10,MATCH(O2642,Cargas,1))),Coluna_fis,1,1))*(PI()*(fi_s/1000)^2/4)*(2*9.81*(O2642/100-cota_s-fi_s/2/1000))^0.5*1000)))</f>
        <v>16147.325250000002</v>
      </c>
      <c r="R2642" s="19">
        <f t="shared" ca="1" si="290"/>
        <v>16216.296197548234</v>
      </c>
      <c r="S2642" s="19">
        <f t="shared" ca="1" si="291"/>
        <v>16879.14345200123</v>
      </c>
    </row>
    <row r="2643" spans="13:19">
      <c r="M2643" s="81">
        <f t="shared" ca="1" si="288"/>
        <v>33112.729286747184</v>
      </c>
      <c r="N2643" s="19">
        <f t="shared" si="289"/>
        <v>506.5899298473006</v>
      </c>
      <c r="O2643" s="17">
        <f t="shared" ref="O2643:O2706" si="292">IF(ISERROR(IF(O2642+passo_altura&gt;h_max_puls*100,"",O2642+passo_altura)),"",IF(O2642+passo_altura&gt;h_max_puls*100,"",O2642+passo_altura))</f>
        <v>660.5</v>
      </c>
      <c r="P2643" s="19">
        <f ca="1">IF(ISERROR(IF(O2643&lt;fi_h/20,0,(OFFSET('Base de dados'!$A$5,IF(O2643&lt;20,1,IF(O2643&gt;1000,10,MATCH(O2643,Cargas,1))),Coluna_fih,1,1))*(1+0.13*0.25)*(PI()*(fi_h/1000)^2/4)*SQRT(2*9.81*(O2643/100-fi_h/2/1000))*1000)),"",IF(O2643&lt;fi_h/20,0,(OFFSET('Base de dados'!$A$5,IF(O2643&lt;20,1,IF(O2643&gt;1000,10,MATCH(O2643,Cargas,1))),Coluna_fih,1,1))*(PI()*(fi_h/1000)^2/4)*SQRT(2*9.81*(O2643/100-fi_h/2/1000))*1000))</f>
        <v>68.984116527411359</v>
      </c>
      <c r="Q2643" s="19">
        <f ca="1">IF(O2643="","",IF(Tipo_Vertedor="Retangular",IF(O2643&lt;=cota_s*100,0,IF(Tipo_Vertedor="Retangular",Cd_sr*Lef_sr*((O2643/100-cota_s)^(3/2))*1000)),IF(O2643&lt;=cota_s*100+fi_s/20,0,(OFFSET('Base de dados'!$A$4,IF(O2643&lt;20,1,IF(O2643&gt;1000,10,MATCH(O2643,Cargas,1))),Coluna_fis,1,1))*(PI()*(fi_s/1000)^2/4)*(2*9.81*(O2643/100-cota_s-fi_s/2/1000))^0.5*1000)))</f>
        <v>16157.414175309754</v>
      </c>
      <c r="R2643" s="19">
        <f t="shared" ca="1" si="290"/>
        <v>16226.398291837166</v>
      </c>
      <c r="S2643" s="19">
        <f t="shared" ca="1" si="291"/>
        <v>16886.330994910018</v>
      </c>
    </row>
    <row r="2644" spans="13:19">
      <c r="M2644" s="81">
        <f t="shared" ca="1" si="288"/>
        <v>33130.021360671322</v>
      </c>
      <c r="N2644" s="19">
        <f t="shared" si="289"/>
        <v>506.80556630192098</v>
      </c>
      <c r="O2644" s="17">
        <f t="shared" si="292"/>
        <v>660.75</v>
      </c>
      <c r="P2644" s="19">
        <f ca="1">IF(ISERROR(IF(O2644&lt;fi_h/20,0,(OFFSET('Base de dados'!$A$5,IF(O2644&lt;20,1,IF(O2644&gt;1000,10,MATCH(O2644,Cargas,1))),Coluna_fih,1,1))*(1+0.13*0.25)*(PI()*(fi_h/1000)^2/4)*SQRT(2*9.81*(O2644/100-fi_h/2/1000))*1000)),"",IF(O2644&lt;fi_h/20,0,(OFFSET('Base de dados'!$A$5,IF(O2644&lt;20,1,IF(O2644&gt;1000,10,MATCH(O2644,Cargas,1))),Coluna_fih,1,1))*(PI()*(fi_h/1000)^2/4)*SQRT(2*9.81*(O2644/100-fi_h/2/1000))*1000))</f>
        <v>68.997282993129758</v>
      </c>
      <c r="Q2644" s="19">
        <f ca="1">IF(O2644="","",IF(Tipo_Vertedor="Retangular",IF(O2644&lt;=cota_s*100,0,IF(Tipo_Vertedor="Retangular",Cd_sr*Lef_sr*((O2644/100-cota_s)^(3/2))*1000)),IF(O2644&lt;=cota_s*100+fi_s/20,0,(OFFSET('Base de dados'!$A$4,IF(O2644&lt;20,1,IF(O2644&gt;1000,10,MATCH(O2644,Cargas,1))),Coluna_fis,1,1))*(PI()*(fi_s/1000)^2/4)*(2*9.81*(O2644/100-cota_s-fi_s/2/1000))^0.5*1000)))</f>
        <v>16167.505200947495</v>
      </c>
      <c r="R2644" s="19">
        <f t="shared" ca="1" si="290"/>
        <v>16236.502483940625</v>
      </c>
      <c r="S2644" s="19">
        <f t="shared" ca="1" si="291"/>
        <v>16893.518876730701</v>
      </c>
    </row>
    <row r="2645" spans="13:19">
      <c r="M2645" s="81">
        <f t="shared" ca="1" si="288"/>
        <v>33147.315870773993</v>
      </c>
      <c r="N2645" s="19">
        <f t="shared" si="289"/>
        <v>507.0212129205305</v>
      </c>
      <c r="O2645" s="17">
        <f t="shared" si="292"/>
        <v>661</v>
      </c>
      <c r="P2645" s="19">
        <f ca="1">IF(ISERROR(IF(O2645&lt;fi_h/20,0,(OFFSET('Base de dados'!$A$5,IF(O2645&lt;20,1,IF(O2645&gt;1000,10,MATCH(O2645,Cargas,1))),Coluna_fih,1,1))*(1+0.13*0.25)*(PI()*(fi_h/1000)^2/4)*SQRT(2*9.81*(O2645/100-fi_h/2/1000))*1000)),"",IF(O2645&lt;fi_h/20,0,(OFFSET('Base de dados'!$A$5,IF(O2645&lt;20,1,IF(O2645&gt;1000,10,MATCH(O2645,Cargas,1))),Coluna_fih,1,1))*(PI()*(fi_h/1000)^2/4)*SQRT(2*9.81*(O2645/100-fi_h/2/1000))*1000))</f>
        <v>69.010446946825326</v>
      </c>
      <c r="Q2645" s="19">
        <f ca="1">IF(O2645="","",IF(Tipo_Vertedor="Retangular",IF(O2645&lt;=cota_s*100,0,IF(Tipo_Vertedor="Retangular",Cd_sr*Lef_sr*((O2645/100-cota_s)^(3/2))*1000)),IF(O2645&lt;=cota_s*100+fi_s/20,0,(OFFSET('Base de dados'!$A$4,IF(O2645&lt;20,1,IF(O2645&gt;1000,10,MATCH(O2645,Cargas,1))),Coluna_fis,1,1))*(PI()*(fi_s/1000)^2/4)*(2*9.81*(O2645/100-cota_s-fi_s/2/1000))^0.5*1000)))</f>
        <v>16177.598326476154</v>
      </c>
      <c r="R2645" s="19">
        <f t="shared" ca="1" si="290"/>
        <v>16246.60877342298</v>
      </c>
      <c r="S2645" s="19">
        <f t="shared" ca="1" si="291"/>
        <v>16900.707097351016</v>
      </c>
    </row>
    <row r="2646" spans="13:19">
      <c r="M2646" s="81">
        <f t="shared" ca="1" si="288"/>
        <v>33164.612816507659</v>
      </c>
      <c r="N2646" s="19">
        <f t="shared" si="289"/>
        <v>507.23686969976336</v>
      </c>
      <c r="O2646" s="17">
        <f t="shared" si="292"/>
        <v>661.25</v>
      </c>
      <c r="P2646" s="19">
        <f ca="1">IF(ISERROR(IF(O2646&lt;fi_h/20,0,(OFFSET('Base de dados'!$A$5,IF(O2646&lt;20,1,IF(O2646&gt;1000,10,MATCH(O2646,Cargas,1))),Coluna_fih,1,1))*(1+0.13*0.25)*(PI()*(fi_h/1000)^2/4)*SQRT(2*9.81*(O2646/100-fi_h/2/1000))*1000)),"",IF(O2646&lt;fi_h/20,0,(OFFSET('Base de dados'!$A$5,IF(O2646&lt;20,1,IF(O2646&gt;1000,10,MATCH(O2646,Cargas,1))),Coluna_fih,1,1))*(PI()*(fi_h/1000)^2/4)*SQRT(2*9.81*(O2646/100-fi_h/2/1000))*1000))</f>
        <v>69.023608389935362</v>
      </c>
      <c r="Q2646" s="19">
        <f ca="1">IF(O2646="","",IF(Tipo_Vertedor="Retangular",IF(O2646&lt;=cota_s*100,0,IF(Tipo_Vertedor="Retangular",Cd_sr*Lef_sr*((O2646/100-cota_s)^(3/2))*1000)),IF(O2646&lt;=cota_s*100+fi_s/20,0,(OFFSET('Base de dados'!$A$4,IF(O2646&lt;20,1,IF(O2646&gt;1000,10,MATCH(O2646,Cargas,1))),Coluna_fis,1,1))*(PI()*(fi_s/1000)^2/4)*(2*9.81*(O2646/100-cota_s-fi_s/2/1000))^0.5*1000)))</f>
        <v>16187.693551458942</v>
      </c>
      <c r="R2646" s="19">
        <f t="shared" ca="1" si="290"/>
        <v>16256.717159848879</v>
      </c>
      <c r="S2646" s="19">
        <f t="shared" ca="1" si="291"/>
        <v>16907.89565665878</v>
      </c>
    </row>
    <row r="2647" spans="13:19">
      <c r="M2647" s="81">
        <f t="shared" ref="M2647:M2710" ca="1" si="293">IF(O2647="","",2*N2647*1000/(Passo*60)+R2647)</f>
        <v>33181.912197325139</v>
      </c>
      <c r="N2647" s="19">
        <f t="shared" ref="N2647:N2710" si="294">IF(O2647="","",b_0*(O2647/100)^c_0)</f>
        <v>507.45253663625726</v>
      </c>
      <c r="O2647" s="17">
        <f t="shared" si="292"/>
        <v>661.5</v>
      </c>
      <c r="P2647" s="19">
        <f ca="1">IF(ISERROR(IF(O2647&lt;fi_h/20,0,(OFFSET('Base de dados'!$A$5,IF(O2647&lt;20,1,IF(O2647&gt;1000,10,MATCH(O2647,Cargas,1))),Coluna_fih,1,1))*(1+0.13*0.25)*(PI()*(fi_h/1000)^2/4)*SQRT(2*9.81*(O2647/100-fi_h/2/1000))*1000)),"",IF(O2647&lt;fi_h/20,0,(OFFSET('Base de dados'!$A$5,IF(O2647&lt;20,1,IF(O2647&gt;1000,10,MATCH(O2647,Cargas,1))),Coluna_fih,1,1))*(PI()*(fi_h/1000)^2/4)*SQRT(2*9.81*(O2647/100-fi_h/2/1000))*1000))</f>
        <v>69.036767323895731</v>
      </c>
      <c r="Q2647" s="19">
        <f ca="1">IF(O2647="","",IF(Tipo_Vertedor="Retangular",IF(O2647&lt;=cota_s*100,0,IF(Tipo_Vertedor="Retangular",Cd_sr*Lef_sr*((O2647/100-cota_s)^(3/2))*1000)),IF(O2647&lt;=cota_s*100+fi_s/20,0,(OFFSET('Base de dados'!$A$4,IF(O2647&lt;20,1,IF(O2647&gt;1000,10,MATCH(O2647,Cargas,1))),Coluna_fis,1,1))*(PI()*(fi_s/1000)^2/4)*(2*9.81*(O2647/100-cota_s-fi_s/2/1000))^0.5*1000)))</f>
        <v>16197.790875459337</v>
      </c>
      <c r="R2647" s="19">
        <f t="shared" ref="R2647:R2710" ca="1" si="295">IF(O2647="","",Q2647+P2647)</f>
        <v>16266.827642783233</v>
      </c>
      <c r="S2647" s="19">
        <f t="shared" ref="S2647:S2710" ca="1" si="296">IF(M2647="","",2*N2647*1000/(Passo*60))</f>
        <v>16915.084554541907</v>
      </c>
    </row>
    <row r="2648" spans="13:19">
      <c r="M2648" s="81">
        <f t="shared" ca="1" si="293"/>
        <v>33199.214012679578</v>
      </c>
      <c r="N2648" s="19">
        <f t="shared" si="294"/>
        <v>507.66821372665095</v>
      </c>
      <c r="O2648" s="17">
        <f t="shared" si="292"/>
        <v>661.75</v>
      </c>
      <c r="P2648" s="19">
        <f ca="1">IF(ISERROR(IF(O2648&lt;fi_h/20,0,(OFFSET('Base de dados'!$A$5,IF(O2648&lt;20,1,IF(O2648&gt;1000,10,MATCH(O2648,Cargas,1))),Coluna_fih,1,1))*(1+0.13*0.25)*(PI()*(fi_h/1000)^2/4)*SQRT(2*9.81*(O2648/100-fi_h/2/1000))*1000)),"",IF(O2648&lt;fi_h/20,0,(OFFSET('Base de dados'!$A$5,IF(O2648&lt;20,1,IF(O2648&gt;1000,10,MATCH(O2648,Cargas,1))),Coluna_fih,1,1))*(PI()*(fi_h/1000)^2/4)*SQRT(2*9.81*(O2648/100-fi_h/2/1000))*1000))</f>
        <v>69.049923750140948</v>
      </c>
      <c r="Q2648" s="19">
        <f ca="1">IF(O2648="","",IF(Tipo_Vertedor="Retangular",IF(O2648&lt;=cota_s*100,0,IF(Tipo_Vertedor="Retangular",Cd_sr*Lef_sr*((O2648/100-cota_s)^(3/2))*1000)),IF(O2648&lt;=cota_s*100+fi_s/20,0,(OFFSET('Base de dados'!$A$4,IF(O2648&lt;20,1,IF(O2648&gt;1000,10,MATCH(O2648,Cargas,1))),Coluna_fis,1,1))*(PI()*(fi_s/1000)^2/4)*(2*9.81*(O2648/100-cota_s-fi_s/2/1000))^0.5*1000)))</f>
        <v>16207.890298041071</v>
      </c>
      <c r="R2648" s="19">
        <f t="shared" ca="1" si="295"/>
        <v>16276.940221791212</v>
      </c>
      <c r="S2648" s="19">
        <f t="shared" ca="1" si="296"/>
        <v>16922.273790888365</v>
      </c>
    </row>
    <row r="2649" spans="13:19">
      <c r="M2649" s="81">
        <f t="shared" ca="1" si="293"/>
        <v>33216.518262024518</v>
      </c>
      <c r="N2649" s="19">
        <f t="shared" si="294"/>
        <v>507.88390096758661</v>
      </c>
      <c r="O2649" s="17">
        <f t="shared" si="292"/>
        <v>662</v>
      </c>
      <c r="P2649" s="19">
        <f ca="1">IF(ISERROR(IF(O2649&lt;fi_h/20,0,(OFFSET('Base de dados'!$A$5,IF(O2649&lt;20,1,IF(O2649&gt;1000,10,MATCH(O2649,Cargas,1))),Coluna_fih,1,1))*(1+0.13*0.25)*(PI()*(fi_h/1000)^2/4)*SQRT(2*9.81*(O2649/100-fi_h/2/1000))*1000)),"",IF(O2649&lt;fi_h/20,0,(OFFSET('Base de dados'!$A$5,IF(O2649&lt;20,1,IF(O2649&gt;1000,10,MATCH(O2649,Cargas,1))),Coluna_fih,1,1))*(PI()*(fi_h/1000)^2/4)*SQRT(2*9.81*(O2649/100-fi_h/2/1000))*1000))</f>
        <v>69.063077670104178</v>
      </c>
      <c r="Q2649" s="19">
        <f ca="1">IF(O2649="","",IF(Tipo_Vertedor="Retangular",IF(O2649&lt;=cota_s*100,0,IF(Tipo_Vertedor="Retangular",Cd_sr*Lef_sr*((O2649/100-cota_s)^(3/2))*1000)),IF(O2649&lt;=cota_s*100+fi_s/20,0,(OFFSET('Base de dados'!$A$4,IF(O2649&lt;20,1,IF(O2649&gt;1000,10,MATCH(O2649,Cargas,1))),Coluna_fis,1,1))*(PI()*(fi_s/1000)^2/4)*(2*9.81*(O2649/100-cota_s-fi_s/2/1000))^0.5*1000)))</f>
        <v>16217.991818768191</v>
      </c>
      <c r="R2649" s="19">
        <f t="shared" ca="1" si="295"/>
        <v>16287.054896438294</v>
      </c>
      <c r="S2649" s="19">
        <f t="shared" ca="1" si="296"/>
        <v>16929.46336558622</v>
      </c>
    </row>
    <row r="2650" spans="13:19">
      <c r="M2650" s="81">
        <f t="shared" ca="1" si="293"/>
        <v>33233.824944813794</v>
      </c>
      <c r="N2650" s="19">
        <f t="shared" si="294"/>
        <v>508.09959835570805</v>
      </c>
      <c r="O2650" s="17">
        <f t="shared" si="292"/>
        <v>662.25</v>
      </c>
      <c r="P2650" s="19">
        <f ca="1">IF(ISERROR(IF(O2650&lt;fi_h/20,0,(OFFSET('Base de dados'!$A$5,IF(O2650&lt;20,1,IF(O2650&gt;1000,10,MATCH(O2650,Cargas,1))),Coluna_fih,1,1))*(1+0.13*0.25)*(PI()*(fi_h/1000)^2/4)*SQRT(2*9.81*(O2650/100-fi_h/2/1000))*1000)),"",IF(O2650&lt;fi_h/20,0,(OFFSET('Base de dados'!$A$5,IF(O2650&lt;20,1,IF(O2650&gt;1000,10,MATCH(O2650,Cargas,1))),Coluna_fih,1,1))*(PI()*(fi_h/1000)^2/4)*SQRT(2*9.81*(O2650/100-fi_h/2/1000))*1000))</f>
        <v>69.076229085217179</v>
      </c>
      <c r="Q2650" s="19">
        <f ca="1">IF(O2650="","",IF(Tipo_Vertedor="Retangular",IF(O2650&lt;=cota_s*100,0,IF(Tipo_Vertedor="Retangular",Cd_sr*Lef_sr*((O2650/100-cota_s)^(3/2))*1000)),IF(O2650&lt;=cota_s*100+fi_s/20,0,(OFFSET('Base de dados'!$A$4,IF(O2650&lt;20,1,IF(O2650&gt;1000,10,MATCH(O2650,Cargas,1))),Coluna_fis,1,1))*(PI()*(fi_s/1000)^2/4)*(2*9.81*(O2650/100-cota_s-fi_s/2/1000))^0.5*1000)))</f>
        <v>16228.095437204978</v>
      </c>
      <c r="R2650" s="19">
        <f t="shared" ca="1" si="295"/>
        <v>16297.171666290196</v>
      </c>
      <c r="S2650" s="19">
        <f t="shared" ca="1" si="296"/>
        <v>16936.653278523601</v>
      </c>
    </row>
    <row r="2651" spans="13:19">
      <c r="M2651" s="81">
        <f t="shared" ca="1" si="293"/>
        <v>33251.134060501659</v>
      </c>
      <c r="N2651" s="19">
        <f t="shared" si="294"/>
        <v>508.31530588766242</v>
      </c>
      <c r="O2651" s="17">
        <f t="shared" si="292"/>
        <v>662.5</v>
      </c>
      <c r="P2651" s="19">
        <f ca="1">IF(ISERROR(IF(O2651&lt;fi_h/20,0,(OFFSET('Base de dados'!$A$5,IF(O2651&lt;20,1,IF(O2651&gt;1000,10,MATCH(O2651,Cargas,1))),Coluna_fih,1,1))*(1+0.13*0.25)*(PI()*(fi_h/1000)^2/4)*SQRT(2*9.81*(O2651/100-fi_h/2/1000))*1000)),"",IF(O2651&lt;fi_h/20,0,(OFFSET('Base de dados'!$A$5,IF(O2651&lt;20,1,IF(O2651&gt;1000,10,MATCH(O2651,Cargas,1))),Coluna_fih,1,1))*(PI()*(fi_h/1000)^2/4)*SQRT(2*9.81*(O2651/100-fi_h/2/1000))*1000))</f>
        <v>69.0893779969104</v>
      </c>
      <c r="Q2651" s="19">
        <f ca="1">IF(O2651="","",IF(Tipo_Vertedor="Retangular",IF(O2651&lt;=cota_s*100,0,IF(Tipo_Vertedor="Retangular",Cd_sr*Lef_sr*((O2651/100-cota_s)^(3/2))*1000)),IF(O2651&lt;=cota_s*100+fi_s/20,0,(OFFSET('Base de dados'!$A$4,IF(O2651&lt;20,1,IF(O2651&gt;1000,10,MATCH(O2651,Cargas,1))),Coluna_fis,1,1))*(PI()*(fi_s/1000)^2/4)*(2*9.81*(O2651/100-cota_s-fi_s/2/1000))^0.5*1000)))</f>
        <v>16238.201152916001</v>
      </c>
      <c r="R2651" s="19">
        <f t="shared" ca="1" si="295"/>
        <v>16307.290530912911</v>
      </c>
      <c r="S2651" s="19">
        <f t="shared" ca="1" si="296"/>
        <v>16943.843529588747</v>
      </c>
    </row>
    <row r="2652" spans="13:19">
      <c r="M2652" s="81">
        <f t="shared" ca="1" si="293"/>
        <v>33268.445608542643</v>
      </c>
      <c r="N2652" s="19">
        <f t="shared" si="294"/>
        <v>508.53102356009799</v>
      </c>
      <c r="O2652" s="17">
        <f t="shared" si="292"/>
        <v>662.75</v>
      </c>
      <c r="P2652" s="19">
        <f ca="1">IF(ISERROR(IF(O2652&lt;fi_h/20,0,(OFFSET('Base de dados'!$A$5,IF(O2652&lt;20,1,IF(O2652&gt;1000,10,MATCH(O2652,Cargas,1))),Coluna_fih,1,1))*(1+0.13*0.25)*(PI()*(fi_h/1000)^2/4)*SQRT(2*9.81*(O2652/100-fi_h/2/1000))*1000)),"",IF(O2652&lt;fi_h/20,0,(OFFSET('Base de dados'!$A$5,IF(O2652&lt;20,1,IF(O2652&gt;1000,10,MATCH(O2652,Cargas,1))),Coluna_fih,1,1))*(PI()*(fi_h/1000)^2/4)*SQRT(2*9.81*(O2652/100-fi_h/2/1000))*1000))</f>
        <v>69.102524406612886</v>
      </c>
      <c r="Q2652" s="19">
        <f ca="1">IF(O2652="","",IF(Tipo_Vertedor="Retangular",IF(O2652&lt;=cota_s*100,0,IF(Tipo_Vertedor="Retangular",Cd_sr*Lef_sr*((O2652/100-cota_s)^(3/2))*1000)),IF(O2652&lt;=cota_s*100+fi_s/20,0,(OFFSET('Base de dados'!$A$4,IF(O2652&lt;20,1,IF(O2652&gt;1000,10,MATCH(O2652,Cargas,1))),Coluna_fis,1,1))*(PI()*(fi_s/1000)^2/4)*(2*9.81*(O2652/100-cota_s-fi_s/2/1000))^0.5*1000)))</f>
        <v>16248.308965466094</v>
      </c>
      <c r="R2652" s="19">
        <f t="shared" ca="1" si="295"/>
        <v>16317.411489872708</v>
      </c>
      <c r="S2652" s="19">
        <f t="shared" ca="1" si="296"/>
        <v>16951.034118669933</v>
      </c>
    </row>
    <row r="2653" spans="13:19">
      <c r="M2653" s="81">
        <f t="shared" ca="1" si="293"/>
        <v>33285.759588391651</v>
      </c>
      <c r="N2653" s="19">
        <f t="shared" si="294"/>
        <v>508.74675136966619</v>
      </c>
      <c r="O2653" s="17">
        <f t="shared" si="292"/>
        <v>663</v>
      </c>
      <c r="P2653" s="19">
        <f ca="1">IF(ISERROR(IF(O2653&lt;fi_h/20,0,(OFFSET('Base de dados'!$A$5,IF(O2653&lt;20,1,IF(O2653&gt;1000,10,MATCH(O2653,Cargas,1))),Coluna_fih,1,1))*(1+0.13*0.25)*(PI()*(fi_h/1000)^2/4)*SQRT(2*9.81*(O2653/100-fi_h/2/1000))*1000)),"",IF(O2653&lt;fi_h/20,0,(OFFSET('Base de dados'!$A$5,IF(O2653&lt;20,1,IF(O2653&gt;1000,10,MATCH(O2653,Cargas,1))),Coluna_fih,1,1))*(PI()*(fi_h/1000)^2/4)*SQRT(2*9.81*(O2653/100-fi_h/2/1000))*1000))</f>
        <v>69.11566831575233</v>
      </c>
      <c r="Q2653" s="19">
        <f ca="1">IF(O2653="","",IF(Tipo_Vertedor="Retangular",IF(O2653&lt;=cota_s*100,0,IF(Tipo_Vertedor="Retangular",Cd_sr*Lef_sr*((O2653/100-cota_s)^(3/2))*1000)),IF(O2653&lt;=cota_s*100+fi_s/20,0,(OFFSET('Base de dados'!$A$4,IF(O2653&lt;20,1,IF(O2653&gt;1000,10,MATCH(O2653,Cargas,1))),Coluna_fis,1,1))*(PI()*(fi_s/1000)^2/4)*(2*9.81*(O2653/100-cota_s-fi_s/2/1000))^0.5*1000)))</f>
        <v>16258.418874420357</v>
      </c>
      <c r="R2653" s="19">
        <f t="shared" ca="1" si="295"/>
        <v>16327.534542736108</v>
      </c>
      <c r="S2653" s="19">
        <f t="shared" ca="1" si="296"/>
        <v>16958.225045655541</v>
      </c>
    </row>
    <row r="2654" spans="13:19">
      <c r="M2654" s="81">
        <f t="shared" ca="1" si="293"/>
        <v>33303.075999503963</v>
      </c>
      <c r="N2654" s="19">
        <f t="shared" si="294"/>
        <v>508.96248931302097</v>
      </c>
      <c r="O2654" s="17">
        <f t="shared" si="292"/>
        <v>663.25</v>
      </c>
      <c r="P2654" s="19">
        <f ca="1">IF(ISERROR(IF(O2654&lt;fi_h/20,0,(OFFSET('Base de dados'!$A$5,IF(O2654&lt;20,1,IF(O2654&gt;1000,10,MATCH(O2654,Cargas,1))),Coluna_fih,1,1))*(1+0.13*0.25)*(PI()*(fi_h/1000)^2/4)*SQRT(2*9.81*(O2654/100-fi_h/2/1000))*1000)),"",IF(O2654&lt;fi_h/20,0,(OFFSET('Base de dados'!$A$5,IF(O2654&lt;20,1,IF(O2654&gt;1000,10,MATCH(O2654,Cargas,1))),Coluna_fih,1,1))*(PI()*(fi_h/1000)^2/4)*SQRT(2*9.81*(O2654/100-fi_h/2/1000))*1000))</f>
        <v>69.12880972575509</v>
      </c>
      <c r="Q2654" s="19">
        <f ca="1">IF(O2654="","",IF(Tipo_Vertedor="Retangular",IF(O2654&lt;=cota_s*100,0,IF(Tipo_Vertedor="Retangular",Cd_sr*Lef_sr*((O2654/100-cota_s)^(3/2))*1000)),IF(O2654&lt;=cota_s*100+fi_s/20,0,(OFFSET('Base de dados'!$A$4,IF(O2654&lt;20,1,IF(O2654&gt;1000,10,MATCH(O2654,Cargas,1))),Coluna_fis,1,1))*(PI()*(fi_s/1000)^2/4)*(2*9.81*(O2654/100-cota_s-fi_s/2/1000))^0.5*1000)))</f>
        <v>16268.530879344173</v>
      </c>
      <c r="R2654" s="19">
        <f t="shared" ca="1" si="295"/>
        <v>16337.659689069927</v>
      </c>
      <c r="S2654" s="19">
        <f t="shared" ca="1" si="296"/>
        <v>16965.416310434033</v>
      </c>
    </row>
    <row r="2655" spans="13:19">
      <c r="M2655" s="81">
        <f t="shared" ca="1" si="293"/>
        <v>33320.394841335183</v>
      </c>
      <c r="N2655" s="19">
        <f t="shared" si="294"/>
        <v>509.17823738681835</v>
      </c>
      <c r="O2655" s="17">
        <f t="shared" si="292"/>
        <v>663.5</v>
      </c>
      <c r="P2655" s="19">
        <f ca="1">IF(ISERROR(IF(O2655&lt;fi_h/20,0,(OFFSET('Base de dados'!$A$5,IF(O2655&lt;20,1,IF(O2655&gt;1000,10,MATCH(O2655,Cargas,1))),Coluna_fih,1,1))*(1+0.13*0.25)*(PI()*(fi_h/1000)^2/4)*SQRT(2*9.81*(O2655/100-fi_h/2/1000))*1000)),"",IF(O2655&lt;fi_h/20,0,(OFFSET('Base de dados'!$A$5,IF(O2655&lt;20,1,IF(O2655&gt;1000,10,MATCH(O2655,Cargas,1))),Coluna_fih,1,1))*(PI()*(fi_h/1000)^2/4)*SQRT(2*9.81*(O2655/100-fi_h/2/1000))*1000))</f>
        <v>69.141948638046159</v>
      </c>
      <c r="Q2655" s="19">
        <f ca="1">IF(O2655="","",IF(Tipo_Vertedor="Retangular",IF(O2655&lt;=cota_s*100,0,IF(Tipo_Vertedor="Retangular",Cd_sr*Lef_sr*((O2655/100-cota_s)^(3/2))*1000)),IF(O2655&lt;=cota_s*100+fi_s/20,0,(OFFSET('Base de dados'!$A$4,IF(O2655&lt;20,1,IF(O2655&gt;1000,10,MATCH(O2655,Cargas,1))),Coluna_fis,1,1))*(PI()*(fi_s/1000)^2/4)*(2*9.81*(O2655/100-cota_s-fi_s/2/1000))^0.5*1000)))</f>
        <v>16278.644979803194</v>
      </c>
      <c r="R2655" s="19">
        <f t="shared" ca="1" si="295"/>
        <v>16347.786928441239</v>
      </c>
      <c r="S2655" s="19">
        <f t="shared" ca="1" si="296"/>
        <v>16972.607912893945</v>
      </c>
    </row>
    <row r="2656" spans="13:19">
      <c r="M2656" s="81">
        <f t="shared" ca="1" si="293"/>
        <v>33337.716113341245</v>
      </c>
      <c r="N2656" s="19">
        <f t="shared" si="294"/>
        <v>509.39399558771606</v>
      </c>
      <c r="O2656" s="17">
        <f t="shared" si="292"/>
        <v>663.75</v>
      </c>
      <c r="P2656" s="19">
        <f ca="1">IF(ISERROR(IF(O2656&lt;fi_h/20,0,(OFFSET('Base de dados'!$A$5,IF(O2656&lt;20,1,IF(O2656&gt;1000,10,MATCH(O2656,Cargas,1))),Coluna_fih,1,1))*(1+0.13*0.25)*(PI()*(fi_h/1000)^2/4)*SQRT(2*9.81*(O2656/100-fi_h/2/1000))*1000)),"",IF(O2656&lt;fi_h/20,0,(OFFSET('Base de dados'!$A$5,IF(O2656&lt;20,1,IF(O2656&gt;1000,10,MATCH(O2656,Cargas,1))),Coluna_fih,1,1))*(PI()*(fi_h/1000)^2/4)*SQRT(2*9.81*(O2656/100-fi_h/2/1000))*1000))</f>
        <v>69.155085054049181</v>
      </c>
      <c r="Q2656" s="19">
        <f ca="1">IF(O2656="","",IF(Tipo_Vertedor="Retangular",IF(O2656&lt;=cota_s*100,0,IF(Tipo_Vertedor="Retangular",Cd_sr*Lef_sr*((O2656/100-cota_s)^(3/2))*1000)),IF(O2656&lt;=cota_s*100+fi_s/20,0,(OFFSET('Base de dados'!$A$4,IF(O2656&lt;20,1,IF(O2656&gt;1000,10,MATCH(O2656,Cargas,1))),Coluna_fis,1,1))*(PI()*(fi_s/1000)^2/4)*(2*9.81*(O2656/100-cota_s-fi_s/2/1000))^0.5*1000)))</f>
        <v>16288.761175363326</v>
      </c>
      <c r="R2656" s="19">
        <f t="shared" ca="1" si="295"/>
        <v>16357.916260417376</v>
      </c>
      <c r="S2656" s="19">
        <f t="shared" ca="1" si="296"/>
        <v>16979.799852923868</v>
      </c>
    </row>
    <row r="2657" spans="13:19">
      <c r="M2657" s="81">
        <f t="shared" ca="1" si="293"/>
        <v>33355.039814978467</v>
      </c>
      <c r="N2657" s="19">
        <f t="shared" si="294"/>
        <v>509.60976391237563</v>
      </c>
      <c r="O2657" s="17">
        <f t="shared" si="292"/>
        <v>664</v>
      </c>
      <c r="P2657" s="19">
        <f ca="1">IF(ISERROR(IF(O2657&lt;fi_h/20,0,(OFFSET('Base de dados'!$A$5,IF(O2657&lt;20,1,IF(O2657&gt;1000,10,MATCH(O2657,Cargas,1))),Coluna_fih,1,1))*(1+0.13*0.25)*(PI()*(fi_h/1000)^2/4)*SQRT(2*9.81*(O2657/100-fi_h/2/1000))*1000)),"",IF(O2657&lt;fi_h/20,0,(OFFSET('Base de dados'!$A$5,IF(O2657&lt;20,1,IF(O2657&gt;1000,10,MATCH(O2657,Cargas,1))),Coluna_fih,1,1))*(PI()*(fi_h/1000)^2/4)*SQRT(2*9.81*(O2657/100-fi_h/2/1000))*1000))</f>
        <v>69.16821897518642</v>
      </c>
      <c r="Q2657" s="19">
        <f ca="1">IF(O2657="","",IF(Tipo_Vertedor="Retangular",IF(O2657&lt;=cota_s*100,0,IF(Tipo_Vertedor="Retangular",Cd_sr*Lef_sr*((O2657/100-cota_s)^(3/2))*1000)),IF(O2657&lt;=cota_s*100+fi_s/20,0,(OFFSET('Base de dados'!$A$4,IF(O2657&lt;20,1,IF(O2657&gt;1000,10,MATCH(O2657,Cargas,1))),Coluna_fis,1,1))*(PI()*(fi_s/1000)^2/4)*(2*9.81*(O2657/100-cota_s-fi_s/2/1000))^0.5*1000)))</f>
        <v>16298.879465590759</v>
      </c>
      <c r="R2657" s="19">
        <f t="shared" ca="1" si="295"/>
        <v>16368.047684565945</v>
      </c>
      <c r="S2657" s="19">
        <f t="shared" ca="1" si="296"/>
        <v>16986.99213041252</v>
      </c>
    </row>
    <row r="2658" spans="13:19">
      <c r="M2658" s="81">
        <f t="shared" ca="1" si="293"/>
        <v>33372.365945703496</v>
      </c>
      <c r="N2658" s="19">
        <f t="shared" si="294"/>
        <v>509.82554235745999</v>
      </c>
      <c r="O2658" s="17">
        <f t="shared" si="292"/>
        <v>664.25</v>
      </c>
      <c r="P2658" s="19">
        <f ca="1">IF(ISERROR(IF(O2658&lt;fi_h/20,0,(OFFSET('Base de dados'!$A$5,IF(O2658&lt;20,1,IF(O2658&gt;1000,10,MATCH(O2658,Cargas,1))),Coluna_fih,1,1))*(1+0.13*0.25)*(PI()*(fi_h/1000)^2/4)*SQRT(2*9.81*(O2658/100-fi_h/2/1000))*1000)),"",IF(O2658&lt;fi_h/20,0,(OFFSET('Base de dados'!$A$5,IF(O2658&lt;20,1,IF(O2658&gt;1000,10,MATCH(O2658,Cargas,1))),Coluna_fih,1,1))*(PI()*(fi_h/1000)^2/4)*SQRT(2*9.81*(O2658/100-fi_h/2/1000))*1000))</f>
        <v>69.18135040287882</v>
      </c>
      <c r="Q2658" s="19">
        <f ca="1">IF(O2658="","",IF(Tipo_Vertedor="Retangular",IF(O2658&lt;=cota_s*100,0,IF(Tipo_Vertedor="Retangular",Cd_sr*Lef_sr*((O2658/100-cota_s)^(3/2))*1000)),IF(O2658&lt;=cota_s*100+fi_s/20,0,(OFFSET('Base de dados'!$A$4,IF(O2658&lt;20,1,IF(O2658&gt;1000,10,MATCH(O2658,Cargas,1))),Coluna_fis,1,1))*(PI()*(fi_s/1000)^2/4)*(2*9.81*(O2658/100-cota_s-fi_s/2/1000))^0.5*1000)))</f>
        <v>16308.999850051954</v>
      </c>
      <c r="R2658" s="19">
        <f t="shared" ca="1" si="295"/>
        <v>16378.181200454834</v>
      </c>
      <c r="S2658" s="19">
        <f t="shared" ca="1" si="296"/>
        <v>16994.184745248665</v>
      </c>
    </row>
    <row r="2659" spans="13:19">
      <c r="M2659" s="81">
        <f t="shared" ca="1" si="293"/>
        <v>33389.694504973319</v>
      </c>
      <c r="N2659" s="19">
        <f t="shared" si="294"/>
        <v>510.04133091963416</v>
      </c>
      <c r="O2659" s="17">
        <f t="shared" si="292"/>
        <v>664.5</v>
      </c>
      <c r="P2659" s="19">
        <f ca="1">IF(ISERROR(IF(O2659&lt;fi_h/20,0,(OFFSET('Base de dados'!$A$5,IF(O2659&lt;20,1,IF(O2659&gt;1000,10,MATCH(O2659,Cargas,1))),Coluna_fih,1,1))*(1+0.13*0.25)*(PI()*(fi_h/1000)^2/4)*SQRT(2*9.81*(O2659/100-fi_h/2/1000))*1000)),"",IF(O2659&lt;fi_h/20,0,(OFFSET('Base de dados'!$A$5,IF(O2659&lt;20,1,IF(O2659&gt;1000,10,MATCH(O2659,Cargas,1))),Coluna_fih,1,1))*(PI()*(fi_h/1000)^2/4)*SQRT(2*9.81*(O2659/100-fi_h/2/1000))*1000))</f>
        <v>69.19447933854596</v>
      </c>
      <c r="Q2659" s="19">
        <f ca="1">IF(O2659="","",IF(Tipo_Vertedor="Retangular",IF(O2659&lt;=cota_s*100,0,IF(Tipo_Vertedor="Retangular",Cd_sr*Lef_sr*((O2659/100-cota_s)^(3/2))*1000)),IF(O2659&lt;=cota_s*100+fi_s/20,0,(OFFSET('Base de dados'!$A$4,IF(O2659&lt;20,1,IF(O2659&gt;1000,10,MATCH(O2659,Cargas,1))),Coluna_fis,1,1))*(PI()*(fi_s/1000)^2/4)*(2*9.81*(O2659/100-cota_s-fi_s/2/1000))^0.5*1000)))</f>
        <v>16319.122328313633</v>
      </c>
      <c r="R2659" s="19">
        <f t="shared" ca="1" si="295"/>
        <v>16388.31680765218</v>
      </c>
      <c r="S2659" s="19">
        <f t="shared" ca="1" si="296"/>
        <v>17001.377697321139</v>
      </c>
    </row>
    <row r="2660" spans="13:19">
      <c r="M2660" s="81">
        <f t="shared" ca="1" si="293"/>
        <v>33407.025492245259</v>
      </c>
      <c r="N2660" s="19">
        <f t="shared" si="294"/>
        <v>510.25712959556603</v>
      </c>
      <c r="O2660" s="17">
        <f t="shared" si="292"/>
        <v>664.75</v>
      </c>
      <c r="P2660" s="19">
        <f ca="1">IF(ISERROR(IF(O2660&lt;fi_h/20,0,(OFFSET('Base de dados'!$A$5,IF(O2660&lt;20,1,IF(O2660&gt;1000,10,MATCH(O2660,Cargas,1))),Coluna_fih,1,1))*(1+0.13*0.25)*(PI()*(fi_h/1000)^2/4)*SQRT(2*9.81*(O2660/100-fi_h/2/1000))*1000)),"",IF(O2660&lt;fi_h/20,0,(OFFSET('Base de dados'!$A$5,IF(O2660&lt;20,1,IF(O2660&gt;1000,10,MATCH(O2660,Cargas,1))),Coluna_fih,1,1))*(PI()*(fi_h/1000)^2/4)*SQRT(2*9.81*(O2660/100-fi_h/2/1000))*1000))</f>
        <v>69.20760578360607</v>
      </c>
      <c r="Q2660" s="19">
        <f ca="1">IF(O2660="","",IF(Tipo_Vertedor="Retangular",IF(O2660&lt;=cota_s*100,0,IF(Tipo_Vertedor="Retangular",Cd_sr*Lef_sr*((O2660/100-cota_s)^(3/2))*1000)),IF(O2660&lt;=cota_s*100+fi_s/20,0,(OFFSET('Base de dados'!$A$4,IF(O2660&lt;20,1,IF(O2660&gt;1000,10,MATCH(O2660,Cargas,1))),Coluna_fis,1,1))*(PI()*(fi_s/1000)^2/4)*(2*9.81*(O2660/100-cota_s-fi_s/2/1000))^0.5*1000)))</f>
        <v>16329.246899942791</v>
      </c>
      <c r="R2660" s="19">
        <f t="shared" ca="1" si="295"/>
        <v>16398.454505726397</v>
      </c>
      <c r="S2660" s="19">
        <f t="shared" ca="1" si="296"/>
        <v>17008.570986518866</v>
      </c>
    </row>
    <row r="2661" spans="13:19">
      <c r="M2661" s="81">
        <f t="shared" ca="1" si="293"/>
        <v>33424.358906977053</v>
      </c>
      <c r="N2661" s="19">
        <f t="shared" si="294"/>
        <v>510.47293838192644</v>
      </c>
      <c r="O2661" s="17">
        <f t="shared" si="292"/>
        <v>665</v>
      </c>
      <c r="P2661" s="19">
        <f ca="1">IF(ISERROR(IF(O2661&lt;fi_h/20,0,(OFFSET('Base de dados'!$A$5,IF(O2661&lt;20,1,IF(O2661&gt;1000,10,MATCH(O2661,Cargas,1))),Coluna_fih,1,1))*(1+0.13*0.25)*(PI()*(fi_h/1000)^2/4)*SQRT(2*9.81*(O2661/100-fi_h/2/1000))*1000)),"",IF(O2661&lt;fi_h/20,0,(OFFSET('Base de dados'!$A$5,IF(O2661&lt;20,1,IF(O2661&gt;1000,10,MATCH(O2661,Cargas,1))),Coluna_fih,1,1))*(PI()*(fi_h/1000)^2/4)*SQRT(2*9.81*(O2661/100-fi_h/2/1000))*1000))</f>
        <v>69.22072973947607</v>
      </c>
      <c r="Q2661" s="19">
        <f ca="1">IF(O2661="","",IF(Tipo_Vertedor="Retangular",IF(O2661&lt;=cota_s*100,0,IF(Tipo_Vertedor="Retangular",Cd_sr*Lef_sr*((O2661/100-cota_s)^(3/2))*1000)),IF(O2661&lt;=cota_s*100+fi_s/20,0,(OFFSET('Base de dados'!$A$4,IF(O2661&lt;20,1,IF(O2661&gt;1000,10,MATCH(O2661,Cargas,1))),Coluna_fis,1,1))*(PI()*(fi_s/1000)^2/4)*(2*9.81*(O2661/100-cota_s-fi_s/2/1000))^0.5*1000)))</f>
        <v>16339.373564506697</v>
      </c>
      <c r="R2661" s="19">
        <f t="shared" ca="1" si="295"/>
        <v>16408.594294246173</v>
      </c>
      <c r="S2661" s="19">
        <f t="shared" ca="1" si="296"/>
        <v>17015.76461273088</v>
      </c>
    </row>
    <row r="2662" spans="13:19">
      <c r="M2662" s="81">
        <f t="shared" ca="1" si="293"/>
        <v>33441.694748626665</v>
      </c>
      <c r="N2662" s="19">
        <f t="shared" si="294"/>
        <v>510.68875727538699</v>
      </c>
      <c r="O2662" s="17">
        <f t="shared" si="292"/>
        <v>665.25</v>
      </c>
      <c r="P2662" s="19">
        <f ca="1">IF(ISERROR(IF(O2662&lt;fi_h/20,0,(OFFSET('Base de dados'!$A$5,IF(O2662&lt;20,1,IF(O2662&gt;1000,10,MATCH(O2662,Cargas,1))),Coluna_fih,1,1))*(1+0.13*0.25)*(PI()*(fi_h/1000)^2/4)*SQRT(2*9.81*(O2662/100-fi_h/2/1000))*1000)),"",IF(O2662&lt;fi_h/20,0,(OFFSET('Base de dados'!$A$5,IF(O2662&lt;20,1,IF(O2662&gt;1000,10,MATCH(O2662,Cargas,1))),Coluna_fih,1,1))*(PI()*(fi_h/1000)^2/4)*SQRT(2*9.81*(O2662/100-fi_h/2/1000))*1000))</f>
        <v>69.23385120757149</v>
      </c>
      <c r="Q2662" s="19">
        <f ca="1">IF(O2662="","",IF(Tipo_Vertedor="Retangular",IF(O2662&lt;=cota_s*100,0,IF(Tipo_Vertedor="Retangular",Cd_sr*Lef_sr*((O2662/100-cota_s)^(3/2))*1000)),IF(O2662&lt;=cota_s*100+fi_s/20,0,(OFFSET('Base de dados'!$A$4,IF(O2662&lt;20,1,IF(O2662&gt;1000,10,MATCH(O2662,Cargas,1))),Coluna_fis,1,1))*(PI()*(fi_s/1000)^2/4)*(2*9.81*(O2662/100-cota_s-fi_s/2/1000))^0.5*1000)))</f>
        <v>16349.50232157286</v>
      </c>
      <c r="R2662" s="19">
        <f t="shared" ca="1" si="295"/>
        <v>16418.736172780431</v>
      </c>
      <c r="S2662" s="19">
        <f t="shared" ca="1" si="296"/>
        <v>17022.958575846234</v>
      </c>
    </row>
    <row r="2663" spans="13:19">
      <c r="M2663" s="81">
        <f t="shared" ca="1" si="293"/>
        <v>33459.033016652531</v>
      </c>
      <c r="N2663" s="19">
        <f t="shared" si="294"/>
        <v>510.90458627262342</v>
      </c>
      <c r="O2663" s="17">
        <f t="shared" si="292"/>
        <v>665.5</v>
      </c>
      <c r="P2663" s="19">
        <f ca="1">IF(ISERROR(IF(O2663&lt;fi_h/20,0,(OFFSET('Base de dados'!$A$5,IF(O2663&lt;20,1,IF(O2663&gt;1000,10,MATCH(O2663,Cargas,1))),Coluna_fih,1,1))*(1+0.13*0.25)*(PI()*(fi_h/1000)^2/4)*SQRT(2*9.81*(O2663/100-fi_h/2/1000))*1000)),"",IF(O2663&lt;fi_h/20,0,(OFFSET('Base de dados'!$A$5,IF(O2663&lt;20,1,IF(O2663&gt;1000,10,MATCH(O2663,Cargas,1))),Coluna_fih,1,1))*(PI()*(fi_h/1000)^2/4)*SQRT(2*9.81*(O2663/100-fi_h/2/1000))*1000))</f>
        <v>69.246970189306566</v>
      </c>
      <c r="Q2663" s="19">
        <f ca="1">IF(O2663="","",IF(Tipo_Vertedor="Retangular",IF(O2663&lt;=cota_s*100,0,IF(Tipo_Vertedor="Retangular",Cd_sr*Lef_sr*((O2663/100-cota_s)^(3/2))*1000)),IF(O2663&lt;=cota_s*100+fi_s/20,0,(OFFSET('Base de dados'!$A$4,IF(O2663&lt;20,1,IF(O2663&gt;1000,10,MATCH(O2663,Cargas,1))),Coluna_fis,1,1))*(PI()*(fi_s/1000)^2/4)*(2*9.81*(O2663/100-cota_s-fi_s/2/1000))^0.5*1000)))</f>
        <v>16359.63317070911</v>
      </c>
      <c r="R2663" s="19">
        <f t="shared" ca="1" si="295"/>
        <v>16428.880140898418</v>
      </c>
      <c r="S2663" s="19">
        <f t="shared" ca="1" si="296"/>
        <v>17030.152875754113</v>
      </c>
    </row>
    <row r="2664" spans="13:19">
      <c r="M2664" s="81">
        <f t="shared" ca="1" si="293"/>
        <v>33476.373710513304</v>
      </c>
      <c r="N2664" s="19">
        <f t="shared" si="294"/>
        <v>511.12042537031192</v>
      </c>
      <c r="O2664" s="17">
        <f t="shared" si="292"/>
        <v>665.75</v>
      </c>
      <c r="P2664" s="19">
        <f ca="1">IF(ISERROR(IF(O2664&lt;fi_h/20,0,(OFFSET('Base de dados'!$A$5,IF(O2664&lt;20,1,IF(O2664&gt;1000,10,MATCH(O2664,Cargas,1))),Coluna_fih,1,1))*(1+0.13*0.25)*(PI()*(fi_h/1000)^2/4)*SQRT(2*9.81*(O2664/100-fi_h/2/1000))*1000)),"",IF(O2664&lt;fi_h/20,0,(OFFSET('Base de dados'!$A$5,IF(O2664&lt;20,1,IF(O2664&gt;1000,10,MATCH(O2664,Cargas,1))),Coluna_fih,1,1))*(PI()*(fi_h/1000)^2/4)*SQRT(2*9.81*(O2664/100-fi_h/2/1000))*1000))</f>
        <v>69.260086686094127</v>
      </c>
      <c r="Q2664" s="19">
        <f ca="1">IF(O2664="","",IF(Tipo_Vertedor="Retangular",IF(O2664&lt;=cota_s*100,0,IF(Tipo_Vertedor="Retangular",Cd_sr*Lef_sr*((O2664/100-cota_s)^(3/2))*1000)),IF(O2664&lt;=cota_s*100+fi_s/20,0,(OFFSET('Base de dados'!$A$4,IF(O2664&lt;20,1,IF(O2664&gt;1000,10,MATCH(O2664,Cargas,1))),Coluna_fis,1,1))*(PI()*(fi_s/1000)^2/4)*(2*9.81*(O2664/100-cota_s-fi_s/2/1000))^0.5*1000)))</f>
        <v>16369.766111483483</v>
      </c>
      <c r="R2664" s="19">
        <f t="shared" ca="1" si="295"/>
        <v>16439.026198169577</v>
      </c>
      <c r="S2664" s="19">
        <f t="shared" ca="1" si="296"/>
        <v>17037.347512343731</v>
      </c>
    </row>
    <row r="2665" spans="13:19">
      <c r="M2665" s="81">
        <f t="shared" ca="1" si="293"/>
        <v>33493.716829668105</v>
      </c>
      <c r="N2665" s="19">
        <f t="shared" si="294"/>
        <v>511.33627456513301</v>
      </c>
      <c r="O2665" s="17">
        <f t="shared" si="292"/>
        <v>666</v>
      </c>
      <c r="P2665" s="19">
        <f ca="1">IF(ISERROR(IF(O2665&lt;fi_h/20,0,(OFFSET('Base de dados'!$A$5,IF(O2665&lt;20,1,IF(O2665&gt;1000,10,MATCH(O2665,Cargas,1))),Coluna_fih,1,1))*(1+0.13*0.25)*(PI()*(fi_h/1000)^2/4)*SQRT(2*9.81*(O2665/100-fi_h/2/1000))*1000)),"",IF(O2665&lt;fi_h/20,0,(OFFSET('Base de dados'!$A$5,IF(O2665&lt;20,1,IF(O2665&gt;1000,10,MATCH(O2665,Cargas,1))),Coluna_fih,1,1))*(PI()*(fi_h/1000)^2/4)*SQRT(2*9.81*(O2665/100-fi_h/2/1000))*1000))</f>
        <v>69.27320069934575</v>
      </c>
      <c r="Q2665" s="19">
        <f ca="1">IF(O2665="","",IF(Tipo_Vertedor="Retangular",IF(O2665&lt;=cota_s*100,0,IF(Tipo_Vertedor="Retangular",Cd_sr*Lef_sr*((O2665/100-cota_s)^(3/2))*1000)),IF(O2665&lt;=cota_s*100+fi_s/20,0,(OFFSET('Base de dados'!$A$4,IF(O2665&lt;20,1,IF(O2665&gt;1000,10,MATCH(O2665,Cargas,1))),Coluna_fis,1,1))*(PI()*(fi_s/1000)^2/4)*(2*9.81*(O2665/100-cota_s-fi_s/2/1000))^0.5*1000)))</f>
        <v>16379.901143464327</v>
      </c>
      <c r="R2665" s="19">
        <f t="shared" ca="1" si="295"/>
        <v>16449.174344163672</v>
      </c>
      <c r="S2665" s="19">
        <f t="shared" ca="1" si="296"/>
        <v>17044.542485504433</v>
      </c>
    </row>
    <row r="2666" spans="13:19">
      <c r="M2666" s="81">
        <f t="shared" ca="1" si="293"/>
        <v>33511.062373576322</v>
      </c>
      <c r="N2666" s="19">
        <f t="shared" si="294"/>
        <v>511.55213385376788</v>
      </c>
      <c r="O2666" s="17">
        <f t="shared" si="292"/>
        <v>666.25</v>
      </c>
      <c r="P2666" s="19">
        <f ca="1">IF(ISERROR(IF(O2666&lt;fi_h/20,0,(OFFSET('Base de dados'!$A$5,IF(O2666&lt;20,1,IF(O2666&gt;1000,10,MATCH(O2666,Cargas,1))),Coluna_fih,1,1))*(1+0.13*0.25)*(PI()*(fi_h/1000)^2/4)*SQRT(2*9.81*(O2666/100-fi_h/2/1000))*1000)),"",IF(O2666&lt;fi_h/20,0,(OFFSET('Base de dados'!$A$5,IF(O2666&lt;20,1,IF(O2666&gt;1000,10,MATCH(O2666,Cargas,1))),Coluna_fih,1,1))*(PI()*(fi_h/1000)^2/4)*SQRT(2*9.81*(O2666/100-fi_h/2/1000))*1000))</f>
        <v>69.286312230471594</v>
      </c>
      <c r="Q2666" s="19">
        <f ca="1">IF(O2666="","",IF(Tipo_Vertedor="Retangular",IF(O2666&lt;=cota_s*100,0,IF(Tipo_Vertedor="Retangular",Cd_sr*Lef_sr*((O2666/100-cota_s)^(3/2))*1000)),IF(O2666&lt;=cota_s*100+fi_s/20,0,(OFFSET('Base de dados'!$A$4,IF(O2666&lt;20,1,IF(O2666&gt;1000,10,MATCH(O2666,Cargas,1))),Coluna_fis,1,1))*(PI()*(fi_s/1000)^2/4)*(2*9.81*(O2666/100-cota_s-fi_s/2/1000))^0.5*1000)))</f>
        <v>16390.038266220254</v>
      </c>
      <c r="R2666" s="19">
        <f t="shared" ca="1" si="295"/>
        <v>16459.324578450723</v>
      </c>
      <c r="S2666" s="19">
        <f t="shared" ca="1" si="296"/>
        <v>17051.737795125595</v>
      </c>
    </row>
    <row r="2667" spans="13:19">
      <c r="M2667" s="81">
        <f t="shared" ca="1" si="293"/>
        <v>33528.410341697687</v>
      </c>
      <c r="N2667" s="19">
        <f t="shared" si="294"/>
        <v>511.76800323290098</v>
      </c>
      <c r="O2667" s="17">
        <f t="shared" si="292"/>
        <v>666.5</v>
      </c>
      <c r="P2667" s="19">
        <f ca="1">IF(ISERROR(IF(O2667&lt;fi_h/20,0,(OFFSET('Base de dados'!$A$5,IF(O2667&lt;20,1,IF(O2667&gt;1000,10,MATCH(O2667,Cargas,1))),Coluna_fih,1,1))*(1+0.13*0.25)*(PI()*(fi_h/1000)^2/4)*SQRT(2*9.81*(O2667/100-fi_h/2/1000))*1000)),"",IF(O2667&lt;fi_h/20,0,(OFFSET('Base de dados'!$A$5,IF(O2667&lt;20,1,IF(O2667&gt;1000,10,MATCH(O2667,Cargas,1))),Coluna_fih,1,1))*(PI()*(fi_h/1000)^2/4)*SQRT(2*9.81*(O2667/100-fi_h/2/1000))*1000))</f>
        <v>69.299421280880537</v>
      </c>
      <c r="Q2667" s="19">
        <f ca="1">IF(O2667="","",IF(Tipo_Vertedor="Retangular",IF(O2667&lt;=cota_s*100,0,IF(Tipo_Vertedor="Retangular",Cd_sr*Lef_sr*((O2667/100-cota_s)^(3/2))*1000)),IF(O2667&lt;=cota_s*100+fi_s/20,0,(OFFSET('Base de dados'!$A$4,IF(O2667&lt;20,1,IF(O2667&gt;1000,10,MATCH(O2667,Cargas,1))),Coluna_fis,1,1))*(PI()*(fi_s/1000)^2/4)*(2*9.81*(O2667/100-cota_s-fi_s/2/1000))^0.5*1000)))</f>
        <v>16400.177479320111</v>
      </c>
      <c r="R2667" s="19">
        <f t="shared" ca="1" si="295"/>
        <v>16469.476900600992</v>
      </c>
      <c r="S2667" s="19">
        <f t="shared" ca="1" si="296"/>
        <v>17058.933441096699</v>
      </c>
    </row>
    <row r="2668" spans="13:19">
      <c r="M2668" s="81">
        <f t="shared" ca="1" si="293"/>
        <v>33545.76073349233</v>
      </c>
      <c r="N2668" s="19">
        <f t="shared" si="294"/>
        <v>511.98388269921895</v>
      </c>
      <c r="O2668" s="17">
        <f t="shared" si="292"/>
        <v>666.75</v>
      </c>
      <c r="P2668" s="19">
        <f ca="1">IF(ISERROR(IF(O2668&lt;fi_h/20,0,(OFFSET('Base de dados'!$A$5,IF(O2668&lt;20,1,IF(O2668&gt;1000,10,MATCH(O2668,Cargas,1))),Coluna_fih,1,1))*(1+0.13*0.25)*(PI()*(fi_h/1000)^2/4)*SQRT(2*9.81*(O2668/100-fi_h/2/1000))*1000)),"",IF(O2668&lt;fi_h/20,0,(OFFSET('Base de dados'!$A$5,IF(O2668&lt;20,1,IF(O2668&gt;1000,10,MATCH(O2668,Cargas,1))),Coluna_fih,1,1))*(PI()*(fi_h/1000)^2/4)*SQRT(2*9.81*(O2668/100-fi_h/2/1000))*1000))</f>
        <v>69.312527851980136</v>
      </c>
      <c r="Q2668" s="19">
        <f ca="1">IF(O2668="","",IF(Tipo_Vertedor="Retangular",IF(O2668&lt;=cota_s*100,0,IF(Tipo_Vertedor="Retangular",Cd_sr*Lef_sr*((O2668/100-cota_s)^(3/2))*1000)),IF(O2668&lt;=cota_s*100+fi_s/20,0,(OFFSET('Base de dados'!$A$4,IF(O2668&lt;20,1,IF(O2668&gt;1000,10,MATCH(O2668,Cargas,1))),Coluna_fis,1,1))*(PI()*(fi_s/1000)^2/4)*(2*9.81*(O2668/100-cota_s-fi_s/2/1000))^0.5*1000)))</f>
        <v>16410.318782333052</v>
      </c>
      <c r="R2668" s="19">
        <f t="shared" ca="1" si="295"/>
        <v>16479.631310185032</v>
      </c>
      <c r="S2668" s="19">
        <f t="shared" ca="1" si="296"/>
        <v>17066.129423307299</v>
      </c>
    </row>
    <row r="2669" spans="13:19">
      <c r="M2669" s="81">
        <f t="shared" ca="1" si="293"/>
        <v>33563.113548420646</v>
      </c>
      <c r="N2669" s="19">
        <f t="shared" si="294"/>
        <v>512.19977224941056</v>
      </c>
      <c r="O2669" s="17">
        <f t="shared" si="292"/>
        <v>667</v>
      </c>
      <c r="P2669" s="19">
        <f ca="1">IF(ISERROR(IF(O2669&lt;fi_h/20,0,(OFFSET('Base de dados'!$A$5,IF(O2669&lt;20,1,IF(O2669&gt;1000,10,MATCH(O2669,Cargas,1))),Coluna_fih,1,1))*(1+0.13*0.25)*(PI()*(fi_h/1000)^2/4)*SQRT(2*9.81*(O2669/100-fi_h/2/1000))*1000)),"",IF(O2669&lt;fi_h/20,0,(OFFSET('Base de dados'!$A$5,IF(O2669&lt;20,1,IF(O2669&gt;1000,10,MATCH(O2669,Cargas,1))),Coluna_fih,1,1))*(PI()*(fi_h/1000)^2/4)*SQRT(2*9.81*(O2669/100-fi_h/2/1000))*1000))</f>
        <v>69.325631945176568</v>
      </c>
      <c r="Q2669" s="19">
        <f ca="1">IF(O2669="","",IF(Tipo_Vertedor="Retangular",IF(O2669&lt;=cota_s*100,0,IF(Tipo_Vertedor="Retangular",Cd_sr*Lef_sr*((O2669/100-cota_s)^(3/2))*1000)),IF(O2669&lt;=cota_s*100+fi_s/20,0,(OFFSET('Base de dados'!$A$4,IF(O2669&lt;20,1,IF(O2669&gt;1000,10,MATCH(O2669,Cargas,1))),Coluna_fis,1,1))*(PI()*(fi_s/1000)^2/4)*(2*9.81*(O2669/100-cota_s-fi_s/2/1000))^0.5*1000)))</f>
        <v>16420.462174828455</v>
      </c>
      <c r="R2669" s="19">
        <f t="shared" ca="1" si="295"/>
        <v>16489.787806773631</v>
      </c>
      <c r="S2669" s="19">
        <f t="shared" ca="1" si="296"/>
        <v>17073.325741647019</v>
      </c>
    </row>
    <row r="2670" spans="13:19">
      <c r="M2670" s="81">
        <f t="shared" ca="1" si="293"/>
        <v>33580.468785943434</v>
      </c>
      <c r="N2670" s="19">
        <f t="shared" si="294"/>
        <v>512.41567188016677</v>
      </c>
      <c r="O2670" s="17">
        <f t="shared" si="292"/>
        <v>667.25</v>
      </c>
      <c r="P2670" s="19">
        <f ca="1">IF(ISERROR(IF(O2670&lt;fi_h/20,0,(OFFSET('Base de dados'!$A$5,IF(O2670&lt;20,1,IF(O2670&gt;1000,10,MATCH(O2670,Cargas,1))),Coluna_fih,1,1))*(1+0.13*0.25)*(PI()*(fi_h/1000)^2/4)*SQRT(2*9.81*(O2670/100-fi_h/2/1000))*1000)),"",IF(O2670&lt;fi_h/20,0,(OFFSET('Base de dados'!$A$5,IF(O2670&lt;20,1,IF(O2670&gt;1000,10,MATCH(O2670,Cargas,1))),Coluna_fih,1,1))*(PI()*(fi_h/1000)^2/4)*SQRT(2*9.81*(O2670/100-fi_h/2/1000))*1000))</f>
        <v>69.33873356187469</v>
      </c>
      <c r="Q2670" s="19">
        <f ca="1">IF(O2670="","",IF(Tipo_Vertedor="Retangular",IF(O2670&lt;=cota_s*100,0,IF(Tipo_Vertedor="Retangular",Cd_sr*Lef_sr*((O2670/100-cota_s)^(3/2))*1000)),IF(O2670&lt;=cota_s*100+fi_s/20,0,(OFFSET('Base de dados'!$A$4,IF(O2670&lt;20,1,IF(O2670&gt;1000,10,MATCH(O2670,Cargas,1))),Coluna_fis,1,1))*(PI()*(fi_s/1000)^2/4)*(2*9.81*(O2670/100-cota_s-fi_s/2/1000))^0.5*1000)))</f>
        <v>16430.607656376003</v>
      </c>
      <c r="R2670" s="19">
        <f t="shared" ca="1" si="295"/>
        <v>16499.946389937879</v>
      </c>
      <c r="S2670" s="19">
        <f t="shared" ca="1" si="296"/>
        <v>17080.522396005559</v>
      </c>
    </row>
    <row r="2671" spans="13:19">
      <c r="M2671" s="81">
        <f t="shared" ca="1" si="293"/>
        <v>33597.82644552183</v>
      </c>
      <c r="N2671" s="19">
        <f t="shared" si="294"/>
        <v>512.63158158818169</v>
      </c>
      <c r="O2671" s="17">
        <f t="shared" si="292"/>
        <v>667.5</v>
      </c>
      <c r="P2671" s="19">
        <f ca="1">IF(ISERROR(IF(O2671&lt;fi_h/20,0,(OFFSET('Base de dados'!$A$5,IF(O2671&lt;20,1,IF(O2671&gt;1000,10,MATCH(O2671,Cargas,1))),Coluna_fih,1,1))*(1+0.13*0.25)*(PI()*(fi_h/1000)^2/4)*SQRT(2*9.81*(O2671/100-fi_h/2/1000))*1000)),"",IF(O2671&lt;fi_h/20,0,(OFFSET('Base de dados'!$A$5,IF(O2671&lt;20,1,IF(O2671&gt;1000,10,MATCH(O2671,Cargas,1))),Coluna_fih,1,1))*(PI()*(fi_h/1000)^2/4)*SQRT(2*9.81*(O2671/100-fi_h/2/1000))*1000))</f>
        <v>69.351832703478053</v>
      </c>
      <c r="Q2671" s="19">
        <f ca="1">IF(O2671="","",IF(Tipo_Vertedor="Retangular",IF(O2671&lt;=cota_s*100,0,IF(Tipo_Vertedor="Retangular",Cd_sr*Lef_sr*((O2671/100-cota_s)^(3/2))*1000)),IF(O2671&lt;=cota_s*100+fi_s/20,0,(OFFSET('Base de dados'!$A$4,IF(O2671&lt;20,1,IF(O2671&gt;1000,10,MATCH(O2671,Cargas,1))),Coluna_fis,1,1))*(PI()*(fi_s/1000)^2/4)*(2*9.81*(O2671/100-cota_s-fi_s/2/1000))^0.5*1000)))</f>
        <v>16440.755226545632</v>
      </c>
      <c r="R2671" s="19">
        <f t="shared" ca="1" si="295"/>
        <v>16510.107059249109</v>
      </c>
      <c r="S2671" s="19">
        <f t="shared" ca="1" si="296"/>
        <v>17087.719386272722</v>
      </c>
    </row>
    <row r="2672" spans="13:19">
      <c r="M2672" s="81">
        <f t="shared" ca="1" si="293"/>
        <v>33615.186526617275</v>
      </c>
      <c r="N2672" s="19">
        <f t="shared" si="294"/>
        <v>512.84750137015055</v>
      </c>
      <c r="O2672" s="17">
        <f t="shared" si="292"/>
        <v>667.75</v>
      </c>
      <c r="P2672" s="19">
        <f ca="1">IF(ISERROR(IF(O2672&lt;fi_h/20,0,(OFFSET('Base de dados'!$A$5,IF(O2672&lt;20,1,IF(O2672&gt;1000,10,MATCH(O2672,Cargas,1))),Coluna_fih,1,1))*(1+0.13*0.25)*(PI()*(fi_h/1000)^2/4)*SQRT(2*9.81*(O2672/100-fi_h/2/1000))*1000)),"",IF(O2672&lt;fi_h/20,0,(OFFSET('Base de dados'!$A$5,IF(O2672&lt;20,1,IF(O2672&gt;1000,10,MATCH(O2672,Cargas,1))),Coluna_fih,1,1))*(PI()*(fi_h/1000)^2/4)*SQRT(2*9.81*(O2672/100-fi_h/2/1000))*1000))</f>
        <v>69.364929371388897</v>
      </c>
      <c r="Q2672" s="19">
        <f ca="1">IF(O2672="","",IF(Tipo_Vertedor="Retangular",IF(O2672&lt;=cota_s*100,0,IF(Tipo_Vertedor="Retangular",Cd_sr*Lef_sr*((O2672/100-cota_s)^(3/2))*1000)),IF(O2672&lt;=cota_s*100+fi_s/20,0,(OFFSET('Base de dados'!$A$4,IF(O2672&lt;20,1,IF(O2672&gt;1000,10,MATCH(O2672,Cargas,1))),Coluna_fis,1,1))*(PI()*(fi_s/1000)^2/4)*(2*9.81*(O2672/100-cota_s-fi_s/2/1000))^0.5*1000)))</f>
        <v>16450.904884907533</v>
      </c>
      <c r="R2672" s="19">
        <f t="shared" ca="1" si="295"/>
        <v>16520.269814278923</v>
      </c>
      <c r="S2672" s="19">
        <f t="shared" ca="1" si="296"/>
        <v>17094.916712338352</v>
      </c>
    </row>
    <row r="2673" spans="13:19">
      <c r="M2673" s="81">
        <f t="shared" ca="1" si="293"/>
        <v>33632.549028691559</v>
      </c>
      <c r="N2673" s="19">
        <f t="shared" si="294"/>
        <v>513.06343122277156</v>
      </c>
      <c r="O2673" s="17">
        <f t="shared" si="292"/>
        <v>668</v>
      </c>
      <c r="P2673" s="19">
        <f ca="1">IF(ISERROR(IF(O2673&lt;fi_h/20,0,(OFFSET('Base de dados'!$A$5,IF(O2673&lt;20,1,IF(O2673&gt;1000,10,MATCH(O2673,Cargas,1))),Coluna_fih,1,1))*(1+0.13*0.25)*(PI()*(fi_h/1000)^2/4)*SQRT(2*9.81*(O2673/100-fi_h/2/1000))*1000)),"",IF(O2673&lt;fi_h/20,0,(OFFSET('Base de dados'!$A$5,IF(O2673&lt;20,1,IF(O2673&gt;1000,10,MATCH(O2673,Cargas,1))),Coluna_fih,1,1))*(PI()*(fi_h/1000)^2/4)*SQRT(2*9.81*(O2673/100-fi_h/2/1000))*1000))</f>
        <v>69.3780235670081</v>
      </c>
      <c r="Q2673" s="19">
        <f ca="1">IF(O2673="","",IF(Tipo_Vertedor="Retangular",IF(O2673&lt;=cota_s*100,0,IF(Tipo_Vertedor="Retangular",Cd_sr*Lef_sr*((O2673/100-cota_s)^(3/2))*1000)),IF(O2673&lt;=cota_s*100+fi_s/20,0,(OFFSET('Base de dados'!$A$4,IF(O2673&lt;20,1,IF(O2673&gt;1000,10,MATCH(O2673,Cargas,1))),Coluna_fis,1,1))*(PI()*(fi_s/1000)^2/4)*(2*9.81*(O2673/100-cota_s-fi_s/2/1000))^0.5*1000)))</f>
        <v>16461.056631032166</v>
      </c>
      <c r="R2673" s="19">
        <f t="shared" ca="1" si="295"/>
        <v>16530.434654599176</v>
      </c>
      <c r="S2673" s="19">
        <f t="shared" ca="1" si="296"/>
        <v>17102.114374092384</v>
      </c>
    </row>
    <row r="2674" spans="13:19">
      <c r="M2674" s="81">
        <f t="shared" ca="1" si="293"/>
        <v>33649.913951206865</v>
      </c>
      <c r="N2674" s="19">
        <f t="shared" si="294"/>
        <v>513.27937114274573</v>
      </c>
      <c r="O2674" s="17">
        <f t="shared" si="292"/>
        <v>668.25</v>
      </c>
      <c r="P2674" s="19">
        <f ca="1">IF(ISERROR(IF(O2674&lt;fi_h/20,0,(OFFSET('Base de dados'!$A$5,IF(O2674&lt;20,1,IF(O2674&gt;1000,10,MATCH(O2674,Cargas,1))),Coluna_fih,1,1))*(1+0.13*0.25)*(PI()*(fi_h/1000)^2/4)*SQRT(2*9.81*(O2674/100-fi_h/2/1000))*1000)),"",IF(O2674&lt;fi_h/20,0,(OFFSET('Base de dados'!$A$5,IF(O2674&lt;20,1,IF(O2674&gt;1000,10,MATCH(O2674,Cargas,1))),Coluna_fih,1,1))*(PI()*(fi_h/1000)^2/4)*SQRT(2*9.81*(O2674/100-fi_h/2/1000))*1000))</f>
        <v>69.391115291735247</v>
      </c>
      <c r="Q2674" s="19">
        <f ca="1">IF(O2674="","",IF(Tipo_Vertedor="Retangular",IF(O2674&lt;=cota_s*100,0,IF(Tipo_Vertedor="Retangular",Cd_sr*Lef_sr*((O2674/100-cota_s)^(3/2))*1000)),IF(O2674&lt;=cota_s*100+fi_s/20,0,(OFFSET('Base de dados'!$A$4,IF(O2674&lt;20,1,IF(O2674&gt;1000,10,MATCH(O2674,Cargas,1))),Coluna_fis,1,1))*(PI()*(fi_s/1000)^2/4)*(2*9.81*(O2674/100-cota_s-fi_s/2/1000))^0.5*1000)))</f>
        <v>16471.210464490268</v>
      </c>
      <c r="R2674" s="19">
        <f t="shared" ca="1" si="295"/>
        <v>16540.601579782004</v>
      </c>
      <c r="S2674" s="19">
        <f t="shared" ca="1" si="296"/>
        <v>17109.312371424858</v>
      </c>
    </row>
    <row r="2675" spans="13:19">
      <c r="M2675" s="81">
        <f t="shared" ca="1" si="293"/>
        <v>33667.281293625638</v>
      </c>
      <c r="N2675" s="19">
        <f t="shared" si="294"/>
        <v>513.49532112677548</v>
      </c>
      <c r="O2675" s="17">
        <f t="shared" si="292"/>
        <v>668.5</v>
      </c>
      <c r="P2675" s="19">
        <f ca="1">IF(ISERROR(IF(O2675&lt;fi_h/20,0,(OFFSET('Base de dados'!$A$5,IF(O2675&lt;20,1,IF(O2675&gt;1000,10,MATCH(O2675,Cargas,1))),Coluna_fih,1,1))*(1+0.13*0.25)*(PI()*(fi_h/1000)^2/4)*SQRT(2*9.81*(O2675/100-fi_h/2/1000))*1000)),"",IF(O2675&lt;fi_h/20,0,(OFFSET('Base de dados'!$A$5,IF(O2675&lt;20,1,IF(O2675&gt;1000,10,MATCH(O2675,Cargas,1))),Coluna_fih,1,1))*(PI()*(fi_h/1000)^2/4)*SQRT(2*9.81*(O2675/100-fi_h/2/1000))*1000))</f>
        <v>69.4042045469686</v>
      </c>
      <c r="Q2675" s="19">
        <f ca="1">IF(O2675="","",IF(Tipo_Vertedor="Retangular",IF(O2675&lt;=cota_s*100,0,IF(Tipo_Vertedor="Retangular",Cd_sr*Lef_sr*((O2675/100-cota_s)^(3/2))*1000)),IF(O2675&lt;=cota_s*100+fi_s/20,0,(OFFSET('Base de dados'!$A$4,IF(O2675&lt;20,1,IF(O2675&gt;1000,10,MATCH(O2675,Cargas,1))),Coluna_fis,1,1))*(PI()*(fi_s/1000)^2/4)*(2*9.81*(O2675/100-cota_s-fi_s/2/1000))^0.5*1000)))</f>
        <v>16481.366384852819</v>
      </c>
      <c r="R2675" s="19">
        <f t="shared" ca="1" si="295"/>
        <v>16550.770589399788</v>
      </c>
      <c r="S2675" s="19">
        <f t="shared" ca="1" si="296"/>
        <v>17116.51070422585</v>
      </c>
    </row>
    <row r="2676" spans="13:19">
      <c r="M2676" s="81">
        <f t="shared" ca="1" si="293"/>
        <v>33684.651055410723</v>
      </c>
      <c r="N2676" s="19">
        <f t="shared" si="294"/>
        <v>513.71128117156582</v>
      </c>
      <c r="O2676" s="17">
        <f t="shared" si="292"/>
        <v>668.75</v>
      </c>
      <c r="P2676" s="19">
        <f ca="1">IF(ISERROR(IF(O2676&lt;fi_h/20,0,(OFFSET('Base de dados'!$A$5,IF(O2676&lt;20,1,IF(O2676&gt;1000,10,MATCH(O2676,Cargas,1))),Coluna_fih,1,1))*(1+0.13*0.25)*(PI()*(fi_h/1000)^2/4)*SQRT(2*9.81*(O2676/100-fi_h/2/1000))*1000)),"",IF(O2676&lt;fi_h/20,0,(OFFSET('Base de dados'!$A$5,IF(O2676&lt;20,1,IF(O2676&gt;1000,10,MATCH(O2676,Cargas,1))),Coluna_fih,1,1))*(PI()*(fi_h/1000)^2/4)*SQRT(2*9.81*(O2676/100-fi_h/2/1000))*1000))</f>
        <v>69.417291334105073</v>
      </c>
      <c r="Q2676" s="19">
        <f ca="1">IF(O2676="","",IF(Tipo_Vertedor="Retangular",IF(O2676&lt;=cota_s*100,0,IF(Tipo_Vertedor="Retangular",Cd_sr*Lef_sr*((O2676/100-cota_s)^(3/2))*1000)),IF(O2676&lt;=cota_s*100+fi_s/20,0,(OFFSET('Base de dados'!$A$4,IF(O2676&lt;20,1,IF(O2676&gt;1000,10,MATCH(O2676,Cargas,1))),Coluna_fis,1,1))*(PI()*(fi_s/1000)^2/4)*(2*9.81*(O2676/100-cota_s-fi_s/2/1000))^0.5*1000)))</f>
        <v>16491.524391691091</v>
      </c>
      <c r="R2676" s="19">
        <f t="shared" ca="1" si="295"/>
        <v>16560.941683025198</v>
      </c>
      <c r="S2676" s="19">
        <f t="shared" ca="1" si="296"/>
        <v>17123.709372385529</v>
      </c>
    </row>
    <row r="2677" spans="13:19">
      <c r="M2677" s="81">
        <f t="shared" ca="1" si="293"/>
        <v>33702.023236025285</v>
      </c>
      <c r="N2677" s="19">
        <f t="shared" si="294"/>
        <v>513.92725127382437</v>
      </c>
      <c r="O2677" s="17">
        <f t="shared" si="292"/>
        <v>669</v>
      </c>
      <c r="P2677" s="19">
        <f ca="1">IF(ISERROR(IF(O2677&lt;fi_h/20,0,(OFFSET('Base de dados'!$A$5,IF(O2677&lt;20,1,IF(O2677&gt;1000,10,MATCH(O2677,Cargas,1))),Coluna_fih,1,1))*(1+0.13*0.25)*(PI()*(fi_h/1000)^2/4)*SQRT(2*9.81*(O2677/100-fi_h/2/1000))*1000)),"",IF(O2677&lt;fi_h/20,0,(OFFSET('Base de dados'!$A$5,IF(O2677&lt;20,1,IF(O2677&gt;1000,10,MATCH(O2677,Cargas,1))),Coluna_fih,1,1))*(PI()*(fi_h/1000)^2/4)*SQRT(2*9.81*(O2677/100-fi_h/2/1000))*1000))</f>
        <v>69.430375654540299</v>
      </c>
      <c r="Q2677" s="19">
        <f ca="1">IF(O2677="","",IF(Tipo_Vertedor="Retangular",IF(O2677&lt;=cota_s*100,0,IF(Tipo_Vertedor="Retangular",Cd_sr*Lef_sr*((O2677/100-cota_s)^(3/2))*1000)),IF(O2677&lt;=cota_s*100+fi_s/20,0,(OFFSET('Base de dados'!$A$4,IF(O2677&lt;20,1,IF(O2677&gt;1000,10,MATCH(O2677,Cargas,1))),Coluna_fis,1,1))*(PI()*(fi_s/1000)^2/4)*(2*9.81*(O2677/100-cota_s-fi_s/2/1000))^0.5*1000)))</f>
        <v>16501.684484576603</v>
      </c>
      <c r="R2677" s="19">
        <f t="shared" ca="1" si="295"/>
        <v>16571.114860231144</v>
      </c>
      <c r="S2677" s="19">
        <f t="shared" ca="1" si="296"/>
        <v>17130.908375794144</v>
      </c>
    </row>
    <row r="2678" spans="13:19">
      <c r="M2678" s="81">
        <f t="shared" ca="1" si="293"/>
        <v>33719.397834932832</v>
      </c>
      <c r="N2678" s="19">
        <f t="shared" si="294"/>
        <v>514.14323143026115</v>
      </c>
      <c r="O2678" s="17">
        <f t="shared" si="292"/>
        <v>669.25</v>
      </c>
      <c r="P2678" s="19">
        <f ca="1">IF(ISERROR(IF(O2678&lt;fi_h/20,0,(OFFSET('Base de dados'!$A$5,IF(O2678&lt;20,1,IF(O2678&gt;1000,10,MATCH(O2678,Cargas,1))),Coluna_fih,1,1))*(1+0.13*0.25)*(PI()*(fi_h/1000)^2/4)*SQRT(2*9.81*(O2678/100-fi_h/2/1000))*1000)),"",IF(O2678&lt;fi_h/20,0,(OFFSET('Base de dados'!$A$5,IF(O2678&lt;20,1,IF(O2678&gt;1000,10,MATCH(O2678,Cargas,1))),Coluna_fih,1,1))*(PI()*(fi_h/1000)^2/4)*SQRT(2*9.81*(O2678/100-fi_h/2/1000))*1000))</f>
        <v>69.443457509668576</v>
      </c>
      <c r="Q2678" s="19">
        <f ca="1">IF(O2678="","",IF(Tipo_Vertedor="Retangular",IF(O2678&lt;=cota_s*100,0,IF(Tipo_Vertedor="Retangular",Cd_sr*Lef_sr*((O2678/100-cota_s)^(3/2))*1000)),IF(O2678&lt;=cota_s*100+fi_s/20,0,(OFFSET('Base de dados'!$A$4,IF(O2678&lt;20,1,IF(O2678&gt;1000,10,MATCH(O2678,Cargas,1))),Coluna_fis,1,1))*(PI()*(fi_s/1000)^2/4)*(2*9.81*(O2678/100-cota_s-fi_s/2/1000))^0.5*1000)))</f>
        <v>16511.846663081127</v>
      </c>
      <c r="R2678" s="19">
        <f t="shared" ca="1" si="295"/>
        <v>16581.290120590795</v>
      </c>
      <c r="S2678" s="19">
        <f t="shared" ca="1" si="296"/>
        <v>17138.107714342037</v>
      </c>
    </row>
    <row r="2679" spans="13:19">
      <c r="M2679" s="81">
        <f t="shared" ca="1" si="293"/>
        <v>33736.774851597191</v>
      </c>
      <c r="N2679" s="19">
        <f t="shared" si="294"/>
        <v>514.35922163758755</v>
      </c>
      <c r="O2679" s="17">
        <f t="shared" si="292"/>
        <v>669.5</v>
      </c>
      <c r="P2679" s="19">
        <f ca="1">IF(ISERROR(IF(O2679&lt;fi_h/20,0,(OFFSET('Base de dados'!$A$5,IF(O2679&lt;20,1,IF(O2679&gt;1000,10,MATCH(O2679,Cargas,1))),Coluna_fih,1,1))*(1+0.13*0.25)*(PI()*(fi_h/1000)^2/4)*SQRT(2*9.81*(O2679/100-fi_h/2/1000))*1000)),"",IF(O2679&lt;fi_h/20,0,(OFFSET('Base de dados'!$A$5,IF(O2679&lt;20,1,IF(O2679&gt;1000,10,MATCH(O2679,Cargas,1))),Coluna_fih,1,1))*(PI()*(fi_h/1000)^2/4)*SQRT(2*9.81*(O2679/100-fi_h/2/1000))*1000))</f>
        <v>69.456536900882881</v>
      </c>
      <c r="Q2679" s="19">
        <f ca="1">IF(O2679="","",IF(Tipo_Vertedor="Retangular",IF(O2679&lt;=cota_s*100,0,IF(Tipo_Vertedor="Retangular",Cd_sr*Lef_sr*((O2679/100-cota_s)^(3/2))*1000)),IF(O2679&lt;=cota_s*100+fi_s/20,0,(OFFSET('Base de dados'!$A$4,IF(O2679&lt;20,1,IF(O2679&gt;1000,10,MATCH(O2679,Cargas,1))),Coluna_fis,1,1))*(PI()*(fi_s/1000)^2/4)*(2*9.81*(O2679/100-cota_s-fi_s/2/1000))^0.5*1000)))</f>
        <v>16522.010926776726</v>
      </c>
      <c r="R2679" s="19">
        <f t="shared" ca="1" si="295"/>
        <v>16591.467463677607</v>
      </c>
      <c r="S2679" s="19">
        <f t="shared" ca="1" si="296"/>
        <v>17145.307387919584</v>
      </c>
    </row>
    <row r="2680" spans="13:19">
      <c r="M2680" s="81">
        <f t="shared" ca="1" si="293"/>
        <v>33754.154285482553</v>
      </c>
      <c r="N2680" s="19">
        <f t="shared" si="294"/>
        <v>514.57522189251813</v>
      </c>
      <c r="O2680" s="17">
        <f t="shared" si="292"/>
        <v>669.75</v>
      </c>
      <c r="P2680" s="19">
        <f ca="1">IF(ISERROR(IF(O2680&lt;fi_h/20,0,(OFFSET('Base de dados'!$A$5,IF(O2680&lt;20,1,IF(O2680&gt;1000,10,MATCH(O2680,Cargas,1))),Coluna_fih,1,1))*(1+0.13*0.25)*(PI()*(fi_h/1000)^2/4)*SQRT(2*9.81*(O2680/100-fi_h/2/1000))*1000)),"",IF(O2680&lt;fi_h/20,0,(OFFSET('Base de dados'!$A$5,IF(O2680&lt;20,1,IF(O2680&gt;1000,10,MATCH(O2680,Cargas,1))),Coluna_fih,1,1))*(PI()*(fi_h/1000)^2/4)*SQRT(2*9.81*(O2680/100-fi_h/2/1000))*1000))</f>
        <v>69.469613829574925</v>
      </c>
      <c r="Q2680" s="19">
        <f ca="1">IF(O2680="","",IF(Tipo_Vertedor="Retangular",IF(O2680&lt;=cota_s*100,0,IF(Tipo_Vertedor="Retangular",Cd_sr*Lef_sr*((O2680/100-cota_s)^(3/2))*1000)),IF(O2680&lt;=cota_s*100+fi_s/20,0,(OFFSET('Base de dados'!$A$4,IF(O2680&lt;20,1,IF(O2680&gt;1000,10,MATCH(O2680,Cargas,1))),Coluna_fis,1,1))*(PI()*(fi_s/1000)^2/4)*(2*9.81*(O2680/100-cota_s-fi_s/2/1000))^0.5*1000)))</f>
        <v>16532.177275235703</v>
      </c>
      <c r="R2680" s="19">
        <f t="shared" ca="1" si="295"/>
        <v>16601.64688906528</v>
      </c>
      <c r="S2680" s="19">
        <f t="shared" ca="1" si="296"/>
        <v>17152.50739641727</v>
      </c>
    </row>
    <row r="2681" spans="13:19">
      <c r="M2681" s="81">
        <f t="shared" ca="1" si="293"/>
        <v>33771.536136053444</v>
      </c>
      <c r="N2681" s="19">
        <f t="shared" si="294"/>
        <v>514.79123219176972</v>
      </c>
      <c r="O2681" s="17">
        <f t="shared" si="292"/>
        <v>670</v>
      </c>
      <c r="P2681" s="19">
        <f ca="1">IF(ISERROR(IF(O2681&lt;fi_h/20,0,(OFFSET('Base de dados'!$A$5,IF(O2681&lt;20,1,IF(O2681&gt;1000,10,MATCH(O2681,Cargas,1))),Coluna_fih,1,1))*(1+0.13*0.25)*(PI()*(fi_h/1000)^2/4)*SQRT(2*9.81*(O2681/100-fi_h/2/1000))*1000)),"",IF(O2681&lt;fi_h/20,0,(OFFSET('Base de dados'!$A$5,IF(O2681&lt;20,1,IF(O2681&gt;1000,10,MATCH(O2681,Cargas,1))),Coluna_fih,1,1))*(PI()*(fi_h/1000)^2/4)*SQRT(2*9.81*(O2681/100-fi_h/2/1000))*1000))</f>
        <v>69.482688297135056</v>
      </c>
      <c r="Q2681" s="19">
        <f ca="1">IF(O2681="","",IF(Tipo_Vertedor="Retangular",IF(O2681&lt;=cota_s*100,0,IF(Tipo_Vertedor="Retangular",Cd_sr*Lef_sr*((O2681/100-cota_s)^(3/2))*1000)),IF(O2681&lt;=cota_s*100+fi_s/20,0,(OFFSET('Base de dados'!$A$4,IF(O2681&lt;20,1,IF(O2681&gt;1000,10,MATCH(O2681,Cargas,1))),Coluna_fis,1,1))*(PI()*(fi_s/1000)^2/4)*(2*9.81*(O2681/100-cota_s-fi_s/2/1000))^0.5*1000)))</f>
        <v>16542.345708030654</v>
      </c>
      <c r="R2681" s="19">
        <f t="shared" ca="1" si="295"/>
        <v>16611.82839632779</v>
      </c>
      <c r="S2681" s="19">
        <f t="shared" ca="1" si="296"/>
        <v>17159.707739725658</v>
      </c>
    </row>
    <row r="2682" spans="13:19">
      <c r="M2682" s="81">
        <f t="shared" ca="1" si="293"/>
        <v>33788.920402774718</v>
      </c>
      <c r="N2682" s="19">
        <f t="shared" si="294"/>
        <v>515.0072525320611</v>
      </c>
      <c r="O2682" s="17">
        <f t="shared" si="292"/>
        <v>670.25</v>
      </c>
      <c r="P2682" s="19">
        <f ca="1">IF(ISERROR(IF(O2682&lt;fi_h/20,0,(OFFSET('Base de dados'!$A$5,IF(O2682&lt;20,1,IF(O2682&gt;1000,10,MATCH(O2682,Cargas,1))),Coluna_fih,1,1))*(1+0.13*0.25)*(PI()*(fi_h/1000)^2/4)*SQRT(2*9.81*(O2682/100-fi_h/2/1000))*1000)),"",IF(O2682&lt;fi_h/20,0,(OFFSET('Base de dados'!$A$5,IF(O2682&lt;20,1,IF(O2682&gt;1000,10,MATCH(O2682,Cargas,1))),Coluna_fih,1,1))*(PI()*(fi_h/1000)^2/4)*SQRT(2*9.81*(O2682/100-fi_h/2/1000))*1000))</f>
        <v>69.495760304952341</v>
      </c>
      <c r="Q2682" s="19">
        <f ca="1">IF(O2682="","",IF(Tipo_Vertedor="Retangular",IF(O2682&lt;=cota_s*100,0,IF(Tipo_Vertedor="Retangular",Cd_sr*Lef_sr*((O2682/100-cota_s)^(3/2))*1000)),IF(O2682&lt;=cota_s*100+fi_s/20,0,(OFFSET('Base de dados'!$A$4,IF(O2682&lt;20,1,IF(O2682&gt;1000,10,MATCH(O2682,Cargas,1))),Coluna_fis,1,1))*(PI()*(fi_s/1000)^2/4)*(2*9.81*(O2682/100-cota_s-fi_s/2/1000))^0.5*1000)))</f>
        <v>16552.516224734394</v>
      </c>
      <c r="R2682" s="19">
        <f t="shared" ca="1" si="295"/>
        <v>16622.011985039346</v>
      </c>
      <c r="S2682" s="19">
        <f t="shared" ca="1" si="296"/>
        <v>17166.908417735369</v>
      </c>
    </row>
    <row r="2683" spans="13:19">
      <c r="M2683" s="81">
        <f t="shared" ca="1" si="293"/>
        <v>33806.307085111548</v>
      </c>
      <c r="N2683" s="19">
        <f t="shared" si="294"/>
        <v>515.22328291011354</v>
      </c>
      <c r="O2683" s="17">
        <f t="shared" si="292"/>
        <v>670.5</v>
      </c>
      <c r="P2683" s="19">
        <f ca="1">IF(ISERROR(IF(O2683&lt;fi_h/20,0,(OFFSET('Base de dados'!$A$5,IF(O2683&lt;20,1,IF(O2683&gt;1000,10,MATCH(O2683,Cargas,1))),Coluna_fih,1,1))*(1+0.13*0.25)*(PI()*(fi_h/1000)^2/4)*SQRT(2*9.81*(O2683/100-fi_h/2/1000))*1000)),"",IF(O2683&lt;fi_h/20,0,(OFFSET('Base de dados'!$A$5,IF(O2683&lt;20,1,IF(O2683&gt;1000,10,MATCH(O2683,Cargas,1))),Coluna_fih,1,1))*(PI()*(fi_h/1000)^2/4)*SQRT(2*9.81*(O2683/100-fi_h/2/1000))*1000))</f>
        <v>69.508829854414572</v>
      </c>
      <c r="Q2683" s="19">
        <f ca="1">IF(O2683="","",IF(Tipo_Vertedor="Retangular",IF(O2683&lt;=cota_s*100,0,IF(Tipo_Vertedor="Retangular",Cd_sr*Lef_sr*((O2683/100-cota_s)^(3/2))*1000)),IF(O2683&lt;=cota_s*100+fi_s/20,0,(OFFSET('Base de dados'!$A$4,IF(O2683&lt;20,1,IF(O2683&gt;1000,10,MATCH(O2683,Cargas,1))),Coluna_fis,1,1))*(PI()*(fi_s/1000)^2/4)*(2*9.81*(O2683/100-cota_s-fi_s/2/1000))^0.5*1000)))</f>
        <v>16562.68882492002</v>
      </c>
      <c r="R2683" s="19">
        <f t="shared" ca="1" si="295"/>
        <v>16632.197654774434</v>
      </c>
      <c r="S2683" s="19">
        <f t="shared" ca="1" si="296"/>
        <v>17174.109430337117</v>
      </c>
    </row>
    <row r="2684" spans="13:19">
      <c r="M2684" s="81">
        <f t="shared" ca="1" si="293"/>
        <v>33823.6961825295</v>
      </c>
      <c r="N2684" s="19">
        <f t="shared" si="294"/>
        <v>515.43932332265047</v>
      </c>
      <c r="O2684" s="17">
        <f t="shared" si="292"/>
        <v>670.75</v>
      </c>
      <c r="P2684" s="19">
        <f ca="1">IF(ISERROR(IF(O2684&lt;fi_h/20,0,(OFFSET('Base de dados'!$A$5,IF(O2684&lt;20,1,IF(O2684&gt;1000,10,MATCH(O2684,Cargas,1))),Coluna_fih,1,1))*(1+0.13*0.25)*(PI()*(fi_h/1000)^2/4)*SQRT(2*9.81*(O2684/100-fi_h/2/1000))*1000)),"",IF(O2684&lt;fi_h/20,0,(OFFSET('Base de dados'!$A$5,IF(O2684&lt;20,1,IF(O2684&gt;1000,10,MATCH(O2684,Cargas,1))),Coluna_fih,1,1))*(PI()*(fi_h/1000)^2/4)*SQRT(2*9.81*(O2684/100-fi_h/2/1000))*1000))</f>
        <v>69.521896946908143</v>
      </c>
      <c r="Q2684" s="19">
        <f ca="1">IF(O2684="","",IF(Tipo_Vertedor="Retangular",IF(O2684&lt;=cota_s*100,0,IF(Tipo_Vertedor="Retangular",Cd_sr*Lef_sr*((O2684/100-cota_s)^(3/2))*1000)),IF(O2684&lt;=cota_s*100+fi_s/20,0,(OFFSET('Base de dados'!$A$4,IF(O2684&lt;20,1,IF(O2684&gt;1000,10,MATCH(O2684,Cargas,1))),Coluna_fis,1,1))*(PI()*(fi_s/1000)^2/4)*(2*9.81*(O2684/100-cota_s-fi_s/2/1000))^0.5*1000)))</f>
        <v>16572.863508160914</v>
      </c>
      <c r="R2684" s="19">
        <f t="shared" ca="1" si="295"/>
        <v>16642.385405107823</v>
      </c>
      <c r="S2684" s="19">
        <f t="shared" ca="1" si="296"/>
        <v>17181.310777421681</v>
      </c>
    </row>
    <row r="2685" spans="13:19">
      <c r="M2685" s="81">
        <f t="shared" ca="1" si="293"/>
        <v>33841.087694494447</v>
      </c>
      <c r="N2685" s="19">
        <f t="shared" si="294"/>
        <v>515.65537376639793</v>
      </c>
      <c r="O2685" s="17">
        <f t="shared" si="292"/>
        <v>671</v>
      </c>
      <c r="P2685" s="19">
        <f ca="1">IF(ISERROR(IF(O2685&lt;fi_h/20,0,(OFFSET('Base de dados'!$A$5,IF(O2685&lt;20,1,IF(O2685&gt;1000,10,MATCH(O2685,Cargas,1))),Coluna_fih,1,1))*(1+0.13*0.25)*(PI()*(fi_h/1000)^2/4)*SQRT(2*9.81*(O2685/100-fi_h/2/1000))*1000)),"",IF(O2685&lt;fi_h/20,0,(OFFSET('Base de dados'!$A$5,IF(O2685&lt;20,1,IF(O2685&gt;1000,10,MATCH(O2685,Cargas,1))),Coluna_fih,1,1))*(PI()*(fi_h/1000)^2/4)*SQRT(2*9.81*(O2685/100-fi_h/2/1000))*1000))</f>
        <v>69.53496158381823</v>
      </c>
      <c r="Q2685" s="19">
        <f ca="1">IF(O2685="","",IF(Tipo_Vertedor="Retangular",IF(O2685&lt;=cota_s*100,0,IF(Tipo_Vertedor="Retangular",Cd_sr*Lef_sr*((O2685/100-cota_s)^(3/2))*1000)),IF(O2685&lt;=cota_s*100+fi_s/20,0,(OFFSET('Base de dados'!$A$4,IF(O2685&lt;20,1,IF(O2685&gt;1000,10,MATCH(O2685,Cargas,1))),Coluna_fis,1,1))*(PI()*(fi_s/1000)^2/4)*(2*9.81*(O2685/100-cota_s-fi_s/2/1000))^0.5*1000)))</f>
        <v>16583.0402740307</v>
      </c>
      <c r="R2685" s="19">
        <f t="shared" ca="1" si="295"/>
        <v>16652.575235614517</v>
      </c>
      <c r="S2685" s="19">
        <f t="shared" ca="1" si="296"/>
        <v>17188.51245887993</v>
      </c>
    </row>
    <row r="2686" spans="13:19">
      <c r="M2686" s="81">
        <f t="shared" ca="1" si="293"/>
        <v>33858.481620472565</v>
      </c>
      <c r="N2686" s="19">
        <f t="shared" si="294"/>
        <v>515.87143423808368</v>
      </c>
      <c r="O2686" s="17">
        <f t="shared" si="292"/>
        <v>671.25</v>
      </c>
      <c r="P2686" s="19">
        <f ca="1">IF(ISERROR(IF(O2686&lt;fi_h/20,0,(OFFSET('Base de dados'!$A$5,IF(O2686&lt;20,1,IF(O2686&gt;1000,10,MATCH(O2686,Cargas,1))),Coluna_fih,1,1))*(1+0.13*0.25)*(PI()*(fi_h/1000)^2/4)*SQRT(2*9.81*(O2686/100-fi_h/2/1000))*1000)),"",IF(O2686&lt;fi_h/20,0,(OFFSET('Base de dados'!$A$5,IF(O2686&lt;20,1,IF(O2686&gt;1000,10,MATCH(O2686,Cargas,1))),Coluna_fih,1,1))*(PI()*(fi_h/1000)^2/4)*SQRT(2*9.81*(O2686/100-fi_h/2/1000))*1000))</f>
        <v>69.548023766528701</v>
      </c>
      <c r="Q2686" s="19">
        <f ca="1">IF(O2686="","",IF(Tipo_Vertedor="Retangular",IF(O2686&lt;=cota_s*100,0,IF(Tipo_Vertedor="Retangular",Cd_sr*Lef_sr*((O2686/100-cota_s)^(3/2))*1000)),IF(O2686&lt;=cota_s*100+fi_s/20,0,(OFFSET('Base de dados'!$A$4,IF(O2686&lt;20,1,IF(O2686&gt;1000,10,MATCH(O2686,Cargas,1))),Coluna_fis,1,1))*(PI()*(fi_s/1000)^2/4)*(2*9.81*(O2686/100-cota_s-fi_s/2/1000))^0.5*1000)))</f>
        <v>16593.219122103248</v>
      </c>
      <c r="R2686" s="19">
        <f t="shared" ca="1" si="295"/>
        <v>16662.767145869777</v>
      </c>
      <c r="S2686" s="19">
        <f t="shared" ca="1" si="296"/>
        <v>17195.714474602788</v>
      </c>
    </row>
    <row r="2687" spans="13:19">
      <c r="M2687" s="81">
        <f t="shared" ca="1" si="293"/>
        <v>33875.877959930425</v>
      </c>
      <c r="N2687" s="19">
        <f t="shared" si="294"/>
        <v>516.08750473443865</v>
      </c>
      <c r="O2687" s="17">
        <f t="shared" si="292"/>
        <v>671.5</v>
      </c>
      <c r="P2687" s="19">
        <f ca="1">IF(ISERROR(IF(O2687&lt;fi_h/20,0,(OFFSET('Base de dados'!$A$5,IF(O2687&lt;20,1,IF(O2687&gt;1000,10,MATCH(O2687,Cargas,1))),Coluna_fih,1,1))*(1+0.13*0.25)*(PI()*(fi_h/1000)^2/4)*SQRT(2*9.81*(O2687/100-fi_h/2/1000))*1000)),"",IF(O2687&lt;fi_h/20,0,(OFFSET('Base de dados'!$A$5,IF(O2687&lt;20,1,IF(O2687&gt;1000,10,MATCH(O2687,Cargas,1))),Coluna_fih,1,1))*(PI()*(fi_h/1000)^2/4)*SQRT(2*9.81*(O2687/100-fi_h/2/1000))*1000))</f>
        <v>69.561083496422071</v>
      </c>
      <c r="Q2687" s="19">
        <f ca="1">IF(O2687="","",IF(Tipo_Vertedor="Retangular",IF(O2687&lt;=cota_s*100,0,IF(Tipo_Vertedor="Retangular",Cd_sr*Lef_sr*((O2687/100-cota_s)^(3/2))*1000)),IF(O2687&lt;=cota_s*100+fi_s/20,0,(OFFSET('Base de dados'!$A$4,IF(O2687&lt;20,1,IF(O2687&gt;1000,10,MATCH(O2687,Cargas,1))),Coluna_fis,1,1))*(PI()*(fi_s/1000)^2/4)*(2*9.81*(O2687/100-cota_s-fi_s/2/1000))^0.5*1000)))</f>
        <v>16603.400051952714</v>
      </c>
      <c r="R2687" s="19">
        <f t="shared" ca="1" si="295"/>
        <v>16672.961135449135</v>
      </c>
      <c r="S2687" s="19">
        <f t="shared" ca="1" si="296"/>
        <v>17202.91682448129</v>
      </c>
    </row>
    <row r="2688" spans="13:19">
      <c r="M2688" s="81">
        <f t="shared" ca="1" si="293"/>
        <v>33893.276712334897</v>
      </c>
      <c r="N2688" s="19">
        <f t="shared" si="294"/>
        <v>516.30358525219492</v>
      </c>
      <c r="O2688" s="17">
        <f t="shared" si="292"/>
        <v>671.75</v>
      </c>
      <c r="P2688" s="19">
        <f ca="1">IF(ISERROR(IF(O2688&lt;fi_h/20,0,(OFFSET('Base de dados'!$A$5,IF(O2688&lt;20,1,IF(O2688&gt;1000,10,MATCH(O2688,Cargas,1))),Coluna_fih,1,1))*(1+0.13*0.25)*(PI()*(fi_h/1000)^2/4)*SQRT(2*9.81*(O2688/100-fi_h/2/1000))*1000)),"",IF(O2688&lt;fi_h/20,0,(OFFSET('Base de dados'!$A$5,IF(O2688&lt;20,1,IF(O2688&gt;1000,10,MATCH(O2688,Cargas,1))),Coluna_fih,1,1))*(PI()*(fi_h/1000)^2/4)*SQRT(2*9.81*(O2688/100-fi_h/2/1000))*1000))</f>
        <v>69.574140774879595</v>
      </c>
      <c r="Q2688" s="19">
        <f ca="1">IF(O2688="","",IF(Tipo_Vertedor="Retangular",IF(O2688&lt;=cota_s*100,0,IF(Tipo_Vertedor="Retangular",Cd_sr*Lef_sr*((O2688/100-cota_s)^(3/2))*1000)),IF(O2688&lt;=cota_s*100+fi_s/20,0,(OFFSET('Base de dados'!$A$4,IF(O2688&lt;20,1,IF(O2688&gt;1000,10,MATCH(O2688,Cargas,1))),Coluna_fis,1,1))*(PI()*(fi_s/1000)^2/4)*(2*9.81*(O2688/100-cota_s-fi_s/2/1000))^0.5*1000)))</f>
        <v>16613.583063153521</v>
      </c>
      <c r="R2688" s="19">
        <f t="shared" ca="1" si="295"/>
        <v>16683.1572039284</v>
      </c>
      <c r="S2688" s="19">
        <f t="shared" ca="1" si="296"/>
        <v>17210.119508406497</v>
      </c>
    </row>
    <row r="2689" spans="13:19">
      <c r="M2689" s="81">
        <f t="shared" ca="1" si="293"/>
        <v>33910.67787715319</v>
      </c>
      <c r="N2689" s="19">
        <f t="shared" si="294"/>
        <v>516.51967578808751</v>
      </c>
      <c r="O2689" s="17">
        <f t="shared" si="292"/>
        <v>672</v>
      </c>
      <c r="P2689" s="19">
        <f ca="1">IF(ISERROR(IF(O2689&lt;fi_h/20,0,(OFFSET('Base de dados'!$A$5,IF(O2689&lt;20,1,IF(O2689&gt;1000,10,MATCH(O2689,Cargas,1))),Coluna_fih,1,1))*(1+0.13*0.25)*(PI()*(fi_h/1000)^2/4)*SQRT(2*9.81*(O2689/100-fi_h/2/1000))*1000)),"",IF(O2689&lt;fi_h/20,0,(OFFSET('Base de dados'!$A$5,IF(O2689&lt;20,1,IF(O2689&gt;1000,10,MATCH(O2689,Cargas,1))),Coluna_fih,1,1))*(PI()*(fi_h/1000)^2/4)*SQRT(2*9.81*(O2689/100-fi_h/2/1000))*1000))</f>
        <v>69.587195603281259</v>
      </c>
      <c r="Q2689" s="19">
        <f ca="1">IF(O2689="","",IF(Tipo_Vertedor="Retangular",IF(O2689&lt;=cota_s*100,0,IF(Tipo_Vertedor="Retangular",Cd_sr*Lef_sr*((O2689/100-cota_s)^(3/2))*1000)),IF(O2689&lt;=cota_s*100+fi_s/20,0,(OFFSET('Base de dados'!$A$4,IF(O2689&lt;20,1,IF(O2689&gt;1000,10,MATCH(O2689,Cargas,1))),Coluna_fis,1,1))*(PI()*(fi_s/1000)^2/4)*(2*9.81*(O2689/100-cota_s-fi_s/2/1000))^0.5*1000)))</f>
        <v>16623.768155280322</v>
      </c>
      <c r="R2689" s="19">
        <f t="shared" ca="1" si="295"/>
        <v>16693.355350883605</v>
      </c>
      <c r="S2689" s="19">
        <f t="shared" ca="1" si="296"/>
        <v>17217.322526269585</v>
      </c>
    </row>
    <row r="2690" spans="13:19">
      <c r="M2690" s="81">
        <f t="shared" ca="1" si="293"/>
        <v>33928.081453852865</v>
      </c>
      <c r="N2690" s="19">
        <f t="shared" si="294"/>
        <v>516.73577633885418</v>
      </c>
      <c r="O2690" s="17">
        <f t="shared" si="292"/>
        <v>672.25</v>
      </c>
      <c r="P2690" s="19">
        <f ca="1">IF(ISERROR(IF(O2690&lt;fi_h/20,0,(OFFSET('Base de dados'!$A$5,IF(O2690&lt;20,1,IF(O2690&gt;1000,10,MATCH(O2690,Cargas,1))),Coluna_fih,1,1))*(1+0.13*0.25)*(PI()*(fi_h/1000)^2/4)*SQRT(2*9.81*(O2690/100-fi_h/2/1000))*1000)),"",IF(O2690&lt;fi_h/20,0,(OFFSET('Base de dados'!$A$5,IF(O2690&lt;20,1,IF(O2690&gt;1000,10,MATCH(O2690,Cargas,1))),Coluna_fih,1,1))*(PI()*(fi_h/1000)^2/4)*SQRT(2*9.81*(O2690/100-fi_h/2/1000))*1000))</f>
        <v>69.600247983005701</v>
      </c>
      <c r="Q2690" s="19">
        <f ca="1">IF(O2690="","",IF(Tipo_Vertedor="Retangular",IF(O2690&lt;=cota_s*100,0,IF(Tipo_Vertedor="Retangular",Cd_sr*Lef_sr*((O2690/100-cota_s)^(3/2))*1000)),IF(O2690&lt;=cota_s*100+fi_s/20,0,(OFFSET('Base de dados'!$A$4,IF(O2690&lt;20,1,IF(O2690&gt;1000,10,MATCH(O2690,Cargas,1))),Coluna_fis,1,1))*(PI()*(fi_s/1000)^2/4)*(2*9.81*(O2690/100-cota_s-fi_s/2/1000))^0.5*1000)))</f>
        <v>16633.95532790805</v>
      </c>
      <c r="R2690" s="19">
        <f t="shared" ca="1" si="295"/>
        <v>16703.555575891056</v>
      </c>
      <c r="S2690" s="19">
        <f t="shared" ca="1" si="296"/>
        <v>17224.525877961805</v>
      </c>
    </row>
    <row r="2691" spans="13:19">
      <c r="M2691" s="81">
        <f t="shared" ca="1" si="293"/>
        <v>33945.487441901794</v>
      </c>
      <c r="N2691" s="19">
        <f t="shared" si="294"/>
        <v>516.95188690123371</v>
      </c>
      <c r="O2691" s="17">
        <f t="shared" si="292"/>
        <v>672.5</v>
      </c>
      <c r="P2691" s="19">
        <f ca="1">IF(ISERROR(IF(O2691&lt;fi_h/20,0,(OFFSET('Base de dados'!$A$5,IF(O2691&lt;20,1,IF(O2691&gt;1000,10,MATCH(O2691,Cargas,1))),Coluna_fih,1,1))*(1+0.13*0.25)*(PI()*(fi_h/1000)^2/4)*SQRT(2*9.81*(O2691/100-fi_h/2/1000))*1000)),"",IF(O2691&lt;fi_h/20,0,(OFFSET('Base de dados'!$A$5,IF(O2691&lt;20,1,IF(O2691&gt;1000,10,MATCH(O2691,Cargas,1))),Coluna_fih,1,1))*(PI()*(fi_h/1000)^2/4)*SQRT(2*9.81*(O2691/100-fi_h/2/1000))*1000))</f>
        <v>69.61329791543028</v>
      </c>
      <c r="Q2691" s="19">
        <f ca="1">IF(O2691="","",IF(Tipo_Vertedor="Retangular",IF(O2691&lt;=cota_s*100,0,IF(Tipo_Vertedor="Retangular",Cd_sr*Lef_sr*((O2691/100-cota_s)^(3/2))*1000)),IF(O2691&lt;=cota_s*100+fi_s/20,0,(OFFSET('Base de dados'!$A$4,IF(O2691&lt;20,1,IF(O2691&gt;1000,10,MATCH(O2691,Cargas,1))),Coluna_fis,1,1))*(PI()*(fi_s/1000)^2/4)*(2*9.81*(O2691/100-cota_s-fi_s/2/1000))^0.5*1000)))</f>
        <v>16644.144580611905</v>
      </c>
      <c r="R2691" s="19">
        <f t="shared" ca="1" si="295"/>
        <v>16713.757878527336</v>
      </c>
      <c r="S2691" s="19">
        <f t="shared" ca="1" si="296"/>
        <v>17231.729563374458</v>
      </c>
    </row>
    <row r="2692" spans="13:19">
      <c r="M2692" s="81">
        <f t="shared" ca="1" si="293"/>
        <v>33962.895840768208</v>
      </c>
      <c r="N2692" s="19">
        <f t="shared" si="294"/>
        <v>517.16800747196839</v>
      </c>
      <c r="O2692" s="17">
        <f t="shared" si="292"/>
        <v>672.75</v>
      </c>
      <c r="P2692" s="19">
        <f ca="1">IF(ISERROR(IF(O2692&lt;fi_h/20,0,(OFFSET('Base de dados'!$A$5,IF(O2692&lt;20,1,IF(O2692&gt;1000,10,MATCH(O2692,Cargas,1))),Coluna_fih,1,1))*(1+0.13*0.25)*(PI()*(fi_h/1000)^2/4)*SQRT(2*9.81*(O2692/100-fi_h/2/1000))*1000)),"",IF(O2692&lt;fi_h/20,0,(OFFSET('Base de dados'!$A$5,IF(O2692&lt;20,1,IF(O2692&gt;1000,10,MATCH(O2692,Cargas,1))),Coluna_fih,1,1))*(PI()*(fi_h/1000)^2/4)*SQRT(2*9.81*(O2692/100-fi_h/2/1000))*1000))</f>
        <v>69.626345401931104</v>
      </c>
      <c r="Q2692" s="19">
        <f ca="1">IF(O2692="","",IF(Tipo_Vertedor="Retangular",IF(O2692&lt;=cota_s*100,0,IF(Tipo_Vertedor="Retangular",Cd_sr*Lef_sr*((O2692/100-cota_s)^(3/2))*1000)),IF(O2692&lt;=cota_s*100+fi_s/20,0,(OFFSET('Base de dados'!$A$4,IF(O2692&lt;20,1,IF(O2692&gt;1000,10,MATCH(O2692,Cargas,1))),Coluna_fis,1,1))*(PI()*(fi_s/1000)^2/4)*(2*9.81*(O2692/100-cota_s-fi_s/2/1000))^0.5*1000)))</f>
        <v>16654.33591296733</v>
      </c>
      <c r="R2692" s="19">
        <f t="shared" ca="1" si="295"/>
        <v>16723.962258369262</v>
      </c>
      <c r="S2692" s="19">
        <f t="shared" ca="1" si="296"/>
        <v>17238.933582398946</v>
      </c>
    </row>
    <row r="2693" spans="13:19">
      <c r="M2693" s="81">
        <f t="shared" ca="1" si="293"/>
        <v>33980.306649920662</v>
      </c>
      <c r="N2693" s="19">
        <f t="shared" si="294"/>
        <v>517.38413804780214</v>
      </c>
      <c r="O2693" s="17">
        <f t="shared" si="292"/>
        <v>673</v>
      </c>
      <c r="P2693" s="19">
        <f ca="1">IF(ISERROR(IF(O2693&lt;fi_h/20,0,(OFFSET('Base de dados'!$A$5,IF(O2693&lt;20,1,IF(O2693&gt;1000,10,MATCH(O2693,Cargas,1))),Coluna_fih,1,1))*(1+0.13*0.25)*(PI()*(fi_h/1000)^2/4)*SQRT(2*9.81*(O2693/100-fi_h/2/1000))*1000)),"",IF(O2693&lt;fi_h/20,0,(OFFSET('Base de dados'!$A$5,IF(O2693&lt;20,1,IF(O2693&gt;1000,10,MATCH(O2693,Cargas,1))),Coluna_fih,1,1))*(PI()*(fi_h/1000)^2/4)*SQRT(2*9.81*(O2693/100-fi_h/2/1000))*1000))</f>
        <v>69.639390443882959</v>
      </c>
      <c r="Q2693" s="19">
        <f ca="1">IF(O2693="","",IF(Tipo_Vertedor="Retangular",IF(O2693&lt;=cota_s*100,0,IF(Tipo_Vertedor="Retangular",Cd_sr*Lef_sr*((O2693/100-cota_s)^(3/2))*1000)),IF(O2693&lt;=cota_s*100+fi_s/20,0,(OFFSET('Base de dados'!$A$4,IF(O2693&lt;20,1,IF(O2693&gt;1000,10,MATCH(O2693,Cargas,1))),Coluna_fis,1,1))*(PI()*(fi_s/1000)^2/4)*(2*9.81*(O2693/100-cota_s-fi_s/2/1000))^0.5*1000)))</f>
        <v>16664.52932455004</v>
      </c>
      <c r="R2693" s="19">
        <f t="shared" ca="1" si="295"/>
        <v>16734.168714993924</v>
      </c>
      <c r="S2693" s="19">
        <f t="shared" ca="1" si="296"/>
        <v>17246.137934926737</v>
      </c>
    </row>
    <row r="2694" spans="13:19">
      <c r="M2694" s="81">
        <f t="shared" ca="1" si="293"/>
        <v>33997.719868828033</v>
      </c>
      <c r="N2694" s="19">
        <f t="shared" si="294"/>
        <v>517.60027862548111</v>
      </c>
      <c r="O2694" s="17">
        <f t="shared" si="292"/>
        <v>673.25</v>
      </c>
      <c r="P2694" s="19">
        <f ca="1">IF(ISERROR(IF(O2694&lt;fi_h/20,0,(OFFSET('Base de dados'!$A$5,IF(O2694&lt;20,1,IF(O2694&gt;1000,10,MATCH(O2694,Cargas,1))),Coluna_fih,1,1))*(1+0.13*0.25)*(PI()*(fi_h/1000)^2/4)*SQRT(2*9.81*(O2694/100-fi_h/2/1000))*1000)),"",IF(O2694&lt;fi_h/20,0,(OFFSET('Base de dados'!$A$5,IF(O2694&lt;20,1,IF(O2694&gt;1000,10,MATCH(O2694,Cargas,1))),Coluna_fih,1,1))*(PI()*(fi_h/1000)^2/4)*SQRT(2*9.81*(O2694/100-fi_h/2/1000))*1000))</f>
        <v>69.652433042659311</v>
      </c>
      <c r="Q2694" s="19">
        <f ca="1">IF(O2694="","",IF(Tipo_Vertedor="Retangular",IF(O2694&lt;=cota_s*100,0,IF(Tipo_Vertedor="Retangular",Cd_sr*Lef_sr*((O2694/100-cota_s)^(3/2))*1000)),IF(O2694&lt;=cota_s*100+fi_s/20,0,(OFFSET('Base de dados'!$A$4,IF(O2694&lt;20,1,IF(O2694&gt;1000,10,MATCH(O2694,Cargas,1))),Coluna_fis,1,1))*(PI()*(fi_s/1000)^2/4)*(2*9.81*(O2694/100-cota_s-fi_s/2/1000))^0.5*1000)))</f>
        <v>16674.724814936002</v>
      </c>
      <c r="R2694" s="19">
        <f t="shared" ca="1" si="295"/>
        <v>16744.37724797866</v>
      </c>
      <c r="S2694" s="19">
        <f t="shared" ca="1" si="296"/>
        <v>17253.342620849369</v>
      </c>
    </row>
    <row r="2695" spans="13:19">
      <c r="M2695" s="81">
        <f t="shared" ca="1" si="293"/>
        <v>34015.135496959556</v>
      </c>
      <c r="N2695" s="19">
        <f t="shared" si="294"/>
        <v>517.81642920175409</v>
      </c>
      <c r="O2695" s="17">
        <f t="shared" si="292"/>
        <v>673.5</v>
      </c>
      <c r="P2695" s="19">
        <f ca="1">IF(ISERROR(IF(O2695&lt;fi_h/20,0,(OFFSET('Base de dados'!$A$5,IF(O2695&lt;20,1,IF(O2695&gt;1000,10,MATCH(O2695,Cargas,1))),Coluna_fih,1,1))*(1+0.13*0.25)*(PI()*(fi_h/1000)^2/4)*SQRT(2*9.81*(O2695/100-fi_h/2/1000))*1000)),"",IF(O2695&lt;fi_h/20,0,(OFFSET('Base de dados'!$A$5,IF(O2695&lt;20,1,IF(O2695&gt;1000,10,MATCH(O2695,Cargas,1))),Coluna_fih,1,1))*(PI()*(fi_h/1000)^2/4)*SQRT(2*9.81*(O2695/100-fi_h/2/1000))*1000))</f>
        <v>69.665473199632387</v>
      </c>
      <c r="Q2695" s="19">
        <f ca="1">IF(O2695="","",IF(Tipo_Vertedor="Retangular",IF(O2695&lt;=cota_s*100,0,IF(Tipo_Vertedor="Retangular",Cd_sr*Lef_sr*((O2695/100-cota_s)^(3/2))*1000)),IF(O2695&lt;=cota_s*100+fi_s/20,0,(OFFSET('Base de dados'!$A$4,IF(O2695&lt;20,1,IF(O2695&gt;1000,10,MATCH(O2695,Cargas,1))),Coluna_fis,1,1))*(PI()*(fi_s/1000)^2/4)*(2*9.81*(O2695/100-cota_s-fi_s/2/1000))^0.5*1000)))</f>
        <v>16684.922383701451</v>
      </c>
      <c r="R2695" s="19">
        <f t="shared" ca="1" si="295"/>
        <v>16754.587856901082</v>
      </c>
      <c r="S2695" s="19">
        <f t="shared" ca="1" si="296"/>
        <v>17260.54764005847</v>
      </c>
    </row>
    <row r="2696" spans="13:19">
      <c r="M2696" s="81">
        <f t="shared" ca="1" si="293"/>
        <v>34032.553533784769</v>
      </c>
      <c r="N2696" s="19">
        <f t="shared" si="294"/>
        <v>518.0325897733718</v>
      </c>
      <c r="O2696" s="17">
        <f t="shared" si="292"/>
        <v>673.75</v>
      </c>
      <c r="P2696" s="19">
        <f ca="1">IF(ISERROR(IF(O2696&lt;fi_h/20,0,(OFFSET('Base de dados'!$A$5,IF(O2696&lt;20,1,IF(O2696&gt;1000,10,MATCH(O2696,Cargas,1))),Coluna_fih,1,1))*(1+0.13*0.25)*(PI()*(fi_h/1000)^2/4)*SQRT(2*9.81*(O2696/100-fi_h/2/1000))*1000)),"",IF(O2696&lt;fi_h/20,0,(OFFSET('Base de dados'!$A$5,IF(O2696&lt;20,1,IF(O2696&gt;1000,10,MATCH(O2696,Cargas,1))),Coluna_fih,1,1))*(PI()*(fi_h/1000)^2/4)*SQRT(2*9.81*(O2696/100-fi_h/2/1000))*1000))</f>
        <v>69.678510916173153</v>
      </c>
      <c r="Q2696" s="19">
        <f ca="1">IF(O2696="","",IF(Tipo_Vertedor="Retangular",IF(O2696&lt;=cota_s*100,0,IF(Tipo_Vertedor="Retangular",Cd_sr*Lef_sr*((O2696/100-cota_s)^(3/2))*1000)),IF(O2696&lt;=cota_s*100+fi_s/20,0,(OFFSET('Base de dados'!$A$4,IF(O2696&lt;20,1,IF(O2696&gt;1000,10,MATCH(O2696,Cargas,1))),Coluna_fis,1,1))*(PI()*(fi_s/1000)^2/4)*(2*9.81*(O2696/100-cota_s-fi_s/2/1000))^0.5*1000)))</f>
        <v>16695.122030422866</v>
      </c>
      <c r="R2696" s="19">
        <f t="shared" ca="1" si="295"/>
        <v>16764.800541339038</v>
      </c>
      <c r="S2696" s="19">
        <f t="shared" ca="1" si="296"/>
        <v>17267.752992445727</v>
      </c>
    </row>
    <row r="2697" spans="13:19">
      <c r="M2697" s="81">
        <f t="shared" ca="1" si="293"/>
        <v>34049.973978773574</v>
      </c>
      <c r="N2697" s="19">
        <f t="shared" si="294"/>
        <v>518.24876033708745</v>
      </c>
      <c r="O2697" s="17">
        <f t="shared" si="292"/>
        <v>674</v>
      </c>
      <c r="P2697" s="19">
        <f ca="1">IF(ISERROR(IF(O2697&lt;fi_h/20,0,(OFFSET('Base de dados'!$A$5,IF(O2697&lt;20,1,IF(O2697&gt;1000,10,MATCH(O2697,Cargas,1))),Coluna_fih,1,1))*(1+0.13*0.25)*(PI()*(fi_h/1000)^2/4)*SQRT(2*9.81*(O2697/100-fi_h/2/1000))*1000)),"",IF(O2697&lt;fi_h/20,0,(OFFSET('Base de dados'!$A$5,IF(O2697&lt;20,1,IF(O2697&gt;1000,10,MATCH(O2697,Cargas,1))),Coluna_fih,1,1))*(PI()*(fi_h/1000)^2/4)*SQRT(2*9.81*(O2697/100-fi_h/2/1000))*1000))</f>
        <v>69.69154619365122</v>
      </c>
      <c r="Q2697" s="19">
        <f ca="1">IF(O2697="","",IF(Tipo_Vertedor="Retangular",IF(O2697&lt;=cota_s*100,0,IF(Tipo_Vertedor="Retangular",Cd_sr*Lef_sr*((O2697/100-cota_s)^(3/2))*1000)),IF(O2697&lt;=cota_s*100+fi_s/20,0,(OFFSET('Base de dados'!$A$4,IF(O2697&lt;20,1,IF(O2697&gt;1000,10,MATCH(O2697,Cargas,1))),Coluna_fis,1,1))*(PI()*(fi_s/1000)^2/4)*(2*9.81*(O2697/100-cota_s-fi_s/2/1000))^0.5*1000)))</f>
        <v>16705.323754677011</v>
      </c>
      <c r="R2697" s="19">
        <f t="shared" ca="1" si="295"/>
        <v>16775.015300870662</v>
      </c>
      <c r="S2697" s="19">
        <f t="shared" ca="1" si="296"/>
        <v>17274.958677902916</v>
      </c>
    </row>
    <row r="2698" spans="13:19">
      <c r="M2698" s="81">
        <f t="shared" ca="1" si="293"/>
        <v>34067.396831396196</v>
      </c>
      <c r="N2698" s="19">
        <f t="shared" si="294"/>
        <v>518.46494088965642</v>
      </c>
      <c r="O2698" s="17">
        <f t="shared" si="292"/>
        <v>674.25</v>
      </c>
      <c r="P2698" s="19">
        <f ca="1">IF(ISERROR(IF(O2698&lt;fi_h/20,0,(OFFSET('Base de dados'!$A$5,IF(O2698&lt;20,1,IF(O2698&gt;1000,10,MATCH(O2698,Cargas,1))),Coluna_fih,1,1))*(1+0.13*0.25)*(PI()*(fi_h/1000)^2/4)*SQRT(2*9.81*(O2698/100-fi_h/2/1000))*1000)),"",IF(O2698&lt;fi_h/20,0,(OFFSET('Base de dados'!$A$5,IF(O2698&lt;20,1,IF(O2698&gt;1000,10,MATCH(O2698,Cargas,1))),Coluna_fih,1,1))*(PI()*(fi_h/1000)^2/4)*SQRT(2*9.81*(O2698/100-fi_h/2/1000))*1000))</f>
        <v>69.704579033434996</v>
      </c>
      <c r="Q2698" s="19">
        <f ca="1">IF(O2698="","",IF(Tipo_Vertedor="Retangular",IF(O2698&lt;=cota_s*100,0,IF(Tipo_Vertedor="Retangular",Cd_sr*Lef_sr*((O2698/100-cota_s)^(3/2))*1000)),IF(O2698&lt;=cota_s*100+fi_s/20,0,(OFFSET('Base de dados'!$A$4,IF(O2698&lt;20,1,IF(O2698&gt;1000,10,MATCH(O2698,Cargas,1))),Coluna_fis,1,1))*(PI()*(fi_s/1000)^2/4)*(2*9.81*(O2698/100-cota_s-fi_s/2/1000))^0.5*1000)))</f>
        <v>16715.527556040885</v>
      </c>
      <c r="R2698" s="19">
        <f t="shared" ca="1" si="295"/>
        <v>16785.232135074319</v>
      </c>
      <c r="S2698" s="19">
        <f t="shared" ca="1" si="296"/>
        <v>17282.164696321881</v>
      </c>
    </row>
    <row r="2699" spans="13:19">
      <c r="M2699" s="81">
        <f t="shared" ca="1" si="293"/>
        <v>34084.822091123184</v>
      </c>
      <c r="N2699" s="19">
        <f t="shared" si="294"/>
        <v>518.68113142783614</v>
      </c>
      <c r="O2699" s="17">
        <f t="shared" si="292"/>
        <v>674.5</v>
      </c>
      <c r="P2699" s="19">
        <f ca="1">IF(ISERROR(IF(O2699&lt;fi_h/20,0,(OFFSET('Base de dados'!$A$5,IF(O2699&lt;20,1,IF(O2699&gt;1000,10,MATCH(O2699,Cargas,1))),Coluna_fih,1,1))*(1+0.13*0.25)*(PI()*(fi_h/1000)^2/4)*SQRT(2*9.81*(O2699/100-fi_h/2/1000))*1000)),"",IF(O2699&lt;fi_h/20,0,(OFFSET('Base de dados'!$A$5,IF(O2699&lt;20,1,IF(O2699&gt;1000,10,MATCH(O2699,Cargas,1))),Coluna_fih,1,1))*(PI()*(fi_h/1000)^2/4)*SQRT(2*9.81*(O2699/100-fi_h/2/1000))*1000))</f>
        <v>69.717609436891536</v>
      </c>
      <c r="Q2699" s="19">
        <f ca="1">IF(O2699="","",IF(Tipo_Vertedor="Retangular",IF(O2699&lt;=cota_s*100,0,IF(Tipo_Vertedor="Retangular",Cd_sr*Lef_sr*((O2699/100-cota_s)^(3/2))*1000)),IF(O2699&lt;=cota_s*100+fi_s/20,0,(OFFSET('Base de dados'!$A$4,IF(O2699&lt;20,1,IF(O2699&gt;1000,10,MATCH(O2699,Cargas,1))),Coluna_fis,1,1))*(PI()*(fi_s/1000)^2/4)*(2*9.81*(O2699/100-cota_s-fi_s/2/1000))^0.5*1000)))</f>
        <v>16725.733434091755</v>
      </c>
      <c r="R2699" s="19">
        <f t="shared" ca="1" si="295"/>
        <v>16795.451043528647</v>
      </c>
      <c r="S2699" s="19">
        <f t="shared" ca="1" si="296"/>
        <v>17289.371047594537</v>
      </c>
    </row>
    <row r="2700" spans="13:19">
      <c r="M2700" s="81">
        <f t="shared" ca="1" si="293"/>
        <v>34102.249757425394</v>
      </c>
      <c r="N2700" s="19">
        <f t="shared" si="294"/>
        <v>518.89733194838641</v>
      </c>
      <c r="O2700" s="17">
        <f t="shared" si="292"/>
        <v>674.75</v>
      </c>
      <c r="P2700" s="19">
        <f ca="1">IF(ISERROR(IF(O2700&lt;fi_h/20,0,(OFFSET('Base de dados'!$A$5,IF(O2700&lt;20,1,IF(O2700&gt;1000,10,MATCH(O2700,Cargas,1))),Coluna_fih,1,1))*(1+0.13*0.25)*(PI()*(fi_h/1000)^2/4)*SQRT(2*9.81*(O2700/100-fi_h/2/1000))*1000)),"",IF(O2700&lt;fi_h/20,0,(OFFSET('Base de dados'!$A$5,IF(O2700&lt;20,1,IF(O2700&gt;1000,10,MATCH(O2700,Cargas,1))),Coluna_fih,1,1))*(PI()*(fi_h/1000)^2/4)*SQRT(2*9.81*(O2700/100-fi_h/2/1000))*1000))</f>
        <v>69.730637405386659</v>
      </c>
      <c r="Q2700" s="19">
        <f ca="1">IF(O2700="","",IF(Tipo_Vertedor="Retangular",IF(O2700&lt;=cota_s*100,0,IF(Tipo_Vertedor="Retangular",Cd_sr*Lef_sr*((O2700/100-cota_s)^(3/2))*1000)),IF(O2700&lt;=cota_s*100+fi_s/20,0,(OFFSET('Base de dados'!$A$4,IF(O2700&lt;20,1,IF(O2700&gt;1000,10,MATCH(O2700,Cargas,1))),Coluna_fis,1,1))*(PI()*(fi_s/1000)^2/4)*(2*9.81*(O2700/100-cota_s-fi_s/2/1000))^0.5*1000)))</f>
        <v>16735.941388407129</v>
      </c>
      <c r="R2700" s="19">
        <f t="shared" ca="1" si="295"/>
        <v>16805.672025812517</v>
      </c>
      <c r="S2700" s="19">
        <f t="shared" ca="1" si="296"/>
        <v>17296.577731612881</v>
      </c>
    </row>
    <row r="2701" spans="13:19">
      <c r="M2701" s="81">
        <f t="shared" ca="1" si="293"/>
        <v>34119.67982977409</v>
      </c>
      <c r="N2701" s="19">
        <f t="shared" si="294"/>
        <v>519.11354244806978</v>
      </c>
      <c r="O2701" s="17">
        <f t="shared" si="292"/>
        <v>675</v>
      </c>
      <c r="P2701" s="19">
        <f ca="1">IF(ISERROR(IF(O2701&lt;fi_h/20,0,(OFFSET('Base de dados'!$A$5,IF(O2701&lt;20,1,IF(O2701&gt;1000,10,MATCH(O2701,Cargas,1))),Coluna_fih,1,1))*(1+0.13*0.25)*(PI()*(fi_h/1000)^2/4)*SQRT(2*9.81*(O2701/100-fi_h/2/1000))*1000)),"",IF(O2701&lt;fi_h/20,0,(OFFSET('Base de dados'!$A$5,IF(O2701&lt;20,1,IF(O2701&gt;1000,10,MATCH(O2701,Cargas,1))),Coluna_fih,1,1))*(PI()*(fi_h/1000)^2/4)*SQRT(2*9.81*(O2701/100-fi_h/2/1000))*1000))</f>
        <v>69.743662940284921</v>
      </c>
      <c r="Q2701" s="19">
        <f ca="1">IF(O2701="","",IF(Tipo_Vertedor="Retangular",IF(O2701&lt;=cota_s*100,0,IF(Tipo_Vertedor="Retangular",Cd_sr*Lef_sr*((O2701/100-cota_s)^(3/2))*1000)),IF(O2701&lt;=cota_s*100+fi_s/20,0,(OFFSET('Base de dados'!$A$4,IF(O2701&lt;20,1,IF(O2701&gt;1000,10,MATCH(O2701,Cargas,1))),Coluna_fis,1,1))*(PI()*(fi_s/1000)^2/4)*(2*9.81*(O2701/100-cota_s-fi_s/2/1000))^0.5*1000)))</f>
        <v>16746.151418564812</v>
      </c>
      <c r="R2701" s="19">
        <f t="shared" ca="1" si="295"/>
        <v>16815.895081505096</v>
      </c>
      <c r="S2701" s="19">
        <f t="shared" ca="1" si="296"/>
        <v>17303.784748268994</v>
      </c>
    </row>
    <row r="2702" spans="13:19">
      <c r="M2702" s="81">
        <f t="shared" ca="1" si="293"/>
        <v>34137.112307640775</v>
      </c>
      <c r="N2702" s="19">
        <f t="shared" si="294"/>
        <v>519.32976292365015</v>
      </c>
      <c r="O2702" s="17">
        <f t="shared" si="292"/>
        <v>675.25</v>
      </c>
      <c r="P2702" s="19">
        <f ca="1">IF(ISERROR(IF(O2702&lt;fi_h/20,0,(OFFSET('Base de dados'!$A$5,IF(O2702&lt;20,1,IF(O2702&gt;1000,10,MATCH(O2702,Cargas,1))),Coluna_fih,1,1))*(1+0.13*0.25)*(PI()*(fi_h/1000)^2/4)*SQRT(2*9.81*(O2702/100-fi_h/2/1000))*1000)),"",IF(O2702&lt;fi_h/20,0,(OFFSET('Base de dados'!$A$5,IF(O2702&lt;20,1,IF(O2702&gt;1000,10,MATCH(O2702,Cargas,1))),Coluna_fih,1,1))*(PI()*(fi_h/1000)^2/4)*SQRT(2*9.81*(O2702/100-fi_h/2/1000))*1000))</f>
        <v>69.756686042949553</v>
      </c>
      <c r="Q2702" s="19">
        <f ca="1">IF(O2702="","",IF(Tipo_Vertedor="Retangular",IF(O2702&lt;=cota_s*100,0,IF(Tipo_Vertedor="Retangular",Cd_sr*Lef_sr*((O2702/100-cota_s)^(3/2))*1000)),IF(O2702&lt;=cota_s*100+fi_s/20,0,(OFFSET('Base de dados'!$A$4,IF(O2702&lt;20,1,IF(O2702&gt;1000,10,MATCH(O2702,Cargas,1))),Coluna_fis,1,1))*(PI()*(fi_s/1000)^2/4)*(2*9.81*(O2702/100-cota_s-fi_s/2/1000))^0.5*1000)))</f>
        <v>16756.36352414282</v>
      </c>
      <c r="R2702" s="19">
        <f t="shared" ca="1" si="295"/>
        <v>16826.120210185771</v>
      </c>
      <c r="S2702" s="19">
        <f t="shared" ca="1" si="296"/>
        <v>17310.992097455004</v>
      </c>
    </row>
    <row r="2703" spans="13:19">
      <c r="M2703" s="81">
        <f t="shared" ca="1" si="293"/>
        <v>34154.547190497353</v>
      </c>
      <c r="N2703" s="19">
        <f t="shared" si="294"/>
        <v>519.5459933718945</v>
      </c>
      <c r="O2703" s="17">
        <f t="shared" si="292"/>
        <v>675.5</v>
      </c>
      <c r="P2703" s="19">
        <f ca="1">IF(ISERROR(IF(O2703&lt;fi_h/20,0,(OFFSET('Base de dados'!$A$5,IF(O2703&lt;20,1,IF(O2703&gt;1000,10,MATCH(O2703,Cargas,1))),Coluna_fih,1,1))*(1+0.13*0.25)*(PI()*(fi_h/1000)^2/4)*SQRT(2*9.81*(O2703/100-fi_h/2/1000))*1000)),"",IF(O2703&lt;fi_h/20,0,(OFFSET('Base de dados'!$A$5,IF(O2703&lt;20,1,IF(O2703&gt;1000,10,MATCH(O2703,Cargas,1))),Coluna_fih,1,1))*(PI()*(fi_h/1000)^2/4)*SQRT(2*9.81*(O2703/100-fi_h/2/1000))*1000))</f>
        <v>69.769706714742583</v>
      </c>
      <c r="Q2703" s="19">
        <f ca="1">IF(O2703="","",IF(Tipo_Vertedor="Retangular",IF(O2703&lt;=cota_s*100,0,IF(Tipo_Vertedor="Retangular",Cd_sr*Lef_sr*((O2703/100-cota_s)^(3/2))*1000)),IF(O2703&lt;=cota_s*100+fi_s/20,0,(OFFSET('Base de dados'!$A$4,IF(O2703&lt;20,1,IF(O2703&gt;1000,10,MATCH(O2703,Cargas,1))),Coluna_fis,1,1))*(PI()*(fi_s/1000)^2/4)*(2*9.81*(O2703/100-cota_s-fi_s/2/1000))^0.5*1000)))</f>
        <v>16766.577704719461</v>
      </c>
      <c r="R2703" s="19">
        <f t="shared" ca="1" si="295"/>
        <v>16836.347411434203</v>
      </c>
      <c r="S2703" s="19">
        <f t="shared" ca="1" si="296"/>
        <v>17318.19977906315</v>
      </c>
    </row>
    <row r="2704" spans="13:19">
      <c r="M2704" s="81">
        <f t="shared" ca="1" si="293"/>
        <v>34171.984477816033</v>
      </c>
      <c r="N2704" s="19">
        <f t="shared" si="294"/>
        <v>519.76223378957184</v>
      </c>
      <c r="O2704" s="17">
        <f t="shared" si="292"/>
        <v>675.75</v>
      </c>
      <c r="P2704" s="19">
        <f ca="1">IF(ISERROR(IF(O2704&lt;fi_h/20,0,(OFFSET('Base de dados'!$A$5,IF(O2704&lt;20,1,IF(O2704&gt;1000,10,MATCH(O2704,Cargas,1))),Coluna_fih,1,1))*(1+0.13*0.25)*(PI()*(fi_h/1000)^2/4)*SQRT(2*9.81*(O2704/100-fi_h/2/1000))*1000)),"",IF(O2704&lt;fi_h/20,0,(OFFSET('Base de dados'!$A$5,IF(O2704&lt;20,1,IF(O2704&gt;1000,10,MATCH(O2704,Cargas,1))),Coluna_fih,1,1))*(PI()*(fi_h/1000)^2/4)*SQRT(2*9.81*(O2704/100-fi_h/2/1000))*1000))</f>
        <v>69.782724957024698</v>
      </c>
      <c r="Q2704" s="19">
        <f ca="1">IF(O2704="","",IF(Tipo_Vertedor="Retangular",IF(O2704&lt;=cota_s*100,0,IF(Tipo_Vertedor="Retangular",Cd_sr*Lef_sr*((O2704/100-cota_s)^(3/2))*1000)),IF(O2704&lt;=cota_s*100+fi_s/20,0,(OFFSET('Base de dados'!$A$4,IF(O2704&lt;20,1,IF(O2704&gt;1000,10,MATCH(O2704,Cargas,1))),Coluna_fis,1,1))*(PI()*(fi_s/1000)^2/4)*(2*9.81*(O2704/100-cota_s-fi_s/2/1000))^0.5*1000)))</f>
        <v>16776.793959873281</v>
      </c>
      <c r="R2704" s="19">
        <f t="shared" ca="1" si="295"/>
        <v>16846.576684830306</v>
      </c>
      <c r="S2704" s="19">
        <f t="shared" ca="1" si="296"/>
        <v>17325.407792985727</v>
      </c>
    </row>
    <row r="2705" spans="13:19">
      <c r="M2705" s="81">
        <f t="shared" ca="1" si="293"/>
        <v>34189.424169069331</v>
      </c>
      <c r="N2705" s="19">
        <f t="shared" si="294"/>
        <v>519.97848417345244</v>
      </c>
      <c r="O2705" s="17">
        <f t="shared" si="292"/>
        <v>676</v>
      </c>
      <c r="P2705" s="19">
        <f ca="1">IF(ISERROR(IF(O2705&lt;fi_h/20,0,(OFFSET('Base de dados'!$A$5,IF(O2705&lt;20,1,IF(O2705&gt;1000,10,MATCH(O2705,Cargas,1))),Coluna_fih,1,1))*(1+0.13*0.25)*(PI()*(fi_h/1000)^2/4)*SQRT(2*9.81*(O2705/100-fi_h/2/1000))*1000)),"",IF(O2705&lt;fi_h/20,0,(OFFSET('Base de dados'!$A$5,IF(O2705&lt;20,1,IF(O2705&gt;1000,10,MATCH(O2705,Cargas,1))),Coluna_fih,1,1))*(PI()*(fi_h/1000)^2/4)*SQRT(2*9.81*(O2705/100-fi_h/2/1000))*1000))</f>
        <v>69.795740771155366</v>
      </c>
      <c r="Q2705" s="19">
        <f ca="1">IF(O2705="","",IF(Tipo_Vertedor="Retangular",IF(O2705&lt;=cota_s*100,0,IF(Tipo_Vertedor="Retangular",Cd_sr*Lef_sr*((O2705/100-cota_s)^(3/2))*1000)),IF(O2705&lt;=cota_s*100+fi_s/20,0,(OFFSET('Base de dados'!$A$4,IF(O2705&lt;20,1,IF(O2705&gt;1000,10,MATCH(O2705,Cargas,1))),Coluna_fis,1,1))*(PI()*(fi_s/1000)^2/4)*(2*9.81*(O2705/100-cota_s-fi_s/2/1000))^0.5*1000)))</f>
        <v>16787.012289183091</v>
      </c>
      <c r="R2705" s="19">
        <f t="shared" ca="1" si="295"/>
        <v>16856.808029954245</v>
      </c>
      <c r="S2705" s="19">
        <f t="shared" ca="1" si="296"/>
        <v>17332.616139115082</v>
      </c>
    </row>
    <row r="2706" spans="13:19">
      <c r="M2706" s="81">
        <f t="shared" ca="1" si="293"/>
        <v>34206.866263730139</v>
      </c>
      <c r="N2706" s="19">
        <f t="shared" si="294"/>
        <v>520.19474452031068</v>
      </c>
      <c r="O2706" s="17">
        <f t="shared" si="292"/>
        <v>676.25</v>
      </c>
      <c r="P2706" s="19">
        <f ca="1">IF(ISERROR(IF(O2706&lt;fi_h/20,0,(OFFSET('Base de dados'!$A$5,IF(O2706&lt;20,1,IF(O2706&gt;1000,10,MATCH(O2706,Cargas,1))),Coluna_fih,1,1))*(1+0.13*0.25)*(PI()*(fi_h/1000)^2/4)*SQRT(2*9.81*(O2706/100-fi_h/2/1000))*1000)),"",IF(O2706&lt;fi_h/20,0,(OFFSET('Base de dados'!$A$5,IF(O2706&lt;20,1,IF(O2706&gt;1000,10,MATCH(O2706,Cargas,1))),Coluna_fih,1,1))*(PI()*(fi_h/1000)^2/4)*SQRT(2*9.81*(O2706/100-fi_h/2/1000))*1000))</f>
        <v>69.808754158492775</v>
      </c>
      <c r="Q2706" s="19">
        <f ca="1">IF(O2706="","",IF(Tipo_Vertedor="Retangular",IF(O2706&lt;=cota_s*100,0,IF(Tipo_Vertedor="Retangular",Cd_sr*Lef_sr*((O2706/100-cota_s)^(3/2))*1000)),IF(O2706&lt;=cota_s*100+fi_s/20,0,(OFFSET('Base de dados'!$A$4,IF(O2706&lt;20,1,IF(O2706&gt;1000,10,MATCH(O2706,Cargas,1))),Coluna_fis,1,1))*(PI()*(fi_s/1000)^2/4)*(2*9.81*(O2706/100-cota_s-fi_s/2/1000))^0.5*1000)))</f>
        <v>16797.232692227957</v>
      </c>
      <c r="R2706" s="19">
        <f t="shared" ca="1" si="295"/>
        <v>16867.041446386451</v>
      </c>
      <c r="S2706" s="19">
        <f t="shared" ca="1" si="296"/>
        <v>17339.824817343688</v>
      </c>
    </row>
    <row r="2707" spans="13:19">
      <c r="M2707" s="81">
        <f t="shared" ca="1" si="293"/>
        <v>34224.310761271641</v>
      </c>
      <c r="N2707" s="19">
        <f t="shared" si="294"/>
        <v>520.41101482692159</v>
      </c>
      <c r="O2707" s="17">
        <f t="shared" ref="O2707:O2770" si="297">IF(ISERROR(IF(O2706+passo_altura&gt;h_max_puls*100,"",O2706+passo_altura)),"",IF(O2706+passo_altura&gt;h_max_puls*100,"",O2706+passo_altura))</f>
        <v>676.5</v>
      </c>
      <c r="P2707" s="19">
        <f ca="1">IF(ISERROR(IF(O2707&lt;fi_h/20,0,(OFFSET('Base de dados'!$A$5,IF(O2707&lt;20,1,IF(O2707&gt;1000,10,MATCH(O2707,Cargas,1))),Coluna_fih,1,1))*(1+0.13*0.25)*(PI()*(fi_h/1000)^2/4)*SQRT(2*9.81*(O2707/100-fi_h/2/1000))*1000)),"",IF(O2707&lt;fi_h/20,0,(OFFSET('Base de dados'!$A$5,IF(O2707&lt;20,1,IF(O2707&gt;1000,10,MATCH(O2707,Cargas,1))),Coluna_fih,1,1))*(PI()*(fi_h/1000)^2/4)*SQRT(2*9.81*(O2707/100-fi_h/2/1000))*1000))</f>
        <v>69.821765120393849</v>
      </c>
      <c r="Q2707" s="19">
        <f ca="1">IF(O2707="","",IF(Tipo_Vertedor="Retangular",IF(O2707&lt;=cota_s*100,0,IF(Tipo_Vertedor="Retangular",Cd_sr*Lef_sr*((O2707/100-cota_s)^(3/2))*1000)),IF(O2707&lt;=cota_s*100+fi_s/20,0,(OFFSET('Base de dados'!$A$4,IF(O2707&lt;20,1,IF(O2707&gt;1000,10,MATCH(O2707,Cargas,1))),Coluna_fis,1,1))*(PI()*(fi_s/1000)^2/4)*(2*9.81*(O2707/100-cota_s-fi_s/2/1000))^0.5*1000)))</f>
        <v>16807.455168587196</v>
      </c>
      <c r="R2707" s="19">
        <f t="shared" ca="1" si="295"/>
        <v>16877.276933707588</v>
      </c>
      <c r="S2707" s="19">
        <f t="shared" ca="1" si="296"/>
        <v>17347.033827564053</v>
      </c>
    </row>
    <row r="2708" spans="13:19">
      <c r="M2708" s="81">
        <f t="shared" ca="1" si="293"/>
        <v>34241.757661167372</v>
      </c>
      <c r="N2708" s="19">
        <f t="shared" si="294"/>
        <v>520.62729509006283</v>
      </c>
      <c r="O2708" s="17">
        <f t="shared" si="297"/>
        <v>676.75</v>
      </c>
      <c r="P2708" s="19">
        <f ca="1">IF(ISERROR(IF(O2708&lt;fi_h/20,0,(OFFSET('Base de dados'!$A$5,IF(O2708&lt;20,1,IF(O2708&gt;1000,10,MATCH(O2708,Cargas,1))),Coluna_fih,1,1))*(1+0.13*0.25)*(PI()*(fi_h/1000)^2/4)*SQRT(2*9.81*(O2708/100-fi_h/2/1000))*1000)),"",IF(O2708&lt;fi_h/20,0,(OFFSET('Base de dados'!$A$5,IF(O2708&lt;20,1,IF(O2708&gt;1000,10,MATCH(O2708,Cargas,1))),Coluna_fih,1,1))*(PI()*(fi_h/1000)^2/4)*SQRT(2*9.81*(O2708/100-fi_h/2/1000))*1000))</f>
        <v>69.834773658214189</v>
      </c>
      <c r="Q2708" s="19">
        <f ca="1">IF(O2708="","",IF(Tipo_Vertedor="Retangular",IF(O2708&lt;=cota_s*100,0,IF(Tipo_Vertedor="Retangular",Cd_sr*Lef_sr*((O2708/100-cota_s)^(3/2))*1000)),IF(O2708&lt;=cota_s*100+fi_s/20,0,(OFFSET('Base de dados'!$A$4,IF(O2708&lt;20,1,IF(O2708&gt;1000,10,MATCH(O2708,Cargas,1))),Coluna_fis,1,1))*(PI()*(fi_s/1000)^2/4)*(2*9.81*(O2708/100-cota_s-fi_s/2/1000))^0.5*1000)))</f>
        <v>16817.679717840394</v>
      </c>
      <c r="R2708" s="19">
        <f t="shared" ca="1" si="295"/>
        <v>16887.514491498609</v>
      </c>
      <c r="S2708" s="19">
        <f t="shared" ca="1" si="296"/>
        <v>17354.24316966876</v>
      </c>
    </row>
    <row r="2709" spans="13:19">
      <c r="M2709" s="81">
        <f t="shared" ca="1" si="293"/>
        <v>34259.206962891185</v>
      </c>
      <c r="N2709" s="19">
        <f t="shared" si="294"/>
        <v>520.84358530651491</v>
      </c>
      <c r="O2709" s="17">
        <f t="shared" si="297"/>
        <v>677</v>
      </c>
      <c r="P2709" s="19">
        <f ca="1">IF(ISERROR(IF(O2709&lt;fi_h/20,0,(OFFSET('Base de dados'!$A$5,IF(O2709&lt;20,1,IF(O2709&gt;1000,10,MATCH(O2709,Cargas,1))),Coluna_fih,1,1))*(1+0.13*0.25)*(PI()*(fi_h/1000)^2/4)*SQRT(2*9.81*(O2709/100-fi_h/2/1000))*1000)),"",IF(O2709&lt;fi_h/20,0,(OFFSET('Base de dados'!$A$5,IF(O2709&lt;20,1,IF(O2709&gt;1000,10,MATCH(O2709,Cargas,1))),Coluna_fih,1,1))*(PI()*(fi_h/1000)^2/4)*SQRT(2*9.81*(O2709/100-fi_h/2/1000))*1000))</f>
        <v>69.847779773308247</v>
      </c>
      <c r="Q2709" s="19">
        <f ca="1">IF(O2709="","",IF(Tipo_Vertedor="Retangular",IF(O2709&lt;=cota_s*100,0,IF(Tipo_Vertedor="Retangular",Cd_sr*Lef_sr*((O2709/100-cota_s)^(3/2))*1000)),IF(O2709&lt;=cota_s*100+fi_s/20,0,(OFFSET('Base de dados'!$A$4,IF(O2709&lt;20,1,IF(O2709&gt;1000,10,MATCH(O2709,Cargas,1))),Coluna_fis,1,1))*(PI()*(fi_s/1000)^2/4)*(2*9.81*(O2709/100-cota_s-fi_s/2/1000))^0.5*1000)))</f>
        <v>16827.90633956738</v>
      </c>
      <c r="R2709" s="19">
        <f t="shared" ca="1" si="295"/>
        <v>16897.754119340687</v>
      </c>
      <c r="S2709" s="19">
        <f t="shared" ca="1" si="296"/>
        <v>17361.452843550498</v>
      </c>
    </row>
    <row r="2710" spans="13:19">
      <c r="M2710" s="81">
        <f t="shared" ca="1" si="293"/>
        <v>34276.658665917261</v>
      </c>
      <c r="N2710" s="19">
        <f t="shared" si="294"/>
        <v>521.05988547305981</v>
      </c>
      <c r="O2710" s="17">
        <f t="shared" si="297"/>
        <v>677.25</v>
      </c>
      <c r="P2710" s="19">
        <f ca="1">IF(ISERROR(IF(O2710&lt;fi_h/20,0,(OFFSET('Base de dados'!$A$5,IF(O2710&lt;20,1,IF(O2710&gt;1000,10,MATCH(O2710,Cargas,1))),Coluna_fih,1,1))*(1+0.13*0.25)*(PI()*(fi_h/1000)^2/4)*SQRT(2*9.81*(O2710/100-fi_h/2/1000))*1000)),"",IF(O2710&lt;fi_h/20,0,(OFFSET('Base de dados'!$A$5,IF(O2710&lt;20,1,IF(O2710&gt;1000,10,MATCH(O2710,Cargas,1))),Coluna_fih,1,1))*(PI()*(fi_h/1000)^2/4)*SQRT(2*9.81*(O2710/100-fi_h/2/1000))*1000))</f>
        <v>69.860783467029137</v>
      </c>
      <c r="Q2710" s="19">
        <f ca="1">IF(O2710="","",IF(Tipo_Vertedor="Retangular",IF(O2710&lt;=cota_s*100,0,IF(Tipo_Vertedor="Retangular",Cd_sr*Lef_sr*((O2710/100-cota_s)^(3/2))*1000)),IF(O2710&lt;=cota_s*100+fi_s/20,0,(OFFSET('Base de dados'!$A$4,IF(O2710&lt;20,1,IF(O2710&gt;1000,10,MATCH(O2710,Cargas,1))),Coluna_fis,1,1))*(PI()*(fi_s/1000)^2/4)*(2*9.81*(O2710/100-cota_s-fi_s/2/1000))^0.5*1000)))</f>
        <v>16838.135033348237</v>
      </c>
      <c r="R2710" s="19">
        <f t="shared" ca="1" si="295"/>
        <v>16907.995816815266</v>
      </c>
      <c r="S2710" s="19">
        <f t="shared" ca="1" si="296"/>
        <v>17368.662849101991</v>
      </c>
    </row>
    <row r="2711" spans="13:19">
      <c r="M2711" s="81">
        <f t="shared" ref="M2711:M2774" ca="1" si="298">IF(O2711="","",2*N2711*1000/(Passo*60)+R2711)</f>
        <v>34294.112769720115</v>
      </c>
      <c r="N2711" s="19">
        <f t="shared" ref="N2711:N2774" si="299">IF(O2711="","",b_0*(O2711/100)^c_0)</f>
        <v>521.27619558648189</v>
      </c>
      <c r="O2711" s="17">
        <f t="shared" si="297"/>
        <v>677.5</v>
      </c>
      <c r="P2711" s="19">
        <f ca="1">IF(ISERROR(IF(O2711&lt;fi_h/20,0,(OFFSET('Base de dados'!$A$5,IF(O2711&lt;20,1,IF(O2711&gt;1000,10,MATCH(O2711,Cargas,1))),Coluna_fih,1,1))*(1+0.13*0.25)*(PI()*(fi_h/1000)^2/4)*SQRT(2*9.81*(O2711/100-fi_h/2/1000))*1000)),"",IF(O2711&lt;fi_h/20,0,(OFFSET('Base de dados'!$A$5,IF(O2711&lt;20,1,IF(O2711&gt;1000,10,MATCH(O2711,Cargas,1))),Coluna_fih,1,1))*(PI()*(fi_h/1000)^2/4)*SQRT(2*9.81*(O2711/100-fi_h/2/1000))*1000))</f>
        <v>69.873784740728723</v>
      </c>
      <c r="Q2711" s="19">
        <f ca="1">IF(O2711="","",IF(Tipo_Vertedor="Retangular",IF(O2711&lt;=cota_s*100,0,IF(Tipo_Vertedor="Retangular",Cd_sr*Lef_sr*((O2711/100-cota_s)^(3/2))*1000)),IF(O2711&lt;=cota_s*100+fi_s/20,0,(OFFSET('Base de dados'!$A$4,IF(O2711&lt;20,1,IF(O2711&gt;1000,10,MATCH(O2711,Cargas,1))),Coluna_fis,1,1))*(PI()*(fi_s/1000)^2/4)*(2*9.81*(O2711/100-cota_s-fi_s/2/1000))^0.5*1000)))</f>
        <v>16848.365798763323</v>
      </c>
      <c r="R2711" s="19">
        <f t="shared" ref="R2711:R2774" ca="1" si="300">IF(O2711="","",Q2711+P2711)</f>
        <v>16918.239583504052</v>
      </c>
      <c r="S2711" s="19">
        <f t="shared" ref="S2711:S2774" ca="1" si="301">IF(M2711="","",2*N2711*1000/(Passo*60))</f>
        <v>17375.873186216064</v>
      </c>
    </row>
    <row r="2712" spans="13:19">
      <c r="M2712" s="81">
        <f t="shared" ca="1" si="298"/>
        <v>34311.569273774585</v>
      </c>
      <c r="N2712" s="19">
        <f t="shared" si="299"/>
        <v>521.49251564356859</v>
      </c>
      <c r="O2712" s="17">
        <f t="shared" si="297"/>
        <v>677.75</v>
      </c>
      <c r="P2712" s="19">
        <f ca="1">IF(ISERROR(IF(O2712&lt;fi_h/20,0,(OFFSET('Base de dados'!$A$5,IF(O2712&lt;20,1,IF(O2712&gt;1000,10,MATCH(O2712,Cargas,1))),Coluna_fih,1,1))*(1+0.13*0.25)*(PI()*(fi_h/1000)^2/4)*SQRT(2*9.81*(O2712/100-fi_h/2/1000))*1000)),"",IF(O2712&lt;fi_h/20,0,(OFFSET('Base de dados'!$A$5,IF(O2712&lt;20,1,IF(O2712&gt;1000,10,MATCH(O2712,Cargas,1))),Coluna_fih,1,1))*(PI()*(fi_h/1000)^2/4)*SQRT(2*9.81*(O2712/100-fi_h/2/1000))*1000))</f>
        <v>69.88678359575762</v>
      </c>
      <c r="Q2712" s="19">
        <f ca="1">IF(O2712="","",IF(Tipo_Vertedor="Retangular",IF(O2712&lt;=cota_s*100,0,IF(Tipo_Vertedor="Retangular",Cd_sr*Lef_sr*((O2712/100-cota_s)^(3/2))*1000)),IF(O2712&lt;=cota_s*100+fi_s/20,0,(OFFSET('Base de dados'!$A$4,IF(O2712&lt;20,1,IF(O2712&gt;1000,10,MATCH(O2712,Cargas,1))),Coluna_fis,1,1))*(PI()*(fi_s/1000)^2/4)*(2*9.81*(O2712/100-cota_s-fi_s/2/1000))^0.5*1000)))</f>
        <v>16858.598635393209</v>
      </c>
      <c r="R2712" s="19">
        <f t="shared" ca="1" si="300"/>
        <v>16928.485418988967</v>
      </c>
      <c r="S2712" s="19">
        <f t="shared" ca="1" si="301"/>
        <v>17383.083854785618</v>
      </c>
    </row>
    <row r="2713" spans="13:19">
      <c r="M2713" s="81">
        <f t="shared" ca="1" si="298"/>
        <v>34329.028177555854</v>
      </c>
      <c r="N2713" s="19">
        <f t="shared" si="299"/>
        <v>521.70884564110793</v>
      </c>
      <c r="O2713" s="17">
        <f t="shared" si="297"/>
        <v>678</v>
      </c>
      <c r="P2713" s="19">
        <f ca="1">IF(ISERROR(IF(O2713&lt;fi_h/20,0,(OFFSET('Base de dados'!$A$5,IF(O2713&lt;20,1,IF(O2713&gt;1000,10,MATCH(O2713,Cargas,1))),Coluna_fih,1,1))*(1+0.13*0.25)*(PI()*(fi_h/1000)^2/4)*SQRT(2*9.81*(O2713/100-fi_h/2/1000))*1000)),"",IF(O2713&lt;fi_h/20,0,(OFFSET('Base de dados'!$A$5,IF(O2713&lt;20,1,IF(O2713&gt;1000,10,MATCH(O2713,Cargas,1))),Coluna_fih,1,1))*(PI()*(fi_h/1000)^2/4)*SQRT(2*9.81*(O2713/100-fi_h/2/1000))*1000))</f>
        <v>69.899780033465177</v>
      </c>
      <c r="Q2713" s="19">
        <f ca="1">IF(O2713="","",IF(Tipo_Vertedor="Retangular",IF(O2713&lt;=cota_s*100,0,IF(Tipo_Vertedor="Retangular",Cd_sr*Lef_sr*((O2713/100-cota_s)^(3/2))*1000)),IF(O2713&lt;=cota_s*100+fi_s/20,0,(OFFSET('Base de dados'!$A$4,IF(O2713&lt;20,1,IF(O2713&gt;1000,10,MATCH(O2713,Cargas,1))),Coluna_fis,1,1))*(PI()*(fi_s/1000)^2/4)*(2*9.81*(O2713/100-cota_s-fi_s/2/1000))^0.5*1000)))</f>
        <v>16868.833542818786</v>
      </c>
      <c r="R2713" s="19">
        <f t="shared" ca="1" si="300"/>
        <v>16938.733322852251</v>
      </c>
      <c r="S2713" s="19">
        <f t="shared" ca="1" si="301"/>
        <v>17390.294854703599</v>
      </c>
    </row>
    <row r="2714" spans="13:19">
      <c r="M2714" s="81">
        <f t="shared" ca="1" si="298"/>
        <v>34346.4894805394</v>
      </c>
      <c r="N2714" s="19">
        <f t="shared" si="299"/>
        <v>521.92518557589199</v>
      </c>
      <c r="O2714" s="17">
        <f t="shared" si="297"/>
        <v>678.25</v>
      </c>
      <c r="P2714" s="19">
        <f ca="1">IF(ISERROR(IF(O2714&lt;fi_h/20,0,(OFFSET('Base de dados'!$A$5,IF(O2714&lt;20,1,IF(O2714&gt;1000,10,MATCH(O2714,Cargas,1))),Coluna_fih,1,1))*(1+0.13*0.25)*(PI()*(fi_h/1000)^2/4)*SQRT(2*9.81*(O2714/100-fi_h/2/1000))*1000)),"",IF(O2714&lt;fi_h/20,0,(OFFSET('Base de dados'!$A$5,IF(O2714&lt;20,1,IF(O2714&gt;1000,10,MATCH(O2714,Cargas,1))),Coluna_fih,1,1))*(PI()*(fi_h/1000)^2/4)*SQRT(2*9.81*(O2714/100-fi_h/2/1000))*1000))</f>
        <v>69.91277405519952</v>
      </c>
      <c r="Q2714" s="19">
        <f ca="1">IF(O2714="","",IF(Tipo_Vertedor="Retangular",IF(O2714&lt;=cota_s*100,0,IF(Tipo_Vertedor="Retangular",Cd_sr*Lef_sr*((O2714/100-cota_s)^(3/2))*1000)),IF(O2714&lt;=cota_s*100+fi_s/20,0,(OFFSET('Base de dados'!$A$4,IF(O2714&lt;20,1,IF(O2714&gt;1000,10,MATCH(O2714,Cargas,1))),Coluna_fis,1,1))*(PI()*(fi_s/1000)^2/4)*(2*9.81*(O2714/100-cota_s-fi_s/2/1000))^0.5*1000)))</f>
        <v>16879.070520621131</v>
      </c>
      <c r="R2714" s="19">
        <f t="shared" ca="1" si="300"/>
        <v>16948.983294676331</v>
      </c>
      <c r="S2714" s="19">
        <f t="shared" ca="1" si="301"/>
        <v>17397.506185863065</v>
      </c>
    </row>
    <row r="2715" spans="13:19">
      <c r="M2715" s="81">
        <f t="shared" ca="1" si="298"/>
        <v>34363.953182201032</v>
      </c>
      <c r="N2715" s="19">
        <f t="shared" si="299"/>
        <v>522.14153544471344</v>
      </c>
      <c r="O2715" s="17">
        <f t="shared" si="297"/>
        <v>678.5</v>
      </c>
      <c r="P2715" s="19">
        <f ca="1">IF(ISERROR(IF(O2715&lt;fi_h/20,0,(OFFSET('Base de dados'!$A$5,IF(O2715&lt;20,1,IF(O2715&gt;1000,10,MATCH(O2715,Cargas,1))),Coluna_fih,1,1))*(1+0.13*0.25)*(PI()*(fi_h/1000)^2/4)*SQRT(2*9.81*(O2715/100-fi_h/2/1000))*1000)),"",IF(O2715&lt;fi_h/20,0,(OFFSET('Base de dados'!$A$5,IF(O2715&lt;20,1,IF(O2715&gt;1000,10,MATCH(O2715,Cargas,1))),Coluna_fih,1,1))*(PI()*(fi_h/1000)^2/4)*SQRT(2*9.81*(O2715/100-fi_h/2/1000))*1000))</f>
        <v>69.925765662307498</v>
      </c>
      <c r="Q2715" s="19">
        <f ca="1">IF(O2715="","",IF(Tipo_Vertedor="Retangular",IF(O2715&lt;=cota_s*100,0,IF(Tipo_Vertedor="Retangular",Cd_sr*Lef_sr*((O2715/100-cota_s)^(3/2))*1000)),IF(O2715&lt;=cota_s*100+fi_s/20,0,(OFFSET('Base de dados'!$A$4,IF(O2715&lt;20,1,IF(O2715&gt;1000,10,MATCH(O2715,Cargas,1))),Coluna_fis,1,1))*(PI()*(fi_s/1000)^2/4)*(2*9.81*(O2715/100-cota_s-fi_s/2/1000))^0.5*1000)))</f>
        <v>16889.309568381606</v>
      </c>
      <c r="R2715" s="19">
        <f t="shared" ca="1" si="300"/>
        <v>16959.235334043915</v>
      </c>
      <c r="S2715" s="19">
        <f t="shared" ca="1" si="301"/>
        <v>17404.717848157114</v>
      </c>
    </row>
    <row r="2716" spans="13:19">
      <c r="M2716" s="81">
        <f t="shared" ca="1" si="298"/>
        <v>34381.419282016919</v>
      </c>
      <c r="N2716" s="19">
        <f t="shared" si="299"/>
        <v>522.35789524436825</v>
      </c>
      <c r="O2716" s="17">
        <f t="shared" si="297"/>
        <v>678.75</v>
      </c>
      <c r="P2716" s="19">
        <f ca="1">IF(ISERROR(IF(O2716&lt;fi_h/20,0,(OFFSET('Base de dados'!$A$5,IF(O2716&lt;20,1,IF(O2716&gt;1000,10,MATCH(O2716,Cargas,1))),Coluna_fih,1,1))*(1+0.13*0.25)*(PI()*(fi_h/1000)^2/4)*SQRT(2*9.81*(O2716/100-fi_h/2/1000))*1000)),"",IF(O2716&lt;fi_h/20,0,(OFFSET('Base de dados'!$A$5,IF(O2716&lt;20,1,IF(O2716&gt;1000,10,MATCH(O2716,Cargas,1))),Coluna_fih,1,1))*(PI()*(fi_h/1000)^2/4)*SQRT(2*9.81*(O2716/100-fi_h/2/1000))*1000))</f>
        <v>69.938754856134679</v>
      </c>
      <c r="Q2716" s="19">
        <f ca="1">IF(O2716="","",IF(Tipo_Vertedor="Retangular",IF(O2716&lt;=cota_s*100,0,IF(Tipo_Vertedor="Retangular",Cd_sr*Lef_sr*((O2716/100-cota_s)^(3/2))*1000)),IF(O2716&lt;=cota_s*100+fi_s/20,0,(OFFSET('Base de dados'!$A$4,IF(O2716&lt;20,1,IF(O2716&gt;1000,10,MATCH(O2716,Cargas,1))),Coluna_fis,1,1))*(PI()*(fi_s/1000)^2/4)*(2*9.81*(O2716/100-cota_s-fi_s/2/1000))^0.5*1000)))</f>
        <v>16899.550685681843</v>
      </c>
      <c r="R2716" s="19">
        <f t="shared" ca="1" si="300"/>
        <v>16969.489440537978</v>
      </c>
      <c r="S2716" s="19">
        <f t="shared" ca="1" si="301"/>
        <v>17411.929841478941</v>
      </c>
    </row>
    <row r="2717" spans="13:19">
      <c r="M2717" s="81">
        <f t="shared" ca="1" si="298"/>
        <v>34398.887779463541</v>
      </c>
      <c r="N2717" s="19">
        <f t="shared" si="299"/>
        <v>522.5742649716542</v>
      </c>
      <c r="O2717" s="17">
        <f t="shared" si="297"/>
        <v>679</v>
      </c>
      <c r="P2717" s="19">
        <f ca="1">IF(ISERROR(IF(O2717&lt;fi_h/20,0,(OFFSET('Base de dados'!$A$5,IF(O2717&lt;20,1,IF(O2717&gt;1000,10,MATCH(O2717,Cargas,1))),Coluna_fih,1,1))*(1+0.13*0.25)*(PI()*(fi_h/1000)^2/4)*SQRT(2*9.81*(O2717/100-fi_h/2/1000))*1000)),"",IF(O2717&lt;fi_h/20,0,(OFFSET('Base de dados'!$A$5,IF(O2717&lt;20,1,IF(O2717&gt;1000,10,MATCH(O2717,Cargas,1))),Coluna_fih,1,1))*(PI()*(fi_h/1000)^2/4)*SQRT(2*9.81*(O2717/100-fi_h/2/1000))*1000))</f>
        <v>69.951741638025467</v>
      </c>
      <c r="Q2717" s="19">
        <f ca="1">IF(O2717="","",IF(Tipo_Vertedor="Retangular",IF(O2717&lt;=cota_s*100,0,IF(Tipo_Vertedor="Retangular",Cd_sr*Lef_sr*((O2717/100-cota_s)^(3/2))*1000)),IF(O2717&lt;=cota_s*100+fi_s/20,0,(OFFSET('Base de dados'!$A$4,IF(O2717&lt;20,1,IF(O2717&gt;1000,10,MATCH(O2717,Cargas,1))),Coluna_fis,1,1))*(PI()*(fi_s/1000)^2/4)*(2*9.81*(O2717/100-cota_s-fi_s/2/1000))^0.5*1000)))</f>
        <v>16909.793872103706</v>
      </c>
      <c r="R2717" s="19">
        <f t="shared" ca="1" si="300"/>
        <v>16979.745613741732</v>
      </c>
      <c r="S2717" s="19">
        <f t="shared" ca="1" si="301"/>
        <v>17419.142165721809</v>
      </c>
    </row>
    <row r="2718" spans="13:19">
      <c r="M2718" s="81">
        <f t="shared" ca="1" si="298"/>
        <v>34416.358674017683</v>
      </c>
      <c r="N2718" s="19">
        <f t="shared" si="299"/>
        <v>522.79064462337124</v>
      </c>
      <c r="O2718" s="17">
        <f t="shared" si="297"/>
        <v>679.25</v>
      </c>
      <c r="P2718" s="19">
        <f ca="1">IF(ISERROR(IF(O2718&lt;fi_h/20,0,(OFFSET('Base de dados'!$A$5,IF(O2718&lt;20,1,IF(O2718&gt;1000,10,MATCH(O2718,Cargas,1))),Coluna_fih,1,1))*(1+0.13*0.25)*(PI()*(fi_h/1000)^2/4)*SQRT(2*9.81*(O2718/100-fi_h/2/1000))*1000)),"",IF(O2718&lt;fi_h/20,0,(OFFSET('Base de dados'!$A$5,IF(O2718&lt;20,1,IF(O2718&gt;1000,10,MATCH(O2718,Cargas,1))),Coluna_fih,1,1))*(PI()*(fi_h/1000)^2/4)*SQRT(2*9.81*(O2718/100-fi_h/2/1000))*1000))</f>
        <v>69.964726009322916</v>
      </c>
      <c r="Q2718" s="19">
        <f ca="1">IF(O2718="","",IF(Tipo_Vertedor="Retangular",IF(O2718&lt;=cota_s*100,0,IF(Tipo_Vertedor="Retangular",Cd_sr*Lef_sr*((O2718/100-cota_s)^(3/2))*1000)),IF(O2718&lt;=cota_s*100+fi_s/20,0,(OFFSET('Base de dados'!$A$4,IF(O2718&lt;20,1,IF(O2718&gt;1000,10,MATCH(O2718,Cargas,1))),Coluna_fis,1,1))*(PI()*(fi_s/1000)^2/4)*(2*9.81*(O2718/100-cota_s-fi_s/2/1000))^0.5*1000)))</f>
        <v>16920.039127229316</v>
      </c>
      <c r="R2718" s="19">
        <f t="shared" ca="1" si="300"/>
        <v>16990.003853238639</v>
      </c>
      <c r="S2718" s="19">
        <f t="shared" ca="1" si="301"/>
        <v>17426.354820779041</v>
      </c>
    </row>
    <row r="2719" spans="13:19">
      <c r="M2719" s="81">
        <f t="shared" ca="1" si="298"/>
        <v>34433.831965156452</v>
      </c>
      <c r="N2719" s="19">
        <f t="shared" si="299"/>
        <v>523.00703419632168</v>
      </c>
      <c r="O2719" s="17">
        <f t="shared" si="297"/>
        <v>679.5</v>
      </c>
      <c r="P2719" s="19">
        <f ca="1">IF(ISERROR(IF(O2719&lt;fi_h/20,0,(OFFSET('Base de dados'!$A$5,IF(O2719&lt;20,1,IF(O2719&gt;1000,10,MATCH(O2719,Cargas,1))),Coluna_fih,1,1))*(1+0.13*0.25)*(PI()*(fi_h/1000)^2/4)*SQRT(2*9.81*(O2719/100-fi_h/2/1000))*1000)),"",IF(O2719&lt;fi_h/20,0,(OFFSET('Base de dados'!$A$5,IF(O2719&lt;20,1,IF(O2719&gt;1000,10,MATCH(O2719,Cargas,1))),Coluna_fih,1,1))*(PI()*(fi_h/1000)^2/4)*SQRT(2*9.81*(O2719/100-fi_h/2/1000))*1000))</f>
        <v>69.977707971368915</v>
      </c>
      <c r="Q2719" s="19">
        <f ca="1">IF(O2719="","",IF(Tipo_Vertedor="Retangular",IF(O2719&lt;=cota_s*100,0,IF(Tipo_Vertedor="Retangular",Cd_sr*Lef_sr*((O2719/100-cota_s)^(3/2))*1000)),IF(O2719&lt;=cota_s*100+fi_s/20,0,(OFFSET('Base de dados'!$A$4,IF(O2719&lt;20,1,IF(O2719&gt;1000,10,MATCH(O2719,Cargas,1))),Coluna_fis,1,1))*(PI()*(fi_s/1000)^2/4)*(2*9.81*(O2719/100-cota_s-fi_s/2/1000))^0.5*1000)))</f>
        <v>16930.286450641033</v>
      </c>
      <c r="R2719" s="19">
        <f t="shared" ca="1" si="300"/>
        <v>17000.264158612401</v>
      </c>
      <c r="S2719" s="19">
        <f t="shared" ca="1" si="301"/>
        <v>17433.567806544055</v>
      </c>
    </row>
    <row r="2720" spans="13:19">
      <c r="M2720" s="81">
        <f t="shared" ca="1" si="298"/>
        <v>34451.307652357355</v>
      </c>
      <c r="N2720" s="19">
        <f t="shared" si="299"/>
        <v>523.22343368730992</v>
      </c>
      <c r="O2720" s="17">
        <f t="shared" si="297"/>
        <v>679.75</v>
      </c>
      <c r="P2720" s="19">
        <f ca="1">IF(ISERROR(IF(O2720&lt;fi_h/20,0,(OFFSET('Base de dados'!$A$5,IF(O2720&lt;20,1,IF(O2720&gt;1000,10,MATCH(O2720,Cargas,1))),Coluna_fih,1,1))*(1+0.13*0.25)*(PI()*(fi_h/1000)^2/4)*SQRT(2*9.81*(O2720/100-fi_h/2/1000))*1000)),"",IF(O2720&lt;fi_h/20,0,(OFFSET('Base de dados'!$A$5,IF(O2720&lt;20,1,IF(O2720&gt;1000,10,MATCH(O2720,Cargas,1))),Coluna_fih,1,1))*(PI()*(fi_h/1000)^2/4)*SQRT(2*9.81*(O2720/100-fi_h/2/1000))*1000))</f>
        <v>69.990687525504086</v>
      </c>
      <c r="Q2720" s="19">
        <f ca="1">IF(O2720="","",IF(Tipo_Vertedor="Retangular",IF(O2720&lt;=cota_s*100,0,IF(Tipo_Vertedor="Retangular",Cd_sr*Lef_sr*((O2720/100-cota_s)^(3/2))*1000)),IF(O2720&lt;=cota_s*100+fi_s/20,0,(OFFSET('Base de dados'!$A$4,IF(O2720&lt;20,1,IF(O2720&gt;1000,10,MATCH(O2720,Cargas,1))),Coluna_fis,1,1))*(PI()*(fi_s/1000)^2/4)*(2*9.81*(O2720/100-cota_s-fi_s/2/1000))^0.5*1000)))</f>
        <v>16940.535841921515</v>
      </c>
      <c r="R2720" s="19">
        <f t="shared" ca="1" si="300"/>
        <v>17010.526529447019</v>
      </c>
      <c r="S2720" s="19">
        <f t="shared" ca="1" si="301"/>
        <v>17440.781122910332</v>
      </c>
    </row>
    <row r="2721" spans="13:19">
      <c r="M2721" s="81">
        <f t="shared" ca="1" si="298"/>
        <v>34468.785735098121</v>
      </c>
      <c r="N2721" s="19">
        <f t="shared" si="299"/>
        <v>523.43984309314283</v>
      </c>
      <c r="O2721" s="17">
        <f t="shared" si="297"/>
        <v>680</v>
      </c>
      <c r="P2721" s="19">
        <f ca="1">IF(ISERROR(IF(O2721&lt;fi_h/20,0,(OFFSET('Base de dados'!$A$5,IF(O2721&lt;20,1,IF(O2721&gt;1000,10,MATCH(O2721,Cargas,1))),Coluna_fih,1,1))*(1+0.13*0.25)*(PI()*(fi_h/1000)^2/4)*SQRT(2*9.81*(O2721/100-fi_h/2/1000))*1000)),"",IF(O2721&lt;fi_h/20,0,(OFFSET('Base de dados'!$A$5,IF(O2721&lt;20,1,IF(O2721&gt;1000,10,MATCH(O2721,Cargas,1))),Coluna_fih,1,1))*(PI()*(fi_h/1000)^2/4)*SQRT(2*9.81*(O2721/100-fi_h/2/1000))*1000))</f>
        <v>70.00366467306776</v>
      </c>
      <c r="Q2721" s="19">
        <f ca="1">IF(O2721="","",IF(Tipo_Vertedor="Retangular",IF(O2721&lt;=cota_s*100,0,IF(Tipo_Vertedor="Retangular",Cd_sr*Lef_sr*((O2721/100-cota_s)^(3/2))*1000)),IF(O2721&lt;=cota_s*100+fi_s/20,0,(OFFSET('Base de dados'!$A$4,IF(O2721&lt;20,1,IF(O2721&gt;1000,10,MATCH(O2721,Cargas,1))),Coluna_fis,1,1))*(PI()*(fi_s/1000)^2/4)*(2*9.81*(O2721/100-cota_s-fi_s/2/1000))^0.5*1000)))</f>
        <v>16950.787300653625</v>
      </c>
      <c r="R2721" s="19">
        <f t="shared" ca="1" si="300"/>
        <v>17020.790965326691</v>
      </c>
      <c r="S2721" s="19">
        <f t="shared" ca="1" si="301"/>
        <v>17447.994769771427</v>
      </c>
    </row>
    <row r="2722" spans="13:19">
      <c r="M2722" s="81">
        <f t="shared" ca="1" si="298"/>
        <v>34486.266212856841</v>
      </c>
      <c r="N2722" s="19">
        <f t="shared" si="299"/>
        <v>523.65626241062887</v>
      </c>
      <c r="O2722" s="17">
        <f t="shared" si="297"/>
        <v>680.25</v>
      </c>
      <c r="P2722" s="19">
        <f ca="1">IF(ISERROR(IF(O2722&lt;fi_h/20,0,(OFFSET('Base de dados'!$A$5,IF(O2722&lt;20,1,IF(O2722&gt;1000,10,MATCH(O2722,Cargas,1))),Coluna_fih,1,1))*(1+0.13*0.25)*(PI()*(fi_h/1000)^2/4)*SQRT(2*9.81*(O2722/100-fi_h/2/1000))*1000)),"",IF(O2722&lt;fi_h/20,0,(OFFSET('Base de dados'!$A$5,IF(O2722&lt;20,1,IF(O2722&gt;1000,10,MATCH(O2722,Cargas,1))),Coluna_fih,1,1))*(PI()*(fi_h/1000)^2/4)*SQRT(2*9.81*(O2722/100-fi_h/2/1000))*1000))</f>
        <v>70.016639415398089</v>
      </c>
      <c r="Q2722" s="19">
        <f ca="1">IF(O2722="","",IF(Tipo_Vertedor="Retangular",IF(O2722&lt;=cota_s*100,0,IF(Tipo_Vertedor="Retangular",Cd_sr*Lef_sr*((O2722/100-cota_s)^(3/2))*1000)),IF(O2722&lt;=cota_s*100+fi_s/20,0,(OFFSET('Base de dados'!$A$4,IF(O2722&lt;20,1,IF(O2722&gt;1000,10,MATCH(O2722,Cargas,1))),Coluna_fis,1,1))*(PI()*(fi_s/1000)^2/4)*(2*9.81*(O2722/100-cota_s-fi_s/2/1000))^0.5*1000)))</f>
        <v>16961.040826420482</v>
      </c>
      <c r="R2722" s="19">
        <f t="shared" ca="1" si="300"/>
        <v>17031.057465835878</v>
      </c>
      <c r="S2722" s="19">
        <f t="shared" ca="1" si="301"/>
        <v>17455.208747020963</v>
      </c>
    </row>
    <row r="2723" spans="13:19">
      <c r="M2723" s="81">
        <f t="shared" ca="1" si="298"/>
        <v>34503.74908511198</v>
      </c>
      <c r="N2723" s="19">
        <f t="shared" si="299"/>
        <v>523.87269163657936</v>
      </c>
      <c r="O2723" s="17">
        <f t="shared" si="297"/>
        <v>680.5</v>
      </c>
      <c r="P2723" s="19">
        <f ca="1">IF(ISERROR(IF(O2723&lt;fi_h/20,0,(OFFSET('Base de dados'!$A$5,IF(O2723&lt;20,1,IF(O2723&gt;1000,10,MATCH(O2723,Cargas,1))),Coluna_fih,1,1))*(1+0.13*0.25)*(PI()*(fi_h/1000)^2/4)*SQRT(2*9.81*(O2723/100-fi_h/2/1000))*1000)),"",IF(O2723&lt;fi_h/20,0,(OFFSET('Base de dados'!$A$5,IF(O2723&lt;20,1,IF(O2723&gt;1000,10,MATCH(O2723,Cargas,1))),Coluna_fih,1,1))*(PI()*(fi_h/1000)^2/4)*SQRT(2*9.81*(O2723/100-fi_h/2/1000))*1000))</f>
        <v>70.029611753831944</v>
      </c>
      <c r="Q2723" s="19">
        <f ca="1">IF(O2723="","",IF(Tipo_Vertedor="Retangular",IF(O2723&lt;=cota_s*100,0,IF(Tipo_Vertedor="Retangular",Cd_sr*Lef_sr*((O2723/100-cota_s)^(3/2))*1000)),IF(O2723&lt;=cota_s*100+fi_s/20,0,(OFFSET('Base de dados'!$A$4,IF(O2723&lt;20,1,IF(O2723&gt;1000,10,MATCH(O2723,Cargas,1))),Coluna_fis,1,1))*(PI()*(fi_s/1000)^2/4)*(2*9.81*(O2723/100-cota_s-fi_s/2/1000))^0.5*1000)))</f>
        <v>16971.296418805505</v>
      </c>
      <c r="R2723" s="19">
        <f t="shared" ca="1" si="300"/>
        <v>17041.326030559336</v>
      </c>
      <c r="S2723" s="19">
        <f t="shared" ca="1" si="301"/>
        <v>17462.423054552644</v>
      </c>
    </row>
    <row r="2724" spans="13:19">
      <c r="M2724" s="81">
        <f t="shared" ca="1" si="298"/>
        <v>34521.234351342267</v>
      </c>
      <c r="N2724" s="19">
        <f t="shared" si="299"/>
        <v>524.08913076780766</v>
      </c>
      <c r="O2724" s="17">
        <f t="shared" si="297"/>
        <v>680.75</v>
      </c>
      <c r="P2724" s="19">
        <f ca="1">IF(ISERROR(IF(O2724&lt;fi_h/20,0,(OFFSET('Base de dados'!$A$5,IF(O2724&lt;20,1,IF(O2724&gt;1000,10,MATCH(O2724,Cargas,1))),Coluna_fih,1,1))*(1+0.13*0.25)*(PI()*(fi_h/1000)^2/4)*SQRT(2*9.81*(O2724/100-fi_h/2/1000))*1000)),"",IF(O2724&lt;fi_h/20,0,(OFFSET('Base de dados'!$A$5,IF(O2724&lt;20,1,IF(O2724&gt;1000,10,MATCH(O2724,Cargas,1))),Coluna_fih,1,1))*(PI()*(fi_h/1000)^2/4)*SQRT(2*9.81*(O2724/100-fi_h/2/1000))*1000))</f>
        <v>70.042581689705017</v>
      </c>
      <c r="Q2724" s="19">
        <f ca="1">IF(O2724="","",IF(Tipo_Vertedor="Retangular",IF(O2724&lt;=cota_s*100,0,IF(Tipo_Vertedor="Retangular",Cd_sr*Lef_sr*((O2724/100-cota_s)^(3/2))*1000)),IF(O2724&lt;=cota_s*100+fi_s/20,0,(OFFSET('Base de dados'!$A$4,IF(O2724&lt;20,1,IF(O2724&gt;1000,10,MATCH(O2724,Cargas,1))),Coluna_fis,1,1))*(PI()*(fi_s/1000)^2/4)*(2*9.81*(O2724/100-cota_s-fi_s/2/1000))^0.5*1000)))</f>
        <v>16981.554077392309</v>
      </c>
      <c r="R2724" s="19">
        <f t="shared" ca="1" si="300"/>
        <v>17051.596659082014</v>
      </c>
      <c r="S2724" s="19">
        <f t="shared" ca="1" si="301"/>
        <v>17469.637692260254</v>
      </c>
    </row>
    <row r="2725" spans="13:19">
      <c r="M2725" s="81">
        <f t="shared" ca="1" si="298"/>
        <v>34538.722011026766</v>
      </c>
      <c r="N2725" s="19">
        <f t="shared" si="299"/>
        <v>524.30557980112906</v>
      </c>
      <c r="O2725" s="17">
        <f t="shared" si="297"/>
        <v>681</v>
      </c>
      <c r="P2725" s="19">
        <f ca="1">IF(ISERROR(IF(O2725&lt;fi_h/20,0,(OFFSET('Base de dados'!$A$5,IF(O2725&lt;20,1,IF(O2725&gt;1000,10,MATCH(O2725,Cargas,1))),Coluna_fih,1,1))*(1+0.13*0.25)*(PI()*(fi_h/1000)^2/4)*SQRT(2*9.81*(O2725/100-fi_h/2/1000))*1000)),"",IF(O2725&lt;fi_h/20,0,(OFFSET('Base de dados'!$A$5,IF(O2725&lt;20,1,IF(O2725&gt;1000,10,MATCH(O2725,Cargas,1))),Coluna_fih,1,1))*(PI()*(fi_h/1000)^2/4)*SQRT(2*9.81*(O2725/100-fi_h/2/1000))*1000))</f>
        <v>70.05554922435168</v>
      </c>
      <c r="Q2725" s="19">
        <f ca="1">IF(O2725="","",IF(Tipo_Vertedor="Retangular",IF(O2725&lt;=cota_s*100,0,IF(Tipo_Vertedor="Retangular",Cd_sr*Lef_sr*((O2725/100-cota_s)^(3/2))*1000)),IF(O2725&lt;=cota_s*100+fi_s/20,0,(OFFSET('Base de dados'!$A$4,IF(O2725&lt;20,1,IF(O2725&gt;1000,10,MATCH(O2725,Cargas,1))),Coluna_fis,1,1))*(PI()*(fi_s/1000)^2/4)*(2*9.81*(O2725/100-cota_s-fi_s/2/1000))^0.5*1000)))</f>
        <v>16991.813801764783</v>
      </c>
      <c r="R2725" s="19">
        <f t="shared" ca="1" si="300"/>
        <v>17061.869350989135</v>
      </c>
      <c r="S2725" s="19">
        <f t="shared" ca="1" si="301"/>
        <v>17476.852660037635</v>
      </c>
    </row>
    <row r="2726" spans="13:19">
      <c r="M2726" s="81">
        <f t="shared" ca="1" si="298"/>
        <v>34556.212063644882</v>
      </c>
      <c r="N2726" s="19">
        <f t="shared" si="299"/>
        <v>524.52203873336123</v>
      </c>
      <c r="O2726" s="17">
        <f t="shared" si="297"/>
        <v>681.25</v>
      </c>
      <c r="P2726" s="19">
        <f ca="1">IF(ISERROR(IF(O2726&lt;fi_h/20,0,(OFFSET('Base de dados'!$A$5,IF(O2726&lt;20,1,IF(O2726&gt;1000,10,MATCH(O2726,Cargas,1))),Coluna_fih,1,1))*(1+0.13*0.25)*(PI()*(fi_h/1000)^2/4)*SQRT(2*9.81*(O2726/100-fi_h/2/1000))*1000)),"",IF(O2726&lt;fi_h/20,0,(OFFSET('Base de dados'!$A$5,IF(O2726&lt;20,1,IF(O2726&gt;1000,10,MATCH(O2726,Cargas,1))),Coluna_fih,1,1))*(PI()*(fi_h/1000)^2/4)*SQRT(2*9.81*(O2726/100-fi_h/2/1000))*1000))</f>
        <v>70.068514359105151</v>
      </c>
      <c r="Q2726" s="19">
        <f ca="1">IF(O2726="","",IF(Tipo_Vertedor="Retangular",IF(O2726&lt;=cota_s*100,0,IF(Tipo_Vertedor="Retangular",Cd_sr*Lef_sr*((O2726/100-cota_s)^(3/2))*1000)),IF(O2726&lt;=cota_s*100+fi_s/20,0,(OFFSET('Base de dados'!$A$4,IF(O2726&lt;20,1,IF(O2726&gt;1000,10,MATCH(O2726,Cargas,1))),Coluna_fis,1,1))*(PI()*(fi_s/1000)^2/4)*(2*9.81*(O2726/100-cota_s-fi_s/2/1000))^0.5*1000)))</f>
        <v>17002.075591507073</v>
      </c>
      <c r="R2726" s="19">
        <f t="shared" ca="1" si="300"/>
        <v>17072.144105866177</v>
      </c>
      <c r="S2726" s="19">
        <f t="shared" ca="1" si="301"/>
        <v>17484.067957778705</v>
      </c>
    </row>
    <row r="2727" spans="13:19">
      <c r="M2727" s="81">
        <f t="shared" ca="1" si="298"/>
        <v>34573.704508676325</v>
      </c>
      <c r="N2727" s="19">
        <f t="shared" si="299"/>
        <v>524.73850756132401</v>
      </c>
      <c r="O2727" s="17">
        <f t="shared" si="297"/>
        <v>681.5</v>
      </c>
      <c r="P2727" s="19">
        <f ca="1">IF(ISERROR(IF(O2727&lt;fi_h/20,0,(OFFSET('Base de dados'!$A$5,IF(O2727&lt;20,1,IF(O2727&gt;1000,10,MATCH(O2727,Cargas,1))),Coluna_fih,1,1))*(1+0.13*0.25)*(PI()*(fi_h/1000)^2/4)*SQRT(2*9.81*(O2727/100-fi_h/2/1000))*1000)),"",IF(O2727&lt;fi_h/20,0,(OFFSET('Base de dados'!$A$5,IF(O2727&lt;20,1,IF(O2727&gt;1000,10,MATCH(O2727,Cargas,1))),Coluna_fih,1,1))*(PI()*(fi_h/1000)^2/4)*SQRT(2*9.81*(O2727/100-fi_h/2/1000))*1000))</f>
        <v>70.081477095297345</v>
      </c>
      <c r="Q2727" s="19">
        <f ca="1">IF(O2727="","",IF(Tipo_Vertedor="Retangular",IF(O2727&lt;=cota_s*100,0,IF(Tipo_Vertedor="Retangular",Cd_sr*Lef_sr*((O2727/100-cota_s)^(3/2))*1000)),IF(O2727&lt;=cota_s*100+fi_s/20,0,(OFFSET('Base de dados'!$A$4,IF(O2727&lt;20,1,IF(O2727&gt;1000,10,MATCH(O2727,Cargas,1))),Coluna_fis,1,1))*(PI()*(fi_s/1000)^2/4)*(2*9.81*(O2727/100-cota_s-fi_s/2/1000))^0.5*1000)))</f>
        <v>17012.339446203561</v>
      </c>
      <c r="R2727" s="19">
        <f t="shared" ca="1" si="300"/>
        <v>17082.420923298858</v>
      </c>
      <c r="S2727" s="19">
        <f t="shared" ca="1" si="301"/>
        <v>17491.283585377467</v>
      </c>
    </row>
    <row r="2728" spans="13:19">
      <c r="M2728" s="81">
        <f t="shared" ca="1" si="298"/>
        <v>34591.199345601126</v>
      </c>
      <c r="N2728" s="19">
        <f t="shared" si="299"/>
        <v>524.95498628183918</v>
      </c>
      <c r="O2728" s="17">
        <f t="shared" si="297"/>
        <v>681.75</v>
      </c>
      <c r="P2728" s="19">
        <f ca="1">IF(ISERROR(IF(O2728&lt;fi_h/20,0,(OFFSET('Base de dados'!$A$5,IF(O2728&lt;20,1,IF(O2728&gt;1000,10,MATCH(O2728,Cargas,1))),Coluna_fih,1,1))*(1+0.13*0.25)*(PI()*(fi_h/1000)^2/4)*SQRT(2*9.81*(O2728/100-fi_h/2/1000))*1000)),"",IF(O2728&lt;fi_h/20,0,(OFFSET('Base de dados'!$A$5,IF(O2728&lt;20,1,IF(O2728&gt;1000,10,MATCH(O2728,Cargas,1))),Coluna_fih,1,1))*(PI()*(fi_h/1000)^2/4)*SQRT(2*9.81*(O2728/100-fi_h/2/1000))*1000))</f>
        <v>70.094437434258992</v>
      </c>
      <c r="Q2728" s="19">
        <f ca="1">IF(O2728="","",IF(Tipo_Vertedor="Retangular",IF(O2728&lt;=cota_s*100,0,IF(Tipo_Vertedor="Retangular",Cd_sr*Lef_sr*((O2728/100-cota_s)^(3/2))*1000)),IF(O2728&lt;=cota_s*100+fi_s/20,0,(OFFSET('Base de dados'!$A$4,IF(O2728&lt;20,1,IF(O2728&gt;1000,10,MATCH(O2728,Cargas,1))),Coluna_fis,1,1))*(PI()*(fi_s/1000)^2/4)*(2*9.81*(O2728/100-cota_s-fi_s/2/1000))^0.5*1000)))</f>
        <v>17022.6053654389</v>
      </c>
      <c r="R2728" s="19">
        <f t="shared" ca="1" si="300"/>
        <v>17092.699802873158</v>
      </c>
      <c r="S2728" s="19">
        <f t="shared" ca="1" si="301"/>
        <v>17498.499542727972</v>
      </c>
    </row>
    <row r="2729" spans="13:19">
      <c r="M2729" s="81">
        <f t="shared" ca="1" si="298"/>
        <v>34608.696573899666</v>
      </c>
      <c r="N2729" s="19">
        <f t="shared" si="299"/>
        <v>525.17147489173124</v>
      </c>
      <c r="O2729" s="17">
        <f t="shared" si="297"/>
        <v>682</v>
      </c>
      <c r="P2729" s="19">
        <f ca="1">IF(ISERROR(IF(O2729&lt;fi_h/20,0,(OFFSET('Base de dados'!$A$5,IF(O2729&lt;20,1,IF(O2729&gt;1000,10,MATCH(O2729,Cargas,1))),Coluna_fih,1,1))*(1+0.13*0.25)*(PI()*(fi_h/1000)^2/4)*SQRT(2*9.81*(O2729/100-fi_h/2/1000))*1000)),"",IF(O2729&lt;fi_h/20,0,(OFFSET('Base de dados'!$A$5,IF(O2729&lt;20,1,IF(O2729&gt;1000,10,MATCH(O2729,Cargas,1))),Coluna_fih,1,1))*(PI()*(fi_h/1000)^2/4)*SQRT(2*9.81*(O2729/100-fi_h/2/1000))*1000))</f>
        <v>70.107395377319577</v>
      </c>
      <c r="Q2729" s="19">
        <f ca="1">IF(O2729="","",IF(Tipo_Vertedor="Retangular",IF(O2729&lt;=cota_s*100,0,IF(Tipo_Vertedor="Retangular",Cd_sr*Lef_sr*((O2729/100-cota_s)^(3/2))*1000)),IF(O2729&lt;=cota_s*100+fi_s/20,0,(OFFSET('Base de dados'!$A$4,IF(O2729&lt;20,1,IF(O2729&gt;1000,10,MATCH(O2729,Cargas,1))),Coluna_fis,1,1))*(PI()*(fi_s/1000)^2/4)*(2*9.81*(O2729/100-cota_s-fi_s/2/1000))^0.5*1000)))</f>
        <v>17032.873348797966</v>
      </c>
      <c r="R2729" s="19">
        <f t="shared" ca="1" si="300"/>
        <v>17102.980744175286</v>
      </c>
      <c r="S2729" s="19">
        <f t="shared" ca="1" si="301"/>
        <v>17505.715829724377</v>
      </c>
    </row>
    <row r="2730" spans="13:19">
      <c r="M2730" s="81">
        <f t="shared" ca="1" si="298"/>
        <v>34626.196193052609</v>
      </c>
      <c r="N2730" s="19">
        <f t="shared" si="299"/>
        <v>525.38797338782649</v>
      </c>
      <c r="O2730" s="17">
        <f t="shared" si="297"/>
        <v>682.25</v>
      </c>
      <c r="P2730" s="19">
        <f ca="1">IF(ISERROR(IF(O2730&lt;fi_h/20,0,(OFFSET('Base de dados'!$A$5,IF(O2730&lt;20,1,IF(O2730&gt;1000,10,MATCH(O2730,Cargas,1))),Coluna_fih,1,1))*(1+0.13*0.25)*(PI()*(fi_h/1000)^2/4)*SQRT(2*9.81*(O2730/100-fi_h/2/1000))*1000)),"",IF(O2730&lt;fi_h/20,0,(OFFSET('Base de dados'!$A$5,IF(O2730&lt;20,1,IF(O2730&gt;1000,10,MATCH(O2730,Cargas,1))),Coluna_fih,1,1))*(PI()*(fi_h/1000)^2/4)*SQRT(2*9.81*(O2730/100-fi_h/2/1000))*1000))</f>
        <v>70.120350925807358</v>
      </c>
      <c r="Q2730" s="19">
        <f ca="1">IF(O2730="","",IF(Tipo_Vertedor="Retangular",IF(O2730&lt;=cota_s*100,0,IF(Tipo_Vertedor="Retangular",Cd_sr*Lef_sr*((O2730/100-cota_s)^(3/2))*1000)),IF(O2730&lt;=cota_s*100+fi_s/20,0,(OFFSET('Base de dados'!$A$4,IF(O2730&lt;20,1,IF(O2730&gt;1000,10,MATCH(O2730,Cargas,1))),Coluna_fis,1,1))*(PI()*(fi_s/1000)^2/4)*(2*9.81*(O2730/100-cota_s-fi_s/2/1000))^0.5*1000)))</f>
        <v>17043.143395865918</v>
      </c>
      <c r="R2730" s="19">
        <f t="shared" ca="1" si="300"/>
        <v>17113.263746791727</v>
      </c>
      <c r="S2730" s="19">
        <f t="shared" ca="1" si="301"/>
        <v>17512.932446260882</v>
      </c>
    </row>
    <row r="2731" spans="13:19">
      <c r="M2731" s="81">
        <f t="shared" ca="1" si="298"/>
        <v>34643.698202540982</v>
      </c>
      <c r="N2731" s="19">
        <f t="shared" si="299"/>
        <v>525.60448176695377</v>
      </c>
      <c r="O2731" s="17">
        <f t="shared" si="297"/>
        <v>682.5</v>
      </c>
      <c r="P2731" s="19">
        <f ca="1">IF(ISERROR(IF(O2731&lt;fi_h/20,0,(OFFSET('Base de dados'!$A$5,IF(O2731&lt;20,1,IF(O2731&gt;1000,10,MATCH(O2731,Cargas,1))),Coluna_fih,1,1))*(1+0.13*0.25)*(PI()*(fi_h/1000)^2/4)*SQRT(2*9.81*(O2731/100-fi_h/2/1000))*1000)),"",IF(O2731&lt;fi_h/20,0,(OFFSET('Base de dados'!$A$5,IF(O2731&lt;20,1,IF(O2731&gt;1000,10,MATCH(O2731,Cargas,1))),Coluna_fih,1,1))*(PI()*(fi_h/1000)^2/4)*SQRT(2*9.81*(O2731/100-fi_h/2/1000))*1000))</f>
        <v>70.133304081049374</v>
      </c>
      <c r="Q2731" s="19">
        <f ca="1">IF(O2731="","",IF(Tipo_Vertedor="Retangular",IF(O2731&lt;=cota_s*100,0,IF(Tipo_Vertedor="Retangular",Cd_sr*Lef_sr*((O2731/100-cota_s)^(3/2))*1000)),IF(O2731&lt;=cota_s*100+fi_s/20,0,(OFFSET('Base de dados'!$A$4,IF(O2731&lt;20,1,IF(O2731&gt;1000,10,MATCH(O2731,Cargas,1))),Coluna_fis,1,1))*(PI()*(fi_s/1000)^2/4)*(2*9.81*(O2731/100-cota_s-fi_s/2/1000))^0.5*1000)))</f>
        <v>17053.415506228146</v>
      </c>
      <c r="R2731" s="19">
        <f t="shared" ca="1" si="300"/>
        <v>17123.548810309196</v>
      </c>
      <c r="S2731" s="19">
        <f t="shared" ca="1" si="301"/>
        <v>17520.14939223179</v>
      </c>
    </row>
    <row r="2732" spans="13:19">
      <c r="M2732" s="81">
        <f t="shared" ca="1" si="298"/>
        <v>34661.202601846104</v>
      </c>
      <c r="N2732" s="19">
        <f t="shared" si="299"/>
        <v>525.82100002594314</v>
      </c>
      <c r="O2732" s="17">
        <f t="shared" si="297"/>
        <v>682.75</v>
      </c>
      <c r="P2732" s="19">
        <f ca="1">IF(ISERROR(IF(O2732&lt;fi_h/20,0,(OFFSET('Base de dados'!$A$5,IF(O2732&lt;20,1,IF(O2732&gt;1000,10,MATCH(O2732,Cargas,1))),Coluna_fih,1,1))*(1+0.13*0.25)*(PI()*(fi_h/1000)^2/4)*SQRT(2*9.81*(O2732/100-fi_h/2/1000))*1000)),"",IF(O2732&lt;fi_h/20,0,(OFFSET('Base de dados'!$A$5,IF(O2732&lt;20,1,IF(O2732&gt;1000,10,MATCH(O2732,Cargas,1))),Coluna_fih,1,1))*(PI()*(fi_h/1000)^2/4)*SQRT(2*9.81*(O2732/100-fi_h/2/1000))*1000))</f>
        <v>70.146254844371384</v>
      </c>
      <c r="Q2732" s="19">
        <f ca="1">IF(O2732="","",IF(Tipo_Vertedor="Retangular",IF(O2732&lt;=cota_s*100,0,IF(Tipo_Vertedor="Retangular",Cd_sr*Lef_sr*((O2732/100-cota_s)^(3/2))*1000)),IF(O2732&lt;=cota_s*100+fi_s/20,0,(OFFSET('Base de dados'!$A$4,IF(O2732&lt;20,1,IF(O2732&gt;1000,10,MATCH(O2732,Cargas,1))),Coluna_fis,1,1))*(PI()*(fi_s/1000)^2/4)*(2*9.81*(O2732/100-cota_s-fi_s/2/1000))^0.5*1000)))</f>
        <v>17063.689679470292</v>
      </c>
      <c r="R2732" s="19">
        <f t="shared" ca="1" si="300"/>
        <v>17133.835934314662</v>
      </c>
      <c r="S2732" s="19">
        <f t="shared" ca="1" si="301"/>
        <v>17527.366667531438</v>
      </c>
    </row>
    <row r="2733" spans="13:19">
      <c r="M2733" s="81">
        <f t="shared" ca="1" si="298"/>
        <v>34678.709390449614</v>
      </c>
      <c r="N2733" s="19">
        <f t="shared" si="299"/>
        <v>526.03752816162842</v>
      </c>
      <c r="O2733" s="17">
        <f t="shared" si="297"/>
        <v>683</v>
      </c>
      <c r="P2733" s="19">
        <f ca="1">IF(ISERROR(IF(O2733&lt;fi_h/20,0,(OFFSET('Base de dados'!$A$5,IF(O2733&lt;20,1,IF(O2733&gt;1000,10,MATCH(O2733,Cargas,1))),Coluna_fih,1,1))*(1+0.13*0.25)*(PI()*(fi_h/1000)^2/4)*SQRT(2*9.81*(O2733/100-fi_h/2/1000))*1000)),"",IF(O2733&lt;fi_h/20,0,(OFFSET('Base de dados'!$A$5,IF(O2733&lt;20,1,IF(O2733&gt;1000,10,MATCH(O2733,Cargas,1))),Coluna_fih,1,1))*(PI()*(fi_h/1000)^2/4)*SQRT(2*9.81*(O2733/100-fi_h/2/1000))*1000))</f>
        <v>70.159203217098039</v>
      </c>
      <c r="Q2733" s="19">
        <f ca="1">IF(O2733="","",IF(Tipo_Vertedor="Retangular",IF(O2733&lt;=cota_s*100,0,IF(Tipo_Vertedor="Retangular",Cd_sr*Lef_sr*((O2733/100-cota_s)^(3/2))*1000)),IF(O2733&lt;=cota_s*100+fi_s/20,0,(OFFSET('Base de dados'!$A$4,IF(O2733&lt;20,1,IF(O2733&gt;1000,10,MATCH(O2733,Cargas,1))),Coluna_fis,1,1))*(PI()*(fi_s/1000)^2/4)*(2*9.81*(O2733/100-cota_s-fi_s/2/1000))^0.5*1000)))</f>
        <v>17073.965915178236</v>
      </c>
      <c r="R2733" s="19">
        <f t="shared" ca="1" si="300"/>
        <v>17144.125118395335</v>
      </c>
      <c r="S2733" s="19">
        <f t="shared" ca="1" si="301"/>
        <v>17534.584272054279</v>
      </c>
    </row>
    <row r="2734" spans="13:19">
      <c r="M2734" s="81">
        <f t="shared" ca="1" si="298"/>
        <v>34696.218567833479</v>
      </c>
      <c r="N2734" s="19">
        <f t="shared" si="299"/>
        <v>526.254066170844</v>
      </c>
      <c r="O2734" s="17">
        <f t="shared" si="297"/>
        <v>683.25</v>
      </c>
      <c r="P2734" s="19">
        <f ca="1">IF(ISERROR(IF(O2734&lt;fi_h/20,0,(OFFSET('Base de dados'!$A$5,IF(O2734&lt;20,1,IF(O2734&gt;1000,10,MATCH(O2734,Cargas,1))),Coluna_fih,1,1))*(1+0.13*0.25)*(PI()*(fi_h/1000)^2/4)*SQRT(2*9.81*(O2734/100-fi_h/2/1000))*1000)),"",IF(O2734&lt;fi_h/20,0,(OFFSET('Base de dados'!$A$5,IF(O2734&lt;20,1,IF(O2734&gt;1000,10,MATCH(O2734,Cargas,1))),Coluna_fih,1,1))*(PI()*(fi_h/1000)^2/4)*SQRT(2*9.81*(O2734/100-fi_h/2/1000))*1000))</f>
        <v>70.172149200552653</v>
      </c>
      <c r="Q2734" s="19">
        <f ca="1">IF(O2734="","",IF(Tipo_Vertedor="Retangular",IF(O2734&lt;=cota_s*100,0,IF(Tipo_Vertedor="Retangular",Cd_sr*Lef_sr*((O2734/100-cota_s)^(3/2))*1000)),IF(O2734&lt;=cota_s*100+fi_s/20,0,(OFFSET('Base de dados'!$A$4,IF(O2734&lt;20,1,IF(O2734&gt;1000,10,MATCH(O2734,Cargas,1))),Coluna_fis,1,1))*(PI()*(fi_s/1000)^2/4)*(2*9.81*(O2734/100-cota_s-fi_s/2/1000))^0.5*1000)))</f>
        <v>17084.244212938127</v>
      </c>
      <c r="R2734" s="19">
        <f t="shared" ca="1" si="300"/>
        <v>17154.41636213868</v>
      </c>
      <c r="S2734" s="19">
        <f t="shared" ca="1" si="301"/>
        <v>17541.802205694799</v>
      </c>
    </row>
    <row r="2735" spans="13:19">
      <c r="M2735" s="81">
        <f t="shared" ca="1" si="298"/>
        <v>34713.730133479999</v>
      </c>
      <c r="N2735" s="19">
        <f t="shared" si="299"/>
        <v>526.47061405042746</v>
      </c>
      <c r="O2735" s="17">
        <f t="shared" si="297"/>
        <v>683.5</v>
      </c>
      <c r="P2735" s="19">
        <f ca="1">IF(ISERROR(IF(O2735&lt;fi_h/20,0,(OFFSET('Base de dados'!$A$5,IF(O2735&lt;20,1,IF(O2735&gt;1000,10,MATCH(O2735,Cargas,1))),Coluna_fih,1,1))*(1+0.13*0.25)*(PI()*(fi_h/1000)^2/4)*SQRT(2*9.81*(O2735/100-fi_h/2/1000))*1000)),"",IF(O2735&lt;fi_h/20,0,(OFFSET('Base de dados'!$A$5,IF(O2735&lt;20,1,IF(O2735&gt;1000,10,MATCH(O2735,Cargas,1))),Coluna_fih,1,1))*(PI()*(fi_h/1000)^2/4)*SQRT(2*9.81*(O2735/100-fi_h/2/1000))*1000))</f>
        <v>70.185092796057361</v>
      </c>
      <c r="Q2735" s="19">
        <f ca="1">IF(O2735="","",IF(Tipo_Vertedor="Retangular",IF(O2735&lt;=cota_s*100,0,IF(Tipo_Vertedor="Retangular",Cd_sr*Lef_sr*((O2735/100-cota_s)^(3/2))*1000)),IF(O2735&lt;=cota_s*100+fi_s/20,0,(OFFSET('Base de dados'!$A$4,IF(O2735&lt;20,1,IF(O2735&gt;1000,10,MATCH(O2735,Cargas,1))),Coluna_fis,1,1))*(PI()*(fi_s/1000)^2/4)*(2*9.81*(O2735/100-cota_s-fi_s/2/1000))^0.5*1000)))</f>
        <v>17094.524572336362</v>
      </c>
      <c r="R2735" s="19">
        <f t="shared" ca="1" si="300"/>
        <v>17164.709665132421</v>
      </c>
      <c r="S2735" s="19">
        <f t="shared" ca="1" si="301"/>
        <v>17549.020468347582</v>
      </c>
    </row>
    <row r="2736" spans="13:19">
      <c r="M2736" s="81">
        <f t="shared" ca="1" si="298"/>
        <v>34731.244086871775</v>
      </c>
      <c r="N2736" s="19">
        <f t="shared" si="299"/>
        <v>526.68717179721807</v>
      </c>
      <c r="O2736" s="17">
        <f t="shared" si="297"/>
        <v>683.75</v>
      </c>
      <c r="P2736" s="19">
        <f ca="1">IF(ISERROR(IF(O2736&lt;fi_h/20,0,(OFFSET('Base de dados'!$A$5,IF(O2736&lt;20,1,IF(O2736&gt;1000,10,MATCH(O2736,Cargas,1))),Coluna_fih,1,1))*(1+0.13*0.25)*(PI()*(fi_h/1000)^2/4)*SQRT(2*9.81*(O2736/100-fi_h/2/1000))*1000)),"",IF(O2736&lt;fi_h/20,0,(OFFSET('Base de dados'!$A$5,IF(O2736&lt;20,1,IF(O2736&gt;1000,10,MATCH(O2736,Cargas,1))),Coluna_fih,1,1))*(PI()*(fi_h/1000)^2/4)*SQRT(2*9.81*(O2736/100-fi_h/2/1000))*1000))</f>
        <v>70.19803400493312</v>
      </c>
      <c r="Q2736" s="19">
        <f ca="1">IF(O2736="","",IF(Tipo_Vertedor="Retangular",IF(O2736&lt;=cota_s*100,0,IF(Tipo_Vertedor="Retangular",Cd_sr*Lef_sr*((O2736/100-cota_s)^(3/2))*1000)),IF(O2736&lt;=cota_s*100+fi_s/20,0,(OFFSET('Base de dados'!$A$4,IF(O2736&lt;20,1,IF(O2736&gt;1000,10,MATCH(O2736,Cargas,1))),Coluna_fis,1,1))*(PI()*(fi_s/1000)^2/4)*(2*9.81*(O2736/100-cota_s-fi_s/2/1000))^0.5*1000)))</f>
        <v>17104.806992959573</v>
      </c>
      <c r="R2736" s="19">
        <f t="shared" ca="1" si="300"/>
        <v>17175.005026964507</v>
      </c>
      <c r="S2736" s="19">
        <f t="shared" ca="1" si="301"/>
        <v>17556.239059907268</v>
      </c>
    </row>
    <row r="2737" spans="13:19">
      <c r="M2737" s="81">
        <f t="shared" ca="1" si="298"/>
        <v>34748.760427491725</v>
      </c>
      <c r="N2737" s="19">
        <f t="shared" si="299"/>
        <v>526.90373940805773</v>
      </c>
      <c r="O2737" s="17">
        <f t="shared" si="297"/>
        <v>684</v>
      </c>
      <c r="P2737" s="19">
        <f ca="1">IF(ISERROR(IF(O2737&lt;fi_h/20,0,(OFFSET('Base de dados'!$A$5,IF(O2737&lt;20,1,IF(O2737&gt;1000,10,MATCH(O2737,Cargas,1))),Coluna_fih,1,1))*(1+0.13*0.25)*(PI()*(fi_h/1000)^2/4)*SQRT(2*9.81*(O2737/100-fi_h/2/1000))*1000)),"",IF(O2737&lt;fi_h/20,0,(OFFSET('Base de dados'!$A$5,IF(O2737&lt;20,1,IF(O2737&gt;1000,10,MATCH(O2737,Cargas,1))),Coluna_fih,1,1))*(PI()*(fi_h/1000)^2/4)*SQRT(2*9.81*(O2737/100-fi_h/2/1000))*1000))</f>
        <v>70.210972828499592</v>
      </c>
      <c r="Q2737" s="19">
        <f ca="1">IF(O2737="","",IF(Tipo_Vertedor="Retangular",IF(O2737&lt;=cota_s*100,0,IF(Tipo_Vertedor="Retangular",Cd_sr*Lef_sr*((O2737/100-cota_s)^(3/2))*1000)),IF(O2737&lt;=cota_s*100+fi_s/20,0,(OFFSET('Base de dados'!$A$4,IF(O2737&lt;20,1,IF(O2737&gt;1000,10,MATCH(O2737,Cargas,1))),Coluna_fis,1,1))*(PI()*(fi_s/1000)^2/4)*(2*9.81*(O2737/100-cota_s-fi_s/2/1000))^0.5*1000)))</f>
        <v>17115.091474394638</v>
      </c>
      <c r="R2737" s="19">
        <f t="shared" ca="1" si="300"/>
        <v>17185.302447223137</v>
      </c>
      <c r="S2737" s="19">
        <f t="shared" ca="1" si="301"/>
        <v>17563.457980268591</v>
      </c>
    </row>
    <row r="2738" spans="13:19">
      <c r="M2738" s="81">
        <f t="shared" ca="1" si="298"/>
        <v>34766.279154823118</v>
      </c>
      <c r="N2738" s="19">
        <f t="shared" si="299"/>
        <v>527.12031687978981</v>
      </c>
      <c r="O2738" s="17">
        <f t="shared" si="297"/>
        <v>684.25</v>
      </c>
      <c r="P2738" s="19">
        <f ca="1">IF(ISERROR(IF(O2738&lt;fi_h/20,0,(OFFSET('Base de dados'!$A$5,IF(O2738&lt;20,1,IF(O2738&gt;1000,10,MATCH(O2738,Cargas,1))),Coluna_fih,1,1))*(1+0.13*0.25)*(PI()*(fi_h/1000)^2/4)*SQRT(2*9.81*(O2738/100-fi_h/2/1000))*1000)),"",IF(O2738&lt;fi_h/20,0,(OFFSET('Base de dados'!$A$5,IF(O2738&lt;20,1,IF(O2738&gt;1000,10,MATCH(O2738,Cargas,1))),Coluna_fih,1,1))*(PI()*(fi_h/1000)^2/4)*SQRT(2*9.81*(O2738/100-fi_h/2/1000))*1000))</f>
        <v>70.223909268075289</v>
      </c>
      <c r="Q2738" s="19">
        <f ca="1">IF(O2738="","",IF(Tipo_Vertedor="Retangular",IF(O2738&lt;=cota_s*100,0,IF(Tipo_Vertedor="Retangular",Cd_sr*Lef_sr*((O2738/100-cota_s)^(3/2))*1000)),IF(O2738&lt;=cota_s*100+fi_s/20,0,(OFFSET('Base de dados'!$A$4,IF(O2738&lt;20,1,IF(O2738&gt;1000,10,MATCH(O2738,Cargas,1))),Coluna_fis,1,1))*(PI()*(fi_s/1000)^2/4)*(2*9.81*(O2738/100-cota_s-fi_s/2/1000))^0.5*1000)))</f>
        <v>17125.378016228711</v>
      </c>
      <c r="R2738" s="19">
        <f t="shared" ca="1" si="300"/>
        <v>17195.601925496787</v>
      </c>
      <c r="S2738" s="19">
        <f t="shared" ca="1" si="301"/>
        <v>17570.677229326328</v>
      </c>
    </row>
    <row r="2739" spans="13:19">
      <c r="M2739" s="81">
        <f t="shared" ca="1" si="298"/>
        <v>34783.800268349485</v>
      </c>
      <c r="N2739" s="19">
        <f t="shared" si="299"/>
        <v>527.33690420926052</v>
      </c>
      <c r="O2739" s="17">
        <f t="shared" si="297"/>
        <v>684.5</v>
      </c>
      <c r="P2739" s="19">
        <f ca="1">IF(ISERROR(IF(O2739&lt;fi_h/20,0,(OFFSET('Base de dados'!$A$5,IF(O2739&lt;20,1,IF(O2739&gt;1000,10,MATCH(O2739,Cargas,1))),Coluna_fih,1,1))*(1+0.13*0.25)*(PI()*(fi_h/1000)^2/4)*SQRT(2*9.81*(O2739/100-fi_h/2/1000))*1000)),"",IF(O2739&lt;fi_h/20,0,(OFFSET('Base de dados'!$A$5,IF(O2739&lt;20,1,IF(O2739&gt;1000,10,MATCH(O2739,Cargas,1))),Coluna_fih,1,1))*(PI()*(fi_h/1000)^2/4)*SQRT(2*9.81*(O2739/100-fi_h/2/1000))*1000))</f>
        <v>70.236843324977471</v>
      </c>
      <c r="Q2739" s="19">
        <f ca="1">IF(O2739="","",IF(Tipo_Vertedor="Retangular",IF(O2739&lt;=cota_s*100,0,IF(Tipo_Vertedor="Retangular",Cd_sr*Lef_sr*((O2739/100-cota_s)^(3/2))*1000)),IF(O2739&lt;=cota_s*100+fi_s/20,0,(OFFSET('Base de dados'!$A$4,IF(O2739&lt;20,1,IF(O2739&gt;1000,10,MATCH(O2739,Cargas,1))),Coluna_fis,1,1))*(PI()*(fi_s/1000)^2/4)*(2*9.81*(O2739/100-cota_s-fi_s/2/1000))^0.5*1000)))</f>
        <v>17135.666618049163</v>
      </c>
      <c r="R2739" s="19">
        <f t="shared" ca="1" si="300"/>
        <v>17205.903461374139</v>
      </c>
      <c r="S2739" s="19">
        <f t="shared" ca="1" si="301"/>
        <v>17577.89680697535</v>
      </c>
    </row>
    <row r="2740" spans="13:19">
      <c r="M2740" s="81">
        <f t="shared" ca="1" si="298"/>
        <v>34801.323767554757</v>
      </c>
      <c r="N2740" s="19">
        <f t="shared" si="299"/>
        <v>527.55350139331802</v>
      </c>
      <c r="O2740" s="17">
        <f t="shared" si="297"/>
        <v>684.75</v>
      </c>
      <c r="P2740" s="19">
        <f ca="1">IF(ISERROR(IF(O2740&lt;fi_h/20,0,(OFFSET('Base de dados'!$A$5,IF(O2740&lt;20,1,IF(O2740&gt;1000,10,MATCH(O2740,Cargas,1))),Coluna_fih,1,1))*(1+0.13*0.25)*(PI()*(fi_h/1000)^2/4)*SQRT(2*9.81*(O2740/100-fi_h/2/1000))*1000)),"",IF(O2740&lt;fi_h/20,0,(OFFSET('Base de dados'!$A$5,IF(O2740&lt;20,1,IF(O2740&gt;1000,10,MATCH(O2740,Cargas,1))),Coluna_fih,1,1))*(PI()*(fi_h/1000)^2/4)*SQRT(2*9.81*(O2740/100-fi_h/2/1000))*1000))</f>
        <v>70.249775000522206</v>
      </c>
      <c r="Q2740" s="19">
        <f ca="1">IF(O2740="","",IF(Tipo_Vertedor="Retangular",IF(O2740&lt;=cota_s*100,0,IF(Tipo_Vertedor="Retangular",Cd_sr*Lef_sr*((O2740/100-cota_s)^(3/2))*1000)),IF(O2740&lt;=cota_s*100+fi_s/20,0,(OFFSET('Base de dados'!$A$4,IF(O2740&lt;20,1,IF(O2740&gt;1000,10,MATCH(O2740,Cargas,1))),Coluna_fis,1,1))*(PI()*(fi_s/1000)^2/4)*(2*9.81*(O2740/100-cota_s-fi_s/2/1000))^0.5*1000)))</f>
        <v>17145.957279443639</v>
      </c>
      <c r="R2740" s="19">
        <f t="shared" ca="1" si="300"/>
        <v>17216.207054444159</v>
      </c>
      <c r="S2740" s="19">
        <f t="shared" ca="1" si="301"/>
        <v>17585.116713110601</v>
      </c>
    </row>
    <row r="2741" spans="13:19">
      <c r="M2741" s="81">
        <f t="shared" ca="1" si="298"/>
        <v>34818.849651923105</v>
      </c>
      <c r="N2741" s="19">
        <f t="shared" si="299"/>
        <v>527.77010842881236</v>
      </c>
      <c r="O2741" s="17">
        <f t="shared" si="297"/>
        <v>685</v>
      </c>
      <c r="P2741" s="19">
        <f ca="1">IF(ISERROR(IF(O2741&lt;fi_h/20,0,(OFFSET('Base de dados'!$A$5,IF(O2741&lt;20,1,IF(O2741&gt;1000,10,MATCH(O2741,Cargas,1))),Coluna_fih,1,1))*(1+0.13*0.25)*(PI()*(fi_h/1000)^2/4)*SQRT(2*9.81*(O2741/100-fi_h/2/1000))*1000)),"",IF(O2741&lt;fi_h/20,0,(OFFSET('Base de dados'!$A$5,IF(O2741&lt;20,1,IF(O2741&gt;1000,10,MATCH(O2741,Cargas,1))),Coluna_fih,1,1))*(PI()*(fi_h/1000)^2/4)*SQRT(2*9.81*(O2741/100-fi_h/2/1000))*1000))</f>
        <v>70.262704296024339</v>
      </c>
      <c r="Q2741" s="19">
        <f ca="1">IF(O2741="","",IF(Tipo_Vertedor="Retangular",IF(O2741&lt;=cota_s*100,0,IF(Tipo_Vertedor="Retangular",Cd_sr*Lef_sr*((O2741/100-cota_s)^(3/2))*1000)),IF(O2741&lt;=cota_s*100+fi_s/20,0,(OFFSET('Base de dados'!$A$4,IF(O2741&lt;20,1,IF(O2741&gt;1000,10,MATCH(O2741,Cargas,1))),Coluna_fis,1,1))*(PI()*(fi_s/1000)^2/4)*(2*9.81*(O2741/100-cota_s-fi_s/2/1000))^0.5*1000)))</f>
        <v>17156.250000000004</v>
      </c>
      <c r="R2741" s="19">
        <f t="shared" ca="1" si="300"/>
        <v>17226.512704296027</v>
      </c>
      <c r="S2741" s="19">
        <f t="shared" ca="1" si="301"/>
        <v>17592.336947627078</v>
      </c>
    </row>
    <row r="2742" spans="13:19">
      <c r="M2742" s="81">
        <f t="shared" ca="1" si="298"/>
        <v>34836.377920939056</v>
      </c>
      <c r="N2742" s="19">
        <f t="shared" si="299"/>
        <v>527.98672531259604</v>
      </c>
      <c r="O2742" s="17">
        <f t="shared" si="297"/>
        <v>685.25</v>
      </c>
      <c r="P2742" s="19">
        <f ca="1">IF(ISERROR(IF(O2742&lt;fi_h/20,0,(OFFSET('Base de dados'!$A$5,IF(O2742&lt;20,1,IF(O2742&gt;1000,10,MATCH(O2742,Cargas,1))),Coluna_fih,1,1))*(1+0.13*0.25)*(PI()*(fi_h/1000)^2/4)*SQRT(2*9.81*(O2742/100-fi_h/2/1000))*1000)),"",IF(O2742&lt;fi_h/20,0,(OFFSET('Base de dados'!$A$5,IF(O2742&lt;20,1,IF(O2742&gt;1000,10,MATCH(O2742,Cargas,1))),Coluna_fih,1,1))*(PI()*(fi_h/1000)^2/4)*SQRT(2*9.81*(O2742/100-fi_h/2/1000))*1000))</f>
        <v>70.275631212797506</v>
      </c>
      <c r="Q2742" s="19">
        <f ca="1">IF(O2742="","",IF(Tipo_Vertedor="Retangular",IF(O2742&lt;=cota_s*100,0,IF(Tipo_Vertedor="Retangular",Cd_sr*Lef_sr*((O2742/100-cota_s)^(3/2))*1000)),IF(O2742&lt;=cota_s*100+fi_s/20,0,(OFFSET('Base de dados'!$A$4,IF(O2742&lt;20,1,IF(O2742&gt;1000,10,MATCH(O2742,Cargas,1))),Coluna_fis,1,1))*(PI()*(fi_s/1000)^2/4)*(2*9.81*(O2742/100-cota_s-fi_s/2/1000))^0.5*1000)))</f>
        <v>17166.54477930639</v>
      </c>
      <c r="R2742" s="19">
        <f t="shared" ca="1" si="300"/>
        <v>17236.820410519187</v>
      </c>
      <c r="S2742" s="19">
        <f t="shared" ca="1" si="301"/>
        <v>17599.557510419869</v>
      </c>
    </row>
    <row r="2743" spans="13:19">
      <c r="M2743" s="81">
        <f t="shared" ca="1" si="298"/>
        <v>34853.908574087443</v>
      </c>
      <c r="N2743" s="19">
        <f t="shared" si="299"/>
        <v>528.20335204152366</v>
      </c>
      <c r="O2743" s="17">
        <f t="shared" si="297"/>
        <v>685.5</v>
      </c>
      <c r="P2743" s="19">
        <f ca="1">IF(ISERROR(IF(O2743&lt;fi_h/20,0,(OFFSET('Base de dados'!$A$5,IF(O2743&lt;20,1,IF(O2743&gt;1000,10,MATCH(O2743,Cargas,1))),Coluna_fih,1,1))*(1+0.13*0.25)*(PI()*(fi_h/1000)^2/4)*SQRT(2*9.81*(O2743/100-fi_h/2/1000))*1000)),"",IF(O2743&lt;fi_h/20,0,(OFFSET('Base de dados'!$A$5,IF(O2743&lt;20,1,IF(O2743&gt;1000,10,MATCH(O2743,Cargas,1))),Coluna_fih,1,1))*(PI()*(fi_h/1000)^2/4)*SQRT(2*9.81*(O2743/100-fi_h/2/1000))*1000))</f>
        <v>70.288555752154153</v>
      </c>
      <c r="Q2743" s="19">
        <f ca="1">IF(O2743="","",IF(Tipo_Vertedor="Retangular",IF(O2743&lt;=cota_s*100,0,IF(Tipo_Vertedor="Retangular",Cd_sr*Lef_sr*((O2743/100-cota_s)^(3/2))*1000)),IF(O2743&lt;=cota_s*100+fi_s/20,0,(OFFSET('Base de dados'!$A$4,IF(O2743&lt;20,1,IF(O2743&gt;1000,10,MATCH(O2743,Cargas,1))),Coluna_fis,1,1))*(PI()*(fi_s/1000)^2/4)*(2*9.81*(O2743/100-cota_s-fi_s/2/1000))^0.5*1000)))</f>
        <v>17176.841616951169</v>
      </c>
      <c r="R2743" s="19">
        <f t="shared" ca="1" si="300"/>
        <v>17247.130172703324</v>
      </c>
      <c r="S2743" s="19">
        <f t="shared" ca="1" si="301"/>
        <v>17606.778401384123</v>
      </c>
    </row>
    <row r="2744" spans="13:19">
      <c r="M2744" s="81">
        <f t="shared" ca="1" si="298"/>
        <v>34871.441610853421</v>
      </c>
      <c r="N2744" s="19">
        <f t="shared" si="299"/>
        <v>528.4199886124519</v>
      </c>
      <c r="O2744" s="17">
        <f t="shared" si="297"/>
        <v>685.75</v>
      </c>
      <c r="P2744" s="19">
        <f ca="1">IF(ISERROR(IF(O2744&lt;fi_h/20,0,(OFFSET('Base de dados'!$A$5,IF(O2744&lt;20,1,IF(O2744&gt;1000,10,MATCH(O2744,Cargas,1))),Coluna_fih,1,1))*(1+0.13*0.25)*(PI()*(fi_h/1000)^2/4)*SQRT(2*9.81*(O2744/100-fi_h/2/1000))*1000)),"",IF(O2744&lt;fi_h/20,0,(OFFSET('Base de dados'!$A$5,IF(O2744&lt;20,1,IF(O2744&gt;1000,10,MATCH(O2744,Cargas,1))),Coluna_fih,1,1))*(PI()*(fi_h/1000)^2/4)*SQRT(2*9.81*(O2744/100-fi_h/2/1000))*1000))</f>
        <v>70.301477915405457</v>
      </c>
      <c r="Q2744" s="19">
        <f ca="1">IF(O2744="","",IF(Tipo_Vertedor="Retangular",IF(O2744&lt;=cota_s*100,0,IF(Tipo_Vertedor="Retangular",Cd_sr*Lef_sr*((O2744/100-cota_s)^(3/2))*1000)),IF(O2744&lt;=cota_s*100+fi_s/20,0,(OFFSET('Base de dados'!$A$4,IF(O2744&lt;20,1,IF(O2744&gt;1000,10,MATCH(O2744,Cargas,1))),Coluna_fis,1,1))*(PI()*(fi_s/1000)^2/4)*(2*9.81*(O2744/100-cota_s-fi_s/2/1000))^0.5*1000)))</f>
        <v>17187.140512522958</v>
      </c>
      <c r="R2744" s="19">
        <f t="shared" ca="1" si="300"/>
        <v>17257.441990438361</v>
      </c>
      <c r="S2744" s="19">
        <f t="shared" ca="1" si="301"/>
        <v>17613.999620415063</v>
      </c>
    </row>
    <row r="2745" spans="13:19">
      <c r="M2745" s="81">
        <f t="shared" ca="1" si="298"/>
        <v>34888.977030722483</v>
      </c>
      <c r="N2745" s="19">
        <f t="shared" si="299"/>
        <v>528.63663502223949</v>
      </c>
      <c r="O2745" s="17">
        <f t="shared" si="297"/>
        <v>686</v>
      </c>
      <c r="P2745" s="19">
        <f ca="1">IF(ISERROR(IF(O2745&lt;fi_h/20,0,(OFFSET('Base de dados'!$A$5,IF(O2745&lt;20,1,IF(O2745&gt;1000,10,MATCH(O2745,Cargas,1))),Coluna_fih,1,1))*(1+0.13*0.25)*(PI()*(fi_h/1000)^2/4)*SQRT(2*9.81*(O2745/100-fi_h/2/1000))*1000)),"",IF(O2745&lt;fi_h/20,0,(OFFSET('Base de dados'!$A$5,IF(O2745&lt;20,1,IF(O2745&gt;1000,10,MATCH(O2745,Cargas,1))),Coluna_fih,1,1))*(PI()*(fi_h/1000)^2/4)*SQRT(2*9.81*(O2745/100-fi_h/2/1000))*1000))</f>
        <v>70.314397703861516</v>
      </c>
      <c r="Q2745" s="19">
        <f ca="1">IF(O2745="","",IF(Tipo_Vertedor="Retangular",IF(O2745&lt;=cota_s*100,0,IF(Tipo_Vertedor="Retangular",Cd_sr*Lef_sr*((O2745/100-cota_s)^(3/2))*1000)),IF(O2745&lt;=cota_s*100+fi_s/20,0,(OFFSET('Base de dados'!$A$4,IF(O2745&lt;20,1,IF(O2745&gt;1000,10,MATCH(O2745,Cargas,1))),Coluna_fis,1,1))*(PI()*(fi_s/1000)^2/4)*(2*9.81*(O2745/100-cota_s-fi_s/2/1000))^0.5*1000)))</f>
        <v>17197.441465610635</v>
      </c>
      <c r="R2745" s="19">
        <f t="shared" ca="1" si="300"/>
        <v>17267.755863314494</v>
      </c>
      <c r="S2745" s="19">
        <f t="shared" ca="1" si="301"/>
        <v>17621.221167407984</v>
      </c>
    </row>
    <row r="2746" spans="13:19">
      <c r="M2746" s="81">
        <f t="shared" ca="1" si="298"/>
        <v>34906.514833180387</v>
      </c>
      <c r="N2746" s="19">
        <f t="shared" si="299"/>
        <v>528.85329126774775</v>
      </c>
      <c r="O2746" s="17">
        <f t="shared" si="297"/>
        <v>686.25</v>
      </c>
      <c r="P2746" s="19">
        <f ca="1">IF(ISERROR(IF(O2746&lt;fi_h/20,0,(OFFSET('Base de dados'!$A$5,IF(O2746&lt;20,1,IF(O2746&gt;1000,10,MATCH(O2746,Cargas,1))),Coluna_fih,1,1))*(1+0.13*0.25)*(PI()*(fi_h/1000)^2/4)*SQRT(2*9.81*(O2746/100-fi_h/2/1000))*1000)),"",IF(O2746&lt;fi_h/20,0,(OFFSET('Base de dados'!$A$5,IF(O2746&lt;20,1,IF(O2746&gt;1000,10,MATCH(O2746,Cargas,1))),Coluna_fih,1,1))*(PI()*(fi_h/1000)^2/4)*SQRT(2*9.81*(O2746/100-fi_h/2/1000))*1000))</f>
        <v>70.327315118831081</v>
      </c>
      <c r="Q2746" s="19">
        <f ca="1">IF(O2746="","",IF(Tipo_Vertedor="Retangular",IF(O2746&lt;=cota_s*100,0,IF(Tipo_Vertedor="Retangular",Cd_sr*Lef_sr*((O2746/100-cota_s)^(3/2))*1000)),IF(O2746&lt;=cota_s*100+fi_s/20,0,(OFFSET('Base de dados'!$A$4,IF(O2746&lt;20,1,IF(O2746&gt;1000,10,MATCH(O2746,Cargas,1))),Coluna_fis,1,1))*(PI()*(fi_s/1000)^2/4)*(2*9.81*(O2746/100-cota_s-fi_s/2/1000))^0.5*1000)))</f>
        <v>17207.744475803298</v>
      </c>
      <c r="R2746" s="19">
        <f t="shared" ca="1" si="300"/>
        <v>17278.071790922128</v>
      </c>
      <c r="S2746" s="19">
        <f t="shared" ca="1" si="301"/>
        <v>17628.443042258259</v>
      </c>
    </row>
    <row r="2747" spans="13:19">
      <c r="M2747" s="81">
        <f t="shared" ca="1" si="298"/>
        <v>34924.055017713268</v>
      </c>
      <c r="N2747" s="19">
        <f t="shared" si="299"/>
        <v>529.06995734583961</v>
      </c>
      <c r="O2747" s="17">
        <f t="shared" si="297"/>
        <v>686.5</v>
      </c>
      <c r="P2747" s="19">
        <f ca="1">IF(ISERROR(IF(O2747&lt;fi_h/20,0,(OFFSET('Base de dados'!$A$5,IF(O2747&lt;20,1,IF(O2747&gt;1000,10,MATCH(O2747,Cargas,1))),Coluna_fih,1,1))*(1+0.13*0.25)*(PI()*(fi_h/1000)^2/4)*SQRT(2*9.81*(O2747/100-fi_h/2/1000))*1000)),"",IF(O2747&lt;fi_h/20,0,(OFFSET('Base de dados'!$A$5,IF(O2747&lt;20,1,IF(O2747&gt;1000,10,MATCH(O2747,Cargas,1))),Coluna_fih,1,1))*(PI()*(fi_h/1000)^2/4)*SQRT(2*9.81*(O2747/100-fi_h/2/1000))*1000))</f>
        <v>70.340230161621804</v>
      </c>
      <c r="Q2747" s="19">
        <f ca="1">IF(O2747="","",IF(Tipo_Vertedor="Retangular",IF(O2747&lt;=cota_s*100,0,IF(Tipo_Vertedor="Retangular",Cd_sr*Lef_sr*((O2747/100-cota_s)^(3/2))*1000)),IF(O2747&lt;=cota_s*100+fi_s/20,0,(OFFSET('Base de dados'!$A$4,IF(O2747&lt;20,1,IF(O2747&gt;1000,10,MATCH(O2747,Cargas,1))),Coluna_fis,1,1))*(PI()*(fi_s/1000)^2/4)*(2*9.81*(O2747/100-cota_s-fi_s/2/1000))^0.5*1000)))</f>
        <v>17218.049542690329</v>
      </c>
      <c r="R2747" s="19">
        <f t="shared" ca="1" si="300"/>
        <v>17288.389772851951</v>
      </c>
      <c r="S2747" s="19">
        <f t="shared" ca="1" si="301"/>
        <v>17635.66524486132</v>
      </c>
    </row>
    <row r="2748" spans="13:19">
      <c r="M2748" s="81">
        <f t="shared" ca="1" si="298"/>
        <v>34941.597583807525</v>
      </c>
      <c r="N2748" s="19">
        <f t="shared" si="299"/>
        <v>529.28663325338027</v>
      </c>
      <c r="O2748" s="17">
        <f t="shared" si="297"/>
        <v>686.75</v>
      </c>
      <c r="P2748" s="19">
        <f ca="1">IF(ISERROR(IF(O2748&lt;fi_h/20,0,(OFFSET('Base de dados'!$A$5,IF(O2748&lt;20,1,IF(O2748&gt;1000,10,MATCH(O2748,Cargas,1))),Coluna_fih,1,1))*(1+0.13*0.25)*(PI()*(fi_h/1000)^2/4)*SQRT(2*9.81*(O2748/100-fi_h/2/1000))*1000)),"",IF(O2748&lt;fi_h/20,0,(OFFSET('Base de dados'!$A$5,IF(O2748&lt;20,1,IF(O2748&gt;1000,10,MATCH(O2748,Cargas,1))),Coluna_fih,1,1))*(PI()*(fi_h/1000)^2/4)*SQRT(2*9.81*(O2748/100-fi_h/2/1000))*1000))</f>
        <v>70.353142833540076</v>
      </c>
      <c r="Q2748" s="19">
        <f ca="1">IF(O2748="","",IF(Tipo_Vertedor="Retangular",IF(O2748&lt;=cota_s*100,0,IF(Tipo_Vertedor="Retangular",Cd_sr*Lef_sr*((O2748/100-cota_s)^(3/2))*1000)),IF(O2748&lt;=cota_s*100+fi_s/20,0,(OFFSET('Base de dados'!$A$4,IF(O2748&lt;20,1,IF(O2748&gt;1000,10,MATCH(O2748,Cargas,1))),Coluna_fis,1,1))*(PI()*(fi_s/1000)^2/4)*(2*9.81*(O2748/100-cota_s-fi_s/2/1000))^0.5*1000)))</f>
        <v>17228.356665861305</v>
      </c>
      <c r="R2748" s="19">
        <f t="shared" ca="1" si="300"/>
        <v>17298.709808694846</v>
      </c>
      <c r="S2748" s="19">
        <f t="shared" ca="1" si="301"/>
        <v>17642.887775112678</v>
      </c>
    </row>
    <row r="2749" spans="13:19">
      <c r="M2749" s="81">
        <f t="shared" ca="1" si="298"/>
        <v>34959.142530949903</v>
      </c>
      <c r="N2749" s="19">
        <f t="shared" si="299"/>
        <v>529.50331898723744</v>
      </c>
      <c r="O2749" s="17">
        <f t="shared" si="297"/>
        <v>687</v>
      </c>
      <c r="P2749" s="19">
        <f ca="1">IF(ISERROR(IF(O2749&lt;fi_h/20,0,(OFFSET('Base de dados'!$A$5,IF(O2749&lt;20,1,IF(O2749&gt;1000,10,MATCH(O2749,Cargas,1))),Coluna_fih,1,1))*(1+0.13*0.25)*(PI()*(fi_h/1000)^2/4)*SQRT(2*9.81*(O2749/100-fi_h/2/1000))*1000)),"",IF(O2749&lt;fi_h/20,0,(OFFSET('Base de dados'!$A$5,IF(O2749&lt;20,1,IF(O2749&gt;1000,10,MATCH(O2749,Cargas,1))),Coluna_fih,1,1))*(PI()*(fi_h/1000)^2/4)*SQRT(2*9.81*(O2749/100-fi_h/2/1000))*1000))</f>
        <v>70.366053135891136</v>
      </c>
      <c r="Q2749" s="19">
        <f ca="1">IF(O2749="","",IF(Tipo_Vertedor="Retangular",IF(O2749&lt;=cota_s*100,0,IF(Tipo_Vertedor="Retangular",Cd_sr*Lef_sr*((O2749/100-cota_s)^(3/2))*1000)),IF(O2749&lt;=cota_s*100+fi_s/20,0,(OFFSET('Base de dados'!$A$4,IF(O2749&lt;20,1,IF(O2749&gt;1000,10,MATCH(O2749,Cargas,1))),Coluna_fis,1,1))*(PI()*(fi_s/1000)^2/4)*(2*9.81*(O2749/100-cota_s-fi_s/2/1000))^0.5*1000)))</f>
        <v>17238.6658449061</v>
      </c>
      <c r="R2749" s="19">
        <f t="shared" ca="1" si="300"/>
        <v>17309.031898041991</v>
      </c>
      <c r="S2749" s="19">
        <f t="shared" ca="1" si="301"/>
        <v>17650.110632907912</v>
      </c>
    </row>
    <row r="2750" spans="13:19">
      <c r="M2750" s="81">
        <f t="shared" ca="1" si="298"/>
        <v>34976.689858627455</v>
      </c>
      <c r="N2750" s="19">
        <f t="shared" si="299"/>
        <v>529.72001454428062</v>
      </c>
      <c r="O2750" s="17">
        <f t="shared" si="297"/>
        <v>687.25</v>
      </c>
      <c r="P2750" s="19">
        <f ca="1">IF(ISERROR(IF(O2750&lt;fi_h/20,0,(OFFSET('Base de dados'!$A$5,IF(O2750&lt;20,1,IF(O2750&gt;1000,10,MATCH(O2750,Cargas,1))),Coluna_fih,1,1))*(1+0.13*0.25)*(PI()*(fi_h/1000)^2/4)*SQRT(2*9.81*(O2750/100-fi_h/2/1000))*1000)),"",IF(O2750&lt;fi_h/20,0,(OFFSET('Base de dados'!$A$5,IF(O2750&lt;20,1,IF(O2750&gt;1000,10,MATCH(O2750,Cargas,1))),Coluna_fih,1,1))*(PI()*(fi_h/1000)^2/4)*SQRT(2*9.81*(O2750/100-fi_h/2/1000))*1000))</f>
        <v>70.37896106997897</v>
      </c>
      <c r="Q2750" s="19">
        <f ca="1">IF(O2750="","",IF(Tipo_Vertedor="Retangular",IF(O2750&lt;=cota_s*100,0,IF(Tipo_Vertedor="Retangular",Cd_sr*Lef_sr*((O2750/100-cota_s)^(3/2))*1000)),IF(O2750&lt;=cota_s*100+fi_s/20,0,(OFFSET('Base de dados'!$A$4,IF(O2750&lt;20,1,IF(O2750&gt;1000,10,MATCH(O2750,Cargas,1))),Coluna_fis,1,1))*(PI()*(fi_s/1000)^2/4)*(2*9.81*(O2750/100-cota_s-fi_s/2/1000))^0.5*1000)))</f>
        <v>17248.977079414788</v>
      </c>
      <c r="R2750" s="19">
        <f t="shared" ca="1" si="300"/>
        <v>17319.356040484767</v>
      </c>
      <c r="S2750" s="19">
        <f t="shared" ca="1" si="301"/>
        <v>17657.333818142688</v>
      </c>
    </row>
    <row r="2751" spans="13:19">
      <c r="M2751" s="81">
        <f t="shared" ca="1" si="298"/>
        <v>34994.239566327553</v>
      </c>
      <c r="N2751" s="19">
        <f t="shared" si="299"/>
        <v>529.93671992138127</v>
      </c>
      <c r="O2751" s="17">
        <f t="shared" si="297"/>
        <v>687.5</v>
      </c>
      <c r="P2751" s="19">
        <f ca="1">IF(ISERROR(IF(O2751&lt;fi_h/20,0,(OFFSET('Base de dados'!$A$5,IF(O2751&lt;20,1,IF(O2751&gt;1000,10,MATCH(O2751,Cargas,1))),Coluna_fih,1,1))*(1+0.13*0.25)*(PI()*(fi_h/1000)^2/4)*SQRT(2*9.81*(O2751/100-fi_h/2/1000))*1000)),"",IF(O2751&lt;fi_h/20,0,(OFFSET('Base de dados'!$A$5,IF(O2751&lt;20,1,IF(O2751&gt;1000,10,MATCH(O2751,Cargas,1))),Coluna_fih,1,1))*(PI()*(fi_h/1000)^2/4)*SQRT(2*9.81*(O2751/100-fi_h/2/1000))*1000))</f>
        <v>70.391866637106432</v>
      </c>
      <c r="Q2751" s="19">
        <f ca="1">IF(O2751="","",IF(Tipo_Vertedor="Retangular",IF(O2751&lt;=cota_s*100,0,IF(Tipo_Vertedor="Retangular",Cd_sr*Lef_sr*((O2751/100-cota_s)^(3/2))*1000)),IF(O2751&lt;=cota_s*100+fi_s/20,0,(OFFSET('Base de dados'!$A$4,IF(O2751&lt;20,1,IF(O2751&gt;1000,10,MATCH(O2751,Cargas,1))),Coluna_fis,1,1))*(PI()*(fi_s/1000)^2/4)*(2*9.81*(O2751/100-cota_s-fi_s/2/1000))^0.5*1000)))</f>
        <v>17259.290368977738</v>
      </c>
      <c r="R2751" s="19">
        <f t="shared" ca="1" si="300"/>
        <v>17329.682235614844</v>
      </c>
      <c r="S2751" s="19">
        <f t="shared" ca="1" si="301"/>
        <v>17664.557330712709</v>
      </c>
    </row>
    <row r="2752" spans="13:19">
      <c r="M2752" s="81">
        <f t="shared" ca="1" si="298"/>
        <v>35011.791653537883</v>
      </c>
      <c r="N2752" s="19">
        <f t="shared" si="299"/>
        <v>530.15343511541369</v>
      </c>
      <c r="O2752" s="17">
        <f t="shared" si="297"/>
        <v>687.75</v>
      </c>
      <c r="P2752" s="19">
        <f ca="1">IF(ISERROR(IF(O2752&lt;fi_h/20,0,(OFFSET('Base de dados'!$A$5,IF(O2752&lt;20,1,IF(O2752&gt;1000,10,MATCH(O2752,Cargas,1))),Coluna_fih,1,1))*(1+0.13*0.25)*(PI()*(fi_h/1000)^2/4)*SQRT(2*9.81*(O2752/100-fi_h/2/1000))*1000)),"",IF(O2752&lt;fi_h/20,0,(OFFSET('Base de dados'!$A$5,IF(O2752&lt;20,1,IF(O2752&gt;1000,10,MATCH(O2752,Cargas,1))),Coluna_fih,1,1))*(PI()*(fi_h/1000)^2/4)*SQRT(2*9.81*(O2752/100-fi_h/2/1000))*1000))</f>
        <v>70.404769838575149</v>
      </c>
      <c r="Q2752" s="19">
        <f ca="1">IF(O2752="","",IF(Tipo_Vertedor="Retangular",IF(O2752&lt;=cota_s*100,0,IF(Tipo_Vertedor="Retangular",Cd_sr*Lef_sr*((O2752/100-cota_s)^(3/2))*1000)),IF(O2752&lt;=cota_s*100+fi_s/20,0,(OFFSET('Base de dados'!$A$4,IF(O2752&lt;20,1,IF(O2752&gt;1000,10,MATCH(O2752,Cargas,1))),Coluna_fis,1,1))*(PI()*(fi_s/1000)^2/4)*(2*9.81*(O2752/100-cota_s-fi_s/2/1000))^0.5*1000)))</f>
        <v>17269.605713185516</v>
      </c>
      <c r="R2752" s="19">
        <f t="shared" ca="1" si="300"/>
        <v>17340.010483024093</v>
      </c>
      <c r="S2752" s="19">
        <f t="shared" ca="1" si="301"/>
        <v>17671.78117051379</v>
      </c>
    </row>
    <row r="2753" spans="13:19">
      <c r="M2753" s="81">
        <f t="shared" ca="1" si="298"/>
        <v>35029.346119746398</v>
      </c>
      <c r="N2753" s="19">
        <f t="shared" si="299"/>
        <v>530.37016012325319</v>
      </c>
      <c r="O2753" s="17">
        <f t="shared" si="297"/>
        <v>688</v>
      </c>
      <c r="P2753" s="19">
        <f ca="1">IF(ISERROR(IF(O2753&lt;fi_h/20,0,(OFFSET('Base de dados'!$A$5,IF(O2753&lt;20,1,IF(O2753&gt;1000,10,MATCH(O2753,Cargas,1))),Coluna_fih,1,1))*(1+0.13*0.25)*(PI()*(fi_h/1000)^2/4)*SQRT(2*9.81*(O2753/100-fi_h/2/1000))*1000)),"",IF(O2753&lt;fi_h/20,0,(OFFSET('Base de dados'!$A$5,IF(O2753&lt;20,1,IF(O2753&gt;1000,10,MATCH(O2753,Cargas,1))),Coluna_fih,1,1))*(PI()*(fi_h/1000)^2/4)*SQRT(2*9.81*(O2753/100-fi_h/2/1000))*1000))</f>
        <v>70.417670675685528</v>
      </c>
      <c r="Q2753" s="19">
        <f ca="1">IF(O2753="","",IF(Tipo_Vertedor="Retangular",IF(O2753&lt;=cota_s*100,0,IF(Tipo_Vertedor="Retangular",Cd_sr*Lef_sr*((O2753/100-cota_s)^(3/2))*1000)),IF(O2753&lt;=cota_s*100+fi_s/20,0,(OFFSET('Base de dados'!$A$4,IF(O2753&lt;20,1,IF(O2753&gt;1000,10,MATCH(O2753,Cargas,1))),Coluna_fis,1,1))*(PI()*(fi_s/1000)^2/4)*(2*9.81*(O2753/100-cota_s-fi_s/2/1000))^0.5*1000)))</f>
        <v>17279.923111628941</v>
      </c>
      <c r="R2753" s="19">
        <f t="shared" ca="1" si="300"/>
        <v>17350.340782304625</v>
      </c>
      <c r="S2753" s="19">
        <f t="shared" ca="1" si="301"/>
        <v>17679.005337441773</v>
      </c>
    </row>
    <row r="2754" spans="13:19">
      <c r="M2754" s="81">
        <f t="shared" ca="1" si="298"/>
        <v>35046.902964441484</v>
      </c>
      <c r="N2754" s="19">
        <f t="shared" si="299"/>
        <v>530.58689494177884</v>
      </c>
      <c r="O2754" s="17">
        <f t="shared" si="297"/>
        <v>688.25</v>
      </c>
      <c r="P2754" s="19">
        <f ca="1">IF(ISERROR(IF(O2754&lt;fi_h/20,0,(OFFSET('Base de dados'!$A$5,IF(O2754&lt;20,1,IF(O2754&gt;1000,10,MATCH(O2754,Cargas,1))),Coluna_fih,1,1))*(1+0.13*0.25)*(PI()*(fi_h/1000)^2/4)*SQRT(2*9.81*(O2754/100-fi_h/2/1000))*1000)),"",IF(O2754&lt;fi_h/20,0,(OFFSET('Base de dados'!$A$5,IF(O2754&lt;20,1,IF(O2754&gt;1000,10,MATCH(O2754,Cargas,1))),Coluna_fih,1,1))*(PI()*(fi_h/1000)^2/4)*SQRT(2*9.81*(O2754/100-fi_h/2/1000))*1000))</f>
        <v>70.43056914973684</v>
      </c>
      <c r="Q2754" s="19">
        <f ca="1">IF(O2754="","",IF(Tipo_Vertedor="Retangular",IF(O2754&lt;=cota_s*100,0,IF(Tipo_Vertedor="Retangular",Cd_sr*Lef_sr*((O2754/100-cota_s)^(3/2))*1000)),IF(O2754&lt;=cota_s*100+fi_s/20,0,(OFFSET('Base de dados'!$A$4,IF(O2754&lt;20,1,IF(O2754&gt;1000,10,MATCH(O2754,Cargas,1))),Coluna_fis,1,1))*(PI()*(fi_s/1000)^2/4)*(2*9.81*(O2754/100-cota_s-fi_s/2/1000))^0.5*1000)))</f>
        <v>17290.242563899119</v>
      </c>
      <c r="R2754" s="19">
        <f t="shared" ca="1" si="300"/>
        <v>17360.673133048855</v>
      </c>
      <c r="S2754" s="19">
        <f t="shared" ca="1" si="301"/>
        <v>17686.229831392629</v>
      </c>
    </row>
    <row r="2755" spans="13:19">
      <c r="M2755" s="81">
        <f t="shared" ca="1" si="298"/>
        <v>35064.462187111698</v>
      </c>
      <c r="N2755" s="19">
        <f t="shared" si="299"/>
        <v>530.80363956786994</v>
      </c>
      <c r="O2755" s="17">
        <f t="shared" si="297"/>
        <v>688.5</v>
      </c>
      <c r="P2755" s="19">
        <f ca="1">IF(ISERROR(IF(O2755&lt;fi_h/20,0,(OFFSET('Base de dados'!$A$5,IF(O2755&lt;20,1,IF(O2755&gt;1000,10,MATCH(O2755,Cargas,1))),Coluna_fih,1,1))*(1+0.13*0.25)*(PI()*(fi_h/1000)^2/4)*SQRT(2*9.81*(O2755/100-fi_h/2/1000))*1000)),"",IF(O2755&lt;fi_h/20,0,(OFFSET('Base de dados'!$A$5,IF(O2755&lt;20,1,IF(O2755&gt;1000,10,MATCH(O2755,Cargas,1))),Coluna_fih,1,1))*(PI()*(fi_h/1000)^2/4)*SQRT(2*9.81*(O2755/100-fi_h/2/1000))*1000))</f>
        <v>70.443465262027146</v>
      </c>
      <c r="Q2755" s="19">
        <f ca="1">IF(O2755="","",IF(Tipo_Vertedor="Retangular",IF(O2755&lt;=cota_s*100,0,IF(Tipo_Vertedor="Retangular",Cd_sr*Lef_sr*((O2755/100-cota_s)^(3/2))*1000)),IF(O2755&lt;=cota_s*100+fi_s/20,0,(OFFSET('Base de dados'!$A$4,IF(O2755&lt;20,1,IF(O2755&gt;1000,10,MATCH(O2755,Cargas,1))),Coluna_fis,1,1))*(PI()*(fi_s/1000)^2/4)*(2*9.81*(O2755/100-cota_s-fi_s/2/1000))^0.5*1000)))</f>
        <v>17300.564069587344</v>
      </c>
      <c r="R2755" s="19">
        <f t="shared" ca="1" si="300"/>
        <v>17371.00753484937</v>
      </c>
      <c r="S2755" s="19">
        <f t="shared" ca="1" si="301"/>
        <v>17693.454652262331</v>
      </c>
    </row>
    <row r="2756" spans="13:19">
      <c r="M2756" s="81">
        <f t="shared" ca="1" si="298"/>
        <v>35082.023787246027</v>
      </c>
      <c r="N2756" s="19">
        <f t="shared" si="299"/>
        <v>531.02039399840953</v>
      </c>
      <c r="O2756" s="17">
        <f t="shared" si="297"/>
        <v>688.75</v>
      </c>
      <c r="P2756" s="19">
        <f ca="1">IF(ISERROR(IF(O2756&lt;fi_h/20,0,(OFFSET('Base de dados'!$A$5,IF(O2756&lt;20,1,IF(O2756&gt;1000,10,MATCH(O2756,Cargas,1))),Coluna_fih,1,1))*(1+0.13*0.25)*(PI()*(fi_h/1000)^2/4)*SQRT(2*9.81*(O2756/100-fi_h/2/1000))*1000)),"",IF(O2756&lt;fi_h/20,0,(OFFSET('Base de dados'!$A$5,IF(O2756&lt;20,1,IF(O2756&gt;1000,10,MATCH(O2756,Cargas,1))),Coluna_fih,1,1))*(PI()*(fi_h/1000)^2/4)*SQRT(2*9.81*(O2756/100-fi_h/2/1000))*1000))</f>
        <v>70.456359013853316</v>
      </c>
      <c r="Q2756" s="19">
        <f ca="1">IF(O2756="","",IF(Tipo_Vertedor="Retangular",IF(O2756&lt;=cota_s*100,0,IF(Tipo_Vertedor="Retangular",Cd_sr*Lef_sr*((O2756/100-cota_s)^(3/2))*1000)),IF(O2756&lt;=cota_s*100+fi_s/20,0,(OFFSET('Base de dados'!$A$4,IF(O2756&lt;20,1,IF(O2756&gt;1000,10,MATCH(O2756,Cargas,1))),Coluna_fis,1,1))*(PI()*(fi_s/1000)^2/4)*(2*9.81*(O2756/100-cota_s-fi_s/2/1000))^0.5*1000)))</f>
        <v>17310.887628285192</v>
      </c>
      <c r="R2756" s="19">
        <f t="shared" ca="1" si="300"/>
        <v>17381.343987299046</v>
      </c>
      <c r="S2756" s="19">
        <f t="shared" ca="1" si="301"/>
        <v>17700.679799946982</v>
      </c>
    </row>
    <row r="2757" spans="13:19">
      <c r="M2757" s="81">
        <f t="shared" ca="1" si="298"/>
        <v>35099.587764333693</v>
      </c>
      <c r="N2757" s="19">
        <f t="shared" si="299"/>
        <v>531.23715823028158</v>
      </c>
      <c r="O2757" s="17">
        <f t="shared" si="297"/>
        <v>689</v>
      </c>
      <c r="P2757" s="19">
        <f ca="1">IF(ISERROR(IF(O2757&lt;fi_h/20,0,(OFFSET('Base de dados'!$A$5,IF(O2757&lt;20,1,IF(O2757&gt;1000,10,MATCH(O2757,Cargas,1))),Coluna_fih,1,1))*(1+0.13*0.25)*(PI()*(fi_h/1000)^2/4)*SQRT(2*9.81*(O2757/100-fi_h/2/1000))*1000)),"",IF(O2757&lt;fi_h/20,0,(OFFSET('Base de dados'!$A$5,IF(O2757&lt;20,1,IF(O2757&gt;1000,10,MATCH(O2757,Cargas,1))),Coluna_fih,1,1))*(PI()*(fi_h/1000)^2/4)*SQRT(2*9.81*(O2757/100-fi_h/2/1000))*1000))</f>
        <v>70.469250406510994</v>
      </c>
      <c r="Q2757" s="19">
        <f ca="1">IF(O2757="","",IF(Tipo_Vertedor="Retangular",IF(O2757&lt;=cota_s*100,0,IF(Tipo_Vertedor="Retangular",Cd_sr*Lef_sr*((O2757/100-cota_s)^(3/2))*1000)),IF(O2757&lt;=cota_s*100+fi_s/20,0,(OFFSET('Base de dados'!$A$4,IF(O2757&lt;20,1,IF(O2757&gt;1000,10,MATCH(O2757,Cargas,1))),Coluna_fis,1,1))*(PI()*(fi_s/1000)^2/4)*(2*9.81*(O2757/100-cota_s-fi_s/2/1000))^0.5*1000)))</f>
        <v>17321.213239584464</v>
      </c>
      <c r="R2757" s="19">
        <f t="shared" ca="1" si="300"/>
        <v>17391.682489990973</v>
      </c>
      <c r="S2757" s="19">
        <f t="shared" ca="1" si="301"/>
        <v>17707.90527434272</v>
      </c>
    </row>
    <row r="2758" spans="13:19">
      <c r="M2758" s="81">
        <f t="shared" ca="1" si="298"/>
        <v>35117.154117864273</v>
      </c>
      <c r="N2758" s="19">
        <f t="shared" si="299"/>
        <v>531.45393226037299</v>
      </c>
      <c r="O2758" s="17">
        <f t="shared" si="297"/>
        <v>689.25</v>
      </c>
      <c r="P2758" s="19">
        <f ca="1">IF(ISERROR(IF(O2758&lt;fi_h/20,0,(OFFSET('Base de dados'!$A$5,IF(O2758&lt;20,1,IF(O2758&gt;1000,10,MATCH(O2758,Cargas,1))),Coluna_fih,1,1))*(1+0.13*0.25)*(PI()*(fi_h/1000)^2/4)*SQRT(2*9.81*(O2758/100-fi_h/2/1000))*1000)),"",IF(O2758&lt;fi_h/20,0,(OFFSET('Base de dados'!$A$5,IF(O2758&lt;20,1,IF(O2758&gt;1000,10,MATCH(O2758,Cargas,1))),Coluna_fih,1,1))*(PI()*(fi_h/1000)^2/4)*SQRT(2*9.81*(O2758/100-fi_h/2/1000))*1000))</f>
        <v>70.48213944129472</v>
      </c>
      <c r="Q2758" s="19">
        <f ca="1">IF(O2758="","",IF(Tipo_Vertedor="Retangular",IF(O2758&lt;=cota_s*100,0,IF(Tipo_Vertedor="Retangular",Cd_sr*Lef_sr*((O2758/100-cota_s)^(3/2))*1000)),IF(O2758&lt;=cota_s*100+fi_s/20,0,(OFFSET('Base de dados'!$A$4,IF(O2758&lt;20,1,IF(O2758&gt;1000,10,MATCH(O2758,Cargas,1))),Coluna_fis,1,1))*(PI()*(fi_s/1000)^2/4)*(2*9.81*(O2758/100-cota_s-fi_s/2/1000))^0.5*1000)))</f>
        <v>17331.54090307721</v>
      </c>
      <c r="R2758" s="19">
        <f t="shared" ca="1" si="300"/>
        <v>17402.023042518504</v>
      </c>
      <c r="S2758" s="19">
        <f t="shared" ca="1" si="301"/>
        <v>17715.131075345769</v>
      </c>
    </row>
    <row r="2759" spans="13:19">
      <c r="M2759" s="81">
        <f t="shared" ca="1" si="298"/>
        <v>35134.722847327619</v>
      </c>
      <c r="N2759" s="19">
        <f t="shared" si="299"/>
        <v>531.67071608557217</v>
      </c>
      <c r="O2759" s="17">
        <f t="shared" si="297"/>
        <v>689.5</v>
      </c>
      <c r="P2759" s="19">
        <f ca="1">IF(ISERROR(IF(O2759&lt;fi_h/20,0,(OFFSET('Base de dados'!$A$5,IF(O2759&lt;20,1,IF(O2759&gt;1000,10,MATCH(O2759,Cargas,1))),Coluna_fih,1,1))*(1+0.13*0.25)*(PI()*(fi_h/1000)^2/4)*SQRT(2*9.81*(O2759/100-fi_h/2/1000))*1000)),"",IF(O2759&lt;fi_h/20,0,(OFFSET('Base de dados'!$A$5,IF(O2759&lt;20,1,IF(O2759&gt;1000,10,MATCH(O2759,Cargas,1))),Coluna_fih,1,1))*(PI()*(fi_h/1000)^2/4)*SQRT(2*9.81*(O2759/100-fi_h/2/1000))*1000))</f>
        <v>70.49502611949778</v>
      </c>
      <c r="Q2759" s="19">
        <f ca="1">IF(O2759="","",IF(Tipo_Vertedor="Retangular",IF(O2759&lt;=cota_s*100,0,IF(Tipo_Vertedor="Retangular",Cd_sr*Lef_sr*((O2759/100-cota_s)^(3/2))*1000)),IF(O2759&lt;=cota_s*100+fi_s/20,0,(OFFSET('Base de dados'!$A$4,IF(O2759&lt;20,1,IF(O2759&gt;1000,10,MATCH(O2759,Cargas,1))),Coluna_fis,1,1))*(PI()*(fi_s/1000)^2/4)*(2*9.81*(O2759/100-cota_s-fi_s/2/1000))^0.5*1000)))</f>
        <v>17341.870618355719</v>
      </c>
      <c r="R2759" s="19">
        <f t="shared" ca="1" si="300"/>
        <v>17412.365644475216</v>
      </c>
      <c r="S2759" s="19">
        <f t="shared" ca="1" si="301"/>
        <v>17722.357202852403</v>
      </c>
    </row>
    <row r="2760" spans="13:19">
      <c r="M2760" s="81">
        <f t="shared" ca="1" si="298"/>
        <v>35152.293952213964</v>
      </c>
      <c r="N2760" s="19">
        <f t="shared" si="299"/>
        <v>531.88750970277033</v>
      </c>
      <c r="O2760" s="17">
        <f t="shared" si="297"/>
        <v>689.75</v>
      </c>
      <c r="P2760" s="19">
        <f ca="1">IF(ISERROR(IF(O2760&lt;fi_h/20,0,(OFFSET('Base de dados'!$A$5,IF(O2760&lt;20,1,IF(O2760&gt;1000,10,MATCH(O2760,Cargas,1))),Coluna_fih,1,1))*(1+0.13*0.25)*(PI()*(fi_h/1000)^2/4)*SQRT(2*9.81*(O2760/100-fi_h/2/1000))*1000)),"",IF(O2760&lt;fi_h/20,0,(OFFSET('Base de dados'!$A$5,IF(O2760&lt;20,1,IF(O2760&gt;1000,10,MATCH(O2760,Cargas,1))),Coluna_fih,1,1))*(PI()*(fi_h/1000)^2/4)*SQRT(2*9.81*(O2760/100-fi_h/2/1000))*1000))</f>
        <v>70.507910442412324</v>
      </c>
      <c r="Q2760" s="19">
        <f ca="1">IF(O2760="","",IF(Tipo_Vertedor="Retangular",IF(O2760&lt;=cota_s*100,0,IF(Tipo_Vertedor="Retangular",Cd_sr*Lef_sr*((O2760/100-cota_s)^(3/2))*1000)),IF(O2760&lt;=cota_s*100+fi_s/20,0,(OFFSET('Base de dados'!$A$4,IF(O2760&lt;20,1,IF(O2760&gt;1000,10,MATCH(O2760,Cargas,1))),Coluna_fis,1,1))*(PI()*(fi_s/1000)^2/4)*(2*9.81*(O2760/100-cota_s-fi_s/2/1000))^0.5*1000)))</f>
        <v>17352.202385012548</v>
      </c>
      <c r="R2760" s="19">
        <f t="shared" ca="1" si="300"/>
        <v>17422.710295454959</v>
      </c>
      <c r="S2760" s="19">
        <f t="shared" ca="1" si="301"/>
        <v>17729.583656759009</v>
      </c>
    </row>
    <row r="2761" spans="13:19">
      <c r="M2761" s="81">
        <f t="shared" ca="1" si="298"/>
        <v>35169.867432013794</v>
      </c>
      <c r="N2761" s="19">
        <f t="shared" si="299"/>
        <v>532.10431310886042</v>
      </c>
      <c r="O2761" s="17">
        <f t="shared" si="297"/>
        <v>690</v>
      </c>
      <c r="P2761" s="19">
        <f ca="1">IF(ISERROR(IF(O2761&lt;fi_h/20,0,(OFFSET('Base de dados'!$A$5,IF(O2761&lt;20,1,IF(O2761&gt;1000,10,MATCH(O2761,Cargas,1))),Coluna_fih,1,1))*(1+0.13*0.25)*(PI()*(fi_h/1000)^2/4)*SQRT(2*9.81*(O2761/100-fi_h/2/1000))*1000)),"",IF(O2761&lt;fi_h/20,0,(OFFSET('Base de dados'!$A$5,IF(O2761&lt;20,1,IF(O2761&gt;1000,10,MATCH(O2761,Cargas,1))),Coluna_fih,1,1))*(PI()*(fi_h/1000)^2/4)*SQRT(2*9.81*(O2761/100-fi_h/2/1000))*1000))</f>
        <v>70.520792411329282</v>
      </c>
      <c r="Q2761" s="19">
        <f ca="1">IF(O2761="","",IF(Tipo_Vertedor="Retangular",IF(O2761&lt;=cota_s*100,0,IF(Tipo_Vertedor="Retangular",Cd_sr*Lef_sr*((O2761/100-cota_s)^(3/2))*1000)),IF(O2761&lt;=cota_s*100+fi_s/20,0,(OFFSET('Base de dados'!$A$4,IF(O2761&lt;20,1,IF(O2761&gt;1000,10,MATCH(O2761,Cargas,1))),Coluna_fis,1,1))*(PI()*(fi_s/1000)^2/4)*(2*9.81*(O2761/100-cota_s-fi_s/2/1000))^0.5*1000)))</f>
        <v>17362.536202640451</v>
      </c>
      <c r="R2761" s="19">
        <f t="shared" ca="1" si="300"/>
        <v>17433.056995051782</v>
      </c>
      <c r="S2761" s="19">
        <f t="shared" ca="1" si="301"/>
        <v>17736.810436962012</v>
      </c>
    </row>
    <row r="2762" spans="13:19">
      <c r="M2762" s="81">
        <f t="shared" ca="1" si="298"/>
        <v>35187.443286217895</v>
      </c>
      <c r="N2762" s="19">
        <f t="shared" si="299"/>
        <v>532.32112630073709</v>
      </c>
      <c r="O2762" s="17">
        <f t="shared" si="297"/>
        <v>690.25</v>
      </c>
      <c r="P2762" s="19">
        <f ca="1">IF(ISERROR(IF(O2762&lt;fi_h/20,0,(OFFSET('Base de dados'!$A$5,IF(O2762&lt;20,1,IF(O2762&gt;1000,10,MATCH(O2762,Cargas,1))),Coluna_fih,1,1))*(1+0.13*0.25)*(PI()*(fi_h/1000)^2/4)*SQRT(2*9.81*(O2762/100-fi_h/2/1000))*1000)),"",IF(O2762&lt;fi_h/20,0,(OFFSET('Base de dados'!$A$5,IF(O2762&lt;20,1,IF(O2762&gt;1000,10,MATCH(O2762,Cargas,1))),Coluna_fih,1,1))*(PI()*(fi_h/1000)^2/4)*SQRT(2*9.81*(O2762/100-fi_h/2/1000))*1000))</f>
        <v>70.533672027538458</v>
      </c>
      <c r="Q2762" s="19">
        <f ca="1">IF(O2762="","",IF(Tipo_Vertedor="Retangular",IF(O2762&lt;=cota_s*100,0,IF(Tipo_Vertedor="Retangular",Cd_sr*Lef_sr*((O2762/100-cota_s)^(3/2))*1000)),IF(O2762&lt;=cota_s*100+fi_s/20,0,(OFFSET('Base de dados'!$A$4,IF(O2762&lt;20,1,IF(O2762&gt;1000,10,MATCH(O2762,Cargas,1))),Coluna_fis,1,1))*(PI()*(fi_s/1000)^2/4)*(2*9.81*(O2762/100-cota_s-fi_s/2/1000))^0.5*1000)))</f>
        <v>17372.872070832451</v>
      </c>
      <c r="R2762" s="19">
        <f t="shared" ca="1" si="300"/>
        <v>17443.405742859988</v>
      </c>
      <c r="S2762" s="19">
        <f t="shared" ca="1" si="301"/>
        <v>17744.037543357907</v>
      </c>
    </row>
    <row r="2763" spans="13:19">
      <c r="M2763" s="81">
        <f t="shared" ca="1" si="298"/>
        <v>35205.021514317414</v>
      </c>
      <c r="N2763" s="19">
        <f t="shared" si="299"/>
        <v>532.53794927529771</v>
      </c>
      <c r="O2763" s="17">
        <f t="shared" si="297"/>
        <v>690.5</v>
      </c>
      <c r="P2763" s="19">
        <f ca="1">IF(ISERROR(IF(O2763&lt;fi_h/20,0,(OFFSET('Base de dados'!$A$5,IF(O2763&lt;20,1,IF(O2763&gt;1000,10,MATCH(O2763,Cargas,1))),Coluna_fih,1,1))*(1+0.13*0.25)*(PI()*(fi_h/1000)^2/4)*SQRT(2*9.81*(O2763/100-fi_h/2/1000))*1000)),"",IF(O2763&lt;fi_h/20,0,(OFFSET('Base de dados'!$A$5,IF(O2763&lt;20,1,IF(O2763&gt;1000,10,MATCH(O2763,Cargas,1))),Coluna_fih,1,1))*(PI()*(fi_h/1000)^2/4)*SQRT(2*9.81*(O2763/100-fi_h/2/1000))*1000))</f>
        <v>70.546549292328422</v>
      </c>
      <c r="Q2763" s="19">
        <f ca="1">IF(O2763="","",IF(Tipo_Vertedor="Retangular",IF(O2763&lt;=cota_s*100,0,IF(Tipo_Vertedor="Retangular",Cd_sr*Lef_sr*((O2763/100-cota_s)^(3/2))*1000)),IF(O2763&lt;=cota_s*100+fi_s/20,0,(OFFSET('Base de dados'!$A$4,IF(O2763&lt;20,1,IF(O2763&gt;1000,10,MATCH(O2763,Cargas,1))),Coluna_fis,1,1))*(PI()*(fi_s/1000)^2/4)*(2*9.81*(O2763/100-cota_s-fi_s/2/1000))^0.5*1000)))</f>
        <v>17383.209989181825</v>
      </c>
      <c r="R2763" s="19">
        <f t="shared" ca="1" si="300"/>
        <v>17453.756538474154</v>
      </c>
      <c r="S2763" s="19">
        <f t="shared" ca="1" si="301"/>
        <v>17751.264975843256</v>
      </c>
    </row>
    <row r="2764" spans="13:19">
      <c r="M2764" s="81">
        <f t="shared" ca="1" si="298"/>
        <v>35222.602115803769</v>
      </c>
      <c r="N2764" s="19">
        <f t="shared" si="299"/>
        <v>532.7547820294418</v>
      </c>
      <c r="O2764" s="17">
        <f t="shared" si="297"/>
        <v>690.75</v>
      </c>
      <c r="P2764" s="19">
        <f ca="1">IF(ISERROR(IF(O2764&lt;fi_h/20,0,(OFFSET('Base de dados'!$A$5,IF(O2764&lt;20,1,IF(O2764&gt;1000,10,MATCH(O2764,Cargas,1))),Coluna_fih,1,1))*(1+0.13*0.25)*(PI()*(fi_h/1000)^2/4)*SQRT(2*9.81*(O2764/100-fi_h/2/1000))*1000)),"",IF(O2764&lt;fi_h/20,0,(OFFSET('Base de dados'!$A$5,IF(O2764&lt;20,1,IF(O2764&gt;1000,10,MATCH(O2764,Cargas,1))),Coluna_fih,1,1))*(PI()*(fi_h/1000)^2/4)*SQRT(2*9.81*(O2764/100-fi_h/2/1000))*1000))</f>
        <v>70.559424206986591</v>
      </c>
      <c r="Q2764" s="19">
        <f ca="1">IF(O2764="","",IF(Tipo_Vertedor="Retangular",IF(O2764&lt;=cota_s*100,0,IF(Tipo_Vertedor="Retangular",Cd_sr*Lef_sr*((O2764/100-cota_s)^(3/2))*1000)),IF(O2764&lt;=cota_s*100+fi_s/20,0,(OFFSET('Base de dados'!$A$4,IF(O2764&lt;20,1,IF(O2764&gt;1000,10,MATCH(O2764,Cargas,1))),Coluna_fis,1,1))*(PI()*(fi_s/1000)^2/4)*(2*9.81*(O2764/100-cota_s-fi_s/2/1000))^0.5*1000)))</f>
        <v>17393.549957282059</v>
      </c>
      <c r="R2764" s="19">
        <f t="shared" ca="1" si="300"/>
        <v>17464.109381489045</v>
      </c>
      <c r="S2764" s="19">
        <f t="shared" ca="1" si="301"/>
        <v>17758.492734314725</v>
      </c>
    </row>
    <row r="2765" spans="13:19">
      <c r="M2765" s="81">
        <f t="shared" ca="1" si="298"/>
        <v>35240.185090168728</v>
      </c>
      <c r="N2765" s="19">
        <f t="shared" si="299"/>
        <v>532.97162456007038</v>
      </c>
      <c r="O2765" s="17">
        <f t="shared" si="297"/>
        <v>691</v>
      </c>
      <c r="P2765" s="19">
        <f ca="1">IF(ISERROR(IF(O2765&lt;fi_h/20,0,(OFFSET('Base de dados'!$A$5,IF(O2765&lt;20,1,IF(O2765&gt;1000,10,MATCH(O2765,Cargas,1))),Coluna_fih,1,1))*(1+0.13*0.25)*(PI()*(fi_h/1000)^2/4)*SQRT(2*9.81*(O2765/100-fi_h/2/1000))*1000)),"",IF(O2765&lt;fi_h/20,0,(OFFSET('Base de dados'!$A$5,IF(O2765&lt;20,1,IF(O2765&gt;1000,10,MATCH(O2765,Cargas,1))),Coluna_fih,1,1))*(PI()*(fi_h/1000)^2/4)*SQRT(2*9.81*(O2765/100-fi_h/2/1000))*1000))</f>
        <v>70.57229677279922</v>
      </c>
      <c r="Q2765" s="19">
        <f ca="1">IF(O2765="","",IF(Tipo_Vertedor="Retangular",IF(O2765&lt;=cota_s*100,0,IF(Tipo_Vertedor="Retangular",Cd_sr*Lef_sr*((O2765/100-cota_s)^(3/2))*1000)),IF(O2765&lt;=cota_s*100+fi_s/20,0,(OFFSET('Base de dados'!$A$4,IF(O2765&lt;20,1,IF(O2765&gt;1000,10,MATCH(O2765,Cargas,1))),Coluna_fis,1,1))*(PI()*(fi_s/1000)^2/4)*(2*9.81*(O2765/100-cota_s-fi_s/2/1000))^0.5*1000)))</f>
        <v>17403.891974726921</v>
      </c>
      <c r="R2765" s="19">
        <f t="shared" ca="1" si="300"/>
        <v>17474.464271499721</v>
      </c>
      <c r="S2765" s="19">
        <f t="shared" ca="1" si="301"/>
        <v>17765.720818669011</v>
      </c>
    </row>
    <row r="2766" spans="13:19">
      <c r="M2766" s="81">
        <f t="shared" ca="1" si="298"/>
        <v>35257.770436904335</v>
      </c>
      <c r="N2766" s="19">
        <f t="shared" si="299"/>
        <v>533.18847686408697</v>
      </c>
      <c r="O2766" s="17">
        <f t="shared" si="297"/>
        <v>691.25</v>
      </c>
      <c r="P2766" s="19">
        <f ca="1">IF(ISERROR(IF(O2766&lt;fi_h/20,0,(OFFSET('Base de dados'!$A$5,IF(O2766&lt;20,1,IF(O2766&gt;1000,10,MATCH(O2766,Cargas,1))),Coluna_fih,1,1))*(1+0.13*0.25)*(PI()*(fi_h/1000)^2/4)*SQRT(2*9.81*(O2766/100-fi_h/2/1000))*1000)),"",IF(O2766&lt;fi_h/20,0,(OFFSET('Base de dados'!$A$5,IF(O2766&lt;20,1,IF(O2766&gt;1000,10,MATCH(O2766,Cargas,1))),Coluna_fih,1,1))*(PI()*(fi_h/1000)^2/4)*SQRT(2*9.81*(O2766/100-fi_h/2/1000))*1000))</f>
        <v>70.585166991051366</v>
      </c>
      <c r="Q2766" s="19">
        <f ca="1">IF(O2766="","",IF(Tipo_Vertedor="Retangular",IF(O2766&lt;=cota_s*100,0,IF(Tipo_Vertedor="Retangular",Cd_sr*Lef_sr*((O2766/100-cota_s)^(3/2))*1000)),IF(O2766&lt;=cota_s*100+fi_s/20,0,(OFFSET('Base de dados'!$A$4,IF(O2766&lt;20,1,IF(O2766&gt;1000,10,MATCH(O2766,Cargas,1))),Coluna_fis,1,1))*(PI()*(fi_s/1000)^2/4)*(2*9.81*(O2766/100-cota_s-fi_s/2/1000))^0.5*1000)))</f>
        <v>17414.236041110387</v>
      </c>
      <c r="R2766" s="19">
        <f t="shared" ca="1" si="300"/>
        <v>17484.821208101439</v>
      </c>
      <c r="S2766" s="19">
        <f t="shared" ca="1" si="301"/>
        <v>17772.949228802896</v>
      </c>
    </row>
    <row r="2767" spans="13:19">
      <c r="M2767" s="81">
        <f t="shared" ca="1" si="298"/>
        <v>35275.358155502967</v>
      </c>
      <c r="N2767" s="19">
        <f t="shared" si="299"/>
        <v>533.40533893839768</v>
      </c>
      <c r="O2767" s="17">
        <f t="shared" si="297"/>
        <v>691.5</v>
      </c>
      <c r="P2767" s="19">
        <f ca="1">IF(ISERROR(IF(O2767&lt;fi_h/20,0,(OFFSET('Base de dados'!$A$5,IF(O2767&lt;20,1,IF(O2767&gt;1000,10,MATCH(O2767,Cargas,1))),Coluna_fih,1,1))*(1+0.13*0.25)*(PI()*(fi_h/1000)^2/4)*SQRT(2*9.81*(O2767/100-fi_h/2/1000))*1000)),"",IF(O2767&lt;fi_h/20,0,(OFFSET('Base de dados'!$A$5,IF(O2767&lt;20,1,IF(O2767&gt;1000,10,MATCH(O2767,Cargas,1))),Coluna_fih,1,1))*(PI()*(fi_h/1000)^2/4)*SQRT(2*9.81*(O2767/100-fi_h/2/1000))*1000))</f>
        <v>70.598034863026953</v>
      </c>
      <c r="Q2767" s="19">
        <f ca="1">IF(O2767="","",IF(Tipo_Vertedor="Retangular",IF(O2767&lt;=cota_s*100,0,IF(Tipo_Vertedor="Retangular",Cd_sr*Lef_sr*((O2767/100-cota_s)^(3/2))*1000)),IF(O2767&lt;=cota_s*100+fi_s/20,0,(OFFSET('Base de dados'!$A$4,IF(O2767&lt;20,1,IF(O2767&gt;1000,10,MATCH(O2767,Cargas,1))),Coluna_fis,1,1))*(PI()*(fi_s/1000)^2/4)*(2*9.81*(O2767/100-cota_s-fi_s/2/1000))^0.5*1000)))</f>
        <v>17424.582156026689</v>
      </c>
      <c r="R2767" s="19">
        <f t="shared" ca="1" si="300"/>
        <v>17495.180190889714</v>
      </c>
      <c r="S2767" s="19">
        <f t="shared" ca="1" si="301"/>
        <v>17780.177964613256</v>
      </c>
    </row>
    <row r="2768" spans="13:19">
      <c r="M2768" s="81">
        <f t="shared" ca="1" si="298"/>
        <v>35292.948245457279</v>
      </c>
      <c r="N2768" s="19">
        <f t="shared" si="299"/>
        <v>533.62221077990944</v>
      </c>
      <c r="O2768" s="17">
        <f t="shared" si="297"/>
        <v>691.75</v>
      </c>
      <c r="P2768" s="19">
        <f ca="1">IF(ISERROR(IF(O2768&lt;fi_h/20,0,(OFFSET('Base de dados'!$A$5,IF(O2768&lt;20,1,IF(O2768&gt;1000,10,MATCH(O2768,Cargas,1))),Coluna_fih,1,1))*(1+0.13*0.25)*(PI()*(fi_h/1000)^2/4)*SQRT(2*9.81*(O2768/100-fi_h/2/1000))*1000)),"",IF(O2768&lt;fi_h/20,0,(OFFSET('Base de dados'!$A$5,IF(O2768&lt;20,1,IF(O2768&gt;1000,10,MATCH(O2768,Cargas,1))),Coluna_fih,1,1))*(PI()*(fi_h/1000)^2/4)*SQRT(2*9.81*(O2768/100-fi_h/2/1000))*1000))</f>
        <v>70.610900390008723</v>
      </c>
      <c r="Q2768" s="19">
        <f ca="1">IF(O2768="","",IF(Tipo_Vertedor="Retangular",IF(O2768&lt;=cota_s*100,0,IF(Tipo_Vertedor="Retangular",Cd_sr*Lef_sr*((O2768/100-cota_s)^(3/2))*1000)),IF(O2768&lt;=cota_s*100+fi_s/20,0,(OFFSET('Base de dados'!$A$4,IF(O2768&lt;20,1,IF(O2768&gt;1000,10,MATCH(O2768,Cargas,1))),Coluna_fis,1,1))*(PI()*(fi_s/1000)^2/4)*(2*9.81*(O2768/100-cota_s-fi_s/2/1000))^0.5*1000)))</f>
        <v>17434.930319070289</v>
      </c>
      <c r="R2768" s="19">
        <f t="shared" ca="1" si="300"/>
        <v>17505.541219460298</v>
      </c>
      <c r="S2768" s="19">
        <f t="shared" ca="1" si="301"/>
        <v>17787.407025996981</v>
      </c>
    </row>
    <row r="2769" spans="13:19">
      <c r="M2769" s="81">
        <f t="shared" ca="1" si="298"/>
        <v>35310.540706260283</v>
      </c>
      <c r="N2769" s="19">
        <f t="shared" si="299"/>
        <v>533.83909238553258</v>
      </c>
      <c r="O2769" s="17">
        <f t="shared" si="297"/>
        <v>692</v>
      </c>
      <c r="P2769" s="19">
        <f ca="1">IF(ISERROR(IF(O2769&lt;fi_h/20,0,(OFFSET('Base de dados'!$A$5,IF(O2769&lt;20,1,IF(O2769&gt;1000,10,MATCH(O2769,Cargas,1))),Coluna_fih,1,1))*(1+0.13*0.25)*(PI()*(fi_h/1000)^2/4)*SQRT(2*9.81*(O2769/100-fi_h/2/1000))*1000)),"",IF(O2769&lt;fi_h/20,0,(OFFSET('Base de dados'!$A$5,IF(O2769&lt;20,1,IF(O2769&gt;1000,10,MATCH(O2769,Cargas,1))),Coluna_fih,1,1))*(PI()*(fi_h/1000)^2/4)*SQRT(2*9.81*(O2769/100-fi_h/2/1000))*1000))</f>
        <v>70.623763573278197</v>
      </c>
      <c r="Q2769" s="19">
        <f ca="1">IF(O2769="","",IF(Tipo_Vertedor="Retangular",IF(O2769&lt;=cota_s*100,0,IF(Tipo_Vertedor="Retangular",Cd_sr*Lef_sr*((O2769/100-cota_s)^(3/2))*1000)),IF(O2769&lt;=cota_s*100+fi_s/20,0,(OFFSET('Base de dados'!$A$4,IF(O2769&lt;20,1,IF(O2769&gt;1000,10,MATCH(O2769,Cargas,1))),Coluna_fis,1,1))*(PI()*(fi_s/1000)^2/4)*(2*9.81*(O2769/100-cota_s-fi_s/2/1000))^0.5*1000)))</f>
        <v>17445.280529835916</v>
      </c>
      <c r="R2769" s="19">
        <f t="shared" ca="1" si="300"/>
        <v>17515.904293409196</v>
      </c>
      <c r="S2769" s="19">
        <f t="shared" ca="1" si="301"/>
        <v>17794.636412851087</v>
      </c>
    </row>
    <row r="2770" spans="13:19">
      <c r="M2770" s="81">
        <f t="shared" ca="1" si="298"/>
        <v>35328.135537405251</v>
      </c>
      <c r="N2770" s="19">
        <f t="shared" si="299"/>
        <v>534.05598375217846</v>
      </c>
      <c r="O2770" s="17">
        <f t="shared" si="297"/>
        <v>692.25</v>
      </c>
      <c r="P2770" s="19">
        <f ca="1">IF(ISERROR(IF(O2770&lt;fi_h/20,0,(OFFSET('Base de dados'!$A$5,IF(O2770&lt;20,1,IF(O2770&gt;1000,10,MATCH(O2770,Cargas,1))),Coluna_fih,1,1))*(1+0.13*0.25)*(PI()*(fi_h/1000)^2/4)*SQRT(2*9.81*(O2770/100-fi_h/2/1000))*1000)),"",IF(O2770&lt;fi_h/20,0,(OFFSET('Base de dados'!$A$5,IF(O2770&lt;20,1,IF(O2770&gt;1000,10,MATCH(O2770,Cargas,1))),Coluna_fih,1,1))*(PI()*(fi_h/1000)^2/4)*SQRT(2*9.81*(O2770/100-fi_h/2/1000))*1000))</f>
        <v>70.636624414115772</v>
      </c>
      <c r="Q2770" s="19">
        <f ca="1">IF(O2770="","",IF(Tipo_Vertedor="Retangular",IF(O2770&lt;=cota_s*100,0,IF(Tipo_Vertedor="Retangular",Cd_sr*Lef_sr*((O2770/100-cota_s)^(3/2))*1000)),IF(O2770&lt;=cota_s*100+fi_s/20,0,(OFFSET('Base de dados'!$A$4,IF(O2770&lt;20,1,IF(O2770&gt;1000,10,MATCH(O2770,Cargas,1))),Coluna_fis,1,1))*(PI()*(fi_s/1000)^2/4)*(2*9.81*(O2770/100-cota_s-fi_s/2/1000))^0.5*1000)))</f>
        <v>17455.632787918516</v>
      </c>
      <c r="R2770" s="19">
        <f t="shared" ca="1" si="300"/>
        <v>17526.269412332633</v>
      </c>
      <c r="S2770" s="19">
        <f t="shared" ca="1" si="301"/>
        <v>17801.866125072618</v>
      </c>
    </row>
    <row r="2771" spans="13:19">
      <c r="M2771" s="81">
        <f t="shared" ca="1" si="298"/>
        <v>35345.732738385777</v>
      </c>
      <c r="N2771" s="19">
        <f t="shared" si="299"/>
        <v>534.27288487676174</v>
      </c>
      <c r="O2771" s="17">
        <f t="shared" ref="O2771:O2834" si="302">IF(ISERROR(IF(O2770+passo_altura&gt;h_max_puls*100,"",O2770+passo_altura)),"",IF(O2770+passo_altura&gt;h_max_puls*100,"",O2770+passo_altura))</f>
        <v>692.5</v>
      </c>
      <c r="P2771" s="19">
        <f ca="1">IF(ISERROR(IF(O2771&lt;fi_h/20,0,(OFFSET('Base de dados'!$A$5,IF(O2771&lt;20,1,IF(O2771&gt;1000,10,MATCH(O2771,Cargas,1))),Coluna_fih,1,1))*(1+0.13*0.25)*(PI()*(fi_h/1000)^2/4)*SQRT(2*9.81*(O2771/100-fi_h/2/1000))*1000)),"",IF(O2771&lt;fi_h/20,0,(OFFSET('Base de dados'!$A$5,IF(O2771&lt;20,1,IF(O2771&gt;1000,10,MATCH(O2771,Cargas,1))),Coluna_fih,1,1))*(PI()*(fi_h/1000)^2/4)*SQRT(2*9.81*(O2771/100-fi_h/2/1000))*1000))</f>
        <v>70.649482913800711</v>
      </c>
      <c r="Q2771" s="19">
        <f ca="1">IF(O2771="","",IF(Tipo_Vertedor="Retangular",IF(O2771&lt;=cota_s*100,0,IF(Tipo_Vertedor="Retangular",Cd_sr*Lef_sr*((O2771/100-cota_s)^(3/2))*1000)),IF(O2771&lt;=cota_s*100+fi_s/20,0,(OFFSET('Base de dados'!$A$4,IF(O2771&lt;20,1,IF(O2771&gt;1000,10,MATCH(O2771,Cargas,1))),Coluna_fis,1,1))*(PI()*(fi_s/1000)^2/4)*(2*9.81*(O2771/100-cota_s-fi_s/2/1000))^0.5*1000)))</f>
        <v>17465.987092913259</v>
      </c>
      <c r="R2771" s="19">
        <f t="shared" ca="1" si="300"/>
        <v>17536.636575827059</v>
      </c>
      <c r="S2771" s="19">
        <f t="shared" ca="1" si="301"/>
        <v>17809.096162558722</v>
      </c>
    </row>
    <row r="2772" spans="13:19">
      <c r="M2772" s="81">
        <f t="shared" ca="1" si="298"/>
        <v>35363.332308695812</v>
      </c>
      <c r="N2772" s="19">
        <f t="shared" si="299"/>
        <v>534.48979575619774</v>
      </c>
      <c r="O2772" s="17">
        <f t="shared" si="302"/>
        <v>692.75</v>
      </c>
      <c r="P2772" s="19">
        <f ca="1">IF(ISERROR(IF(O2772&lt;fi_h/20,0,(OFFSET('Base de dados'!$A$5,IF(O2772&lt;20,1,IF(O2772&gt;1000,10,MATCH(O2772,Cargas,1))),Coluna_fih,1,1))*(1+0.13*0.25)*(PI()*(fi_h/1000)^2/4)*SQRT(2*9.81*(O2772/100-fi_h/2/1000))*1000)),"",IF(O2772&lt;fi_h/20,0,(OFFSET('Base de dados'!$A$5,IF(O2772&lt;20,1,IF(O2772&gt;1000,10,MATCH(O2772,Cargas,1))),Coluna_fih,1,1))*(PI()*(fi_h/1000)^2/4)*SQRT(2*9.81*(O2772/100-fi_h/2/1000))*1000))</f>
        <v>70.662339073611079</v>
      </c>
      <c r="Q2772" s="19">
        <f ca="1">IF(O2772="","",IF(Tipo_Vertedor="Retangular",IF(O2772&lt;=cota_s*100,0,IF(Tipo_Vertedor="Retangular",Cd_sr*Lef_sr*((O2772/100-cota_s)^(3/2))*1000)),IF(O2772&lt;=cota_s*100+fi_s/20,0,(OFFSET('Base de dados'!$A$4,IF(O2772&lt;20,1,IF(O2772&gt;1000,10,MATCH(O2772,Cargas,1))),Coluna_fis,1,1))*(PI()*(fi_s/1000)^2/4)*(2*9.81*(O2772/100-cota_s-fi_s/2/1000))^0.5*1000)))</f>
        <v>17476.343444415605</v>
      </c>
      <c r="R2772" s="19">
        <f t="shared" ca="1" si="300"/>
        <v>17547.005783489214</v>
      </c>
      <c r="S2772" s="19">
        <f t="shared" ca="1" si="301"/>
        <v>17816.326525206594</v>
      </c>
    </row>
    <row r="2773" spans="13:19">
      <c r="M2773" s="81">
        <f t="shared" ca="1" si="298"/>
        <v>35380.934247829529</v>
      </c>
      <c r="N2773" s="19">
        <f t="shared" si="299"/>
        <v>534.70671638740487</v>
      </c>
      <c r="O2773" s="17">
        <f t="shared" si="302"/>
        <v>693</v>
      </c>
      <c r="P2773" s="19">
        <f ca="1">IF(ISERROR(IF(O2773&lt;fi_h/20,0,(OFFSET('Base de dados'!$A$5,IF(O2773&lt;20,1,IF(O2773&gt;1000,10,MATCH(O2773,Cargas,1))),Coluna_fih,1,1))*(1+0.13*0.25)*(PI()*(fi_h/1000)^2/4)*SQRT(2*9.81*(O2773/100-fi_h/2/1000))*1000)),"",IF(O2773&lt;fi_h/20,0,(OFFSET('Base de dados'!$A$5,IF(O2773&lt;20,1,IF(O2773&gt;1000,10,MATCH(O2773,Cargas,1))),Coluna_fih,1,1))*(PI()*(fi_h/1000)^2/4)*SQRT(2*9.81*(O2773/100-fi_h/2/1000))*1000))</f>
        <v>70.675192894823738</v>
      </c>
      <c r="Q2773" s="19">
        <f ca="1">IF(O2773="","",IF(Tipo_Vertedor="Retangular",IF(O2773&lt;=cota_s*100,0,IF(Tipo_Vertedor="Retangular",Cd_sr*Lef_sr*((O2773/100-cota_s)^(3/2))*1000)),IF(O2773&lt;=cota_s*100+fi_s/20,0,(OFFSET('Base de dados'!$A$4,IF(O2773&lt;20,1,IF(O2773&gt;1000,10,MATCH(O2773,Cargas,1))),Coluna_fis,1,1))*(PI()*(fi_s/1000)^2/4)*(2*9.81*(O2773/100-cota_s-fi_s/2/1000))^0.5*1000)))</f>
        <v>17486.701842021212</v>
      </c>
      <c r="R2773" s="19">
        <f t="shared" ca="1" si="300"/>
        <v>17557.377034916037</v>
      </c>
      <c r="S2773" s="19">
        <f t="shared" ca="1" si="301"/>
        <v>17823.557212913493</v>
      </c>
    </row>
    <row r="2774" spans="13:19">
      <c r="M2774" s="81">
        <f t="shared" ca="1" si="298"/>
        <v>35398.538555281499</v>
      </c>
      <c r="N2774" s="19">
        <f t="shared" si="299"/>
        <v>534.92364676730347</v>
      </c>
      <c r="O2774" s="17">
        <f t="shared" si="302"/>
        <v>693.25</v>
      </c>
      <c r="P2774" s="19">
        <f ca="1">IF(ISERROR(IF(O2774&lt;fi_h/20,0,(OFFSET('Base de dados'!$A$5,IF(O2774&lt;20,1,IF(O2774&gt;1000,10,MATCH(O2774,Cargas,1))),Coluna_fih,1,1))*(1+0.13*0.25)*(PI()*(fi_h/1000)^2/4)*SQRT(2*9.81*(O2774/100-fi_h/2/1000))*1000)),"",IF(O2774&lt;fi_h/20,0,(OFFSET('Base de dados'!$A$5,IF(O2774&lt;20,1,IF(O2774&gt;1000,10,MATCH(O2774,Cargas,1))),Coluna_fih,1,1))*(PI()*(fi_h/1000)^2/4)*SQRT(2*9.81*(O2774/100-fi_h/2/1000))*1000))</f>
        <v>70.688044378714466</v>
      </c>
      <c r="Q2774" s="19">
        <f ca="1">IF(O2774="","",IF(Tipo_Vertedor="Retangular",IF(O2774&lt;=cota_s*100,0,IF(Tipo_Vertedor="Retangular",Cd_sr*Lef_sr*((O2774/100-cota_s)^(3/2))*1000)),IF(O2774&lt;=cota_s*100+fi_s/20,0,(OFFSET('Base de dados'!$A$4,IF(O2774&lt;20,1,IF(O2774&gt;1000,10,MATCH(O2774,Cargas,1))),Coluna_fis,1,1))*(PI()*(fi_s/1000)^2/4)*(2*9.81*(O2774/100-cota_s-fi_s/2/1000))^0.5*1000)))</f>
        <v>17497.062285325999</v>
      </c>
      <c r="R2774" s="19">
        <f t="shared" ca="1" si="300"/>
        <v>17567.750329704715</v>
      </c>
      <c r="S2774" s="19">
        <f t="shared" ca="1" si="301"/>
        <v>17830.788225576784</v>
      </c>
    </row>
    <row r="2775" spans="13:19">
      <c r="M2775" s="81">
        <f t="shared" ref="M2775:M2838" ca="1" si="303">IF(O2775="","",2*N2775*1000/(Passo*60)+R2775)</f>
        <v>35416.145230546521</v>
      </c>
      <c r="N2775" s="19">
        <f t="shared" ref="N2775:N2838" si="304">IF(O2775="","",b_0*(O2775/100)^c_0)</f>
        <v>535.1405868928158</v>
      </c>
      <c r="O2775" s="17">
        <f t="shared" si="302"/>
        <v>693.5</v>
      </c>
      <c r="P2775" s="19">
        <f ca="1">IF(ISERROR(IF(O2775&lt;fi_h/20,0,(OFFSET('Base de dados'!$A$5,IF(O2775&lt;20,1,IF(O2775&gt;1000,10,MATCH(O2775,Cargas,1))),Coluna_fih,1,1))*(1+0.13*0.25)*(PI()*(fi_h/1000)^2/4)*SQRT(2*9.81*(O2775/100-fi_h/2/1000))*1000)),"",IF(O2775&lt;fi_h/20,0,(OFFSET('Base de dados'!$A$5,IF(O2775&lt;20,1,IF(O2775&gt;1000,10,MATCH(O2775,Cargas,1))),Coluna_fih,1,1))*(PI()*(fi_h/1000)^2/4)*SQRT(2*9.81*(O2775/100-fi_h/2/1000))*1000))</f>
        <v>70.700893526557834</v>
      </c>
      <c r="Q2775" s="19">
        <f ca="1">IF(O2775="","",IF(Tipo_Vertedor="Retangular",IF(O2775&lt;=cota_s*100,0,IF(Tipo_Vertedor="Retangular",Cd_sr*Lef_sr*((O2775/100-cota_s)^(3/2))*1000)),IF(O2775&lt;=cota_s*100+fi_s/20,0,(OFFSET('Base de dados'!$A$4,IF(O2775&lt;20,1,IF(O2775&gt;1000,10,MATCH(O2775,Cargas,1))),Coluna_fis,1,1))*(PI()*(fi_s/1000)^2/4)*(2*9.81*(O2775/100-cota_s-fi_s/2/1000))^0.5*1000)))</f>
        <v>17507.424773926105</v>
      </c>
      <c r="R2775" s="19">
        <f t="shared" ref="R2775:R2838" ca="1" si="305">IF(O2775="","",Q2775+P2775)</f>
        <v>17578.125667452663</v>
      </c>
      <c r="S2775" s="19">
        <f t="shared" ref="S2775:S2838" ca="1" si="306">IF(M2775="","",2*N2775*1000/(Passo*60))</f>
        <v>17838.019563093858</v>
      </c>
    </row>
    <row r="2776" spans="13:19">
      <c r="M2776" s="81">
        <f t="shared" ca="1" si="303"/>
        <v>35433.754273119768</v>
      </c>
      <c r="N2776" s="19">
        <f t="shared" si="304"/>
        <v>535.35753676086631</v>
      </c>
      <c r="O2776" s="17">
        <f t="shared" si="302"/>
        <v>693.75</v>
      </c>
      <c r="P2776" s="19">
        <f ca="1">IF(ISERROR(IF(O2776&lt;fi_h/20,0,(OFFSET('Base de dados'!$A$5,IF(O2776&lt;20,1,IF(O2776&gt;1000,10,MATCH(O2776,Cargas,1))),Coluna_fih,1,1))*(1+0.13*0.25)*(PI()*(fi_h/1000)^2/4)*SQRT(2*9.81*(O2776/100-fi_h/2/1000))*1000)),"",IF(O2776&lt;fi_h/20,0,(OFFSET('Base de dados'!$A$5,IF(O2776&lt;20,1,IF(O2776&gt;1000,10,MATCH(O2776,Cargas,1))),Coluna_fih,1,1))*(PI()*(fi_h/1000)^2/4)*SQRT(2*9.81*(O2776/100-fi_h/2/1000))*1000))</f>
        <v>70.713740339627279</v>
      </c>
      <c r="Q2776" s="19">
        <f ca="1">IF(O2776="","",IF(Tipo_Vertedor="Retangular",IF(O2776&lt;=cota_s*100,0,IF(Tipo_Vertedor="Retangular",Cd_sr*Lef_sr*((O2776/100-cota_s)^(3/2))*1000)),IF(O2776&lt;=cota_s*100+fi_s/20,0,(OFFSET('Base de dados'!$A$4,IF(O2776&lt;20,1,IF(O2776&gt;1000,10,MATCH(O2776,Cargas,1))),Coluna_fis,1,1))*(PI()*(fi_s/1000)^2/4)*(2*9.81*(O2776/100-cota_s-fi_s/2/1000))^0.5*1000)))</f>
        <v>17517.789307417934</v>
      </c>
      <c r="R2776" s="19">
        <f t="shared" ca="1" si="305"/>
        <v>17588.50304775756</v>
      </c>
      <c r="S2776" s="19">
        <f t="shared" ca="1" si="306"/>
        <v>17845.251225362208</v>
      </c>
    </row>
    <row r="2777" spans="13:19">
      <c r="M2777" s="81">
        <f t="shared" ca="1" si="303"/>
        <v>35451.365682496682</v>
      </c>
      <c r="N2777" s="19">
        <f t="shared" si="304"/>
        <v>535.57449636838157</v>
      </c>
      <c r="O2777" s="17">
        <f t="shared" si="302"/>
        <v>694</v>
      </c>
      <c r="P2777" s="19">
        <f ca="1">IF(ISERROR(IF(O2777&lt;fi_h/20,0,(OFFSET('Base de dados'!$A$5,IF(O2777&lt;20,1,IF(O2777&gt;1000,10,MATCH(O2777,Cargas,1))),Coluna_fih,1,1))*(1+0.13*0.25)*(PI()*(fi_h/1000)^2/4)*SQRT(2*9.81*(O2777/100-fi_h/2/1000))*1000)),"",IF(O2777&lt;fi_h/20,0,(OFFSET('Base de dados'!$A$5,IF(O2777&lt;20,1,IF(O2777&gt;1000,10,MATCH(O2777,Cargas,1))),Coluna_fih,1,1))*(PI()*(fi_h/1000)^2/4)*SQRT(2*9.81*(O2777/100-fi_h/2/1000))*1000))</f>
        <v>70.726584819195054</v>
      </c>
      <c r="Q2777" s="19">
        <f ca="1">IF(O2777="","",IF(Tipo_Vertedor="Retangular",IF(O2777&lt;=cota_s*100,0,IF(Tipo_Vertedor="Retangular",Cd_sr*Lef_sr*((O2777/100-cota_s)^(3/2))*1000)),IF(O2777&lt;=cota_s*100+fi_s/20,0,(OFFSET('Base de dados'!$A$4,IF(O2777&lt;20,1,IF(O2777&gt;1000,10,MATCH(O2777,Cargas,1))),Coluna_fis,1,1))*(PI()*(fi_s/1000)^2/4)*(2*9.81*(O2777/100-cota_s-fi_s/2/1000))^0.5*1000)))</f>
        <v>17528.155885398101</v>
      </c>
      <c r="R2777" s="19">
        <f t="shared" ca="1" si="305"/>
        <v>17598.882470217297</v>
      </c>
      <c r="S2777" s="19">
        <f t="shared" ca="1" si="306"/>
        <v>17852.483212279385</v>
      </c>
    </row>
    <row r="2778" spans="13:19">
      <c r="M2778" s="81">
        <f t="shared" ca="1" si="303"/>
        <v>35468.979458172995</v>
      </c>
      <c r="N2778" s="19">
        <f t="shared" si="304"/>
        <v>535.79146571228955</v>
      </c>
      <c r="O2778" s="17">
        <f t="shared" si="302"/>
        <v>694.25</v>
      </c>
      <c r="P2778" s="19">
        <f ca="1">IF(ISERROR(IF(O2778&lt;fi_h/20,0,(OFFSET('Base de dados'!$A$5,IF(O2778&lt;20,1,IF(O2778&gt;1000,10,MATCH(O2778,Cargas,1))),Coluna_fih,1,1))*(1+0.13*0.25)*(PI()*(fi_h/1000)^2/4)*SQRT(2*9.81*(O2778/100-fi_h/2/1000))*1000)),"",IF(O2778&lt;fi_h/20,0,(OFFSET('Base de dados'!$A$5,IF(O2778&lt;20,1,IF(O2778&gt;1000,10,MATCH(O2778,Cargas,1))),Coluna_fih,1,1))*(PI()*(fi_h/1000)^2/4)*SQRT(2*9.81*(O2778/100-fi_h/2/1000))*1000))</f>
        <v>70.739426966532292</v>
      </c>
      <c r="Q2778" s="19">
        <f ca="1">IF(O2778="","",IF(Tipo_Vertedor="Retangular",IF(O2778&lt;=cota_s*100,0,IF(Tipo_Vertedor="Retangular",Cd_sr*Lef_sr*((O2778/100-cota_s)^(3/2))*1000)),IF(O2778&lt;=cota_s*100+fi_s/20,0,(OFFSET('Base de dados'!$A$4,IF(O2778&lt;20,1,IF(O2778&gt;1000,10,MATCH(O2778,Cargas,1))),Coluna_fis,1,1))*(PI()*(fi_s/1000)^2/4)*(2*9.81*(O2778/100-cota_s-fi_s/2/1000))^0.5*1000)))</f>
        <v>17538.52450746348</v>
      </c>
      <c r="R2778" s="19">
        <f t="shared" ca="1" si="305"/>
        <v>17609.263934430011</v>
      </c>
      <c r="S2778" s="19">
        <f t="shared" ca="1" si="306"/>
        <v>17859.715523742987</v>
      </c>
    </row>
    <row r="2779" spans="13:19">
      <c r="M2779" s="81">
        <f t="shared" ca="1" si="303"/>
        <v>35486.595599644803</v>
      </c>
      <c r="N2779" s="19">
        <f t="shared" si="304"/>
        <v>536.00844478952149</v>
      </c>
      <c r="O2779" s="17">
        <f t="shared" si="302"/>
        <v>694.5</v>
      </c>
      <c r="P2779" s="19">
        <f ca="1">IF(ISERROR(IF(O2779&lt;fi_h/20,0,(OFFSET('Base de dados'!$A$5,IF(O2779&lt;20,1,IF(O2779&gt;1000,10,MATCH(O2779,Cargas,1))),Coluna_fih,1,1))*(1+0.13*0.25)*(PI()*(fi_h/1000)^2/4)*SQRT(2*9.81*(O2779/100-fi_h/2/1000))*1000)),"",IF(O2779&lt;fi_h/20,0,(OFFSET('Base de dados'!$A$5,IF(O2779&lt;20,1,IF(O2779&gt;1000,10,MATCH(O2779,Cargas,1))),Coluna_fih,1,1))*(PI()*(fi_h/1000)^2/4)*SQRT(2*9.81*(O2779/100-fi_h/2/1000))*1000))</f>
        <v>70.752266782908933</v>
      </c>
      <c r="Q2779" s="19">
        <f ca="1">IF(O2779="","",IF(Tipo_Vertedor="Retangular",IF(O2779&lt;=cota_s*100,0,IF(Tipo_Vertedor="Retangular",Cd_sr*Lef_sr*((O2779/100-cota_s)^(3/2))*1000)),IF(O2779&lt;=cota_s*100+fi_s/20,0,(OFFSET('Base de dados'!$A$4,IF(O2779&lt;20,1,IF(O2779&gt;1000,10,MATCH(O2779,Cargas,1))),Coluna_fis,1,1))*(PI()*(fi_s/1000)^2/4)*(2*9.81*(O2779/100-cota_s-fi_s/2/1000))^0.5*1000)))</f>
        <v>17548.895173211175</v>
      </c>
      <c r="R2779" s="19">
        <f t="shared" ca="1" si="305"/>
        <v>17619.647439994085</v>
      </c>
      <c r="S2779" s="19">
        <f t="shared" ca="1" si="306"/>
        <v>17866.948159650718</v>
      </c>
    </row>
    <row r="2780" spans="13:19">
      <c r="M2780" s="81">
        <f t="shared" ca="1" si="303"/>
        <v>35504.21410640845</v>
      </c>
      <c r="N2780" s="19">
        <f t="shared" si="304"/>
        <v>536.22543359700967</v>
      </c>
      <c r="O2780" s="17">
        <f t="shared" si="302"/>
        <v>694.75</v>
      </c>
      <c r="P2780" s="19">
        <f ca="1">IF(ISERROR(IF(O2780&lt;fi_h/20,0,(OFFSET('Base de dados'!$A$5,IF(O2780&lt;20,1,IF(O2780&gt;1000,10,MATCH(O2780,Cargas,1))),Coluna_fih,1,1))*(1+0.13*0.25)*(PI()*(fi_h/1000)^2/4)*SQRT(2*9.81*(O2780/100-fi_h/2/1000))*1000)),"",IF(O2780&lt;fi_h/20,0,(OFFSET('Base de dados'!$A$5,IF(O2780&lt;20,1,IF(O2780&gt;1000,10,MATCH(O2780,Cargas,1))),Coluna_fih,1,1))*(PI()*(fi_h/1000)^2/4)*SQRT(2*9.81*(O2780/100-fi_h/2/1000))*1000))</f>
        <v>70.765104269593778</v>
      </c>
      <c r="Q2780" s="19">
        <f ca="1">IF(O2780="","",IF(Tipo_Vertedor="Retangular",IF(O2780&lt;=cota_s*100,0,IF(Tipo_Vertedor="Retangular",Cd_sr*Lef_sr*((O2780/100-cota_s)^(3/2))*1000)),IF(O2780&lt;=cota_s*100+fi_s/20,0,(OFFSET('Base de dados'!$A$4,IF(O2780&lt;20,1,IF(O2780&gt;1000,10,MATCH(O2780,Cargas,1))),Coluna_fis,1,1))*(PI()*(fi_s/1000)^2/4)*(2*9.81*(O2780/100-cota_s-fi_s/2/1000))^0.5*1000)))</f>
        <v>17559.267882238535</v>
      </c>
      <c r="R2780" s="19">
        <f t="shared" ca="1" si="305"/>
        <v>17630.032986508129</v>
      </c>
      <c r="S2780" s="19">
        <f t="shared" ca="1" si="306"/>
        <v>17874.18111990032</v>
      </c>
    </row>
    <row r="2781" spans="13:19">
      <c r="M2781" s="81">
        <f t="shared" ca="1" si="303"/>
        <v>35521.834977960621</v>
      </c>
      <c r="N2781" s="19">
        <f t="shared" si="304"/>
        <v>536.4424321316892</v>
      </c>
      <c r="O2781" s="17">
        <f t="shared" si="302"/>
        <v>695</v>
      </c>
      <c r="P2781" s="19">
        <f ca="1">IF(ISERROR(IF(O2781&lt;fi_h/20,0,(OFFSET('Base de dados'!$A$5,IF(O2781&lt;20,1,IF(O2781&gt;1000,10,MATCH(O2781,Cargas,1))),Coluna_fih,1,1))*(1+0.13*0.25)*(PI()*(fi_h/1000)^2/4)*SQRT(2*9.81*(O2781/100-fi_h/2/1000))*1000)),"",IF(O2781&lt;fi_h/20,0,(OFFSET('Base de dados'!$A$5,IF(O2781&lt;20,1,IF(O2781&gt;1000,10,MATCH(O2781,Cargas,1))),Coluna_fih,1,1))*(PI()*(fi_h/1000)^2/4)*SQRT(2*9.81*(O2781/100-fi_h/2/1000))*1000))</f>
        <v>70.777939427854506</v>
      </c>
      <c r="Q2781" s="19">
        <f ca="1">IF(O2781="","",IF(Tipo_Vertedor="Retangular",IF(O2781&lt;=cota_s*100,0,IF(Tipo_Vertedor="Retangular",Cd_sr*Lef_sr*((O2781/100-cota_s)^(3/2))*1000)),IF(O2781&lt;=cota_s*100+fi_s/20,0,(OFFSET('Base de dados'!$A$4,IF(O2781&lt;20,1,IF(O2781&gt;1000,10,MATCH(O2781,Cargas,1))),Coluna_fis,1,1))*(PI()*(fi_s/1000)^2/4)*(2*9.81*(O2781/100-cota_s-fi_s/2/1000))^0.5*1000)))</f>
        <v>17569.642634143129</v>
      </c>
      <c r="R2781" s="19">
        <f t="shared" ca="1" si="305"/>
        <v>17640.420573570984</v>
      </c>
      <c r="S2781" s="19">
        <f t="shared" ca="1" si="306"/>
        <v>17881.414404389638</v>
      </c>
    </row>
    <row r="2782" spans="13:19">
      <c r="M2782" s="81">
        <f t="shared" ca="1" si="303"/>
        <v>35539.458213798309</v>
      </c>
      <c r="N2782" s="19">
        <f t="shared" si="304"/>
        <v>536.65944039049646</v>
      </c>
      <c r="O2782" s="17">
        <f t="shared" si="302"/>
        <v>695.25</v>
      </c>
      <c r="P2782" s="19">
        <f ca="1">IF(ISERROR(IF(O2782&lt;fi_h/20,0,(OFFSET('Base de dados'!$A$5,IF(O2782&lt;20,1,IF(O2782&gt;1000,10,MATCH(O2782,Cargas,1))),Coluna_fih,1,1))*(1+0.13*0.25)*(PI()*(fi_h/1000)^2/4)*SQRT(2*9.81*(O2782/100-fi_h/2/1000))*1000)),"",IF(O2782&lt;fi_h/20,0,(OFFSET('Base de dados'!$A$5,IF(O2782&lt;20,1,IF(O2782&gt;1000,10,MATCH(O2782,Cargas,1))),Coluna_fih,1,1))*(PI()*(fi_h/1000)^2/4)*SQRT(2*9.81*(O2782/100-fi_h/2/1000))*1000))</f>
        <v>70.790772258957603</v>
      </c>
      <c r="Q2782" s="19">
        <f ca="1">IF(O2782="","",IF(Tipo_Vertedor="Retangular",IF(O2782&lt;=cota_s*100,0,IF(Tipo_Vertedor="Retangular",Cd_sr*Lef_sr*((O2782/100-cota_s)^(3/2))*1000)),IF(O2782&lt;=cota_s*100+fi_s/20,0,(OFFSET('Base de dados'!$A$4,IF(O2782&lt;20,1,IF(O2782&gt;1000,10,MATCH(O2782,Cargas,1))),Coluna_fis,1,1))*(PI()*(fi_s/1000)^2/4)*(2*9.81*(O2782/100-cota_s-fi_s/2/1000))^0.5*1000)))</f>
        <v>17580.019428522795</v>
      </c>
      <c r="R2782" s="19">
        <f t="shared" ca="1" si="305"/>
        <v>17650.810200781754</v>
      </c>
      <c r="S2782" s="19">
        <f t="shared" ca="1" si="306"/>
        <v>17888.648013016551</v>
      </c>
    </row>
    <row r="2783" spans="13:19">
      <c r="M2783" s="81">
        <f t="shared" ca="1" si="303"/>
        <v>35557.083813418772</v>
      </c>
      <c r="N2783" s="19">
        <f t="shared" si="304"/>
        <v>536.87645837037087</v>
      </c>
      <c r="O2783" s="17">
        <f t="shared" si="302"/>
        <v>695.5</v>
      </c>
      <c r="P2783" s="19">
        <f ca="1">IF(ISERROR(IF(O2783&lt;fi_h/20,0,(OFFSET('Base de dados'!$A$5,IF(O2783&lt;20,1,IF(O2783&gt;1000,10,MATCH(O2783,Cargas,1))),Coluna_fih,1,1))*(1+0.13*0.25)*(PI()*(fi_h/1000)^2/4)*SQRT(2*9.81*(O2783/100-fi_h/2/1000))*1000)),"",IF(O2783&lt;fi_h/20,0,(OFFSET('Base de dados'!$A$5,IF(O2783&lt;20,1,IF(O2783&gt;1000,10,MATCH(O2783,Cargas,1))),Coluna_fih,1,1))*(PI()*(fi_h/1000)^2/4)*SQRT(2*9.81*(O2783/100-fi_h/2/1000))*1000))</f>
        <v>70.803602764168474</v>
      </c>
      <c r="Q2783" s="19">
        <f ca="1">IF(O2783="","",IF(Tipo_Vertedor="Retangular",IF(O2783&lt;=cota_s*100,0,IF(Tipo_Vertedor="Retangular",Cd_sr*Lef_sr*((O2783/100-cota_s)^(3/2))*1000)),IF(O2783&lt;=cota_s*100+fi_s/20,0,(OFFSET('Base de dados'!$A$4,IF(O2783&lt;20,1,IF(O2783&gt;1000,10,MATCH(O2783,Cargas,1))),Coluna_fis,1,1))*(PI()*(fi_s/1000)^2/4)*(2*9.81*(O2783/100-cota_s-fi_s/2/1000))^0.5*1000)))</f>
        <v>17590.398264975574</v>
      </c>
      <c r="R2783" s="19">
        <f t="shared" ca="1" si="305"/>
        <v>17661.201867739743</v>
      </c>
      <c r="S2783" s="19">
        <f t="shared" ca="1" si="306"/>
        <v>17895.88194567903</v>
      </c>
    </row>
    <row r="2784" spans="13:19">
      <c r="M2784" s="81">
        <f t="shared" ca="1" si="303"/>
        <v>35574.7117763196</v>
      </c>
      <c r="N2784" s="19">
        <f t="shared" si="304"/>
        <v>537.09348606825267</v>
      </c>
      <c r="O2784" s="17">
        <f t="shared" si="302"/>
        <v>695.75</v>
      </c>
      <c r="P2784" s="19">
        <f ca="1">IF(ISERROR(IF(O2784&lt;fi_h/20,0,(OFFSET('Base de dados'!$A$5,IF(O2784&lt;20,1,IF(O2784&gt;1000,10,MATCH(O2784,Cargas,1))),Coluna_fih,1,1))*(1+0.13*0.25)*(PI()*(fi_h/1000)^2/4)*SQRT(2*9.81*(O2784/100-fi_h/2/1000))*1000)),"",IF(O2784&lt;fi_h/20,0,(OFFSET('Base de dados'!$A$5,IF(O2784&lt;20,1,IF(O2784&gt;1000,10,MATCH(O2784,Cargas,1))),Coluna_fih,1,1))*(PI()*(fi_h/1000)^2/4)*SQRT(2*9.81*(O2784/100-fi_h/2/1000))*1000))</f>
        <v>70.816430944751289</v>
      </c>
      <c r="Q2784" s="19">
        <f ca="1">IF(O2784="","",IF(Tipo_Vertedor="Retangular",IF(O2784&lt;=cota_s*100,0,IF(Tipo_Vertedor="Retangular",Cd_sr*Lef_sr*((O2784/100-cota_s)^(3/2))*1000)),IF(O2784&lt;=cota_s*100+fi_s/20,0,(OFFSET('Base de dados'!$A$4,IF(O2784&lt;20,1,IF(O2784&gt;1000,10,MATCH(O2784,Cargas,1))),Coluna_fis,1,1))*(PI()*(fi_s/1000)^2/4)*(2*9.81*(O2784/100-cota_s-fi_s/2/1000))^0.5*1000)))</f>
        <v>17600.779143099757</v>
      </c>
      <c r="R2784" s="19">
        <f t="shared" ca="1" si="305"/>
        <v>17671.59557404451</v>
      </c>
      <c r="S2784" s="19">
        <f t="shared" ca="1" si="306"/>
        <v>17903.11620227509</v>
      </c>
    </row>
    <row r="2785" spans="13:19">
      <c r="M2785" s="81">
        <f t="shared" ca="1" si="303"/>
        <v>35592.342101998722</v>
      </c>
      <c r="N2785" s="19">
        <f t="shared" si="304"/>
        <v>537.31052348108597</v>
      </c>
      <c r="O2785" s="17">
        <f t="shared" si="302"/>
        <v>696</v>
      </c>
      <c r="P2785" s="19">
        <f ca="1">IF(ISERROR(IF(O2785&lt;fi_h/20,0,(OFFSET('Base de dados'!$A$5,IF(O2785&lt;20,1,IF(O2785&gt;1000,10,MATCH(O2785,Cargas,1))),Coluna_fih,1,1))*(1+0.13*0.25)*(PI()*(fi_h/1000)^2/4)*SQRT(2*9.81*(O2785/100-fi_h/2/1000))*1000)),"",IF(O2785&lt;fi_h/20,0,(OFFSET('Base de dados'!$A$5,IF(O2785&lt;20,1,IF(O2785&gt;1000,10,MATCH(O2785,Cargas,1))),Coluna_fih,1,1))*(PI()*(fi_h/1000)^2/4)*SQRT(2*9.81*(O2785/100-fi_h/2/1000))*1000))</f>
        <v>70.829256801969123</v>
      </c>
      <c r="Q2785" s="19">
        <f ca="1">IF(O2785="","",IF(Tipo_Vertedor="Retangular",IF(O2785&lt;=cota_s*100,0,IF(Tipo_Vertedor="Retangular",Cd_sr*Lef_sr*((O2785/100-cota_s)^(3/2))*1000)),IF(O2785&lt;=cota_s*100+fi_s/20,0,(OFFSET('Base de dados'!$A$4,IF(O2785&lt;20,1,IF(O2785&gt;1000,10,MATCH(O2785,Cargas,1))),Coluna_fis,1,1))*(PI()*(fi_s/1000)^2/4)*(2*9.81*(O2785/100-cota_s-fi_s/2/1000))^0.5*1000)))</f>
        <v>17611.162062493888</v>
      </c>
      <c r="R2785" s="19">
        <f t="shared" ca="1" si="305"/>
        <v>17681.991319295856</v>
      </c>
      <c r="S2785" s="19">
        <f t="shared" ca="1" si="306"/>
        <v>17910.350782702866</v>
      </c>
    </row>
    <row r="2786" spans="13:19">
      <c r="M2786" s="81">
        <f t="shared" ca="1" si="303"/>
        <v>35609.974789954307</v>
      </c>
      <c r="N2786" s="19">
        <f t="shared" si="304"/>
        <v>537.52757060581473</v>
      </c>
      <c r="O2786" s="17">
        <f t="shared" si="302"/>
        <v>696.25</v>
      </c>
      <c r="P2786" s="19">
        <f ca="1">IF(ISERROR(IF(O2786&lt;fi_h/20,0,(OFFSET('Base de dados'!$A$5,IF(O2786&lt;20,1,IF(O2786&gt;1000,10,MATCH(O2786,Cargas,1))),Coluna_fih,1,1))*(1+0.13*0.25)*(PI()*(fi_h/1000)^2/4)*SQRT(2*9.81*(O2786/100-fi_h/2/1000))*1000)),"",IF(O2786&lt;fi_h/20,0,(OFFSET('Base de dados'!$A$5,IF(O2786&lt;20,1,IF(O2786&gt;1000,10,MATCH(O2786,Cargas,1))),Coluna_fih,1,1))*(PI()*(fi_h/1000)^2/4)*SQRT(2*9.81*(O2786/100-fi_h/2/1000))*1000))</f>
        <v>70.842080337083914</v>
      </c>
      <c r="Q2786" s="19">
        <f ca="1">IF(O2786="","",IF(Tipo_Vertedor="Retangular",IF(O2786&lt;=cota_s*100,0,IF(Tipo_Vertedor="Retangular",Cd_sr*Lef_sr*((O2786/100-cota_s)^(3/2))*1000)),IF(O2786&lt;=cota_s*100+fi_s/20,0,(OFFSET('Base de dados'!$A$4,IF(O2786&lt;20,1,IF(O2786&gt;1000,10,MATCH(O2786,Cargas,1))),Coluna_fis,1,1))*(PI()*(fi_s/1000)^2/4)*(2*9.81*(O2786/100-cota_s-fi_s/2/1000))^0.5*1000)))</f>
        <v>17621.547022756735</v>
      </c>
      <c r="R2786" s="19">
        <f t="shared" ca="1" si="305"/>
        <v>17692.389103093818</v>
      </c>
      <c r="S2786" s="19">
        <f t="shared" ca="1" si="306"/>
        <v>17917.58568686049</v>
      </c>
    </row>
    <row r="2787" spans="13:19">
      <c r="M2787" s="81">
        <f t="shared" ca="1" si="303"/>
        <v>35627.609839684868</v>
      </c>
      <c r="N2787" s="19">
        <f t="shared" si="304"/>
        <v>537.7446274393867</v>
      </c>
      <c r="O2787" s="17">
        <f t="shared" si="302"/>
        <v>696.5</v>
      </c>
      <c r="P2787" s="19">
        <f ca="1">IF(ISERROR(IF(O2787&lt;fi_h/20,0,(OFFSET('Base de dados'!$A$5,IF(O2787&lt;20,1,IF(O2787&gt;1000,10,MATCH(O2787,Cargas,1))),Coluna_fih,1,1))*(1+0.13*0.25)*(PI()*(fi_h/1000)^2/4)*SQRT(2*9.81*(O2787/100-fi_h/2/1000))*1000)),"",IF(O2787&lt;fi_h/20,0,(OFFSET('Base de dados'!$A$5,IF(O2787&lt;20,1,IF(O2787&gt;1000,10,MATCH(O2787,Cargas,1))),Coluna_fih,1,1))*(PI()*(fi_h/1000)^2/4)*SQRT(2*9.81*(O2787/100-fi_h/2/1000))*1000))</f>
        <v>70.854901551356448</v>
      </c>
      <c r="Q2787" s="19">
        <f ca="1">IF(O2787="","",IF(Tipo_Vertedor="Retangular",IF(O2787&lt;=cota_s*100,0,IF(Tipo_Vertedor="Retangular",Cd_sr*Lef_sr*((O2787/100-cota_s)^(3/2))*1000)),IF(O2787&lt;=cota_s*100+fi_s/20,0,(OFFSET('Base de dados'!$A$4,IF(O2787&lt;20,1,IF(O2787&gt;1000,10,MATCH(O2787,Cargas,1))),Coluna_fis,1,1))*(PI()*(fi_s/1000)^2/4)*(2*9.81*(O2787/100-cota_s-fi_s/2/1000))^0.5*1000)))</f>
        <v>17631.934023487291</v>
      </c>
      <c r="R2787" s="19">
        <f t="shared" ca="1" si="305"/>
        <v>17702.788925038647</v>
      </c>
      <c r="S2787" s="19">
        <f t="shared" ca="1" si="306"/>
        <v>17924.820914646221</v>
      </c>
    </row>
    <row r="2788" spans="13:19">
      <c r="M2788" s="81">
        <f t="shared" ca="1" si="303"/>
        <v>35645.247250689208</v>
      </c>
      <c r="N2788" s="19">
        <f t="shared" si="304"/>
        <v>537.96169397875099</v>
      </c>
      <c r="O2788" s="17">
        <f t="shared" si="302"/>
        <v>696.75</v>
      </c>
      <c r="P2788" s="19">
        <f ca="1">IF(ISERROR(IF(O2788&lt;fi_h/20,0,(OFFSET('Base de dados'!$A$5,IF(O2788&lt;20,1,IF(O2788&gt;1000,10,MATCH(O2788,Cargas,1))),Coluna_fih,1,1))*(1+0.13*0.25)*(PI()*(fi_h/1000)^2/4)*SQRT(2*9.81*(O2788/100-fi_h/2/1000))*1000)),"",IF(O2788&lt;fi_h/20,0,(OFFSET('Base de dados'!$A$5,IF(O2788&lt;20,1,IF(O2788&gt;1000,10,MATCH(O2788,Cargas,1))),Coluna_fih,1,1))*(PI()*(fi_h/1000)^2/4)*SQRT(2*9.81*(O2788/100-fi_h/2/1000))*1000))</f>
        <v>70.867720446046349</v>
      </c>
      <c r="Q2788" s="19">
        <f ca="1">IF(O2788="","",IF(Tipo_Vertedor="Retangular",IF(O2788&lt;=cota_s*100,0,IF(Tipo_Vertedor="Retangular",Cd_sr*Lef_sr*((O2788/100-cota_s)^(3/2))*1000)),IF(O2788&lt;=cota_s*100+fi_s/20,0,(OFFSET('Base de dados'!$A$4,IF(O2788&lt;20,1,IF(O2788&gt;1000,10,MATCH(O2788,Cargas,1))),Coluna_fis,1,1))*(PI()*(fi_s/1000)^2/4)*(2*9.81*(O2788/100-cota_s-fi_s/2/1000))^0.5*1000)))</f>
        <v>17642.323064284799</v>
      </c>
      <c r="R2788" s="19">
        <f t="shared" ca="1" si="305"/>
        <v>17713.190784730847</v>
      </c>
      <c r="S2788" s="19">
        <f t="shared" ca="1" si="306"/>
        <v>17932.056465958365</v>
      </c>
    </row>
    <row r="2789" spans="13:19">
      <c r="M2789" s="81">
        <f t="shared" ca="1" si="303"/>
        <v>35662.887022466435</v>
      </c>
      <c r="N2789" s="19">
        <f t="shared" si="304"/>
        <v>538.17877022085872</v>
      </c>
      <c r="O2789" s="17">
        <f t="shared" si="302"/>
        <v>697</v>
      </c>
      <c r="P2789" s="19">
        <f ca="1">IF(ISERROR(IF(O2789&lt;fi_h/20,0,(OFFSET('Base de dados'!$A$5,IF(O2789&lt;20,1,IF(O2789&gt;1000,10,MATCH(O2789,Cargas,1))),Coluna_fih,1,1))*(1+0.13*0.25)*(PI()*(fi_h/1000)^2/4)*SQRT(2*9.81*(O2789/100-fi_h/2/1000))*1000)),"",IF(O2789&lt;fi_h/20,0,(OFFSET('Base de dados'!$A$5,IF(O2789&lt;20,1,IF(O2789&gt;1000,10,MATCH(O2789,Cargas,1))),Coluna_fih,1,1))*(PI()*(fi_h/1000)^2/4)*SQRT(2*9.81*(O2789/100-fi_h/2/1000))*1000))</f>
        <v>70.880537022412142</v>
      </c>
      <c r="Q2789" s="19">
        <f ca="1">IF(O2789="","",IF(Tipo_Vertedor="Retangular",IF(O2789&lt;=cota_s*100,0,IF(Tipo_Vertedor="Retangular",Cd_sr*Lef_sr*((O2789/100-cota_s)^(3/2))*1000)),IF(O2789&lt;=cota_s*100+fi_s/20,0,(OFFSET('Base de dados'!$A$4,IF(O2789&lt;20,1,IF(O2789&gt;1000,10,MATCH(O2789,Cargas,1))),Coluna_fis,1,1))*(PI()*(fi_s/1000)^2/4)*(2*9.81*(O2789/100-cota_s-fi_s/2/1000))^0.5*1000)))</f>
        <v>17652.714144748734</v>
      </c>
      <c r="R2789" s="19">
        <f t="shared" ca="1" si="305"/>
        <v>17723.594681771145</v>
      </c>
      <c r="S2789" s="19">
        <f t="shared" ca="1" si="306"/>
        <v>17939.29234069529</v>
      </c>
    </row>
    <row r="2790" spans="13:19">
      <c r="M2790" s="81">
        <f t="shared" ca="1" si="303"/>
        <v>35680.529154515971</v>
      </c>
      <c r="N2790" s="19">
        <f t="shared" si="304"/>
        <v>538.39585616266334</v>
      </c>
      <c r="O2790" s="17">
        <f t="shared" si="302"/>
        <v>697.25</v>
      </c>
      <c r="P2790" s="19">
        <f ca="1">IF(ISERROR(IF(O2790&lt;fi_h/20,0,(OFFSET('Base de dados'!$A$5,IF(O2790&lt;20,1,IF(O2790&gt;1000,10,MATCH(O2790,Cargas,1))),Coluna_fih,1,1))*(1+0.13*0.25)*(PI()*(fi_h/1000)^2/4)*SQRT(2*9.81*(O2790/100-fi_h/2/1000))*1000)),"",IF(O2790&lt;fi_h/20,0,(OFFSET('Base de dados'!$A$5,IF(O2790&lt;20,1,IF(O2790&gt;1000,10,MATCH(O2790,Cargas,1))),Coluna_fih,1,1))*(PI()*(fi_h/1000)^2/4)*SQRT(2*9.81*(O2790/100-fi_h/2/1000))*1000))</f>
        <v>70.893351281711176</v>
      </c>
      <c r="Q2790" s="19">
        <f ca="1">IF(O2790="","",IF(Tipo_Vertedor="Retangular",IF(O2790&lt;=cota_s*100,0,IF(Tipo_Vertedor="Retangular",Cd_sr*Lef_sr*((O2790/100-cota_s)^(3/2))*1000)),IF(O2790&lt;=cota_s*100+fi_s/20,0,(OFFSET('Base de dados'!$A$4,IF(O2790&lt;20,1,IF(O2790&gt;1000,10,MATCH(O2790,Cargas,1))),Coluna_fis,1,1))*(PI()*(fi_s/1000)^2/4)*(2*9.81*(O2790/100-cota_s-fi_s/2/1000))^0.5*1000)))</f>
        <v>17663.107264478818</v>
      </c>
      <c r="R2790" s="19">
        <f t="shared" ca="1" si="305"/>
        <v>17734.000615760531</v>
      </c>
      <c r="S2790" s="19">
        <f t="shared" ca="1" si="306"/>
        <v>17946.528538755443</v>
      </c>
    </row>
    <row r="2791" spans="13:19">
      <c r="M2791" s="81">
        <f t="shared" ca="1" si="303"/>
        <v>35698.17364633752</v>
      </c>
      <c r="N2791" s="19">
        <f t="shared" si="304"/>
        <v>538.61295180112006</v>
      </c>
      <c r="O2791" s="17">
        <f t="shared" si="302"/>
        <v>697.5</v>
      </c>
      <c r="P2791" s="19">
        <f ca="1">IF(ISERROR(IF(O2791&lt;fi_h/20,0,(OFFSET('Base de dados'!$A$5,IF(O2791&lt;20,1,IF(O2791&gt;1000,10,MATCH(O2791,Cargas,1))),Coluna_fih,1,1))*(1+0.13*0.25)*(PI()*(fi_h/1000)^2/4)*SQRT(2*9.81*(O2791/100-fi_h/2/1000))*1000)),"",IF(O2791&lt;fi_h/20,0,(OFFSET('Base de dados'!$A$5,IF(O2791&lt;20,1,IF(O2791&gt;1000,10,MATCH(O2791,Cargas,1))),Coluna_fih,1,1))*(PI()*(fi_h/1000)^2/4)*SQRT(2*9.81*(O2791/100-fi_h/2/1000))*1000))</f>
        <v>70.906163225199705</v>
      </c>
      <c r="Q2791" s="19">
        <f ca="1">IF(O2791="","",IF(Tipo_Vertedor="Retangular",IF(O2791&lt;=cota_s*100,0,IF(Tipo_Vertedor="Retangular",Cd_sr*Lef_sr*((O2791/100-cota_s)^(3/2))*1000)),IF(O2791&lt;=cota_s*100+fi_s/20,0,(OFFSET('Base de dados'!$A$4,IF(O2791&lt;20,1,IF(O2791&gt;1000,10,MATCH(O2791,Cargas,1))),Coluna_fis,1,1))*(PI()*(fi_s/1000)^2/4)*(2*9.81*(O2791/100-cota_s-fi_s/2/1000))^0.5*1000)))</f>
        <v>17673.502423074984</v>
      </c>
      <c r="R2791" s="19">
        <f t="shared" ca="1" si="305"/>
        <v>17744.408586300186</v>
      </c>
      <c r="S2791" s="19">
        <f t="shared" ca="1" si="306"/>
        <v>17953.765060037334</v>
      </c>
    </row>
    <row r="2792" spans="13:19">
      <c r="M2792" s="81">
        <f t="shared" ca="1" si="303"/>
        <v>35715.820497431116</v>
      </c>
      <c r="N2792" s="19">
        <f t="shared" si="304"/>
        <v>538.8300571331863</v>
      </c>
      <c r="O2792" s="17">
        <f t="shared" si="302"/>
        <v>697.75</v>
      </c>
      <c r="P2792" s="19">
        <f ca="1">IF(ISERROR(IF(O2792&lt;fi_h/20,0,(OFFSET('Base de dados'!$A$5,IF(O2792&lt;20,1,IF(O2792&gt;1000,10,MATCH(O2792,Cargas,1))),Coluna_fih,1,1))*(1+0.13*0.25)*(PI()*(fi_h/1000)^2/4)*SQRT(2*9.81*(O2792/100-fi_h/2/1000))*1000)),"",IF(O2792&lt;fi_h/20,0,(OFFSET('Base de dados'!$A$5,IF(O2792&lt;20,1,IF(O2792&gt;1000,10,MATCH(O2792,Cargas,1))),Coluna_fih,1,1))*(PI()*(fi_h/1000)^2/4)*SQRT(2*9.81*(O2792/100-fi_h/2/1000))*1000))</f>
        <v>70.91897285413279</v>
      </c>
      <c r="Q2792" s="19">
        <f ca="1">IF(O2792="","",IF(Tipo_Vertedor="Retangular",IF(O2792&lt;=cota_s*100,0,IF(Tipo_Vertedor="Retangular",Cd_sr*Lef_sr*((O2792/100-cota_s)^(3/2))*1000)),IF(O2792&lt;=cota_s*100+fi_s/20,0,(OFFSET('Base de dados'!$A$4,IF(O2792&lt;20,1,IF(O2792&gt;1000,10,MATCH(O2792,Cargas,1))),Coluna_fis,1,1))*(PI()*(fi_s/1000)^2/4)*(2*9.81*(O2792/100-cota_s-fi_s/2/1000))^0.5*1000)))</f>
        <v>17683.899620137443</v>
      </c>
      <c r="R2792" s="19">
        <f t="shared" ca="1" si="305"/>
        <v>17754.818592991574</v>
      </c>
      <c r="S2792" s="19">
        <f t="shared" ca="1" si="306"/>
        <v>17961.001904439541</v>
      </c>
    </row>
    <row r="2793" spans="13:19">
      <c r="M2793" s="81">
        <f t="shared" ca="1" si="303"/>
        <v>35733.469707297059</v>
      </c>
      <c r="N2793" s="19">
        <f t="shared" si="304"/>
        <v>539.04717215582139</v>
      </c>
      <c r="O2793" s="17">
        <f t="shared" si="302"/>
        <v>698</v>
      </c>
      <c r="P2793" s="19">
        <f ca="1">IF(ISERROR(IF(O2793&lt;fi_h/20,0,(OFFSET('Base de dados'!$A$5,IF(O2793&lt;20,1,IF(O2793&gt;1000,10,MATCH(O2793,Cargas,1))),Coluna_fih,1,1))*(1+0.13*0.25)*(PI()*(fi_h/1000)^2/4)*SQRT(2*9.81*(O2793/100-fi_h/2/1000))*1000)),"",IF(O2793&lt;fi_h/20,0,(OFFSET('Base de dados'!$A$5,IF(O2793&lt;20,1,IF(O2793&gt;1000,10,MATCH(O2793,Cargas,1))),Coluna_fih,1,1))*(PI()*(fi_h/1000)^2/4)*SQRT(2*9.81*(O2793/100-fi_h/2/1000))*1000))</f>
        <v>70.931780169764437</v>
      </c>
      <c r="Q2793" s="19">
        <f ca="1">IF(O2793="","",IF(Tipo_Vertedor="Retangular",IF(O2793&lt;=cota_s*100,0,IF(Tipo_Vertedor="Retangular",Cd_sr*Lef_sr*((O2793/100-cota_s)^(3/2))*1000)),IF(O2793&lt;=cota_s*100+fi_s/20,0,(OFFSET('Base de dados'!$A$4,IF(O2793&lt;20,1,IF(O2793&gt;1000,10,MATCH(O2793,Cargas,1))),Coluna_fis,1,1))*(PI()*(fi_s/1000)^2/4)*(2*9.81*(O2793/100-cota_s-fi_s/2/1000))^0.5*1000)))</f>
        <v>17694.298855266577</v>
      </c>
      <c r="R2793" s="19">
        <f t="shared" ca="1" si="305"/>
        <v>17765.230635436343</v>
      </c>
      <c r="S2793" s="19">
        <f t="shared" ca="1" si="306"/>
        <v>17968.239071860713</v>
      </c>
    </row>
    <row r="2794" spans="13:19">
      <c r="M2794" s="81">
        <f t="shared" ca="1" si="303"/>
        <v>35751.121275435973</v>
      </c>
      <c r="N2794" s="19">
        <f t="shared" si="304"/>
        <v>539.26429686598703</v>
      </c>
      <c r="O2794" s="17">
        <f t="shared" si="302"/>
        <v>698.25</v>
      </c>
      <c r="P2794" s="19">
        <f ca="1">IF(ISERROR(IF(O2794&lt;fi_h/20,0,(OFFSET('Base de dados'!$A$5,IF(O2794&lt;20,1,IF(O2794&gt;1000,10,MATCH(O2794,Cargas,1))),Coluna_fih,1,1))*(1+0.13*0.25)*(PI()*(fi_h/1000)^2/4)*SQRT(2*9.81*(O2794/100-fi_h/2/1000))*1000)),"",IF(O2794&lt;fi_h/20,0,(OFFSET('Base de dados'!$A$5,IF(O2794&lt;20,1,IF(O2794&gt;1000,10,MATCH(O2794,Cargas,1))),Coluna_fih,1,1))*(PI()*(fi_h/1000)^2/4)*SQRT(2*9.81*(O2794/100-fi_h/2/1000))*1000))</f>
        <v>70.94458517334742</v>
      </c>
      <c r="Q2794" s="19">
        <f ca="1">IF(O2794="","",IF(Tipo_Vertedor="Retangular",IF(O2794&lt;=cota_s*100,0,IF(Tipo_Vertedor="Retangular",Cd_sr*Lef_sr*((O2794/100-cota_s)^(3/2))*1000)),IF(O2794&lt;=cota_s*100+fi_s/20,0,(OFFSET('Base de dados'!$A$4,IF(O2794&lt;20,1,IF(O2794&gt;1000,10,MATCH(O2794,Cargas,1))),Coluna_fis,1,1))*(PI()*(fi_s/1000)^2/4)*(2*9.81*(O2794/100-cota_s-fi_s/2/1000))^0.5*1000)))</f>
        <v>17704.700128063061</v>
      </c>
      <c r="R2794" s="19">
        <f t="shared" ca="1" si="305"/>
        <v>17775.644713236408</v>
      </c>
      <c r="S2794" s="19">
        <f t="shared" ca="1" si="306"/>
        <v>17975.476562199568</v>
      </c>
    </row>
    <row r="2795" spans="13:19">
      <c r="M2795" s="81">
        <f t="shared" ca="1" si="303"/>
        <v>35768.775201348792</v>
      </c>
      <c r="N2795" s="19">
        <f t="shared" si="304"/>
        <v>539.48143126064645</v>
      </c>
      <c r="O2795" s="17">
        <f t="shared" si="302"/>
        <v>698.5</v>
      </c>
      <c r="P2795" s="19">
        <f ca="1">IF(ISERROR(IF(O2795&lt;fi_h/20,0,(OFFSET('Base de dados'!$A$5,IF(O2795&lt;20,1,IF(O2795&gt;1000,10,MATCH(O2795,Cargas,1))),Coluna_fih,1,1))*(1+0.13*0.25)*(PI()*(fi_h/1000)^2/4)*SQRT(2*9.81*(O2795/100-fi_h/2/1000))*1000)),"",IF(O2795&lt;fi_h/20,0,(OFFSET('Base de dados'!$A$5,IF(O2795&lt;20,1,IF(O2795&gt;1000,10,MATCH(O2795,Cargas,1))),Coluna_fih,1,1))*(PI()*(fi_h/1000)^2/4)*SQRT(2*9.81*(O2795/100-fi_h/2/1000))*1000))</f>
        <v>70.957387866133516</v>
      </c>
      <c r="Q2795" s="19">
        <f ca="1">IF(O2795="","",IF(Tipo_Vertedor="Retangular",IF(O2795&lt;=cota_s*100,0,IF(Tipo_Vertedor="Retangular",Cd_sr*Lef_sr*((O2795/100-cota_s)^(3/2))*1000)),IF(O2795&lt;=cota_s*100+fi_s/20,0,(OFFSET('Base de dados'!$A$4,IF(O2795&lt;20,1,IF(O2795&gt;1000,10,MATCH(O2795,Cargas,1))),Coluna_fis,1,1))*(PI()*(fi_s/1000)^2/4)*(2*9.81*(O2795/100-cota_s-fi_s/2/1000))^0.5*1000)))</f>
        <v>17715.103438127775</v>
      </c>
      <c r="R2795" s="19">
        <f t="shared" ca="1" si="305"/>
        <v>17786.060825993907</v>
      </c>
      <c r="S2795" s="19">
        <f t="shared" ca="1" si="306"/>
        <v>17982.714375354881</v>
      </c>
    </row>
    <row r="2796" spans="13:19">
      <c r="M2796" s="81">
        <f t="shared" ca="1" si="303"/>
        <v>35786.431484536733</v>
      </c>
      <c r="N2796" s="19">
        <f t="shared" si="304"/>
        <v>539.69857533676554</v>
      </c>
      <c r="O2796" s="17">
        <f t="shared" si="302"/>
        <v>698.75</v>
      </c>
      <c r="P2796" s="19">
        <f ca="1">IF(ISERROR(IF(O2796&lt;fi_h/20,0,(OFFSET('Base de dados'!$A$5,IF(O2796&lt;20,1,IF(O2796&gt;1000,10,MATCH(O2796,Cargas,1))),Coluna_fih,1,1))*(1+0.13*0.25)*(PI()*(fi_h/1000)^2/4)*SQRT(2*9.81*(O2796/100-fi_h/2/1000))*1000)),"",IF(O2796&lt;fi_h/20,0,(OFFSET('Base de dados'!$A$5,IF(O2796&lt;20,1,IF(O2796&gt;1000,10,MATCH(O2796,Cargas,1))),Coluna_fih,1,1))*(PI()*(fi_h/1000)^2/4)*SQRT(2*9.81*(O2796/100-fi_h/2/1000))*1000))</f>
        <v>70.970188249373223</v>
      </c>
      <c r="Q2796" s="19">
        <f ca="1">IF(O2796="","",IF(Tipo_Vertedor="Retangular",IF(O2796&lt;=cota_s*100,0,IF(Tipo_Vertedor="Retangular",Cd_sr*Lef_sr*((O2796/100-cota_s)^(3/2))*1000)),IF(O2796&lt;=cota_s*100+fi_s/20,0,(OFFSET('Base de dados'!$A$4,IF(O2796&lt;20,1,IF(O2796&gt;1000,10,MATCH(O2796,Cargas,1))),Coluna_fis,1,1))*(PI()*(fi_s/1000)^2/4)*(2*9.81*(O2796/100-cota_s-fi_s/2/1000))^0.5*1000)))</f>
        <v>17725.50878506184</v>
      </c>
      <c r="R2796" s="19">
        <f t="shared" ca="1" si="305"/>
        <v>17796.478973311212</v>
      </c>
      <c r="S2796" s="19">
        <f t="shared" ca="1" si="306"/>
        <v>17989.952511225518</v>
      </c>
    </row>
    <row r="2797" spans="13:19">
      <c r="M2797" s="81">
        <f t="shared" ca="1" si="303"/>
        <v>35804.090124501337</v>
      </c>
      <c r="N2797" s="19">
        <f t="shared" si="304"/>
        <v>539.91572909131173</v>
      </c>
      <c r="O2797" s="17">
        <f t="shared" si="302"/>
        <v>699</v>
      </c>
      <c r="P2797" s="19">
        <f ca="1">IF(ISERROR(IF(O2797&lt;fi_h/20,0,(OFFSET('Base de dados'!$A$5,IF(O2797&lt;20,1,IF(O2797&gt;1000,10,MATCH(O2797,Cargas,1))),Coluna_fih,1,1))*(1+0.13*0.25)*(PI()*(fi_h/1000)^2/4)*SQRT(2*9.81*(O2797/100-fi_h/2/1000))*1000)),"",IF(O2797&lt;fi_h/20,0,(OFFSET('Base de dados'!$A$5,IF(O2797&lt;20,1,IF(O2797&gt;1000,10,MATCH(O2797,Cargas,1))),Coluna_fih,1,1))*(PI()*(fi_h/1000)^2/4)*SQRT(2*9.81*(O2797/100-fi_h/2/1000))*1000))</f>
        <v>70.98298632431603</v>
      </c>
      <c r="Q2797" s="19">
        <f ca="1">IF(O2797="","",IF(Tipo_Vertedor="Retangular",IF(O2797&lt;=cota_s*100,0,IF(Tipo_Vertedor="Retangular",Cd_sr*Lef_sr*((O2797/100-cota_s)^(3/2))*1000)),IF(O2797&lt;=cota_s*100+fi_s/20,0,(OFFSET('Base de dados'!$A$4,IF(O2797&lt;20,1,IF(O2797&gt;1000,10,MATCH(O2797,Cargas,1))),Coluna_fis,1,1))*(PI()*(fi_s/1000)^2/4)*(2*9.81*(O2797/100-cota_s-fi_s/2/1000))^0.5*1000)))</f>
        <v>17735.916168466625</v>
      </c>
      <c r="R2797" s="19">
        <f t="shared" ca="1" si="305"/>
        <v>17806.899154790943</v>
      </c>
      <c r="S2797" s="19">
        <f t="shared" ca="1" si="306"/>
        <v>17997.190969710391</v>
      </c>
    </row>
    <row r="2798" spans="13:19">
      <c r="M2798" s="81">
        <f t="shared" ca="1" si="303"/>
        <v>35821.751120744404</v>
      </c>
      <c r="N2798" s="19">
        <f t="shared" si="304"/>
        <v>540.13289252125446</v>
      </c>
      <c r="O2798" s="17">
        <f t="shared" si="302"/>
        <v>699.25</v>
      </c>
      <c r="P2798" s="19">
        <f ca="1">IF(ISERROR(IF(O2798&lt;fi_h/20,0,(OFFSET('Base de dados'!$A$5,IF(O2798&lt;20,1,IF(O2798&gt;1000,10,MATCH(O2798,Cargas,1))),Coluna_fih,1,1))*(1+0.13*0.25)*(PI()*(fi_h/1000)^2/4)*SQRT(2*9.81*(O2798/100-fi_h/2/1000))*1000)),"",IF(O2798&lt;fi_h/20,0,(OFFSET('Base de dados'!$A$5,IF(O2798&lt;20,1,IF(O2798&gt;1000,10,MATCH(O2798,Cargas,1))),Coluna_fih,1,1))*(PI()*(fi_h/1000)^2/4)*SQRT(2*9.81*(O2798/100-fi_h/2/1000))*1000))</f>
        <v>70.99578209221022</v>
      </c>
      <c r="Q2798" s="19">
        <f ca="1">IF(O2798="","",IF(Tipo_Vertedor="Retangular",IF(O2798&lt;=cota_s*100,0,IF(Tipo_Vertedor="Retangular",Cd_sr*Lef_sr*((O2798/100-cota_s)^(3/2))*1000)),IF(O2798&lt;=cota_s*100+fi_s/20,0,(OFFSET('Base de dados'!$A$4,IF(O2798&lt;20,1,IF(O2798&gt;1000,10,MATCH(O2798,Cargas,1))),Coluna_fis,1,1))*(PI()*(fi_s/1000)^2/4)*(2*9.81*(O2798/100-cota_s-fi_s/2/1000))^0.5*1000)))</f>
        <v>17746.325587943713</v>
      </c>
      <c r="R2798" s="19">
        <f t="shared" ca="1" si="305"/>
        <v>17817.321370035923</v>
      </c>
      <c r="S2798" s="19">
        <f t="shared" ca="1" si="306"/>
        <v>18004.429750708481</v>
      </c>
    </row>
    <row r="2799" spans="13:19">
      <c r="M2799" s="81">
        <f t="shared" ca="1" si="303"/>
        <v>35839.414472768083</v>
      </c>
      <c r="N2799" s="19">
        <f t="shared" si="304"/>
        <v>540.35006562356546</v>
      </c>
      <c r="O2799" s="17">
        <f t="shared" si="302"/>
        <v>699.5</v>
      </c>
      <c r="P2799" s="19">
        <f ca="1">IF(ISERROR(IF(O2799&lt;fi_h/20,0,(OFFSET('Base de dados'!$A$5,IF(O2799&lt;20,1,IF(O2799&gt;1000,10,MATCH(O2799,Cargas,1))),Coluna_fih,1,1))*(1+0.13*0.25)*(PI()*(fi_h/1000)^2/4)*SQRT(2*9.81*(O2799/100-fi_h/2/1000))*1000)),"",IF(O2799&lt;fi_h/20,0,(OFFSET('Base de dados'!$A$5,IF(O2799&lt;20,1,IF(O2799&gt;1000,10,MATCH(O2799,Cargas,1))),Coluna_fih,1,1))*(PI()*(fi_h/1000)^2/4)*SQRT(2*9.81*(O2799/100-fi_h/2/1000))*1000))</f>
        <v>71.008575554303007</v>
      </c>
      <c r="Q2799" s="19">
        <f ca="1">IF(O2799="","",IF(Tipo_Vertedor="Retangular",IF(O2799&lt;=cota_s*100,0,IF(Tipo_Vertedor="Retangular",Cd_sr*Lef_sr*((O2799/100-cota_s)^(3/2))*1000)),IF(O2799&lt;=cota_s*100+fi_s/20,0,(OFFSET('Base de dados'!$A$4,IF(O2799&lt;20,1,IF(O2799&gt;1000,10,MATCH(O2799,Cargas,1))),Coluna_fis,1,1))*(PI()*(fi_s/1000)^2/4)*(2*9.81*(O2799/100-cota_s-fi_s/2/1000))^0.5*1000)))</f>
        <v>17756.737043094927</v>
      </c>
      <c r="R2799" s="19">
        <f t="shared" ca="1" si="305"/>
        <v>17827.745618649231</v>
      </c>
      <c r="S2799" s="19">
        <f t="shared" ca="1" si="306"/>
        <v>18011.668854118849</v>
      </c>
    </row>
    <row r="2800" spans="13:19">
      <c r="M2800" s="81">
        <f t="shared" ca="1" si="303"/>
        <v>35857.080180074787</v>
      </c>
      <c r="N2800" s="19">
        <f t="shared" si="304"/>
        <v>540.56724839521871</v>
      </c>
      <c r="O2800" s="17">
        <f t="shared" si="302"/>
        <v>699.75</v>
      </c>
      <c r="P2800" s="19">
        <f ca="1">IF(ISERROR(IF(O2800&lt;fi_h/20,0,(OFFSET('Base de dados'!$A$5,IF(O2800&lt;20,1,IF(O2800&gt;1000,10,MATCH(O2800,Cargas,1))),Coluna_fih,1,1))*(1+0.13*0.25)*(PI()*(fi_h/1000)^2/4)*SQRT(2*9.81*(O2800/100-fi_h/2/1000))*1000)),"",IF(O2800&lt;fi_h/20,0,(OFFSET('Base de dados'!$A$5,IF(O2800&lt;20,1,IF(O2800&gt;1000,10,MATCH(O2800,Cargas,1))),Coluna_fih,1,1))*(PI()*(fi_h/1000)^2/4)*SQRT(2*9.81*(O2800/100-fi_h/2/1000))*1000))</f>
        <v>71.021366711840457</v>
      </c>
      <c r="Q2800" s="19">
        <f ca="1">IF(O2800="","",IF(Tipo_Vertedor="Retangular",IF(O2800&lt;=cota_s*100,0,IF(Tipo_Vertedor="Retangular",Cd_sr*Lef_sr*((O2800/100-cota_s)^(3/2))*1000)),IF(O2800&lt;=cota_s*100+fi_s/20,0,(OFFSET('Base de dados'!$A$4,IF(O2800&lt;20,1,IF(O2800&gt;1000,10,MATCH(O2800,Cargas,1))),Coluna_fis,1,1))*(PI()*(fi_s/1000)^2/4)*(2*9.81*(O2800/100-cota_s-fi_s/2/1000))^0.5*1000)))</f>
        <v>17767.150533522326</v>
      </c>
      <c r="R2800" s="19">
        <f t="shared" ca="1" si="305"/>
        <v>17838.171900234167</v>
      </c>
      <c r="S2800" s="19">
        <f t="shared" ca="1" si="306"/>
        <v>18018.908279840623</v>
      </c>
    </row>
    <row r="2801" spans="13:19">
      <c r="M2801" s="81">
        <f t="shared" ca="1" si="303"/>
        <v>35874.748242167247</v>
      </c>
      <c r="N2801" s="19">
        <f t="shared" si="304"/>
        <v>540.78444083318959</v>
      </c>
      <c r="O2801" s="17">
        <f t="shared" si="302"/>
        <v>700</v>
      </c>
      <c r="P2801" s="19">
        <f ca="1">IF(ISERROR(IF(O2801&lt;fi_h/20,0,(OFFSET('Base de dados'!$A$5,IF(O2801&lt;20,1,IF(O2801&gt;1000,10,MATCH(O2801,Cargas,1))),Coluna_fih,1,1))*(1+0.13*0.25)*(PI()*(fi_h/1000)^2/4)*SQRT(2*9.81*(O2801/100-fi_h/2/1000))*1000)),"",IF(O2801&lt;fi_h/20,0,(OFFSET('Base de dados'!$A$5,IF(O2801&lt;20,1,IF(O2801&gt;1000,10,MATCH(O2801,Cargas,1))),Coluna_fih,1,1))*(PI()*(fi_h/1000)^2/4)*SQRT(2*9.81*(O2801/100-fi_h/2/1000))*1000))</f>
        <v>71.034155566067525</v>
      </c>
      <c r="Q2801" s="19">
        <f ca="1">IF(O2801="","",IF(Tipo_Vertedor="Retangular",IF(O2801&lt;=cota_s*100,0,IF(Tipo_Vertedor="Retangular",Cd_sr*Lef_sr*((O2801/100-cota_s)^(3/2))*1000)),IF(O2801&lt;=cota_s*100+fi_s/20,0,(OFFSET('Base de dados'!$A$4,IF(O2801&lt;20,1,IF(O2801&gt;1000,10,MATCH(O2801,Cargas,1))),Coluna_fis,1,1))*(PI()*(fi_s/1000)^2/4)*(2*9.81*(O2801/100-cota_s-fi_s/2/1000))^0.5*1000)))</f>
        <v>17777.56605882819</v>
      </c>
      <c r="R2801" s="19">
        <f t="shared" ca="1" si="305"/>
        <v>17848.600214394257</v>
      </c>
      <c r="S2801" s="19">
        <f t="shared" ca="1" si="306"/>
        <v>18026.14802777299</v>
      </c>
    </row>
    <row r="2802" spans="13:19">
      <c r="M2802" s="81">
        <f t="shared" ca="1" si="303"/>
        <v>35892.418658548493</v>
      </c>
      <c r="N2802" s="19">
        <f t="shared" si="304"/>
        <v>541.00164293445619</v>
      </c>
      <c r="O2802" s="17">
        <f t="shared" si="302"/>
        <v>700.25</v>
      </c>
      <c r="P2802" s="19">
        <f ca="1">IF(ISERROR(IF(O2802&lt;fi_h/20,0,(OFFSET('Base de dados'!$A$5,IF(O2802&lt;20,1,IF(O2802&gt;1000,10,MATCH(O2802,Cargas,1))),Coluna_fih,1,1))*(1+0.13*0.25)*(PI()*(fi_h/1000)^2/4)*SQRT(2*9.81*(O2802/100-fi_h/2/1000))*1000)),"",IF(O2802&lt;fi_h/20,0,(OFFSET('Base de dados'!$A$5,IF(O2802&lt;20,1,IF(O2802&gt;1000,10,MATCH(O2802,Cargas,1))),Coluna_fih,1,1))*(PI()*(fi_h/1000)^2/4)*SQRT(2*9.81*(O2802/100-fi_h/2/1000))*1000))</f>
        <v>71.046942118228046</v>
      </c>
      <c r="Q2802" s="19">
        <f ca="1">IF(O2802="","",IF(Tipo_Vertedor="Retangular",IF(O2802&lt;=cota_s*100,0,IF(Tipo_Vertedor="Retangular",Cd_sr*Lef_sr*((O2802/100-cota_s)^(3/2))*1000)),IF(O2802&lt;=cota_s*100+fi_s/20,0,(OFFSET('Base de dados'!$A$4,IF(O2802&lt;20,1,IF(O2802&gt;1000,10,MATCH(O2802,Cargas,1))),Coluna_fis,1,1))*(PI()*(fi_s/1000)^2/4)*(2*9.81*(O2802/100-cota_s-fi_s/2/1000))^0.5*1000)))</f>
        <v>17787.983618615057</v>
      </c>
      <c r="R2802" s="19">
        <f t="shared" ca="1" si="305"/>
        <v>17859.030560733285</v>
      </c>
      <c r="S2802" s="19">
        <f t="shared" ca="1" si="306"/>
        <v>18033.388097815208</v>
      </c>
    </row>
    <row r="2803" spans="13:19">
      <c r="M2803" s="81">
        <f t="shared" ca="1" si="303"/>
        <v>35910.091428721847</v>
      </c>
      <c r="N2803" s="19">
        <f t="shared" si="304"/>
        <v>541.21885469599806</v>
      </c>
      <c r="O2803" s="17">
        <f t="shared" si="302"/>
        <v>700.5</v>
      </c>
      <c r="P2803" s="19">
        <f ca="1">IF(ISERROR(IF(O2803&lt;fi_h/20,0,(OFFSET('Base de dados'!$A$5,IF(O2803&lt;20,1,IF(O2803&gt;1000,10,MATCH(O2803,Cargas,1))),Coluna_fih,1,1))*(1+0.13*0.25)*(PI()*(fi_h/1000)^2/4)*SQRT(2*9.81*(O2803/100-fi_h/2/1000))*1000)),"",IF(O2803&lt;fi_h/20,0,(OFFSET('Base de dados'!$A$5,IF(O2803&lt;20,1,IF(O2803&gt;1000,10,MATCH(O2803,Cargas,1))),Coluna_fih,1,1))*(PI()*(fi_h/1000)^2/4)*SQRT(2*9.81*(O2803/100-fi_h/2/1000))*1000))</f>
        <v>71.059726369564686</v>
      </c>
      <c r="Q2803" s="19">
        <f ca="1">IF(O2803="","",IF(Tipo_Vertedor="Retangular",IF(O2803&lt;=cota_s*100,0,IF(Tipo_Vertedor="Retangular",Cd_sr*Lef_sr*((O2803/100-cota_s)^(3/2))*1000)),IF(O2803&lt;=cota_s*100+fi_s/20,0,(OFFSET('Base de dados'!$A$4,IF(O2803&lt;20,1,IF(O2803&gt;1000,10,MATCH(O2803,Cargas,1))),Coluna_fis,1,1))*(PI()*(fi_s/1000)^2/4)*(2*9.81*(O2803/100-cota_s-fi_s/2/1000))^0.5*1000)))</f>
        <v>17798.403212485682</v>
      </c>
      <c r="R2803" s="19">
        <f t="shared" ca="1" si="305"/>
        <v>17869.462938855246</v>
      </c>
      <c r="S2803" s="19">
        <f t="shared" ca="1" si="306"/>
        <v>18040.628489866602</v>
      </c>
    </row>
    <row r="2804" spans="13:19">
      <c r="M2804" s="81">
        <f t="shared" ca="1" si="303"/>
        <v>35927.766552190929</v>
      </c>
      <c r="N2804" s="19">
        <f t="shared" si="304"/>
        <v>541.43607611479683</v>
      </c>
      <c r="O2804" s="17">
        <f t="shared" si="302"/>
        <v>700.75</v>
      </c>
      <c r="P2804" s="19">
        <f ca="1">IF(ISERROR(IF(O2804&lt;fi_h/20,0,(OFFSET('Base de dados'!$A$5,IF(O2804&lt;20,1,IF(O2804&gt;1000,10,MATCH(O2804,Cargas,1))),Coluna_fih,1,1))*(1+0.13*0.25)*(PI()*(fi_h/1000)^2/4)*SQRT(2*9.81*(O2804/100-fi_h/2/1000))*1000)),"",IF(O2804&lt;fi_h/20,0,(OFFSET('Base de dados'!$A$5,IF(O2804&lt;20,1,IF(O2804&gt;1000,10,MATCH(O2804,Cargas,1))),Coluna_fih,1,1))*(PI()*(fi_h/1000)^2/4)*SQRT(2*9.81*(O2804/100-fi_h/2/1000))*1000))</f>
        <v>71.072508321319077</v>
      </c>
      <c r="Q2804" s="19">
        <f ca="1">IF(O2804="","",IF(Tipo_Vertedor="Retangular",IF(O2804&lt;=cota_s*100,0,IF(Tipo_Vertedor="Retangular",Cd_sr*Lef_sr*((O2804/100-cota_s)^(3/2))*1000)),IF(O2804&lt;=cota_s*100+fi_s/20,0,(OFFSET('Base de dados'!$A$4,IF(O2804&lt;20,1,IF(O2804&gt;1000,10,MATCH(O2804,Cargas,1))),Coluna_fis,1,1))*(PI()*(fi_s/1000)^2/4)*(2*9.81*(O2804/100-cota_s-fi_s/2/1000))^0.5*1000)))</f>
        <v>17808.824840043049</v>
      </c>
      <c r="R2804" s="19">
        <f t="shared" ca="1" si="305"/>
        <v>17879.897348364368</v>
      </c>
      <c r="S2804" s="19">
        <f t="shared" ca="1" si="306"/>
        <v>18047.869203826562</v>
      </c>
    </row>
    <row r="2805" spans="13:19">
      <c r="M2805" s="81">
        <f t="shared" ca="1" si="303"/>
        <v>35945.444028459664</v>
      </c>
      <c r="N2805" s="19">
        <f t="shared" si="304"/>
        <v>541.6533071878365</v>
      </c>
      <c r="O2805" s="17">
        <f t="shared" si="302"/>
        <v>701</v>
      </c>
      <c r="P2805" s="19">
        <f ca="1">IF(ISERROR(IF(O2805&lt;fi_h/20,0,(OFFSET('Base de dados'!$A$5,IF(O2805&lt;20,1,IF(O2805&gt;1000,10,MATCH(O2805,Cargas,1))),Coluna_fih,1,1))*(1+0.13*0.25)*(PI()*(fi_h/1000)^2/4)*SQRT(2*9.81*(O2805/100-fi_h/2/1000))*1000)),"",IF(O2805&lt;fi_h/20,0,(OFFSET('Base de dados'!$A$5,IF(O2805&lt;20,1,IF(O2805&gt;1000,10,MATCH(O2805,Cargas,1))),Coluna_fih,1,1))*(PI()*(fi_h/1000)^2/4)*SQRT(2*9.81*(O2805/100-fi_h/2/1000))*1000))</f>
        <v>71.085287974731671</v>
      </c>
      <c r="Q2805" s="19">
        <f ca="1">IF(O2805="","",IF(Tipo_Vertedor="Retangular",IF(O2805&lt;=cota_s*100,0,IF(Tipo_Vertedor="Retangular",Cd_sr*Lef_sr*((O2805/100-cota_s)^(3/2))*1000)),IF(O2805&lt;=cota_s*100+fi_s/20,0,(OFFSET('Base de dados'!$A$4,IF(O2805&lt;20,1,IF(O2805&gt;1000,10,MATCH(O2805,Cargas,1))),Coluna_fis,1,1))*(PI()*(fi_s/1000)^2/4)*(2*9.81*(O2805/100-cota_s-fi_s/2/1000))^0.5*1000)))</f>
        <v>17819.248500890379</v>
      </c>
      <c r="R2805" s="19">
        <f t="shared" ca="1" si="305"/>
        <v>17890.333788865111</v>
      </c>
      <c r="S2805" s="19">
        <f t="shared" ca="1" si="306"/>
        <v>18055.110239594549</v>
      </c>
    </row>
    <row r="2806" spans="13:19">
      <c r="M2806" s="81">
        <f t="shared" ca="1" si="303"/>
        <v>35963.123857032275</v>
      </c>
      <c r="N2806" s="19">
        <f t="shared" si="304"/>
        <v>541.87054791210301</v>
      </c>
      <c r="O2806" s="17">
        <f t="shared" si="302"/>
        <v>701.25</v>
      </c>
      <c r="P2806" s="19">
        <f ca="1">IF(ISERROR(IF(O2806&lt;fi_h/20,0,(OFFSET('Base de dados'!$A$5,IF(O2806&lt;20,1,IF(O2806&gt;1000,10,MATCH(O2806,Cargas,1))),Coluna_fih,1,1))*(1+0.13*0.25)*(PI()*(fi_h/1000)^2/4)*SQRT(2*9.81*(O2806/100-fi_h/2/1000))*1000)),"",IF(O2806&lt;fi_h/20,0,(OFFSET('Base de dados'!$A$5,IF(O2806&lt;20,1,IF(O2806&gt;1000,10,MATCH(O2806,Cargas,1))),Coluna_fih,1,1))*(PI()*(fi_h/1000)^2/4)*SQRT(2*9.81*(O2806/100-fi_h/2/1000))*1000))</f>
        <v>71.098065331041852</v>
      </c>
      <c r="Q2806" s="19">
        <f ca="1">IF(O2806="","",IF(Tipo_Vertedor="Retangular",IF(O2806&lt;=cota_s*100,0,IF(Tipo_Vertedor="Retangular",Cd_sr*Lef_sr*((O2806/100-cota_s)^(3/2))*1000)),IF(O2806&lt;=cota_s*100+fi_s/20,0,(OFFSET('Base de dados'!$A$4,IF(O2806&lt;20,1,IF(O2806&gt;1000,10,MATCH(O2806,Cargas,1))),Coluna_fis,1,1))*(PI()*(fi_s/1000)^2/4)*(2*9.81*(O2806/100-cota_s-fi_s/2/1000))^0.5*1000)))</f>
        <v>17829.67419463113</v>
      </c>
      <c r="R2806" s="19">
        <f t="shared" ca="1" si="305"/>
        <v>17900.772259962174</v>
      </c>
      <c r="S2806" s="19">
        <f t="shared" ca="1" si="306"/>
        <v>18062.351597070101</v>
      </c>
    </row>
    <row r="2807" spans="13:19">
      <c r="M2807" s="81">
        <f t="shared" ca="1" si="303"/>
        <v>35980.806037413276</v>
      </c>
      <c r="N2807" s="19">
        <f t="shared" si="304"/>
        <v>542.08779828458364</v>
      </c>
      <c r="O2807" s="17">
        <f t="shared" si="302"/>
        <v>701.5</v>
      </c>
      <c r="P2807" s="19">
        <f ca="1">IF(ISERROR(IF(O2807&lt;fi_h/20,0,(OFFSET('Base de dados'!$A$5,IF(O2807&lt;20,1,IF(O2807&gt;1000,10,MATCH(O2807,Cargas,1))),Coluna_fih,1,1))*(1+0.13*0.25)*(PI()*(fi_h/1000)^2/4)*SQRT(2*9.81*(O2807/100-fi_h/2/1000))*1000)),"",IF(O2807&lt;fi_h/20,0,(OFFSET('Base de dados'!$A$5,IF(O2807&lt;20,1,IF(O2807&gt;1000,10,MATCH(O2807,Cargas,1))),Coluna_fih,1,1))*(PI()*(fi_h/1000)^2/4)*SQRT(2*9.81*(O2807/100-fi_h/2/1000))*1000))</f>
        <v>71.110840391487827</v>
      </c>
      <c r="Q2807" s="19">
        <f ca="1">IF(O2807="","",IF(Tipo_Vertedor="Retangular",IF(O2807&lt;=cota_s*100,0,IF(Tipo_Vertedor="Retangular",Cd_sr*Lef_sr*((O2807/100-cota_s)^(3/2))*1000)),IF(O2807&lt;=cota_s*100+fi_s/20,0,(OFFSET('Base de dados'!$A$4,IF(O2807&lt;20,1,IF(O2807&gt;1000,10,MATCH(O2807,Cargas,1))),Coluna_fis,1,1))*(PI()*(fi_s/1000)^2/4)*(2*9.81*(O2807/100-cota_s-fi_s/2/1000))^0.5*1000)))</f>
        <v>17840.101920868998</v>
      </c>
      <c r="R2807" s="19">
        <f t="shared" ca="1" si="305"/>
        <v>17911.212761260485</v>
      </c>
      <c r="S2807" s="19">
        <f t="shared" ca="1" si="306"/>
        <v>18069.593276152787</v>
      </c>
    </row>
    <row r="2808" spans="13:19">
      <c r="M2808" s="81">
        <f t="shared" ca="1" si="303"/>
        <v>35998.490569107482</v>
      </c>
      <c r="N2808" s="19">
        <f t="shared" si="304"/>
        <v>542.30505830226889</v>
      </c>
      <c r="O2808" s="17">
        <f t="shared" si="302"/>
        <v>701.75</v>
      </c>
      <c r="P2808" s="19">
        <f ca="1">IF(ISERROR(IF(O2808&lt;fi_h/20,0,(OFFSET('Base de dados'!$A$5,IF(O2808&lt;20,1,IF(O2808&gt;1000,10,MATCH(O2808,Cargas,1))),Coluna_fih,1,1))*(1+0.13*0.25)*(PI()*(fi_h/1000)^2/4)*SQRT(2*9.81*(O2808/100-fi_h/2/1000))*1000)),"",IF(O2808&lt;fi_h/20,0,(OFFSET('Base de dados'!$A$5,IF(O2808&lt;20,1,IF(O2808&gt;1000,10,MATCH(O2808,Cargas,1))),Coluna_fih,1,1))*(PI()*(fi_h/1000)^2/4)*SQRT(2*9.81*(O2808/100-fi_h/2/1000))*1000))</f>
        <v>71.12361315730675</v>
      </c>
      <c r="Q2808" s="19">
        <f ca="1">IF(O2808="","",IF(Tipo_Vertedor="Retangular",IF(O2808&lt;=cota_s*100,0,IF(Tipo_Vertedor="Retangular",Cd_sr*Lef_sr*((O2808/100-cota_s)^(3/2))*1000)),IF(O2808&lt;=cota_s*100+fi_s/20,0,(OFFSET('Base de dados'!$A$4,IF(O2808&lt;20,1,IF(O2808&gt;1000,10,MATCH(O2808,Cargas,1))),Coluna_fis,1,1))*(PI()*(fi_s/1000)^2/4)*(2*9.81*(O2808/100-cota_s-fi_s/2/1000))^0.5*1000)))</f>
        <v>17850.531679207877</v>
      </c>
      <c r="R2808" s="19">
        <f t="shared" ca="1" si="305"/>
        <v>17921.655292365183</v>
      </c>
      <c r="S2808" s="19">
        <f t="shared" ca="1" si="306"/>
        <v>18076.835276742295</v>
      </c>
    </row>
    <row r="2809" spans="13:19">
      <c r="M2809" s="81">
        <f t="shared" ca="1" si="303"/>
        <v>36016.177451620024</v>
      </c>
      <c r="N2809" s="19">
        <f t="shared" si="304"/>
        <v>542.52232796215048</v>
      </c>
      <c r="O2809" s="17">
        <f t="shared" si="302"/>
        <v>702</v>
      </c>
      <c r="P2809" s="19">
        <f ca="1">IF(ISERROR(IF(O2809&lt;fi_h/20,0,(OFFSET('Base de dados'!$A$5,IF(O2809&lt;20,1,IF(O2809&gt;1000,10,MATCH(O2809,Cargas,1))),Coluna_fih,1,1))*(1+0.13*0.25)*(PI()*(fi_h/1000)^2/4)*SQRT(2*9.81*(O2809/100-fi_h/2/1000))*1000)),"",IF(O2809&lt;fi_h/20,0,(OFFSET('Base de dados'!$A$5,IF(O2809&lt;20,1,IF(O2809&gt;1000,10,MATCH(O2809,Cargas,1))),Coluna_fih,1,1))*(PI()*(fi_h/1000)^2/4)*SQRT(2*9.81*(O2809/100-fi_h/2/1000))*1000))</f>
        <v>71.136383629734652</v>
      </c>
      <c r="Q2809" s="19">
        <f ca="1">IF(O2809="","",IF(Tipo_Vertedor="Retangular",IF(O2809&lt;=cota_s*100,0,IF(Tipo_Vertedor="Retangular",Cd_sr*Lef_sr*((O2809/100-cota_s)^(3/2))*1000)),IF(O2809&lt;=cota_s*100+fi_s/20,0,(OFFSET('Base de dados'!$A$4,IF(O2809&lt;20,1,IF(O2809&gt;1000,10,MATCH(O2809,Cargas,1))),Coluna_fis,1,1))*(PI()*(fi_s/1000)^2/4)*(2*9.81*(O2809/100-cota_s-fi_s/2/1000))^0.5*1000)))</f>
        <v>17860.963469251936</v>
      </c>
      <c r="R2809" s="19">
        <f t="shared" ca="1" si="305"/>
        <v>17932.099852881671</v>
      </c>
      <c r="S2809" s="19">
        <f t="shared" ca="1" si="306"/>
        <v>18084.077598738349</v>
      </c>
    </row>
    <row r="2810" spans="13:19">
      <c r="M2810" s="81">
        <f t="shared" ca="1" si="303"/>
        <v>36033.86668445629</v>
      </c>
      <c r="N2810" s="19">
        <f t="shared" si="304"/>
        <v>542.73960726122209</v>
      </c>
      <c r="O2810" s="17">
        <f t="shared" si="302"/>
        <v>702.25</v>
      </c>
      <c r="P2810" s="19">
        <f ca="1">IF(ISERROR(IF(O2810&lt;fi_h/20,0,(OFFSET('Base de dados'!$A$5,IF(O2810&lt;20,1,IF(O2810&gt;1000,10,MATCH(O2810,Cargas,1))),Coluna_fih,1,1))*(1+0.13*0.25)*(PI()*(fi_h/1000)^2/4)*SQRT(2*9.81*(O2810/100-fi_h/2/1000))*1000)),"",IF(O2810&lt;fi_h/20,0,(OFFSET('Base de dados'!$A$5,IF(O2810&lt;20,1,IF(O2810&gt;1000,10,MATCH(O2810,Cargas,1))),Coluna_fih,1,1))*(PI()*(fi_h/1000)^2/4)*SQRT(2*9.81*(O2810/100-fi_h/2/1000))*1000))</f>
        <v>71.149151810006444</v>
      </c>
      <c r="Q2810" s="19">
        <f ca="1">IF(O2810="","",IF(Tipo_Vertedor="Retangular",IF(O2810&lt;=cota_s*100,0,IF(Tipo_Vertedor="Retangular",Cd_sr*Lef_sr*((O2810/100-cota_s)^(3/2))*1000)),IF(O2810&lt;=cota_s*100+fi_s/20,0,(OFFSET('Base de dados'!$A$4,IF(O2810&lt;20,1,IF(O2810&gt;1000,10,MATCH(O2810,Cargas,1))),Coluna_fis,1,1))*(PI()*(fi_s/1000)^2/4)*(2*9.81*(O2810/100-cota_s-fi_s/2/1000))^0.5*1000)))</f>
        <v>17871.39729060555</v>
      </c>
      <c r="R2810" s="19">
        <f t="shared" ca="1" si="305"/>
        <v>17942.546442415554</v>
      </c>
      <c r="S2810" s="19">
        <f t="shared" ca="1" si="306"/>
        <v>18091.320242040736</v>
      </c>
    </row>
    <row r="2811" spans="13:19">
      <c r="M2811" s="81">
        <f t="shared" ca="1" si="303"/>
        <v>36051.558267121989</v>
      </c>
      <c r="N2811" s="19">
        <f t="shared" si="304"/>
        <v>542.95689619647953</v>
      </c>
      <c r="O2811" s="17">
        <f t="shared" si="302"/>
        <v>702.5</v>
      </c>
      <c r="P2811" s="19">
        <f ca="1">IF(ISERROR(IF(O2811&lt;fi_h/20,0,(OFFSET('Base de dados'!$A$5,IF(O2811&lt;20,1,IF(O2811&gt;1000,10,MATCH(O2811,Cargas,1))),Coluna_fih,1,1))*(1+0.13*0.25)*(PI()*(fi_h/1000)^2/4)*SQRT(2*9.81*(O2811/100-fi_h/2/1000))*1000)),"",IF(O2811&lt;fi_h/20,0,(OFFSET('Base de dados'!$A$5,IF(O2811&lt;20,1,IF(O2811&gt;1000,10,MATCH(O2811,Cargas,1))),Coluna_fih,1,1))*(PI()*(fi_h/1000)^2/4)*SQRT(2*9.81*(O2811/100-fi_h/2/1000))*1000))</f>
        <v>71.161917699355911</v>
      </c>
      <c r="Q2811" s="19">
        <f ca="1">IF(O2811="","",IF(Tipo_Vertedor="Retangular",IF(O2811&lt;=cota_s*100,0,IF(Tipo_Vertedor="Retangular",Cd_sr*Lef_sr*((O2811/100-cota_s)^(3/2))*1000)),IF(O2811&lt;=cota_s*100+fi_s/20,0,(OFFSET('Base de dados'!$A$4,IF(O2811&lt;20,1,IF(O2811&gt;1000,10,MATCH(O2811,Cargas,1))),Coluna_fis,1,1))*(PI()*(fi_s/1000)^2/4)*(2*9.81*(O2811/100-cota_s-fi_s/2/1000))^0.5*1000)))</f>
        <v>17881.833142873318</v>
      </c>
      <c r="R2811" s="19">
        <f t="shared" ca="1" si="305"/>
        <v>17952.995060572674</v>
      </c>
      <c r="S2811" s="19">
        <f t="shared" ca="1" si="306"/>
        <v>18098.563206549319</v>
      </c>
    </row>
    <row r="2812" spans="13:19">
      <c r="M2812" s="81">
        <f t="shared" ca="1" si="303"/>
        <v>36069.252199123148</v>
      </c>
      <c r="N2812" s="19">
        <f t="shared" si="304"/>
        <v>543.17419476492091</v>
      </c>
      <c r="O2812" s="17">
        <f t="shared" si="302"/>
        <v>702.75</v>
      </c>
      <c r="P2812" s="19">
        <f ca="1">IF(ISERROR(IF(O2812&lt;fi_h/20,0,(OFFSET('Base de dados'!$A$5,IF(O2812&lt;20,1,IF(O2812&gt;1000,10,MATCH(O2812,Cargas,1))),Coluna_fih,1,1))*(1+0.13*0.25)*(PI()*(fi_h/1000)^2/4)*SQRT(2*9.81*(O2812/100-fi_h/2/1000))*1000)),"",IF(O2812&lt;fi_h/20,0,(OFFSET('Base de dados'!$A$5,IF(O2812&lt;20,1,IF(O2812&gt;1000,10,MATCH(O2812,Cargas,1))),Coluna_fih,1,1))*(PI()*(fi_h/1000)^2/4)*SQRT(2*9.81*(O2812/100-fi_h/2/1000))*1000))</f>
        <v>71.174681299015774</v>
      </c>
      <c r="Q2812" s="19">
        <f ca="1">IF(O2812="","",IF(Tipo_Vertedor="Retangular",IF(O2812&lt;=cota_s*100,0,IF(Tipo_Vertedor="Retangular",Cd_sr*Lef_sr*((O2812/100-cota_s)^(3/2))*1000)),IF(O2812&lt;=cota_s*100+fi_s/20,0,(OFFSET('Base de dados'!$A$4,IF(O2812&lt;20,1,IF(O2812&gt;1000,10,MATCH(O2812,Cargas,1))),Coluna_fis,1,1))*(PI()*(fi_s/1000)^2/4)*(2*9.81*(O2812/100-cota_s-fi_s/2/1000))^0.5*1000)))</f>
        <v>17892.271025660102</v>
      </c>
      <c r="R2812" s="19">
        <f t="shared" ca="1" si="305"/>
        <v>17963.445706959119</v>
      </c>
      <c r="S2812" s="19">
        <f t="shared" ca="1" si="306"/>
        <v>18105.806492164029</v>
      </c>
    </row>
    <row r="2813" spans="13:19">
      <c r="M2813" s="81">
        <f t="shared" ca="1" si="303"/>
        <v>36086.948479966049</v>
      </c>
      <c r="N2813" s="19">
        <f t="shared" si="304"/>
        <v>543.39150296354615</v>
      </c>
      <c r="O2813" s="17">
        <f t="shared" si="302"/>
        <v>703</v>
      </c>
      <c r="P2813" s="19">
        <f ca="1">IF(ISERROR(IF(O2813&lt;fi_h/20,0,(OFFSET('Base de dados'!$A$5,IF(O2813&lt;20,1,IF(O2813&gt;1000,10,MATCH(O2813,Cargas,1))),Coluna_fih,1,1))*(1+0.13*0.25)*(PI()*(fi_h/1000)^2/4)*SQRT(2*9.81*(O2813/100-fi_h/2/1000))*1000)),"",IF(O2813&lt;fi_h/20,0,(OFFSET('Base de dados'!$A$5,IF(O2813&lt;20,1,IF(O2813&gt;1000,10,MATCH(O2813,Cargas,1))),Coluna_fih,1,1))*(PI()*(fi_h/1000)^2/4)*SQRT(2*9.81*(O2813/100-fi_h/2/1000))*1000))</f>
        <v>71.18744261021763</v>
      </c>
      <c r="Q2813" s="19">
        <f ca="1">IF(O2813="","",IF(Tipo_Vertedor="Retangular",IF(O2813&lt;=cota_s*100,0,IF(Tipo_Vertedor="Retangular",Cd_sr*Lef_sr*((O2813/100-cota_s)^(3/2))*1000)),IF(O2813&lt;=cota_s*100+fi_s/20,0,(OFFSET('Base de dados'!$A$4,IF(O2813&lt;20,1,IF(O2813&gt;1000,10,MATCH(O2813,Cargas,1))),Coluna_fis,1,1))*(PI()*(fi_s/1000)^2/4)*(2*9.81*(O2813/100-cota_s-fi_s/2/1000))^0.5*1000)))</f>
        <v>17902.710938570959</v>
      </c>
      <c r="R2813" s="19">
        <f t="shared" ca="1" si="305"/>
        <v>17973.898381181178</v>
      </c>
      <c r="S2813" s="19">
        <f t="shared" ca="1" si="306"/>
        <v>18113.050098784872</v>
      </c>
    </row>
    <row r="2814" spans="13:19">
      <c r="M2814" s="81">
        <f t="shared" ca="1" si="303"/>
        <v>36104.647109157275</v>
      </c>
      <c r="N2814" s="19">
        <f t="shared" si="304"/>
        <v>543.60882078935674</v>
      </c>
      <c r="O2814" s="17">
        <f t="shared" si="302"/>
        <v>703.25</v>
      </c>
      <c r="P2814" s="19">
        <f ca="1">IF(ISERROR(IF(O2814&lt;fi_h/20,0,(OFFSET('Base de dados'!$A$5,IF(O2814&lt;20,1,IF(O2814&gt;1000,10,MATCH(O2814,Cargas,1))),Coluna_fih,1,1))*(1+0.13*0.25)*(PI()*(fi_h/1000)^2/4)*SQRT(2*9.81*(O2814/100-fi_h/2/1000))*1000)),"",IF(O2814&lt;fi_h/20,0,(OFFSET('Base de dados'!$A$5,IF(O2814&lt;20,1,IF(O2814&gt;1000,10,MATCH(O2814,Cargas,1))),Coluna_fih,1,1))*(PI()*(fi_h/1000)^2/4)*SQRT(2*9.81*(O2814/100-fi_h/2/1000))*1000))</f>
        <v>71.200201634191956</v>
      </c>
      <c r="Q2814" s="19">
        <f ca="1">IF(O2814="","",IF(Tipo_Vertedor="Retangular",IF(O2814&lt;=cota_s*100,0,IF(Tipo_Vertedor="Retangular",Cd_sr*Lef_sr*((O2814/100-cota_s)^(3/2))*1000)),IF(O2814&lt;=cota_s*100+fi_s/20,0,(OFFSET('Base de dados'!$A$4,IF(O2814&lt;20,1,IF(O2814&gt;1000,10,MATCH(O2814,Cargas,1))),Coluna_fis,1,1))*(PI()*(fi_s/1000)^2/4)*(2*9.81*(O2814/100-cota_s-fi_s/2/1000))^0.5*1000)))</f>
        <v>17913.152881211197</v>
      </c>
      <c r="R2814" s="19">
        <f t="shared" ca="1" si="305"/>
        <v>17984.353082845388</v>
      </c>
      <c r="S2814" s="19">
        <f t="shared" ca="1" si="306"/>
        <v>18120.294026311891</v>
      </c>
    </row>
    <row r="2815" spans="13:19">
      <c r="M2815" s="81">
        <f t="shared" ca="1" si="303"/>
        <v>36122.348086203754</v>
      </c>
      <c r="N2815" s="19">
        <f t="shared" si="304"/>
        <v>543.82614823935717</v>
      </c>
      <c r="O2815" s="17">
        <f t="shared" si="302"/>
        <v>703.5</v>
      </c>
      <c r="P2815" s="19">
        <f ca="1">IF(ISERROR(IF(O2815&lt;fi_h/20,0,(OFFSET('Base de dados'!$A$5,IF(O2815&lt;20,1,IF(O2815&gt;1000,10,MATCH(O2815,Cargas,1))),Coluna_fih,1,1))*(1+0.13*0.25)*(PI()*(fi_h/1000)^2/4)*SQRT(2*9.81*(O2815/100-fi_h/2/1000))*1000)),"",IF(O2815&lt;fi_h/20,0,(OFFSET('Base de dados'!$A$5,IF(O2815&lt;20,1,IF(O2815&gt;1000,10,MATCH(O2815,Cargas,1))),Coluna_fih,1,1))*(PI()*(fi_h/1000)^2/4)*SQRT(2*9.81*(O2815/100-fi_h/2/1000))*1000))</f>
        <v>71.212958372168146</v>
      </c>
      <c r="Q2815" s="19">
        <f ca="1">IF(O2815="","",IF(Tipo_Vertedor="Retangular",IF(O2815&lt;=cota_s*100,0,IF(Tipo_Vertedor="Retangular",Cd_sr*Lef_sr*((O2815/100-cota_s)^(3/2))*1000)),IF(O2815&lt;=cota_s*100+fi_s/20,0,(OFFSET('Base de dados'!$A$4,IF(O2815&lt;20,1,IF(O2815&gt;1000,10,MATCH(O2815,Cargas,1))),Coluna_fis,1,1))*(PI()*(fi_s/1000)^2/4)*(2*9.81*(O2815/100-cota_s-fi_s/2/1000))^0.5*1000)))</f>
        <v>17923.596853186351</v>
      </c>
      <c r="R2815" s="19">
        <f t="shared" ca="1" si="305"/>
        <v>17994.80981155852</v>
      </c>
      <c r="S2815" s="19">
        <f t="shared" ca="1" si="306"/>
        <v>18127.538274645238</v>
      </c>
    </row>
    <row r="2816" spans="13:19">
      <c r="M2816" s="81">
        <f t="shared" ca="1" si="303"/>
        <v>36140.051410612643</v>
      </c>
      <c r="N2816" s="19">
        <f t="shared" si="304"/>
        <v>544.0434853105528</v>
      </c>
      <c r="O2816" s="17">
        <f t="shared" si="302"/>
        <v>703.75</v>
      </c>
      <c r="P2816" s="19">
        <f ca="1">IF(ISERROR(IF(O2816&lt;fi_h/20,0,(OFFSET('Base de dados'!$A$5,IF(O2816&lt;20,1,IF(O2816&gt;1000,10,MATCH(O2816,Cargas,1))),Coluna_fih,1,1))*(1+0.13*0.25)*(PI()*(fi_h/1000)^2/4)*SQRT(2*9.81*(O2816/100-fi_h/2/1000))*1000)),"",IF(O2816&lt;fi_h/20,0,(OFFSET('Base de dados'!$A$5,IF(O2816&lt;20,1,IF(O2816&gt;1000,10,MATCH(O2816,Cargas,1))),Coluna_fih,1,1))*(PI()*(fi_h/1000)^2/4)*SQRT(2*9.81*(O2816/100-fi_h/2/1000))*1000))</f>
        <v>71.225712825374487</v>
      </c>
      <c r="Q2816" s="19">
        <f ca="1">IF(O2816="","",IF(Tipo_Vertedor="Retangular",IF(O2816&lt;=cota_s*100,0,IF(Tipo_Vertedor="Retangular",Cd_sr*Lef_sr*((O2816/100-cota_s)^(3/2))*1000)),IF(O2816&lt;=cota_s*100+fi_s/20,0,(OFFSET('Base de dados'!$A$4,IF(O2816&lt;20,1,IF(O2816&gt;1000,10,MATCH(O2816,Cargas,1))),Coluna_fis,1,1))*(PI()*(fi_s/1000)^2/4)*(2*9.81*(O2816/100-cota_s-fi_s/2/1000))^0.5*1000)))</f>
        <v>17934.042854102179</v>
      </c>
      <c r="R2816" s="19">
        <f t="shared" ca="1" si="305"/>
        <v>18005.268566927552</v>
      </c>
      <c r="S2816" s="19">
        <f t="shared" ca="1" si="306"/>
        <v>18134.78284368509</v>
      </c>
    </row>
    <row r="2817" spans="13:19">
      <c r="M2817" s="81">
        <f t="shared" ca="1" si="303"/>
        <v>36157.757081891454</v>
      </c>
      <c r="N2817" s="19">
        <f t="shared" si="304"/>
        <v>544.26083199995173</v>
      </c>
      <c r="O2817" s="17">
        <f t="shared" si="302"/>
        <v>704</v>
      </c>
      <c r="P2817" s="19">
        <f ca="1">IF(ISERROR(IF(O2817&lt;fi_h/20,0,(OFFSET('Base de dados'!$A$5,IF(O2817&lt;20,1,IF(O2817&gt;1000,10,MATCH(O2817,Cargas,1))),Coluna_fih,1,1))*(1+0.13*0.25)*(PI()*(fi_h/1000)^2/4)*SQRT(2*9.81*(O2817/100-fi_h/2/1000))*1000)),"",IF(O2817&lt;fi_h/20,0,(OFFSET('Base de dados'!$A$5,IF(O2817&lt;20,1,IF(O2817&gt;1000,10,MATCH(O2817,Cargas,1))),Coluna_fih,1,1))*(PI()*(fi_h/1000)^2/4)*SQRT(2*9.81*(O2817/100-fi_h/2/1000))*1000))</f>
        <v>71.238464995038157</v>
      </c>
      <c r="Q2817" s="19">
        <f ca="1">IF(O2817="","",IF(Tipo_Vertedor="Retangular",IF(O2817&lt;=cota_s*100,0,IF(Tipo_Vertedor="Retangular",Cd_sr*Lef_sr*((O2817/100-cota_s)^(3/2))*1000)),IF(O2817&lt;=cota_s*100+fi_s/20,0,(OFFSET('Base de dados'!$A$4,IF(O2817&lt;20,1,IF(O2817&gt;1000,10,MATCH(O2817,Cargas,1))),Coluna_fis,1,1))*(PI()*(fi_s/1000)^2/4)*(2*9.81*(O2817/100-cota_s-fi_s/2/1000))^0.5*1000)))</f>
        <v>17944.490883564689</v>
      </c>
      <c r="R2817" s="19">
        <f t="shared" ca="1" si="305"/>
        <v>18015.729348559726</v>
      </c>
      <c r="S2817" s="19">
        <f t="shared" ca="1" si="306"/>
        <v>18142.027733331724</v>
      </c>
    </row>
    <row r="2818" spans="13:19">
      <c r="M2818" s="81">
        <f t="shared" ca="1" si="303"/>
        <v>36175.465099547924</v>
      </c>
      <c r="N2818" s="19">
        <f t="shared" si="304"/>
        <v>544.47818830456367</v>
      </c>
      <c r="O2818" s="17">
        <f t="shared" si="302"/>
        <v>704.25</v>
      </c>
      <c r="P2818" s="19">
        <f ca="1">IF(ISERROR(IF(O2818&lt;fi_h/20,0,(OFFSET('Base de dados'!$A$5,IF(O2818&lt;20,1,IF(O2818&gt;1000,10,MATCH(O2818,Cargas,1))),Coluna_fih,1,1))*(1+0.13*0.25)*(PI()*(fi_h/1000)^2/4)*SQRT(2*9.81*(O2818/100-fi_h/2/1000))*1000)),"",IF(O2818&lt;fi_h/20,0,(OFFSET('Base de dados'!$A$5,IF(O2818&lt;20,1,IF(O2818&gt;1000,10,MATCH(O2818,Cargas,1))),Coluna_fih,1,1))*(PI()*(fi_h/1000)^2/4)*SQRT(2*9.81*(O2818/100-fi_h/2/1000))*1000))</f>
        <v>71.251214882385256</v>
      </c>
      <c r="Q2818" s="19">
        <f ca="1">IF(O2818="","",IF(Tipo_Vertedor="Retangular",IF(O2818&lt;=cota_s*100,0,IF(Tipo_Vertedor="Retangular",Cd_sr*Lef_sr*((O2818/100-cota_s)^(3/2))*1000)),IF(O2818&lt;=cota_s*100+fi_s/20,0,(OFFSET('Base de dados'!$A$4,IF(O2818&lt;20,1,IF(O2818&gt;1000,10,MATCH(O2818,Cargas,1))),Coluna_fis,1,1))*(PI()*(fi_s/1000)^2/4)*(2*9.81*(O2818/100-cota_s-fi_s/2/1000))^0.5*1000)))</f>
        <v>17954.940941180084</v>
      </c>
      <c r="R2818" s="19">
        <f t="shared" ca="1" si="305"/>
        <v>18026.192156062469</v>
      </c>
      <c r="S2818" s="19">
        <f t="shared" ca="1" si="306"/>
        <v>18149.272943485455</v>
      </c>
    </row>
    <row r="2819" spans="13:19">
      <c r="M2819" s="81">
        <f t="shared" ca="1" si="303"/>
        <v>36193.175463090149</v>
      </c>
      <c r="N2819" s="19">
        <f t="shared" si="304"/>
        <v>544.69555422140058</v>
      </c>
      <c r="O2819" s="17">
        <f t="shared" si="302"/>
        <v>704.5</v>
      </c>
      <c r="P2819" s="19">
        <f ca="1">IF(ISERROR(IF(O2819&lt;fi_h/20,0,(OFFSET('Base de dados'!$A$5,IF(O2819&lt;20,1,IF(O2819&gt;1000,10,MATCH(O2819,Cargas,1))),Coluna_fih,1,1))*(1+0.13*0.25)*(PI()*(fi_h/1000)^2/4)*SQRT(2*9.81*(O2819/100-fi_h/2/1000))*1000)),"",IF(O2819&lt;fi_h/20,0,(OFFSET('Base de dados'!$A$5,IF(O2819&lt;20,1,IF(O2819&gt;1000,10,MATCH(O2819,Cargas,1))),Coluna_fih,1,1))*(PI()*(fi_h/1000)^2/4)*SQRT(2*9.81*(O2819/100-fi_h/2/1000))*1000))</f>
        <v>71.2639624886408</v>
      </c>
      <c r="Q2819" s="19">
        <f ca="1">IF(O2819="","",IF(Tipo_Vertedor="Retangular",IF(O2819&lt;=cota_s*100,0,IF(Tipo_Vertedor="Retangular",Cd_sr*Lef_sr*((O2819/100-cota_s)^(3/2))*1000)),IF(O2819&lt;=cota_s*100+fi_s/20,0,(OFFSET('Base de dados'!$A$4,IF(O2819&lt;20,1,IF(O2819&gt;1000,10,MATCH(O2819,Cargas,1))),Coluna_fis,1,1))*(PI()*(fi_s/1000)^2/4)*(2*9.81*(O2819/100-cota_s-fi_s/2/1000))^0.5*1000)))</f>
        <v>17965.393026554822</v>
      </c>
      <c r="R2819" s="19">
        <f t="shared" ca="1" si="305"/>
        <v>18036.656989043462</v>
      </c>
      <c r="S2819" s="19">
        <f t="shared" ca="1" si="306"/>
        <v>18156.518474046687</v>
      </c>
    </row>
    <row r="2820" spans="13:19">
      <c r="M2820" s="81">
        <f t="shared" ca="1" si="303"/>
        <v>36210.888172026505</v>
      </c>
      <c r="N2820" s="19">
        <f t="shared" si="304"/>
        <v>544.91292974747671</v>
      </c>
      <c r="O2820" s="17">
        <f t="shared" si="302"/>
        <v>704.75</v>
      </c>
      <c r="P2820" s="19">
        <f ca="1">IF(ISERROR(IF(O2820&lt;fi_h/20,0,(OFFSET('Base de dados'!$A$5,IF(O2820&lt;20,1,IF(O2820&gt;1000,10,MATCH(O2820,Cargas,1))),Coluna_fih,1,1))*(1+0.13*0.25)*(PI()*(fi_h/1000)^2/4)*SQRT(2*9.81*(O2820/100-fi_h/2/1000))*1000)),"",IF(O2820&lt;fi_h/20,0,(OFFSET('Base de dados'!$A$5,IF(O2820&lt;20,1,IF(O2820&gt;1000,10,MATCH(O2820,Cargas,1))),Coluna_fih,1,1))*(PI()*(fi_h/1000)^2/4)*SQRT(2*9.81*(O2820/100-fi_h/2/1000))*1000))</f>
        <v>71.27670781502863</v>
      </c>
      <c r="Q2820" s="19">
        <f ca="1">IF(O2820="","",IF(Tipo_Vertedor="Retangular",IF(O2820&lt;=cota_s*100,0,IF(Tipo_Vertedor="Retangular",Cd_sr*Lef_sr*((O2820/100-cota_s)^(3/2))*1000)),IF(O2820&lt;=cota_s*100+fi_s/20,0,(OFFSET('Base de dados'!$A$4,IF(O2820&lt;20,1,IF(O2820&gt;1000,10,MATCH(O2820,Cargas,1))),Coluna_fis,1,1))*(PI()*(fi_s/1000)^2/4)*(2*9.81*(O2820/100-cota_s-fi_s/2/1000))^0.5*1000)))</f>
        <v>17975.847139295587</v>
      </c>
      <c r="R2820" s="19">
        <f t="shared" ca="1" si="305"/>
        <v>18047.123847110615</v>
      </c>
      <c r="S2820" s="19">
        <f t="shared" ca="1" si="306"/>
        <v>18163.76432491589</v>
      </c>
    </row>
    <row r="2821" spans="13:19">
      <c r="M2821" s="81">
        <f t="shared" ca="1" si="303"/>
        <v>36228.603225865634</v>
      </c>
      <c r="N2821" s="19">
        <f t="shared" si="304"/>
        <v>545.13031487980732</v>
      </c>
      <c r="O2821" s="17">
        <f t="shared" si="302"/>
        <v>705</v>
      </c>
      <c r="P2821" s="19">
        <f ca="1">IF(ISERROR(IF(O2821&lt;fi_h/20,0,(OFFSET('Base de dados'!$A$5,IF(O2821&lt;20,1,IF(O2821&gt;1000,10,MATCH(O2821,Cargas,1))),Coluna_fih,1,1))*(1+0.13*0.25)*(PI()*(fi_h/1000)^2/4)*SQRT(2*9.81*(O2821/100-fi_h/2/1000))*1000)),"",IF(O2821&lt;fi_h/20,0,(OFFSET('Base de dados'!$A$5,IF(O2821&lt;20,1,IF(O2821&gt;1000,10,MATCH(O2821,Cargas,1))),Coluna_fih,1,1))*(PI()*(fi_h/1000)^2/4)*SQRT(2*9.81*(O2821/100-fi_h/2/1000))*1000))</f>
        <v>71.289450862771588</v>
      </c>
      <c r="Q2821" s="19">
        <f ca="1">IF(O2821="","",IF(Tipo_Vertedor="Retangular",IF(O2821&lt;=cota_s*100,0,IF(Tipo_Vertedor="Retangular",Cd_sr*Lef_sr*((O2821/100-cota_s)^(3/2))*1000)),IF(O2821&lt;=cota_s*100+fi_s/20,0,(OFFSET('Base de dados'!$A$4,IF(O2821&lt;20,1,IF(O2821&gt;1000,10,MATCH(O2821,Cargas,1))),Coluna_fis,1,1))*(PI()*(fi_s/1000)^2/4)*(2*9.81*(O2821/100-cota_s-fi_s/2/1000))^0.5*1000)))</f>
        <v>17986.303279009284</v>
      </c>
      <c r="R2821" s="19">
        <f t="shared" ca="1" si="305"/>
        <v>18057.592729872056</v>
      </c>
      <c r="S2821" s="19">
        <f t="shared" ca="1" si="306"/>
        <v>18171.010495993578</v>
      </c>
    </row>
    <row r="2822" spans="13:19">
      <c r="M2822" s="81">
        <f t="shared" ca="1" si="303"/>
        <v>36246.320624116488</v>
      </c>
      <c r="N2822" s="19">
        <f t="shared" si="304"/>
        <v>545.34770961541028</v>
      </c>
      <c r="O2822" s="17">
        <f t="shared" si="302"/>
        <v>705.25</v>
      </c>
      <c r="P2822" s="19">
        <f ca="1">IF(ISERROR(IF(O2822&lt;fi_h/20,0,(OFFSET('Base de dados'!$A$5,IF(O2822&lt;20,1,IF(O2822&gt;1000,10,MATCH(O2822,Cargas,1))),Coluna_fih,1,1))*(1+0.13*0.25)*(PI()*(fi_h/1000)^2/4)*SQRT(2*9.81*(O2822/100-fi_h/2/1000))*1000)),"",IF(O2822&lt;fi_h/20,0,(OFFSET('Base de dados'!$A$5,IF(O2822&lt;20,1,IF(O2822&gt;1000,10,MATCH(O2822,Cargas,1))),Coluna_fih,1,1))*(PI()*(fi_h/1000)^2/4)*SQRT(2*9.81*(O2822/100-fi_h/2/1000))*1000))</f>
        <v>71.302191633091383</v>
      </c>
      <c r="Q2822" s="19">
        <f ca="1">IF(O2822="","",IF(Tipo_Vertedor="Retangular",IF(O2822&lt;=cota_s*100,0,IF(Tipo_Vertedor="Retangular",Cd_sr*Lef_sr*((O2822/100-cota_s)^(3/2))*1000)),IF(O2822&lt;=cota_s*100+fi_s/20,0,(OFFSET('Base de dados'!$A$4,IF(O2822&lt;20,1,IF(O2822&gt;1000,10,MATCH(O2822,Cargas,1))),Coluna_fis,1,1))*(PI()*(fi_s/1000)^2/4)*(2*9.81*(O2822/100-cota_s-fi_s/2/1000))^0.5*1000)))</f>
        <v>17996.761445303058</v>
      </c>
      <c r="R2822" s="19">
        <f t="shared" ca="1" si="305"/>
        <v>18068.063636936149</v>
      </c>
      <c r="S2822" s="19">
        <f t="shared" ca="1" si="306"/>
        <v>18178.256987180343</v>
      </c>
    </row>
    <row r="2823" spans="13:19">
      <c r="M2823" s="81">
        <f t="shared" ca="1" si="303"/>
        <v>36264.040366288311</v>
      </c>
      <c r="N2823" s="19">
        <f t="shared" si="304"/>
        <v>545.56511395130565</v>
      </c>
      <c r="O2823" s="17">
        <f t="shared" si="302"/>
        <v>705.5</v>
      </c>
      <c r="P2823" s="19">
        <f ca="1">IF(ISERROR(IF(O2823&lt;fi_h/20,0,(OFFSET('Base de dados'!$A$5,IF(O2823&lt;20,1,IF(O2823&gt;1000,10,MATCH(O2823,Cargas,1))),Coluna_fih,1,1))*(1+0.13*0.25)*(PI()*(fi_h/1000)^2/4)*SQRT(2*9.81*(O2823/100-fi_h/2/1000))*1000)),"",IF(O2823&lt;fi_h/20,0,(OFFSET('Base de dados'!$A$5,IF(O2823&lt;20,1,IF(O2823&gt;1000,10,MATCH(O2823,Cargas,1))),Coluna_fih,1,1))*(PI()*(fi_h/1000)^2/4)*SQRT(2*9.81*(O2823/100-fi_h/2/1000))*1000))</f>
        <v>71.314930127208626</v>
      </c>
      <c r="Q2823" s="19">
        <f ca="1">IF(O2823="","",IF(Tipo_Vertedor="Retangular",IF(O2823&lt;=cota_s*100,0,IF(Tipo_Vertedor="Retangular",Cd_sr*Lef_sr*((O2823/100-cota_s)^(3/2))*1000)),IF(O2823&lt;=cota_s*100+fi_s/20,0,(OFFSET('Base de dados'!$A$4,IF(O2823&lt;20,1,IF(O2823&gt;1000,10,MATCH(O2823,Cargas,1))),Coluna_fis,1,1))*(PI()*(fi_s/1000)^2/4)*(2*9.81*(O2823/100-cota_s-fi_s/2/1000))^0.5*1000)))</f>
        <v>18007.221637784249</v>
      </c>
      <c r="R2823" s="19">
        <f t="shared" ca="1" si="305"/>
        <v>18078.536567911458</v>
      </c>
      <c r="S2823" s="19">
        <f t="shared" ca="1" si="306"/>
        <v>18185.503798376853</v>
      </c>
    </row>
    <row r="2824" spans="13:19">
      <c r="M2824" s="81">
        <f t="shared" ca="1" si="303"/>
        <v>36281.762451890681</v>
      </c>
      <c r="N2824" s="19">
        <f t="shared" si="304"/>
        <v>545.78252788451528</v>
      </c>
      <c r="O2824" s="17">
        <f t="shared" si="302"/>
        <v>705.75</v>
      </c>
      <c r="P2824" s="19">
        <f ca="1">IF(ISERROR(IF(O2824&lt;fi_h/20,0,(OFFSET('Base de dados'!$A$5,IF(O2824&lt;20,1,IF(O2824&gt;1000,10,MATCH(O2824,Cargas,1))),Coluna_fih,1,1))*(1+0.13*0.25)*(PI()*(fi_h/1000)^2/4)*SQRT(2*9.81*(O2824/100-fi_h/2/1000))*1000)),"",IF(O2824&lt;fi_h/20,0,(OFFSET('Base de dados'!$A$5,IF(O2824&lt;20,1,IF(O2824&gt;1000,10,MATCH(O2824,Cargas,1))),Coluna_fih,1,1))*(PI()*(fi_h/1000)^2/4)*SQRT(2*9.81*(O2824/100-fi_h/2/1000))*1000))</f>
        <v>71.327666346342852</v>
      </c>
      <c r="Q2824" s="19">
        <f ca="1">IF(O2824="","",IF(Tipo_Vertedor="Retangular",IF(O2824&lt;=cota_s*100,0,IF(Tipo_Vertedor="Retangular",Cd_sr*Lef_sr*((O2824/100-cota_s)^(3/2))*1000)),IF(O2824&lt;=cota_s*100+fi_s/20,0,(OFFSET('Base de dados'!$A$4,IF(O2824&lt;20,1,IF(O2824&gt;1000,10,MATCH(O2824,Cargas,1))),Coluna_fis,1,1))*(PI()*(fi_s/1000)^2/4)*(2*9.81*(O2824/100-cota_s-fi_s/2/1000))^0.5*1000)))</f>
        <v>18017.683856060492</v>
      </c>
      <c r="R2824" s="19">
        <f t="shared" ca="1" si="305"/>
        <v>18089.011522406836</v>
      </c>
      <c r="S2824" s="19">
        <f t="shared" ca="1" si="306"/>
        <v>18192.750929483842</v>
      </c>
    </row>
    <row r="2825" spans="13:19">
      <c r="M2825" s="81">
        <f t="shared" ca="1" si="303"/>
        <v>36299.486880433382</v>
      </c>
      <c r="N2825" s="19">
        <f t="shared" si="304"/>
        <v>545.9999514120625</v>
      </c>
      <c r="O2825" s="17">
        <f t="shared" si="302"/>
        <v>706</v>
      </c>
      <c r="P2825" s="19">
        <f ca="1">IF(ISERROR(IF(O2825&lt;fi_h/20,0,(OFFSET('Base de dados'!$A$5,IF(O2825&lt;20,1,IF(O2825&gt;1000,10,MATCH(O2825,Cargas,1))),Coluna_fih,1,1))*(1+0.13*0.25)*(PI()*(fi_h/1000)^2/4)*SQRT(2*9.81*(O2825/100-fi_h/2/1000))*1000)),"",IF(O2825&lt;fi_h/20,0,(OFFSET('Base de dados'!$A$5,IF(O2825&lt;20,1,IF(O2825&gt;1000,10,MATCH(O2825,Cargas,1))),Coluna_fih,1,1))*(PI()*(fi_h/1000)^2/4)*SQRT(2*9.81*(O2825/100-fi_h/2/1000))*1000))</f>
        <v>71.340400291712498</v>
      </c>
      <c r="Q2825" s="19">
        <f ca="1">IF(O2825="","",IF(Tipo_Vertedor="Retangular",IF(O2825&lt;=cota_s*100,0,IF(Tipo_Vertedor="Retangular",Cd_sr*Lef_sr*((O2825/100-cota_s)^(3/2))*1000)),IF(O2825&lt;=cota_s*100+fi_s/20,0,(OFFSET('Base de dados'!$A$4,IF(O2825&lt;20,1,IF(O2825&gt;1000,10,MATCH(O2825,Cargas,1))),Coluna_fis,1,1))*(PI()*(fi_s/1000)^2/4)*(2*9.81*(O2825/100-cota_s-fi_s/2/1000))^0.5*1000)))</f>
        <v>18028.148099739581</v>
      </c>
      <c r="R2825" s="19">
        <f t="shared" ca="1" si="305"/>
        <v>18099.488500031293</v>
      </c>
      <c r="S2825" s="19">
        <f t="shared" ca="1" si="306"/>
        <v>18199.998380402085</v>
      </c>
    </row>
    <row r="2826" spans="13:19">
      <c r="M2826" s="81">
        <f t="shared" ca="1" si="303"/>
        <v>36317.213651426558</v>
      </c>
      <c r="N2826" s="19">
        <f t="shared" si="304"/>
        <v>546.21738453097328</v>
      </c>
      <c r="O2826" s="17">
        <f t="shared" si="302"/>
        <v>706.25</v>
      </c>
      <c r="P2826" s="19">
        <f ca="1">IF(ISERROR(IF(O2826&lt;fi_h/20,0,(OFFSET('Base de dados'!$A$5,IF(O2826&lt;20,1,IF(O2826&gt;1000,10,MATCH(O2826,Cargas,1))),Coluna_fih,1,1))*(1+0.13*0.25)*(PI()*(fi_h/1000)^2/4)*SQRT(2*9.81*(O2826/100-fi_h/2/1000))*1000)),"",IF(O2826&lt;fi_h/20,0,(OFFSET('Base de dados'!$A$5,IF(O2826&lt;20,1,IF(O2826&gt;1000,10,MATCH(O2826,Cargas,1))),Coluna_fih,1,1))*(PI()*(fi_h/1000)^2/4)*SQRT(2*9.81*(O2826/100-fi_h/2/1000))*1000))</f>
        <v>71.353131964534938</v>
      </c>
      <c r="Q2826" s="19">
        <f ca="1">IF(O2826="","",IF(Tipo_Vertedor="Retangular",IF(O2826&lt;=cota_s*100,0,IF(Tipo_Vertedor="Retangular",Cd_sr*Lef_sr*((O2826/100-cota_s)^(3/2))*1000)),IF(O2826&lt;=cota_s*100+fi_s/20,0,(OFFSET('Base de dados'!$A$4,IF(O2826&lt;20,1,IF(O2826&gt;1000,10,MATCH(O2826,Cargas,1))),Coluna_fis,1,1))*(PI()*(fi_s/1000)^2/4)*(2*9.81*(O2826/100-cota_s-fi_s/2/1000))^0.5*1000)))</f>
        <v>18038.614368429586</v>
      </c>
      <c r="R2826" s="19">
        <f t="shared" ca="1" si="305"/>
        <v>18109.967500394119</v>
      </c>
      <c r="S2826" s="19">
        <f t="shared" ca="1" si="306"/>
        <v>18207.246151032443</v>
      </c>
    </row>
    <row r="2827" spans="13:19">
      <c r="M2827" s="81">
        <f t="shared" ca="1" si="303"/>
        <v>36334.942764380627</v>
      </c>
      <c r="N2827" s="19">
        <f t="shared" si="304"/>
        <v>546.4348272382756</v>
      </c>
      <c r="O2827" s="17">
        <f t="shared" si="302"/>
        <v>706.5</v>
      </c>
      <c r="P2827" s="19">
        <f ca="1">IF(ISERROR(IF(O2827&lt;fi_h/20,0,(OFFSET('Base de dados'!$A$5,IF(O2827&lt;20,1,IF(O2827&gt;1000,10,MATCH(O2827,Cargas,1))),Coluna_fih,1,1))*(1+0.13*0.25)*(PI()*(fi_h/1000)^2/4)*SQRT(2*9.81*(O2827/100-fi_h/2/1000))*1000)),"",IF(O2827&lt;fi_h/20,0,(OFFSET('Base de dados'!$A$5,IF(O2827&lt;20,1,IF(O2827&gt;1000,10,MATCH(O2827,Cargas,1))),Coluna_fih,1,1))*(PI()*(fi_h/1000)^2/4)*SQRT(2*9.81*(O2827/100-fi_h/2/1000))*1000))</f>
        <v>71.365861366026394</v>
      </c>
      <c r="Q2827" s="19">
        <f ca="1">IF(O2827="","",IF(Tipo_Vertedor="Retangular",IF(O2827&lt;=cota_s*100,0,IF(Tipo_Vertedor="Retangular",Cd_sr*Lef_sr*((O2827/100-cota_s)^(3/2))*1000)),IF(O2827&lt;=cota_s*100+fi_s/20,0,(OFFSET('Base de dados'!$A$4,IF(O2827&lt;20,1,IF(O2827&gt;1000,10,MATCH(O2827,Cargas,1))),Coluna_fis,1,1))*(PI()*(fi_s/1000)^2/4)*(2*9.81*(O2827/100-cota_s-fi_s/2/1000))^0.5*1000)))</f>
        <v>18049.082661738754</v>
      </c>
      <c r="R2827" s="19">
        <f t="shared" ca="1" si="305"/>
        <v>18120.44852310478</v>
      </c>
      <c r="S2827" s="19">
        <f t="shared" ca="1" si="306"/>
        <v>18214.49424127585</v>
      </c>
    </row>
    <row r="2828" spans="13:19">
      <c r="M2828" s="81">
        <f t="shared" ca="1" si="303"/>
        <v>36352.674218806307</v>
      </c>
      <c r="N2828" s="19">
        <f t="shared" si="304"/>
        <v>546.65227953099884</v>
      </c>
      <c r="O2828" s="17">
        <f t="shared" si="302"/>
        <v>706.75</v>
      </c>
      <c r="P2828" s="19">
        <f ca="1">IF(ISERROR(IF(O2828&lt;fi_h/20,0,(OFFSET('Base de dados'!$A$5,IF(O2828&lt;20,1,IF(O2828&gt;1000,10,MATCH(O2828,Cargas,1))),Coluna_fih,1,1))*(1+0.13*0.25)*(PI()*(fi_h/1000)^2/4)*SQRT(2*9.81*(O2828/100-fi_h/2/1000))*1000)),"",IF(O2828&lt;fi_h/20,0,(OFFSET('Base de dados'!$A$5,IF(O2828&lt;20,1,IF(O2828&gt;1000,10,MATCH(O2828,Cargas,1))),Coluna_fih,1,1))*(PI()*(fi_h/1000)^2/4)*SQRT(2*9.81*(O2828/100-fi_h/2/1000))*1000))</f>
        <v>71.378588497402092</v>
      </c>
      <c r="Q2828" s="19">
        <f ca="1">IF(O2828="","",IF(Tipo_Vertedor="Retangular",IF(O2828&lt;=cota_s*100,0,IF(Tipo_Vertedor="Retangular",Cd_sr*Lef_sr*((O2828/100-cota_s)^(3/2))*1000)),IF(O2828&lt;=cota_s*100+fi_s/20,0,(OFFSET('Base de dados'!$A$4,IF(O2828&lt;20,1,IF(O2828&gt;1000,10,MATCH(O2828,Cargas,1))),Coluna_fis,1,1))*(PI()*(fi_s/1000)^2/4)*(2*9.81*(O2828/100-cota_s-fi_s/2/1000))^0.5*1000)))</f>
        <v>18059.552979275617</v>
      </c>
      <c r="R2828" s="19">
        <f t="shared" ca="1" si="305"/>
        <v>18130.931567773019</v>
      </c>
      <c r="S2828" s="19">
        <f t="shared" ca="1" si="306"/>
        <v>18221.742651033292</v>
      </c>
    </row>
    <row r="2829" spans="13:19">
      <c r="M2829" s="81">
        <f t="shared" ca="1" si="303"/>
        <v>36370.408014214598</v>
      </c>
      <c r="N2829" s="19">
        <f t="shared" si="304"/>
        <v>546.86974140617463</v>
      </c>
      <c r="O2829" s="17">
        <f t="shared" si="302"/>
        <v>707</v>
      </c>
      <c r="P2829" s="19">
        <f ca="1">IF(ISERROR(IF(O2829&lt;fi_h/20,0,(OFFSET('Base de dados'!$A$5,IF(O2829&lt;20,1,IF(O2829&gt;1000,10,MATCH(O2829,Cargas,1))),Coluna_fih,1,1))*(1+0.13*0.25)*(PI()*(fi_h/1000)^2/4)*SQRT(2*9.81*(O2829/100-fi_h/2/1000))*1000)),"",IF(O2829&lt;fi_h/20,0,(OFFSET('Base de dados'!$A$5,IF(O2829&lt;20,1,IF(O2829&gt;1000,10,MATCH(O2829,Cargas,1))),Coluna_fih,1,1))*(PI()*(fi_h/1000)^2/4)*SQRT(2*9.81*(O2829/100-fi_h/2/1000))*1000))</f>
        <v>71.391313359876094</v>
      </c>
      <c r="Q2829" s="19">
        <f ca="1">IF(O2829="","",IF(Tipo_Vertedor="Retangular",IF(O2829&lt;=cota_s*100,0,IF(Tipo_Vertedor="Retangular",Cd_sr*Lef_sr*((O2829/100-cota_s)^(3/2))*1000)),IF(O2829&lt;=cota_s*100+fi_s/20,0,(OFFSET('Base de dados'!$A$4,IF(O2829&lt;20,1,IF(O2829&gt;1000,10,MATCH(O2829,Cargas,1))),Coluna_fis,1,1))*(PI()*(fi_s/1000)^2/4)*(2*9.81*(O2829/100-cota_s-fi_s/2/1000))^0.5*1000)))</f>
        <v>18070.025320648896</v>
      </c>
      <c r="R2829" s="19">
        <f t="shared" ca="1" si="305"/>
        <v>18141.416634008772</v>
      </c>
      <c r="S2829" s="19">
        <f t="shared" ca="1" si="306"/>
        <v>18228.991380205822</v>
      </c>
    </row>
    <row r="2830" spans="13:19">
      <c r="M2830" s="81">
        <f t="shared" ca="1" si="303"/>
        <v>36388.144150116765</v>
      </c>
      <c r="N2830" s="19">
        <f t="shared" si="304"/>
        <v>547.08721286083698</v>
      </c>
      <c r="O2830" s="17">
        <f t="shared" si="302"/>
        <v>707.25</v>
      </c>
      <c r="P2830" s="19">
        <f ca="1">IF(ISERROR(IF(O2830&lt;fi_h/20,0,(OFFSET('Base de dados'!$A$5,IF(O2830&lt;20,1,IF(O2830&gt;1000,10,MATCH(O2830,Cargas,1))),Coluna_fih,1,1))*(1+0.13*0.25)*(PI()*(fi_h/1000)^2/4)*SQRT(2*9.81*(O2830/100-fi_h/2/1000))*1000)),"",IF(O2830&lt;fi_h/20,0,(OFFSET('Base de dados'!$A$5,IF(O2830&lt;20,1,IF(O2830&gt;1000,10,MATCH(O2830,Cargas,1))),Coluna_fih,1,1))*(PI()*(fi_h/1000)^2/4)*SQRT(2*9.81*(O2830/100-fi_h/2/1000))*1000))</f>
        <v>71.404035954661438</v>
      </c>
      <c r="Q2830" s="19">
        <f ca="1">IF(O2830="","",IF(Tipo_Vertedor="Retangular",IF(O2830&lt;=cota_s*100,0,IF(Tipo_Vertedor="Retangular",Cd_sr*Lef_sr*((O2830/100-cota_s)^(3/2))*1000)),IF(O2830&lt;=cota_s*100+fi_s/20,0,(OFFSET('Base de dados'!$A$4,IF(O2830&lt;20,1,IF(O2830&gt;1000,10,MATCH(O2830,Cargas,1))),Coluna_fis,1,1))*(PI()*(fi_s/1000)^2/4)*(2*9.81*(O2830/100-cota_s-fi_s/2/1000))^0.5*1000)))</f>
        <v>18080.499685467537</v>
      </c>
      <c r="R2830" s="19">
        <f t="shared" ca="1" si="305"/>
        <v>18151.903721422197</v>
      </c>
      <c r="S2830" s="19">
        <f t="shared" ca="1" si="306"/>
        <v>18236.240428694568</v>
      </c>
    </row>
    <row r="2831" spans="13:19">
      <c r="M2831" s="81">
        <f t="shared" ca="1" si="303"/>
        <v>36405.882626024424</v>
      </c>
      <c r="N2831" s="19">
        <f t="shared" si="304"/>
        <v>547.30469389202085</v>
      </c>
      <c r="O2831" s="17">
        <f t="shared" si="302"/>
        <v>707.5</v>
      </c>
      <c r="P2831" s="19">
        <f ca="1">IF(ISERROR(IF(O2831&lt;fi_h/20,0,(OFFSET('Base de dados'!$A$5,IF(O2831&lt;20,1,IF(O2831&gt;1000,10,MATCH(O2831,Cargas,1))),Coluna_fih,1,1))*(1+0.13*0.25)*(PI()*(fi_h/1000)^2/4)*SQRT(2*9.81*(O2831/100-fi_h/2/1000))*1000)),"",IF(O2831&lt;fi_h/20,0,(OFFSET('Base de dados'!$A$5,IF(O2831&lt;20,1,IF(O2831&gt;1000,10,MATCH(O2831,Cargas,1))),Coluna_fih,1,1))*(PI()*(fi_h/1000)^2/4)*SQRT(2*9.81*(O2831/100-fi_h/2/1000))*1000))</f>
        <v>71.416756282970084</v>
      </c>
      <c r="Q2831" s="19">
        <f ca="1">IF(O2831="","",IF(Tipo_Vertedor="Retangular",IF(O2831&lt;=cota_s*100,0,IF(Tipo_Vertedor="Retangular",Cd_sr*Lef_sr*((O2831/100-cota_s)^(3/2))*1000)),IF(O2831&lt;=cota_s*100+fi_s/20,0,(OFFSET('Base de dados'!$A$4,IF(O2831&lt;20,1,IF(O2831&gt;1000,10,MATCH(O2831,Cargas,1))),Coluna_fis,1,1))*(PI()*(fi_s/1000)^2/4)*(2*9.81*(O2831/100-cota_s-fi_s/2/1000))^0.5*1000)))</f>
        <v>18090.976073340753</v>
      </c>
      <c r="R2831" s="19">
        <f t="shared" ca="1" si="305"/>
        <v>18162.392829623725</v>
      </c>
      <c r="S2831" s="19">
        <f t="shared" ca="1" si="306"/>
        <v>18243.489796400696</v>
      </c>
    </row>
    <row r="2832" spans="13:19">
      <c r="M2832" s="81">
        <f t="shared" ca="1" si="303"/>
        <v>36423.623441449417</v>
      </c>
      <c r="N2832" s="19">
        <f t="shared" si="304"/>
        <v>547.52218449676434</v>
      </c>
      <c r="O2832" s="17">
        <f t="shared" si="302"/>
        <v>707.75</v>
      </c>
      <c r="P2832" s="19">
        <f ca="1">IF(ISERROR(IF(O2832&lt;fi_h/20,0,(OFFSET('Base de dados'!$A$5,IF(O2832&lt;20,1,IF(O2832&gt;1000,10,MATCH(O2832,Cargas,1))),Coluna_fih,1,1))*(1+0.13*0.25)*(PI()*(fi_h/1000)^2/4)*SQRT(2*9.81*(O2832/100-fi_h/2/1000))*1000)),"",IF(O2832&lt;fi_h/20,0,(OFFSET('Base de dados'!$A$5,IF(O2832&lt;20,1,IF(O2832&gt;1000,10,MATCH(O2832,Cargas,1))),Coluna_fih,1,1))*(PI()*(fi_h/1000)^2/4)*SQRT(2*9.81*(O2832/100-fi_h/2/1000))*1000))</f>
        <v>71.429474346012853</v>
      </c>
      <c r="Q2832" s="19">
        <f ca="1">IF(O2832="","",IF(Tipo_Vertedor="Retangular",IF(O2832&lt;=cota_s*100,0,IF(Tipo_Vertedor="Retangular",Cd_sr*Lef_sr*((O2832/100-cota_s)^(3/2))*1000)),IF(O2832&lt;=cota_s*100+fi_s/20,0,(OFFSET('Base de dados'!$A$4,IF(O2832&lt;20,1,IF(O2832&gt;1000,10,MATCH(O2832,Cargas,1))),Coluna_fis,1,1))*(PI()*(fi_s/1000)^2/4)*(2*9.81*(O2832/100-cota_s-fi_s/2/1000))^0.5*1000)))</f>
        <v>18101.454483877929</v>
      </c>
      <c r="R2832" s="19">
        <f t="shared" ca="1" si="305"/>
        <v>18172.883958223942</v>
      </c>
      <c r="S2832" s="19">
        <f t="shared" ca="1" si="306"/>
        <v>18250.739483225476</v>
      </c>
    </row>
    <row r="2833" spans="13:19">
      <c r="M2833" s="81">
        <f t="shared" ca="1" si="303"/>
        <v>36441.366595903935</v>
      </c>
      <c r="N2833" s="19">
        <f t="shared" si="304"/>
        <v>547.73968467210659</v>
      </c>
      <c r="O2833" s="17">
        <f t="shared" si="302"/>
        <v>708</v>
      </c>
      <c r="P2833" s="19">
        <f ca="1">IF(ISERROR(IF(O2833&lt;fi_h/20,0,(OFFSET('Base de dados'!$A$5,IF(O2833&lt;20,1,IF(O2833&gt;1000,10,MATCH(O2833,Cargas,1))),Coluna_fih,1,1))*(1+0.13*0.25)*(PI()*(fi_h/1000)^2/4)*SQRT(2*9.81*(O2833/100-fi_h/2/1000))*1000)),"",IF(O2833&lt;fi_h/20,0,(OFFSET('Base de dados'!$A$5,IF(O2833&lt;20,1,IF(O2833&gt;1000,10,MATCH(O2833,Cargas,1))),Coluna_fih,1,1))*(PI()*(fi_h/1000)^2/4)*SQRT(2*9.81*(O2833/100-fi_h/2/1000))*1000))</f>
        <v>71.442190144999557</v>
      </c>
      <c r="Q2833" s="19">
        <f ca="1">IF(O2833="","",IF(Tipo_Vertedor="Retangular",IF(O2833&lt;=cota_s*100,0,IF(Tipo_Vertedor="Retangular",Cd_sr*Lef_sr*((O2833/100-cota_s)^(3/2))*1000)),IF(O2833&lt;=cota_s*100+fi_s/20,0,(OFFSET('Base de dados'!$A$4,IF(O2833&lt;20,1,IF(O2833&gt;1000,10,MATCH(O2833,Cargas,1))),Coluna_fis,1,1))*(PI()*(fi_s/1000)^2/4)*(2*9.81*(O2833/100-cota_s-fi_s/2/1000))^0.5*1000)))</f>
        <v>18111.934916688719</v>
      </c>
      <c r="R2833" s="19">
        <f t="shared" ca="1" si="305"/>
        <v>18183.377106833719</v>
      </c>
      <c r="S2833" s="19">
        <f t="shared" ca="1" si="306"/>
        <v>18257.98948907022</v>
      </c>
    </row>
    <row r="2834" spans="13:19">
      <c r="M2834" s="81">
        <f t="shared" ca="1" si="303"/>
        <v>36459.112088900431</v>
      </c>
      <c r="N2834" s="19">
        <f t="shared" si="304"/>
        <v>547.95719441508936</v>
      </c>
      <c r="O2834" s="17">
        <f t="shared" si="302"/>
        <v>708.25</v>
      </c>
      <c r="P2834" s="19">
        <f ca="1">IF(ISERROR(IF(O2834&lt;fi_h/20,0,(OFFSET('Base de dados'!$A$5,IF(O2834&lt;20,1,IF(O2834&gt;1000,10,MATCH(O2834,Cargas,1))),Coluna_fih,1,1))*(1+0.13*0.25)*(PI()*(fi_h/1000)^2/4)*SQRT(2*9.81*(O2834/100-fi_h/2/1000))*1000)),"",IF(O2834&lt;fi_h/20,0,(OFFSET('Base de dados'!$A$5,IF(O2834&lt;20,1,IF(O2834&gt;1000,10,MATCH(O2834,Cargas,1))),Coluna_fih,1,1))*(PI()*(fi_h/1000)^2/4)*SQRT(2*9.81*(O2834/100-fi_h/2/1000))*1000))</f>
        <v>71.454903681138873</v>
      </c>
      <c r="Q2834" s="19">
        <f ca="1">IF(O2834="","",IF(Tipo_Vertedor="Retangular",IF(O2834&lt;=cota_s*100,0,IF(Tipo_Vertedor="Retangular",Cd_sr*Lef_sr*((O2834/100-cota_s)^(3/2))*1000)),IF(O2834&lt;=cota_s*100+fi_s/20,0,(OFFSET('Base de dados'!$A$4,IF(O2834&lt;20,1,IF(O2834&gt;1000,10,MATCH(O2834,Cargas,1))),Coluna_fis,1,1))*(PI()*(fi_s/1000)^2/4)*(2*9.81*(O2834/100-cota_s-fi_s/2/1000))^0.5*1000)))</f>
        <v>18122.41737138298</v>
      </c>
      <c r="R2834" s="19">
        <f t="shared" ca="1" si="305"/>
        <v>18193.872275064121</v>
      </c>
      <c r="S2834" s="19">
        <f t="shared" ca="1" si="306"/>
        <v>18265.23981383631</v>
      </c>
    </row>
    <row r="2835" spans="13:19">
      <c r="M2835" s="81">
        <f t="shared" ca="1" si="303"/>
        <v>36476.859919951632</v>
      </c>
      <c r="N2835" s="19">
        <f t="shared" si="304"/>
        <v>548.17471372275588</v>
      </c>
      <c r="O2835" s="17">
        <f t="shared" ref="O2835:O2898" si="307">IF(ISERROR(IF(O2834+passo_altura&gt;h_max_puls*100,"",O2834+passo_altura)),"",IF(O2834+passo_altura&gt;h_max_puls*100,"",O2834+passo_altura))</f>
        <v>708.5</v>
      </c>
      <c r="P2835" s="19">
        <f ca="1">IF(ISERROR(IF(O2835&lt;fi_h/20,0,(OFFSET('Base de dados'!$A$5,IF(O2835&lt;20,1,IF(O2835&gt;1000,10,MATCH(O2835,Cargas,1))),Coluna_fih,1,1))*(1+0.13*0.25)*(PI()*(fi_h/1000)^2/4)*SQRT(2*9.81*(O2835/100-fi_h/2/1000))*1000)),"",IF(O2835&lt;fi_h/20,0,(OFFSET('Base de dados'!$A$5,IF(O2835&lt;20,1,IF(O2835&gt;1000,10,MATCH(O2835,Cargas,1))),Coluna_fih,1,1))*(PI()*(fi_h/1000)^2/4)*SQRT(2*9.81*(O2835/100-fi_h/2/1000))*1000))</f>
        <v>71.467614955638439</v>
      </c>
      <c r="Q2835" s="19">
        <f ca="1">IF(O2835="","",IF(Tipo_Vertedor="Retangular",IF(O2835&lt;=cota_s*100,0,IF(Tipo_Vertedor="Retangular",Cd_sr*Lef_sr*((O2835/100-cota_s)^(3/2))*1000)),IF(O2835&lt;=cota_s*100+fi_s/20,0,(OFFSET('Base de dados'!$A$4,IF(O2835&lt;20,1,IF(O2835&gt;1000,10,MATCH(O2835,Cargas,1))),Coluna_fis,1,1))*(PI()*(fi_s/1000)^2/4)*(2*9.81*(O2835/100-cota_s-fi_s/2/1000))^0.5*1000)))</f>
        <v>18132.901847570796</v>
      </c>
      <c r="R2835" s="19">
        <f t="shared" ca="1" si="305"/>
        <v>18204.369462526436</v>
      </c>
      <c r="S2835" s="19">
        <f t="shared" ca="1" si="306"/>
        <v>18272.490457425196</v>
      </c>
    </row>
    <row r="2836" spans="13:19">
      <c r="M2836" s="81">
        <f t="shared" ca="1" si="303"/>
        <v>36494.610088570604</v>
      </c>
      <c r="N2836" s="19">
        <f t="shared" si="304"/>
        <v>548.392242592152</v>
      </c>
      <c r="O2836" s="17">
        <f t="shared" si="307"/>
        <v>708.75</v>
      </c>
      <c r="P2836" s="19">
        <f ca="1">IF(ISERROR(IF(O2836&lt;fi_h/20,0,(OFFSET('Base de dados'!$A$5,IF(O2836&lt;20,1,IF(O2836&gt;1000,10,MATCH(O2836,Cargas,1))),Coluna_fih,1,1))*(1+0.13*0.25)*(PI()*(fi_h/1000)^2/4)*SQRT(2*9.81*(O2836/100-fi_h/2/1000))*1000)),"",IF(O2836&lt;fi_h/20,0,(OFFSET('Base de dados'!$A$5,IF(O2836&lt;20,1,IF(O2836&gt;1000,10,MATCH(O2836,Cargas,1))),Coluna_fih,1,1))*(PI()*(fi_h/1000)^2/4)*SQRT(2*9.81*(O2836/100-fi_h/2/1000))*1000))</f>
        <v>71.480323969704813</v>
      </c>
      <c r="Q2836" s="19">
        <f ca="1">IF(O2836="","",IF(Tipo_Vertedor="Retangular",IF(O2836&lt;=cota_s*100,0,IF(Tipo_Vertedor="Retangular",Cd_sr*Lef_sr*((O2836/100-cota_s)^(3/2))*1000)),IF(O2836&lt;=cota_s*100+fi_s/20,0,(OFFSET('Base de dados'!$A$4,IF(O2836&lt;20,1,IF(O2836&gt;1000,10,MATCH(O2836,Cargas,1))),Coluna_fis,1,1))*(PI()*(fi_s/1000)^2/4)*(2*9.81*(O2836/100-cota_s-fi_s/2/1000))^0.5*1000)))</f>
        <v>18143.388344862502</v>
      </c>
      <c r="R2836" s="19">
        <f t="shared" ca="1" si="305"/>
        <v>18214.868668832205</v>
      </c>
      <c r="S2836" s="19">
        <f t="shared" ca="1" si="306"/>
        <v>18279.741419738399</v>
      </c>
    </row>
    <row r="2837" spans="13:19">
      <c r="M2837" s="81">
        <f t="shared" ca="1" si="303"/>
        <v>36512.36259427062</v>
      </c>
      <c r="N2837" s="19">
        <f t="shared" si="304"/>
        <v>548.60978102032425</v>
      </c>
      <c r="O2837" s="17">
        <f t="shared" si="307"/>
        <v>709</v>
      </c>
      <c r="P2837" s="19">
        <f ca="1">IF(ISERROR(IF(O2837&lt;fi_h/20,0,(OFFSET('Base de dados'!$A$5,IF(O2837&lt;20,1,IF(O2837&gt;1000,10,MATCH(O2837,Cargas,1))),Coluna_fih,1,1))*(1+0.13*0.25)*(PI()*(fi_h/1000)^2/4)*SQRT(2*9.81*(O2837/100-fi_h/2/1000))*1000)),"",IF(O2837&lt;fi_h/20,0,(OFFSET('Base de dados'!$A$5,IF(O2837&lt;20,1,IF(O2837&gt;1000,10,MATCH(O2837,Cargas,1))),Coluna_fih,1,1))*(PI()*(fi_h/1000)^2/4)*SQRT(2*9.81*(O2837/100-fi_h/2/1000))*1000))</f>
        <v>71.493030724543488</v>
      </c>
      <c r="Q2837" s="19">
        <f ca="1">IF(O2837="","",IF(Tipo_Vertedor="Retangular",IF(O2837&lt;=cota_s*100,0,IF(Tipo_Vertedor="Retangular",Cd_sr*Lef_sr*((O2837/100-cota_s)^(3/2))*1000)),IF(O2837&lt;=cota_s*100+fi_s/20,0,(OFFSET('Base de dados'!$A$4,IF(O2837&lt;20,1,IF(O2837&gt;1000,10,MATCH(O2837,Cargas,1))),Coluna_fis,1,1))*(PI()*(fi_s/1000)^2/4)*(2*9.81*(O2837/100-cota_s-fi_s/2/1000))^0.5*1000)))</f>
        <v>18153.876862868601</v>
      </c>
      <c r="R2837" s="19">
        <f t="shared" ca="1" si="305"/>
        <v>18225.369893593146</v>
      </c>
      <c r="S2837" s="19">
        <f t="shared" ca="1" si="306"/>
        <v>18286.992700677474</v>
      </c>
    </row>
    <row r="2838" spans="13:19">
      <c r="M2838" s="81">
        <f t="shared" ca="1" si="303"/>
        <v>36530.117436565335</v>
      </c>
      <c r="N2838" s="19">
        <f t="shared" si="304"/>
        <v>548.82732900432256</v>
      </c>
      <c r="O2838" s="17">
        <f t="shared" si="307"/>
        <v>709.25</v>
      </c>
      <c r="P2838" s="19">
        <f ca="1">IF(ISERROR(IF(O2838&lt;fi_h/20,0,(OFFSET('Base de dados'!$A$5,IF(O2838&lt;20,1,IF(O2838&gt;1000,10,MATCH(O2838,Cargas,1))),Coluna_fih,1,1))*(1+0.13*0.25)*(PI()*(fi_h/1000)^2/4)*SQRT(2*9.81*(O2838/100-fi_h/2/1000))*1000)),"",IF(O2838&lt;fi_h/20,0,(OFFSET('Base de dados'!$A$5,IF(O2838&lt;20,1,IF(O2838&gt;1000,10,MATCH(O2838,Cargas,1))),Coluna_fih,1,1))*(PI()*(fi_h/1000)^2/4)*SQRT(2*9.81*(O2838/100-fi_h/2/1000))*1000))</f>
        <v>71.505735221358862</v>
      </c>
      <c r="Q2838" s="19">
        <f ca="1">IF(O2838="","",IF(Tipo_Vertedor="Retangular",IF(O2838&lt;=cota_s*100,0,IF(Tipo_Vertedor="Retangular",Cd_sr*Lef_sr*((O2838/100-cota_s)^(3/2))*1000)),IF(O2838&lt;=cota_s*100+fi_s/20,0,(OFFSET('Base de dados'!$A$4,IF(O2838&lt;20,1,IF(O2838&gt;1000,10,MATCH(O2838,Cargas,1))),Coluna_fis,1,1))*(PI()*(fi_s/1000)^2/4)*(2*9.81*(O2838/100-cota_s-fi_s/2/1000))^0.5*1000)))</f>
        <v>18164.367401199892</v>
      </c>
      <c r="R2838" s="19">
        <f t="shared" ca="1" si="305"/>
        <v>18235.873136421251</v>
      </c>
      <c r="S2838" s="19">
        <f t="shared" ca="1" si="306"/>
        <v>18294.244300144084</v>
      </c>
    </row>
    <row r="2839" spans="13:19">
      <c r="M2839" s="81">
        <f t="shared" ref="M2839:M2902" ca="1" si="308">IF(O2839="","",2*N2839*1000/(Passo*60)+R2839)</f>
        <v>36547.874614968634</v>
      </c>
      <c r="N2839" s="19">
        <f t="shared" ref="N2839:N2902" si="309">IF(O2839="","",b_0*(O2839/100)^c_0)</f>
        <v>549.04488654119814</v>
      </c>
      <c r="O2839" s="17">
        <f t="shared" si="307"/>
        <v>709.5</v>
      </c>
      <c r="P2839" s="19">
        <f ca="1">IF(ISERROR(IF(O2839&lt;fi_h/20,0,(OFFSET('Base de dados'!$A$5,IF(O2839&lt;20,1,IF(O2839&gt;1000,10,MATCH(O2839,Cargas,1))),Coluna_fih,1,1))*(1+0.13*0.25)*(PI()*(fi_h/1000)^2/4)*SQRT(2*9.81*(O2839/100-fi_h/2/1000))*1000)),"",IF(O2839&lt;fi_h/20,0,(OFFSET('Base de dados'!$A$5,IF(O2839&lt;20,1,IF(O2839&gt;1000,10,MATCH(O2839,Cargas,1))),Coluna_fih,1,1))*(PI()*(fi_h/1000)^2/4)*SQRT(2*9.81*(O2839/100-fi_h/2/1000))*1000))</f>
        <v>71.518437461354281</v>
      </c>
      <c r="Q2839" s="19">
        <f ca="1">IF(O2839="","",IF(Tipo_Vertedor="Retangular",IF(O2839&lt;=cota_s*100,0,IF(Tipo_Vertedor="Retangular",Cd_sr*Lef_sr*((O2839/100-cota_s)^(3/2))*1000)),IF(O2839&lt;=cota_s*100+fi_s/20,0,(OFFSET('Base de dados'!$A$4,IF(O2839&lt;20,1,IF(O2839&gt;1000,10,MATCH(O2839,Cargas,1))),Coluna_fis,1,1))*(PI()*(fi_s/1000)^2/4)*(2*9.81*(O2839/100-cota_s-fi_s/2/1000))^0.5*1000)))</f>
        <v>18174.859959467347</v>
      </c>
      <c r="R2839" s="19">
        <f t="shared" ref="R2839:R2902" ca="1" si="310">IF(O2839="","",Q2839+P2839)</f>
        <v>18246.3783969287</v>
      </c>
      <c r="S2839" s="19">
        <f t="shared" ref="S2839:S2902" ca="1" si="311">IF(M2839="","",2*N2839*1000/(Passo*60))</f>
        <v>18301.496218039938</v>
      </c>
    </row>
    <row r="2840" spans="13:19">
      <c r="M2840" s="81">
        <f t="shared" ca="1" si="308"/>
        <v>36565.63412899473</v>
      </c>
      <c r="N2840" s="19">
        <f t="shared" si="309"/>
        <v>549.26245362800398</v>
      </c>
      <c r="O2840" s="17">
        <f t="shared" si="307"/>
        <v>709.75</v>
      </c>
      <c r="P2840" s="19">
        <f ca="1">IF(ISERROR(IF(O2840&lt;fi_h/20,0,(OFFSET('Base de dados'!$A$5,IF(O2840&lt;20,1,IF(O2840&gt;1000,10,MATCH(O2840,Cargas,1))),Coluna_fih,1,1))*(1+0.13*0.25)*(PI()*(fi_h/1000)^2/4)*SQRT(2*9.81*(O2840/100-fi_h/2/1000))*1000)),"",IF(O2840&lt;fi_h/20,0,(OFFSET('Base de dados'!$A$5,IF(O2840&lt;20,1,IF(O2840&gt;1000,10,MATCH(O2840,Cargas,1))),Coluna_fih,1,1))*(PI()*(fi_h/1000)^2/4)*SQRT(2*9.81*(O2840/100-fi_h/2/1000))*1000))</f>
        <v>71.531137445732028</v>
      </c>
      <c r="Q2840" s="19">
        <f ca="1">IF(O2840="","",IF(Tipo_Vertedor="Retangular",IF(O2840&lt;=cota_s*100,0,IF(Tipo_Vertedor="Retangular",Cd_sr*Lef_sr*((O2840/100-cota_s)^(3/2))*1000)),IF(O2840&lt;=cota_s*100+fi_s/20,0,(OFFSET('Base de dados'!$A$4,IF(O2840&lt;20,1,IF(O2840&gt;1000,10,MATCH(O2840,Cargas,1))),Coluna_fis,1,1))*(PI()*(fi_s/1000)^2/4)*(2*9.81*(O2840/100-cota_s-fi_s/2/1000))^0.5*1000)))</f>
        <v>18185.354537282197</v>
      </c>
      <c r="R2840" s="19">
        <f t="shared" ca="1" si="310"/>
        <v>18256.885674727928</v>
      </c>
      <c r="S2840" s="19">
        <f t="shared" ca="1" si="311"/>
        <v>18308.748454266799</v>
      </c>
    </row>
    <row r="2841" spans="13:19">
      <c r="M2841" s="81">
        <f t="shared" ca="1" si="308"/>
        <v>36583.395978158063</v>
      </c>
      <c r="N2841" s="19">
        <f t="shared" si="309"/>
        <v>549.48003026179549</v>
      </c>
      <c r="O2841" s="17">
        <f t="shared" si="307"/>
        <v>710</v>
      </c>
      <c r="P2841" s="19">
        <f ca="1">IF(ISERROR(IF(O2841&lt;fi_h/20,0,(OFFSET('Base de dados'!$A$5,IF(O2841&lt;20,1,IF(O2841&gt;1000,10,MATCH(O2841,Cargas,1))),Coluna_fih,1,1))*(1+0.13*0.25)*(PI()*(fi_h/1000)^2/4)*SQRT(2*9.81*(O2841/100-fi_h/2/1000))*1000)),"",IF(O2841&lt;fi_h/20,0,(OFFSET('Base de dados'!$A$5,IF(O2841&lt;20,1,IF(O2841&gt;1000,10,MATCH(O2841,Cargas,1))),Coluna_fih,1,1))*(PI()*(fi_h/1000)^2/4)*SQRT(2*9.81*(O2841/100-fi_h/2/1000))*1000))</f>
        <v>71.543835175693275</v>
      </c>
      <c r="Q2841" s="19">
        <f ca="1">IF(O2841="","",IF(Tipo_Vertedor="Retangular",IF(O2841&lt;=cota_s*100,0,IF(Tipo_Vertedor="Retangular",Cd_sr*Lef_sr*((O2841/100-cota_s)^(3/2))*1000)),IF(O2841&lt;=cota_s*100+fi_s/20,0,(OFFSET('Base de dados'!$A$4,IF(O2841&lt;20,1,IF(O2841&gt;1000,10,MATCH(O2841,Cargas,1))),Coluna_fis,1,1))*(PI()*(fi_s/1000)^2/4)*(2*9.81*(O2841/100-cota_s-fi_s/2/1000))^0.5*1000)))</f>
        <v>18195.851134255856</v>
      </c>
      <c r="R2841" s="19">
        <f t="shared" ca="1" si="310"/>
        <v>18267.394969431549</v>
      </c>
      <c r="S2841" s="19">
        <f t="shared" ca="1" si="311"/>
        <v>18316.001008726518</v>
      </c>
    </row>
    <row r="2842" spans="13:19">
      <c r="M2842" s="81">
        <f t="shared" ca="1" si="308"/>
        <v>36601.160161973407</v>
      </c>
      <c r="N2842" s="19">
        <f t="shared" si="309"/>
        <v>549.69761643962909</v>
      </c>
      <c r="O2842" s="17">
        <f t="shared" si="307"/>
        <v>710.25</v>
      </c>
      <c r="P2842" s="19">
        <f ca="1">IF(ISERROR(IF(O2842&lt;fi_h/20,0,(OFFSET('Base de dados'!$A$5,IF(O2842&lt;20,1,IF(O2842&gt;1000,10,MATCH(O2842,Cargas,1))),Coluna_fih,1,1))*(1+0.13*0.25)*(PI()*(fi_h/1000)^2/4)*SQRT(2*9.81*(O2842/100-fi_h/2/1000))*1000)),"",IF(O2842&lt;fi_h/20,0,(OFFSET('Base de dados'!$A$5,IF(O2842&lt;20,1,IF(O2842&gt;1000,10,MATCH(O2842,Cargas,1))),Coluna_fih,1,1))*(PI()*(fi_h/1000)^2/4)*SQRT(2*9.81*(O2842/100-fi_h/2/1000))*1000))</f>
        <v>71.556530652438227</v>
      </c>
      <c r="Q2842" s="19">
        <f ca="1">IF(O2842="","",IF(Tipo_Vertedor="Retangular",IF(O2842&lt;=cota_s*100,0,IF(Tipo_Vertedor="Retangular",Cd_sr*Lef_sr*((O2842/100-cota_s)^(3/2))*1000)),IF(O2842&lt;=cota_s*100+fi_s/20,0,(OFFSET('Base de dados'!$A$4,IF(O2842&lt;20,1,IF(O2842&gt;1000,10,MATCH(O2842,Cargas,1))),Coluna_fis,1,1))*(PI()*(fi_s/1000)^2/4)*(2*9.81*(O2842/100-cota_s-fi_s/2/1000))^0.5*1000)))</f>
        <v>18206.349749999998</v>
      </c>
      <c r="R2842" s="19">
        <f t="shared" ca="1" si="310"/>
        <v>18277.906280652434</v>
      </c>
      <c r="S2842" s="19">
        <f t="shared" ca="1" si="311"/>
        <v>18323.253881320972</v>
      </c>
    </row>
    <row r="2843" spans="13:19">
      <c r="M2843" s="81">
        <f t="shared" ca="1" si="308"/>
        <v>36618.926679955854</v>
      </c>
      <c r="N2843" s="19">
        <f t="shared" si="309"/>
        <v>549.91521215856483</v>
      </c>
      <c r="O2843" s="17">
        <f t="shared" si="307"/>
        <v>710.5</v>
      </c>
      <c r="P2843" s="19">
        <f ca="1">IF(ISERROR(IF(O2843&lt;fi_h/20,0,(OFFSET('Base de dados'!$A$5,IF(O2843&lt;20,1,IF(O2843&gt;1000,10,MATCH(O2843,Cargas,1))),Coluna_fih,1,1))*(1+0.13*0.25)*(PI()*(fi_h/1000)^2/4)*SQRT(2*9.81*(O2843/100-fi_h/2/1000))*1000)),"",IF(O2843&lt;fi_h/20,0,(OFFSET('Base de dados'!$A$5,IF(O2843&lt;20,1,IF(O2843&gt;1000,10,MATCH(O2843,Cargas,1))),Coluna_fih,1,1))*(PI()*(fi_h/1000)^2/4)*SQRT(2*9.81*(O2843/100-fi_h/2/1000))*1000))</f>
        <v>71.569223877165896</v>
      </c>
      <c r="Q2843" s="19">
        <f ca="1">IF(O2843="","",IF(Tipo_Vertedor="Retangular",IF(O2843&lt;=cota_s*100,0,IF(Tipo_Vertedor="Retangular",Cd_sr*Lef_sr*((O2843/100-cota_s)^(3/2))*1000)),IF(O2843&lt;=cota_s*100+fi_s/20,0,(OFFSET('Base de dados'!$A$4,IF(O2843&lt;20,1,IF(O2843&gt;1000,10,MATCH(O2843,Cargas,1))),Coluna_fis,1,1))*(PI()*(fi_s/1000)^2/4)*(2*9.81*(O2843/100-cota_s-fi_s/2/1000))^0.5*1000)))</f>
        <v>18216.850384126526</v>
      </c>
      <c r="R2843" s="19">
        <f t="shared" ca="1" si="310"/>
        <v>18288.419608003693</v>
      </c>
      <c r="S2843" s="19">
        <f t="shared" ca="1" si="311"/>
        <v>18330.507071952161</v>
      </c>
    </row>
    <row r="2844" spans="13:19">
      <c r="M2844" s="81">
        <f t="shared" ca="1" si="308"/>
        <v>36636.695531620702</v>
      </c>
      <c r="N2844" s="19">
        <f t="shared" si="309"/>
        <v>550.132817415663</v>
      </c>
      <c r="O2844" s="17">
        <f t="shared" si="307"/>
        <v>710.75</v>
      </c>
      <c r="P2844" s="19">
        <f ca="1">IF(ISERROR(IF(O2844&lt;fi_h/20,0,(OFFSET('Base de dados'!$A$5,IF(O2844&lt;20,1,IF(O2844&gt;1000,10,MATCH(O2844,Cargas,1))),Coluna_fih,1,1))*(1+0.13*0.25)*(PI()*(fi_h/1000)^2/4)*SQRT(2*9.81*(O2844/100-fi_h/2/1000))*1000)),"",IF(O2844&lt;fi_h/20,0,(OFFSET('Base de dados'!$A$5,IF(O2844&lt;20,1,IF(O2844&gt;1000,10,MATCH(O2844,Cargas,1))),Coluna_fih,1,1))*(PI()*(fi_h/1000)^2/4)*SQRT(2*9.81*(O2844/100-fi_h/2/1000))*1000))</f>
        <v>71.581914851074316</v>
      </c>
      <c r="Q2844" s="19">
        <f ca="1">IF(O2844="","",IF(Tipo_Vertedor="Retangular",IF(O2844&lt;=cota_s*100,0,IF(Tipo_Vertedor="Retangular",Cd_sr*Lef_sr*((O2844/100-cota_s)^(3/2))*1000)),IF(O2844&lt;=cota_s*100+fi_s/20,0,(OFFSET('Base de dados'!$A$4,IF(O2844&lt;20,1,IF(O2844&gt;1000,10,MATCH(O2844,Cargas,1))),Coluna_fis,1,1))*(PI()*(fi_s/1000)^2/4)*(2*9.81*(O2844/100-cota_s-fi_s/2/1000))^0.5*1000)))</f>
        <v>18227.353036247521</v>
      </c>
      <c r="R2844" s="19">
        <f t="shared" ca="1" si="310"/>
        <v>18298.934951098596</v>
      </c>
      <c r="S2844" s="19">
        <f t="shared" ca="1" si="311"/>
        <v>18337.760580522103</v>
      </c>
    </row>
    <row r="2845" spans="13:19">
      <c r="M2845" s="81">
        <f t="shared" ca="1" si="308"/>
        <v>36654.466716483585</v>
      </c>
      <c r="N2845" s="19">
        <f t="shared" si="309"/>
        <v>550.3504322079865</v>
      </c>
      <c r="O2845" s="17">
        <f t="shared" si="307"/>
        <v>711</v>
      </c>
      <c r="P2845" s="19">
        <f ca="1">IF(ISERROR(IF(O2845&lt;fi_h/20,0,(OFFSET('Base de dados'!$A$5,IF(O2845&lt;20,1,IF(O2845&gt;1000,10,MATCH(O2845,Cargas,1))),Coluna_fih,1,1))*(1+0.13*0.25)*(PI()*(fi_h/1000)^2/4)*SQRT(2*9.81*(O2845/100-fi_h/2/1000))*1000)),"",IF(O2845&lt;fi_h/20,0,(OFFSET('Base de dados'!$A$5,IF(O2845&lt;20,1,IF(O2845&gt;1000,10,MATCH(O2845,Cargas,1))),Coluna_fih,1,1))*(PI()*(fi_h/1000)^2/4)*SQRT(2*9.81*(O2845/100-fi_h/2/1000))*1000))</f>
        <v>71.594603575360466</v>
      </c>
      <c r="Q2845" s="19">
        <f ca="1">IF(O2845="","",IF(Tipo_Vertedor="Retangular",IF(O2845&lt;=cota_s*100,0,IF(Tipo_Vertedor="Retangular",Cd_sr*Lef_sr*((O2845/100-cota_s)^(3/2))*1000)),IF(O2845&lt;=cota_s*100+fi_s/20,0,(OFFSET('Base de dados'!$A$4,IF(O2845&lt;20,1,IF(O2845&gt;1000,10,MATCH(O2845,Cargas,1))),Coluna_fis,1,1))*(PI()*(fi_s/1000)^2/4)*(2*9.81*(O2845/100-cota_s-fi_s/2/1000))^0.5*1000)))</f>
        <v>18237.857705975341</v>
      </c>
      <c r="R2845" s="19">
        <f t="shared" ca="1" si="310"/>
        <v>18309.452309550703</v>
      </c>
      <c r="S2845" s="19">
        <f t="shared" ca="1" si="311"/>
        <v>18345.014406932882</v>
      </c>
    </row>
    <row r="2846" spans="13:19">
      <c r="M2846" s="81">
        <f t="shared" ca="1" si="308"/>
        <v>36672.240234060446</v>
      </c>
      <c r="N2846" s="19">
        <f t="shared" si="309"/>
        <v>550.56805653260062</v>
      </c>
      <c r="O2846" s="17">
        <f t="shared" si="307"/>
        <v>711.25</v>
      </c>
      <c r="P2846" s="19">
        <f ca="1">IF(ISERROR(IF(O2846&lt;fi_h/20,0,(OFFSET('Base de dados'!$A$5,IF(O2846&lt;20,1,IF(O2846&gt;1000,10,MATCH(O2846,Cargas,1))),Coluna_fih,1,1))*(1+0.13*0.25)*(PI()*(fi_h/1000)^2/4)*SQRT(2*9.81*(O2846/100-fi_h/2/1000))*1000)),"",IF(O2846&lt;fi_h/20,0,(OFFSET('Base de dados'!$A$5,IF(O2846&lt;20,1,IF(O2846&gt;1000,10,MATCH(O2846,Cargas,1))),Coluna_fih,1,1))*(PI()*(fi_h/1000)^2/4)*SQRT(2*9.81*(O2846/100-fi_h/2/1000))*1000))</f>
        <v>71.607290051220204</v>
      </c>
      <c r="Q2846" s="19">
        <f ca="1">IF(O2846="","",IF(Tipo_Vertedor="Retangular",IF(O2846&lt;=cota_s*100,0,IF(Tipo_Vertedor="Retangular",Cd_sr*Lef_sr*((O2846/100-cota_s)^(3/2))*1000)),IF(O2846&lt;=cota_s*100+fi_s/20,0,(OFFSET('Base de dados'!$A$4,IF(O2846&lt;20,1,IF(O2846&gt;1000,10,MATCH(O2846,Cargas,1))),Coluna_fis,1,1))*(PI()*(fi_s/1000)^2/4)*(2*9.81*(O2846/100-cota_s-fi_s/2/1000))^0.5*1000)))</f>
        <v>18248.364392922533</v>
      </c>
      <c r="R2846" s="19">
        <f t="shared" ca="1" si="310"/>
        <v>18319.971682973752</v>
      </c>
      <c r="S2846" s="19">
        <f t="shared" ca="1" si="311"/>
        <v>18352.26855108669</v>
      </c>
    </row>
    <row r="2847" spans="13:19">
      <c r="M2847" s="81">
        <f t="shared" ca="1" si="308"/>
        <v>36690.016083867449</v>
      </c>
      <c r="N2847" s="19">
        <f t="shared" si="309"/>
        <v>550.78569038657167</v>
      </c>
      <c r="O2847" s="17">
        <f t="shared" si="307"/>
        <v>711.5</v>
      </c>
      <c r="P2847" s="19">
        <f ca="1">IF(ISERROR(IF(O2847&lt;fi_h/20,0,(OFFSET('Base de dados'!$A$5,IF(O2847&lt;20,1,IF(O2847&gt;1000,10,MATCH(O2847,Cargas,1))),Coluna_fih,1,1))*(1+0.13*0.25)*(PI()*(fi_h/1000)^2/4)*SQRT(2*9.81*(O2847/100-fi_h/2/1000))*1000)),"",IF(O2847&lt;fi_h/20,0,(OFFSET('Base de dados'!$A$5,IF(O2847&lt;20,1,IF(O2847&gt;1000,10,MATCH(O2847,Cargas,1))),Coluna_fih,1,1))*(PI()*(fi_h/1000)^2/4)*SQRT(2*9.81*(O2847/100-fi_h/2/1000))*1000))</f>
        <v>71.61997427984835</v>
      </c>
      <c r="Q2847" s="19">
        <f ca="1">IF(O2847="","",IF(Tipo_Vertedor="Retangular",IF(O2847&lt;=cota_s*100,0,IF(Tipo_Vertedor="Retangular",Cd_sr*Lef_sr*((O2847/100-cota_s)^(3/2))*1000)),IF(O2847&lt;=cota_s*100+fi_s/20,0,(OFFSET('Base de dados'!$A$4,IF(O2847&lt;20,1,IF(O2847&gt;1000,10,MATCH(O2847,Cargas,1))),Coluna_fis,1,1))*(PI()*(fi_s/1000)^2/4)*(2*9.81*(O2847/100-cota_s-fi_s/2/1000))^0.5*1000)))</f>
        <v>18258.873096701878</v>
      </c>
      <c r="R2847" s="19">
        <f t="shared" ca="1" si="310"/>
        <v>18330.493070981727</v>
      </c>
      <c r="S2847" s="19">
        <f t="shared" ca="1" si="311"/>
        <v>18359.523012885722</v>
      </c>
    </row>
    <row r="2848" spans="13:19">
      <c r="M2848" s="81">
        <f t="shared" ca="1" si="308"/>
        <v>36707.794265421122</v>
      </c>
      <c r="N2848" s="19">
        <f t="shared" si="309"/>
        <v>551.00333376696892</v>
      </c>
      <c r="O2848" s="17">
        <f t="shared" si="307"/>
        <v>711.75</v>
      </c>
      <c r="P2848" s="19">
        <f ca="1">IF(ISERROR(IF(O2848&lt;fi_h/20,0,(OFFSET('Base de dados'!$A$5,IF(O2848&lt;20,1,IF(O2848&gt;1000,10,MATCH(O2848,Cargas,1))),Coluna_fih,1,1))*(1+0.13*0.25)*(PI()*(fi_h/1000)^2/4)*SQRT(2*9.81*(O2848/100-fi_h/2/1000))*1000)),"",IF(O2848&lt;fi_h/20,0,(OFFSET('Base de dados'!$A$5,IF(O2848&lt;20,1,IF(O2848&gt;1000,10,MATCH(O2848,Cargas,1))),Coluna_fih,1,1))*(PI()*(fi_h/1000)^2/4)*SQRT(2*9.81*(O2848/100-fi_h/2/1000))*1000))</f>
        <v>71.632656262438729</v>
      </c>
      <c r="Q2848" s="19">
        <f ca="1">IF(O2848="","",IF(Tipo_Vertedor="Retangular",IF(O2848&lt;=cota_s*100,0,IF(Tipo_Vertedor="Retangular",Cd_sr*Lef_sr*((O2848/100-cota_s)^(3/2))*1000)),IF(O2848&lt;=cota_s*100+fi_s/20,0,(OFFSET('Base de dados'!$A$4,IF(O2848&lt;20,1,IF(O2848&gt;1000,10,MATCH(O2848,Cargas,1))),Coluna_fis,1,1))*(PI()*(fi_s/1000)^2/4)*(2*9.81*(O2848/100-cota_s-fi_s/2/1000))^0.5*1000)))</f>
        <v>18269.383816926384</v>
      </c>
      <c r="R2848" s="19">
        <f t="shared" ca="1" si="310"/>
        <v>18341.016473188822</v>
      </c>
      <c r="S2848" s="19">
        <f t="shared" ca="1" si="311"/>
        <v>18366.777792232297</v>
      </c>
    </row>
    <row r="2849" spans="13:19">
      <c r="M2849" s="81">
        <f t="shared" ca="1" si="308"/>
        <v>36725.57477823821</v>
      </c>
      <c r="N2849" s="19">
        <f t="shared" si="309"/>
        <v>551.22098667086254</v>
      </c>
      <c r="O2849" s="17">
        <f t="shared" si="307"/>
        <v>712</v>
      </c>
      <c r="P2849" s="19">
        <f ca="1">IF(ISERROR(IF(O2849&lt;fi_h/20,0,(OFFSET('Base de dados'!$A$5,IF(O2849&lt;20,1,IF(O2849&gt;1000,10,MATCH(O2849,Cargas,1))),Coluna_fih,1,1))*(1+0.13*0.25)*(PI()*(fi_h/1000)^2/4)*SQRT(2*9.81*(O2849/100-fi_h/2/1000))*1000)),"",IF(O2849&lt;fi_h/20,0,(OFFSET('Base de dados'!$A$5,IF(O2849&lt;20,1,IF(O2849&gt;1000,10,MATCH(O2849,Cargas,1))),Coluna_fih,1,1))*(PI()*(fi_h/1000)^2/4)*SQRT(2*9.81*(O2849/100-fi_h/2/1000))*1000))</f>
        <v>71.645336000184017</v>
      </c>
      <c r="Q2849" s="19">
        <f ca="1">IF(O2849="","",IF(Tipo_Vertedor="Retangular",IF(O2849&lt;=cota_s*100,0,IF(Tipo_Vertedor="Retangular",Cd_sr*Lef_sr*((O2849/100-cota_s)^(3/2))*1000)),IF(O2849&lt;=cota_s*100+fi_s/20,0,(OFFSET('Base de dados'!$A$4,IF(O2849&lt;20,1,IF(O2849&gt;1000,10,MATCH(O2849,Cargas,1))),Coluna_fis,1,1))*(PI()*(fi_s/1000)^2/4)*(2*9.81*(O2849/100-cota_s-fi_s/2/1000))^0.5*1000)))</f>
        <v>18279.89655320927</v>
      </c>
      <c r="R2849" s="19">
        <f t="shared" ca="1" si="310"/>
        <v>18351.541889209453</v>
      </c>
      <c r="S2849" s="19">
        <f t="shared" ca="1" si="311"/>
        <v>18374.032889028753</v>
      </c>
    </row>
    <row r="2850" spans="13:19">
      <c r="M2850" s="81">
        <f t="shared" ca="1" si="308"/>
        <v>36743.357621835763</v>
      </c>
      <c r="N2850" s="19">
        <f t="shared" si="309"/>
        <v>551.4386490953251</v>
      </c>
      <c r="O2850" s="17">
        <f t="shared" si="307"/>
        <v>712.25</v>
      </c>
      <c r="P2850" s="19">
        <f ca="1">IF(ISERROR(IF(O2850&lt;fi_h/20,0,(OFFSET('Base de dados'!$A$5,IF(O2850&lt;20,1,IF(O2850&gt;1000,10,MATCH(O2850,Cargas,1))),Coluna_fih,1,1))*(1+0.13*0.25)*(PI()*(fi_h/1000)^2/4)*SQRT(2*9.81*(O2850/100-fi_h/2/1000))*1000)),"",IF(O2850&lt;fi_h/20,0,(OFFSET('Base de dados'!$A$5,IF(O2850&lt;20,1,IF(O2850&gt;1000,10,MATCH(O2850,Cargas,1))),Coluna_fih,1,1))*(PI()*(fi_h/1000)^2/4)*SQRT(2*9.81*(O2850/100-fi_h/2/1000))*1000))</f>
        <v>71.658013494275906</v>
      </c>
      <c r="Q2850" s="19">
        <f ca="1">IF(O2850="","",IF(Tipo_Vertedor="Retangular",IF(O2850&lt;=cota_s*100,0,IF(Tipo_Vertedor="Retangular",Cd_sr*Lef_sr*((O2850/100-cota_s)^(3/2))*1000)),IF(O2850&lt;=cota_s*100+fi_s/20,0,(OFFSET('Base de dados'!$A$4,IF(O2850&lt;20,1,IF(O2850&gt;1000,10,MATCH(O2850,Cargas,1))),Coluna_fis,1,1))*(PI()*(fi_s/1000)^2/4)*(2*9.81*(O2850/100-cota_s-fi_s/2/1000))^0.5*1000)))</f>
        <v>18290.411305163987</v>
      </c>
      <c r="R2850" s="19">
        <f t="shared" ca="1" si="310"/>
        <v>18362.069318658261</v>
      </c>
      <c r="S2850" s="19">
        <f t="shared" ca="1" si="311"/>
        <v>18381.288303177505</v>
      </c>
    </row>
    <row r="2851" spans="13:19">
      <c r="M2851" s="81">
        <f t="shared" ca="1" si="308"/>
        <v>36761.142795731168</v>
      </c>
      <c r="N2851" s="19">
        <f t="shared" si="309"/>
        <v>551.65632103743133</v>
      </c>
      <c r="O2851" s="17">
        <f t="shared" si="307"/>
        <v>712.5</v>
      </c>
      <c r="P2851" s="19">
        <f ca="1">IF(ISERROR(IF(O2851&lt;fi_h/20,0,(OFFSET('Base de dados'!$A$5,IF(O2851&lt;20,1,IF(O2851&gt;1000,10,MATCH(O2851,Cargas,1))),Coluna_fih,1,1))*(1+0.13*0.25)*(PI()*(fi_h/1000)^2/4)*SQRT(2*9.81*(O2851/100-fi_h/2/1000))*1000)),"",IF(O2851&lt;fi_h/20,0,(OFFSET('Base de dados'!$A$5,IF(O2851&lt;20,1,IF(O2851&gt;1000,10,MATCH(O2851,Cargas,1))),Coluna_fih,1,1))*(PI()*(fi_h/1000)^2/4)*SQRT(2*9.81*(O2851/100-fi_h/2/1000))*1000))</f>
        <v>71.670688745904968</v>
      </c>
      <c r="Q2851" s="19">
        <f ca="1">IF(O2851="","",IF(Tipo_Vertedor="Retangular",IF(O2851&lt;=cota_s*100,0,IF(Tipo_Vertedor="Retangular",Cd_sr*Lef_sr*((O2851/100-cota_s)^(3/2))*1000)),IF(O2851&lt;=cota_s*100+fi_s/20,0,(OFFSET('Base de dados'!$A$4,IF(O2851&lt;20,1,IF(O2851&gt;1000,10,MATCH(O2851,Cargas,1))),Coluna_fis,1,1))*(PI()*(fi_s/1000)^2/4)*(2*9.81*(O2851/100-cota_s-fi_s/2/1000))^0.5*1000)))</f>
        <v>18300.928072404218</v>
      </c>
      <c r="R2851" s="19">
        <f t="shared" ca="1" si="310"/>
        <v>18372.598761150122</v>
      </c>
      <c r="S2851" s="19">
        <f t="shared" ca="1" si="311"/>
        <v>18388.544034581046</v>
      </c>
    </row>
    <row r="2852" spans="13:19">
      <c r="M2852" s="81">
        <f t="shared" ca="1" si="308"/>
        <v>36778.930299442029</v>
      </c>
      <c r="N2852" s="19">
        <f t="shared" si="309"/>
        <v>551.87400249425775</v>
      </c>
      <c r="O2852" s="17">
        <f t="shared" si="307"/>
        <v>712.75</v>
      </c>
      <c r="P2852" s="19">
        <f ca="1">IF(ISERROR(IF(O2852&lt;fi_h/20,0,(OFFSET('Base de dados'!$A$5,IF(O2852&lt;20,1,IF(O2852&gt;1000,10,MATCH(O2852,Cargas,1))),Coluna_fih,1,1))*(1+0.13*0.25)*(PI()*(fi_h/1000)^2/4)*SQRT(2*9.81*(O2852/100-fi_h/2/1000))*1000)),"",IF(O2852&lt;fi_h/20,0,(OFFSET('Base de dados'!$A$5,IF(O2852&lt;20,1,IF(O2852&gt;1000,10,MATCH(O2852,Cargas,1))),Coluna_fih,1,1))*(PI()*(fi_h/1000)^2/4)*SQRT(2*9.81*(O2852/100-fi_h/2/1000))*1000))</f>
        <v>71.68336175626078</v>
      </c>
      <c r="Q2852" s="19">
        <f ca="1">IF(O2852="","",IF(Tipo_Vertedor="Retangular",IF(O2852&lt;=cota_s*100,0,IF(Tipo_Vertedor="Retangular",Cd_sr*Lef_sr*((O2852/100-cota_s)^(3/2))*1000)),IF(O2852&lt;=cota_s*100+fi_s/20,0,(OFFSET('Base de dados'!$A$4,IF(O2852&lt;20,1,IF(O2852&gt;1000,10,MATCH(O2852,Cargas,1))),Coluna_fis,1,1))*(PI()*(fi_s/1000)^2/4)*(2*9.81*(O2852/100-cota_s-fi_s/2/1000))^0.5*1000)))</f>
        <v>18311.446854543843</v>
      </c>
      <c r="R2852" s="19">
        <f t="shared" ca="1" si="310"/>
        <v>18383.130216300106</v>
      </c>
      <c r="S2852" s="19">
        <f t="shared" ca="1" si="311"/>
        <v>18395.800083141927</v>
      </c>
    </row>
    <row r="2853" spans="13:19">
      <c r="M2853" s="81">
        <f t="shared" ca="1" si="308"/>
        <v>36796.720132486247</v>
      </c>
      <c r="N2853" s="19">
        <f t="shared" si="309"/>
        <v>552.09169346288229</v>
      </c>
      <c r="O2853" s="17">
        <f t="shared" si="307"/>
        <v>713</v>
      </c>
      <c r="P2853" s="19">
        <f ca="1">IF(ISERROR(IF(O2853&lt;fi_h/20,0,(OFFSET('Base de dados'!$A$5,IF(O2853&lt;20,1,IF(O2853&gt;1000,10,MATCH(O2853,Cargas,1))),Coluna_fih,1,1))*(1+0.13*0.25)*(PI()*(fi_h/1000)^2/4)*SQRT(2*9.81*(O2853/100-fi_h/2/1000))*1000)),"",IF(O2853&lt;fi_h/20,0,(OFFSET('Base de dados'!$A$5,IF(O2853&lt;20,1,IF(O2853&gt;1000,10,MATCH(O2853,Cargas,1))),Coluna_fih,1,1))*(PI()*(fi_h/1000)^2/4)*SQRT(2*9.81*(O2853/100-fi_h/2/1000))*1000))</f>
        <v>71.696032526531852</v>
      </c>
      <c r="Q2853" s="19">
        <f ca="1">IF(O2853="","",IF(Tipo_Vertedor="Retangular",IF(O2853&lt;=cota_s*100,0,IF(Tipo_Vertedor="Retangular",Cd_sr*Lef_sr*((O2853/100-cota_s)^(3/2))*1000)),IF(O2853&lt;=cota_s*100+fi_s/20,0,(OFFSET('Base de dados'!$A$4,IF(O2853&lt;20,1,IF(O2853&gt;1000,10,MATCH(O2853,Cargas,1))),Coluna_fis,1,1))*(PI()*(fi_s/1000)^2/4)*(2*9.81*(O2853/100-cota_s-fi_s/2/1000))^0.5*1000)))</f>
        <v>18321.96765119697</v>
      </c>
      <c r="R2853" s="19">
        <f t="shared" ca="1" si="310"/>
        <v>18393.663683723502</v>
      </c>
      <c r="S2853" s="19">
        <f t="shared" ca="1" si="311"/>
        <v>18403.056448762745</v>
      </c>
    </row>
    <row r="2854" spans="13:19">
      <c r="M2854" s="81">
        <f t="shared" ca="1" si="308"/>
        <v>36814.512294382046</v>
      </c>
      <c r="N2854" s="19">
        <f t="shared" si="309"/>
        <v>552.30939394038558</v>
      </c>
      <c r="O2854" s="17">
        <f t="shared" si="307"/>
        <v>713.25</v>
      </c>
      <c r="P2854" s="19">
        <f ca="1">IF(ISERROR(IF(O2854&lt;fi_h/20,0,(OFFSET('Base de dados'!$A$5,IF(O2854&lt;20,1,IF(O2854&gt;1000,10,MATCH(O2854,Cargas,1))),Coluna_fih,1,1))*(1+0.13*0.25)*(PI()*(fi_h/1000)^2/4)*SQRT(2*9.81*(O2854/100-fi_h/2/1000))*1000)),"",IF(O2854&lt;fi_h/20,0,(OFFSET('Base de dados'!$A$5,IF(O2854&lt;20,1,IF(O2854&gt;1000,10,MATCH(O2854,Cargas,1))),Coluna_fih,1,1))*(PI()*(fi_h/1000)^2/4)*SQRT(2*9.81*(O2854/100-fi_h/2/1000))*1000))</f>
        <v>71.708701057905643</v>
      </c>
      <c r="Q2854" s="19">
        <f ca="1">IF(O2854="","",IF(Tipo_Vertedor="Retangular",IF(O2854&lt;=cota_s*100,0,IF(Tipo_Vertedor="Retangular",Cd_sr*Lef_sr*((O2854/100-cota_s)^(3/2))*1000)),IF(O2854&lt;=cota_s*100+fi_s/20,0,(OFFSET('Base de dados'!$A$4,IF(O2854&lt;20,1,IF(O2854&gt;1000,10,MATCH(O2854,Cargas,1))),Coluna_fis,1,1))*(PI()*(fi_s/1000)^2/4)*(2*9.81*(O2854/100-cota_s-fi_s/2/1000))^0.5*1000)))</f>
        <v>18332.490461977952</v>
      </c>
      <c r="R2854" s="19">
        <f t="shared" ca="1" si="310"/>
        <v>18404.199163035857</v>
      </c>
      <c r="S2854" s="19">
        <f t="shared" ca="1" si="311"/>
        <v>18410.313131346185</v>
      </c>
    </row>
    <row r="2855" spans="13:19">
      <c r="M2855" s="81">
        <f t="shared" ca="1" si="308"/>
        <v>36832.306784647895</v>
      </c>
      <c r="N2855" s="19">
        <f t="shared" si="309"/>
        <v>552.52710392384984</v>
      </c>
      <c r="O2855" s="17">
        <f t="shared" si="307"/>
        <v>713.5</v>
      </c>
      <c r="P2855" s="19">
        <f ca="1">IF(ISERROR(IF(O2855&lt;fi_h/20,0,(OFFSET('Base de dados'!$A$5,IF(O2855&lt;20,1,IF(O2855&gt;1000,10,MATCH(O2855,Cargas,1))),Coluna_fih,1,1))*(1+0.13*0.25)*(PI()*(fi_h/1000)^2/4)*SQRT(2*9.81*(O2855/100-fi_h/2/1000))*1000)),"",IF(O2855&lt;fi_h/20,0,(OFFSET('Base de dados'!$A$5,IF(O2855&lt;20,1,IF(O2855&gt;1000,10,MATCH(O2855,Cargas,1))),Coluna_fih,1,1))*(PI()*(fi_h/1000)^2/4)*SQRT(2*9.81*(O2855/100-fi_h/2/1000))*1000))</f>
        <v>71.721367351568503</v>
      </c>
      <c r="Q2855" s="19">
        <f ca="1">IF(O2855="","",IF(Tipo_Vertedor="Retangular",IF(O2855&lt;=cota_s*100,0,IF(Tipo_Vertedor="Retangular",Cd_sr*Lef_sr*((O2855/100-cota_s)^(3/2))*1000)),IF(O2855&lt;=cota_s*100+fi_s/20,0,(OFFSET('Base de dados'!$A$4,IF(O2855&lt;20,1,IF(O2855&gt;1000,10,MATCH(O2855,Cargas,1))),Coluna_fis,1,1))*(PI()*(fi_s/1000)^2/4)*(2*9.81*(O2855/100-cota_s-fi_s/2/1000))^0.5*1000)))</f>
        <v>18343.015286501326</v>
      </c>
      <c r="R2855" s="19">
        <f t="shared" ca="1" si="310"/>
        <v>18414.736653852895</v>
      </c>
      <c r="S2855" s="19">
        <f t="shared" ca="1" si="311"/>
        <v>18417.570130794997</v>
      </c>
    </row>
    <row r="2856" spans="13:19">
      <c r="M2856" s="81">
        <f t="shared" ca="1" si="308"/>
        <v>36850.103602802585</v>
      </c>
      <c r="N2856" s="19">
        <f t="shared" si="309"/>
        <v>552.74482341035923</v>
      </c>
      <c r="O2856" s="17">
        <f t="shared" si="307"/>
        <v>713.75</v>
      </c>
      <c r="P2856" s="19">
        <f ca="1">IF(ISERROR(IF(O2856&lt;fi_h/20,0,(OFFSET('Base de dados'!$A$5,IF(O2856&lt;20,1,IF(O2856&gt;1000,10,MATCH(O2856,Cargas,1))),Coluna_fih,1,1))*(1+0.13*0.25)*(PI()*(fi_h/1000)^2/4)*SQRT(2*9.81*(O2856/100-fi_h/2/1000))*1000)),"",IF(O2856&lt;fi_h/20,0,(OFFSET('Base de dados'!$A$5,IF(O2856&lt;20,1,IF(O2856&gt;1000,10,MATCH(O2856,Cargas,1))),Coluna_fih,1,1))*(PI()*(fi_h/1000)^2/4)*SQRT(2*9.81*(O2856/100-fi_h/2/1000))*1000))</f>
        <v>71.73403140870586</v>
      </c>
      <c r="Q2856" s="19">
        <f ca="1">IF(O2856="","",IF(Tipo_Vertedor="Retangular",IF(O2856&lt;=cota_s*100,0,IF(Tipo_Vertedor="Retangular",Cd_sr*Lef_sr*((O2856/100-cota_s)^(3/2))*1000)),IF(O2856&lt;=cota_s*100+fi_s/20,0,(OFFSET('Base de dados'!$A$4,IF(O2856&lt;20,1,IF(O2856&gt;1000,10,MATCH(O2856,Cargas,1))),Coluna_fis,1,1))*(PI()*(fi_s/1000)^2/4)*(2*9.81*(O2856/100-cota_s-fi_s/2/1000))^0.5*1000)))</f>
        <v>18353.542124381907</v>
      </c>
      <c r="R2856" s="19">
        <f t="shared" ca="1" si="310"/>
        <v>18425.276155790612</v>
      </c>
      <c r="S2856" s="19">
        <f t="shared" ca="1" si="311"/>
        <v>18424.827447011972</v>
      </c>
    </row>
    <row r="2857" spans="13:19">
      <c r="M2857" s="81">
        <f t="shared" ca="1" si="308"/>
        <v>36867.902748365137</v>
      </c>
      <c r="N2857" s="19">
        <f t="shared" si="309"/>
        <v>552.96255239699917</v>
      </c>
      <c r="O2857" s="17">
        <f t="shared" si="307"/>
        <v>714</v>
      </c>
      <c r="P2857" s="19">
        <f ca="1">IF(ISERROR(IF(O2857&lt;fi_h/20,0,(OFFSET('Base de dados'!$A$5,IF(O2857&lt;20,1,IF(O2857&gt;1000,10,MATCH(O2857,Cargas,1))),Coluna_fih,1,1))*(1+0.13*0.25)*(PI()*(fi_h/1000)^2/4)*SQRT(2*9.81*(O2857/100-fi_h/2/1000))*1000)),"",IF(O2857&lt;fi_h/20,0,(OFFSET('Base de dados'!$A$5,IF(O2857&lt;20,1,IF(O2857&gt;1000,10,MATCH(O2857,Cargas,1))),Coluna_fih,1,1))*(PI()*(fi_h/1000)^2/4)*SQRT(2*9.81*(O2857/100-fi_h/2/1000))*1000))</f>
        <v>71.746693230502004</v>
      </c>
      <c r="Q2857" s="19">
        <f ca="1">IF(O2857="","",IF(Tipo_Vertedor="Retangular",IF(O2857&lt;=cota_s*100,0,IF(Tipo_Vertedor="Retangular",Cd_sr*Lef_sr*((O2857/100-cota_s)^(3/2))*1000)),IF(O2857&lt;=cota_s*100+fi_s/20,0,(OFFSET('Base de dados'!$A$4,IF(O2857&lt;20,1,IF(O2857&gt;1000,10,MATCH(O2857,Cargas,1))),Coluna_fis,1,1))*(PI()*(fi_s/1000)^2/4)*(2*9.81*(O2857/100-cota_s-fi_s/2/1000))^0.5*1000)))</f>
        <v>18364.070975234659</v>
      </c>
      <c r="R2857" s="19">
        <f t="shared" ca="1" si="310"/>
        <v>18435.817668465163</v>
      </c>
      <c r="S2857" s="19">
        <f t="shared" ca="1" si="311"/>
        <v>18432.085079899975</v>
      </c>
    </row>
    <row r="2858" spans="13:19">
      <c r="M2858" s="81">
        <f t="shared" ca="1" si="308"/>
        <v>36885.70422085491</v>
      </c>
      <c r="N2858" s="19">
        <f t="shared" si="309"/>
        <v>553.18029088085848</v>
      </c>
      <c r="O2858" s="17">
        <f t="shared" si="307"/>
        <v>714.25</v>
      </c>
      <c r="P2858" s="19">
        <f ca="1">IF(ISERROR(IF(O2858&lt;fi_h/20,0,(OFFSET('Base de dados'!$A$5,IF(O2858&lt;20,1,IF(O2858&gt;1000,10,MATCH(O2858,Cargas,1))),Coluna_fih,1,1))*(1+0.13*0.25)*(PI()*(fi_h/1000)^2/4)*SQRT(2*9.81*(O2858/100-fi_h/2/1000))*1000)),"",IF(O2858&lt;fi_h/20,0,(OFFSET('Base de dados'!$A$5,IF(O2858&lt;20,1,IF(O2858&gt;1000,10,MATCH(O2858,Cargas,1))),Coluna_fih,1,1))*(PI()*(fi_h/1000)^2/4)*SQRT(2*9.81*(O2858/100-fi_h/2/1000))*1000))</f>
        <v>71.759352818140172</v>
      </c>
      <c r="Q2858" s="19">
        <f ca="1">IF(O2858="","",IF(Tipo_Vertedor="Retangular",IF(O2858&lt;=cota_s*100,0,IF(Tipo_Vertedor="Retangular",Cd_sr*Lef_sr*((O2858/100-cota_s)^(3/2))*1000)),IF(O2858&lt;=cota_s*100+fi_s/20,0,(OFFSET('Base de dados'!$A$4,IF(O2858&lt;20,1,IF(O2858&gt;1000,10,MATCH(O2858,Cargas,1))),Coluna_fis,1,1))*(PI()*(fi_s/1000)^2/4)*(2*9.81*(O2858/100-cota_s-fi_s/2/1000))^0.5*1000)))</f>
        <v>18374.601838674826</v>
      </c>
      <c r="R2858" s="19">
        <f t="shared" ca="1" si="310"/>
        <v>18446.361191492964</v>
      </c>
      <c r="S2858" s="19">
        <f t="shared" ca="1" si="311"/>
        <v>18439.343029361949</v>
      </c>
    </row>
    <row r="2859" spans="13:19">
      <c r="M2859" s="81">
        <f t="shared" ca="1" si="308"/>
        <v>36903.508019791509</v>
      </c>
      <c r="N2859" s="19">
        <f t="shared" si="309"/>
        <v>553.39803885902631</v>
      </c>
      <c r="O2859" s="17">
        <f t="shared" si="307"/>
        <v>714.5</v>
      </c>
      <c r="P2859" s="19">
        <f ca="1">IF(ISERROR(IF(O2859&lt;fi_h/20,0,(OFFSET('Base de dados'!$A$5,IF(O2859&lt;20,1,IF(O2859&gt;1000,10,MATCH(O2859,Cargas,1))),Coluna_fih,1,1))*(1+0.13*0.25)*(PI()*(fi_h/1000)^2/4)*SQRT(2*9.81*(O2859/100-fi_h/2/1000))*1000)),"",IF(O2859&lt;fi_h/20,0,(OFFSET('Base de dados'!$A$5,IF(O2859&lt;20,1,IF(O2859&gt;1000,10,MATCH(O2859,Cargas,1))),Coluna_fih,1,1))*(PI()*(fi_h/1000)^2/4)*SQRT(2*9.81*(O2859/100-fi_h/2/1000))*1000))</f>
        <v>71.772010172802638</v>
      </c>
      <c r="Q2859" s="19">
        <f ca="1">IF(O2859="","",IF(Tipo_Vertedor="Retangular",IF(O2859&lt;=cota_s*100,0,IF(Tipo_Vertedor="Retangular",Cd_sr*Lef_sr*((O2859/100-cota_s)^(3/2))*1000)),IF(O2859&lt;=cota_s*100+fi_s/20,0,(OFFSET('Base de dados'!$A$4,IF(O2859&lt;20,1,IF(O2859&gt;1000,10,MATCH(O2859,Cargas,1))),Coluna_fis,1,1))*(PI()*(fi_s/1000)^2/4)*(2*9.81*(O2859/100-cota_s-fi_s/2/1000))^0.5*1000)))</f>
        <v>18385.134714317835</v>
      </c>
      <c r="R2859" s="19">
        <f t="shared" ca="1" si="310"/>
        <v>18456.906724490636</v>
      </c>
      <c r="S2859" s="19">
        <f t="shared" ca="1" si="311"/>
        <v>18446.601295300876</v>
      </c>
    </row>
    <row r="2860" spans="13:19">
      <c r="M2860" s="81">
        <f t="shared" ca="1" si="308"/>
        <v>36921.31414469485</v>
      </c>
      <c r="N2860" s="19">
        <f t="shared" si="309"/>
        <v>553.6157963285948</v>
      </c>
      <c r="O2860" s="17">
        <f t="shared" si="307"/>
        <v>714.75</v>
      </c>
      <c r="P2860" s="19">
        <f ca="1">IF(ISERROR(IF(O2860&lt;fi_h/20,0,(OFFSET('Base de dados'!$A$5,IF(O2860&lt;20,1,IF(O2860&gt;1000,10,MATCH(O2860,Cargas,1))),Coluna_fih,1,1))*(1+0.13*0.25)*(PI()*(fi_h/1000)^2/4)*SQRT(2*9.81*(O2860/100-fi_h/2/1000))*1000)),"",IF(O2860&lt;fi_h/20,0,(OFFSET('Base de dados'!$A$5,IF(O2860&lt;20,1,IF(O2860&gt;1000,10,MATCH(O2860,Cargas,1))),Coluna_fih,1,1))*(PI()*(fi_h/1000)^2/4)*SQRT(2*9.81*(O2860/100-fi_h/2/1000))*1000))</f>
        <v>71.78466529567055</v>
      </c>
      <c r="Q2860" s="19">
        <f ca="1">IF(O2860="","",IF(Tipo_Vertedor="Retangular",IF(O2860&lt;=cota_s*100,0,IF(Tipo_Vertedor="Retangular",Cd_sr*Lef_sr*((O2860/100-cota_s)^(3/2))*1000)),IF(O2860&lt;=cota_s*100+fi_s/20,0,(OFFSET('Base de dados'!$A$4,IF(O2860&lt;20,1,IF(O2860&gt;1000,10,MATCH(O2860,Cargas,1))),Coluna_fis,1,1))*(PI()*(fi_s/1000)^2/4)*(2*9.81*(O2860/100-cota_s-fi_s/2/1000))^0.5*1000)))</f>
        <v>18395.669601779351</v>
      </c>
      <c r="R2860" s="19">
        <f t="shared" ca="1" si="310"/>
        <v>18467.454267075023</v>
      </c>
      <c r="S2860" s="19">
        <f t="shared" ca="1" si="311"/>
        <v>18453.859877619827</v>
      </c>
    </row>
    <row r="2861" spans="13:19">
      <c r="M2861" s="81">
        <f t="shared" ca="1" si="308"/>
        <v>36939.122595085108</v>
      </c>
      <c r="N2861" s="19">
        <f t="shared" si="309"/>
        <v>553.83356328665764</v>
      </c>
      <c r="O2861" s="17">
        <f t="shared" si="307"/>
        <v>715</v>
      </c>
      <c r="P2861" s="19">
        <f ca="1">IF(ISERROR(IF(O2861&lt;fi_h/20,0,(OFFSET('Base de dados'!$A$5,IF(O2861&lt;20,1,IF(O2861&gt;1000,10,MATCH(O2861,Cargas,1))),Coluna_fih,1,1))*(1+0.13*0.25)*(PI()*(fi_h/1000)^2/4)*SQRT(2*9.81*(O2861/100-fi_h/2/1000))*1000)),"",IF(O2861&lt;fi_h/20,0,(OFFSET('Base de dados'!$A$5,IF(O2861&lt;20,1,IF(O2861&gt;1000,10,MATCH(O2861,Cargas,1))),Coluna_fih,1,1))*(PI()*(fi_h/1000)^2/4)*SQRT(2*9.81*(O2861/100-fi_h/2/1000))*1000))</f>
        <v>71.797318187924049</v>
      </c>
      <c r="Q2861" s="19">
        <f ca="1">IF(O2861="","",IF(Tipo_Vertedor="Retangular",IF(O2861&lt;=cota_s*100,0,IF(Tipo_Vertedor="Retangular",Cd_sr*Lef_sr*((O2861/100-cota_s)^(3/2))*1000)),IF(O2861&lt;=cota_s*100+fi_s/20,0,(OFFSET('Base de dados'!$A$4,IF(O2861&lt;20,1,IF(O2861&gt;1000,10,MATCH(O2861,Cargas,1))),Coluna_fis,1,1))*(PI()*(fi_s/1000)^2/4)*(2*9.81*(O2861/100-cota_s-fi_s/2/1000))^0.5*1000)))</f>
        <v>18406.20650067526</v>
      </c>
      <c r="R2861" s="19">
        <f t="shared" ca="1" si="310"/>
        <v>18478.003818863184</v>
      </c>
      <c r="S2861" s="19">
        <f t="shared" ca="1" si="311"/>
        <v>18461.118776221923</v>
      </c>
    </row>
    <row r="2862" spans="13:19">
      <c r="M2862" s="81">
        <f t="shared" ca="1" si="308"/>
        <v>36956.93337048273</v>
      </c>
      <c r="N2862" s="19">
        <f t="shared" si="309"/>
        <v>554.05133973031002</v>
      </c>
      <c r="O2862" s="17">
        <f t="shared" si="307"/>
        <v>715.25</v>
      </c>
      <c r="P2862" s="19">
        <f ca="1">IF(ISERROR(IF(O2862&lt;fi_h/20,0,(OFFSET('Base de dados'!$A$5,IF(O2862&lt;20,1,IF(O2862&gt;1000,10,MATCH(O2862,Cargas,1))),Coluna_fih,1,1))*(1+0.13*0.25)*(PI()*(fi_h/1000)^2/4)*SQRT(2*9.81*(O2862/100-fi_h/2/1000))*1000)),"",IF(O2862&lt;fi_h/20,0,(OFFSET('Base de dados'!$A$5,IF(O2862&lt;20,1,IF(O2862&gt;1000,10,MATCH(O2862,Cargas,1))),Coluna_fih,1,1))*(PI()*(fi_h/1000)^2/4)*SQRT(2*9.81*(O2862/100-fi_h/2/1000))*1000))</f>
        <v>71.809968850742251</v>
      </c>
      <c r="Q2862" s="19">
        <f ca="1">IF(O2862="","",IF(Tipo_Vertedor="Retangular",IF(O2862&lt;=cota_s*100,0,IF(Tipo_Vertedor="Retangular",Cd_sr*Lef_sr*((O2862/100-cota_s)^(3/2))*1000)),IF(O2862&lt;=cota_s*100+fi_s/20,0,(OFFSET('Base de dados'!$A$4,IF(O2862&lt;20,1,IF(O2862&gt;1000,10,MATCH(O2862,Cargas,1))),Coluna_fis,1,1))*(PI()*(fi_s/1000)^2/4)*(2*9.81*(O2862/100-cota_s-fi_s/2/1000))^0.5*1000)))</f>
        <v>18416.745410621657</v>
      </c>
      <c r="R2862" s="19">
        <f t="shared" ca="1" si="310"/>
        <v>18488.5553794724</v>
      </c>
      <c r="S2862" s="19">
        <f t="shared" ca="1" si="311"/>
        <v>18468.377991010333</v>
      </c>
    </row>
    <row r="2863" spans="13:19">
      <c r="M2863" s="81">
        <f t="shared" ca="1" si="308"/>
        <v>36974.7464704085</v>
      </c>
      <c r="N2863" s="19">
        <f t="shared" si="309"/>
        <v>554.26912565664986</v>
      </c>
      <c r="O2863" s="17">
        <f t="shared" si="307"/>
        <v>715.5</v>
      </c>
      <c r="P2863" s="19">
        <f ca="1">IF(ISERROR(IF(O2863&lt;fi_h/20,0,(OFFSET('Base de dados'!$A$5,IF(O2863&lt;20,1,IF(O2863&gt;1000,10,MATCH(O2863,Cargas,1))),Coluna_fih,1,1))*(1+0.13*0.25)*(PI()*(fi_h/1000)^2/4)*SQRT(2*9.81*(O2863/100-fi_h/2/1000))*1000)),"",IF(O2863&lt;fi_h/20,0,(OFFSET('Base de dados'!$A$5,IF(O2863&lt;20,1,IF(O2863&gt;1000,10,MATCH(O2863,Cargas,1))),Coluna_fih,1,1))*(PI()*(fi_h/1000)^2/4)*SQRT(2*9.81*(O2863/100-fi_h/2/1000))*1000))</f>
        <v>71.82261728530321</v>
      </c>
      <c r="Q2863" s="19">
        <f ca="1">IF(O2863="","",IF(Tipo_Vertedor="Retangular",IF(O2863&lt;=cota_s*100,0,IF(Tipo_Vertedor="Retangular",Cd_sr*Lef_sr*((O2863/100-cota_s)^(3/2))*1000)),IF(O2863&lt;=cota_s*100+fi_s/20,0,(OFFSET('Base de dados'!$A$4,IF(O2863&lt;20,1,IF(O2863&gt;1000,10,MATCH(O2863,Cargas,1))),Coluna_fis,1,1))*(PI()*(fi_s/1000)^2/4)*(2*9.81*(O2863/100-cota_s-fi_s/2/1000))^0.5*1000)))</f>
        <v>18427.286331234867</v>
      </c>
      <c r="R2863" s="19">
        <f t="shared" ca="1" si="310"/>
        <v>18499.10894852017</v>
      </c>
      <c r="S2863" s="19">
        <f t="shared" ca="1" si="311"/>
        <v>18475.637521888326</v>
      </c>
    </row>
    <row r="2864" spans="13:19">
      <c r="M2864" s="81">
        <f t="shared" ca="1" si="308"/>
        <v>36992.561894383434</v>
      </c>
      <c r="N2864" s="19">
        <f t="shared" si="309"/>
        <v>554.48692106277622</v>
      </c>
      <c r="O2864" s="17">
        <f t="shared" si="307"/>
        <v>715.75</v>
      </c>
      <c r="P2864" s="19">
        <f ca="1">IF(ISERROR(IF(O2864&lt;fi_h/20,0,(OFFSET('Base de dados'!$A$5,IF(O2864&lt;20,1,IF(O2864&gt;1000,10,MATCH(O2864,Cargas,1))),Coluna_fih,1,1))*(1+0.13*0.25)*(PI()*(fi_h/1000)^2/4)*SQRT(2*9.81*(O2864/100-fi_h/2/1000))*1000)),"",IF(O2864&lt;fi_h/20,0,(OFFSET('Base de dados'!$A$5,IF(O2864&lt;20,1,IF(O2864&gt;1000,10,MATCH(O2864,Cargas,1))),Coluna_fih,1,1))*(PI()*(fi_h/1000)^2/4)*SQRT(2*9.81*(O2864/100-fi_h/2/1000))*1000))</f>
        <v>71.835263492783938</v>
      </c>
      <c r="Q2864" s="19">
        <f ca="1">IF(O2864="","",IF(Tipo_Vertedor="Retangular",IF(O2864&lt;=cota_s*100,0,IF(Tipo_Vertedor="Retangular",Cd_sr*Lef_sr*((O2864/100-cota_s)^(3/2))*1000)),IF(O2864&lt;=cota_s*100+fi_s/20,0,(OFFSET('Base de dados'!$A$4,IF(O2864&lt;20,1,IF(O2864&gt;1000,10,MATCH(O2864,Cargas,1))),Coluna_fis,1,1))*(PI()*(fi_s/1000)^2/4)*(2*9.81*(O2864/100-cota_s-fi_s/2/1000))^0.5*1000)))</f>
        <v>18437.829262131443</v>
      </c>
      <c r="R2864" s="19">
        <f t="shared" ca="1" si="310"/>
        <v>18509.664525624226</v>
      </c>
      <c r="S2864" s="19">
        <f t="shared" ca="1" si="311"/>
        <v>18482.897368759208</v>
      </c>
    </row>
    <row r="2865" spans="13:19">
      <c r="M2865" s="81">
        <f t="shared" ca="1" si="308"/>
        <v>37010.379641928848</v>
      </c>
      <c r="N2865" s="19">
        <f t="shared" si="309"/>
        <v>554.70472594579076</v>
      </c>
      <c r="O2865" s="17">
        <f t="shared" si="307"/>
        <v>716</v>
      </c>
      <c r="P2865" s="19">
        <f ca="1">IF(ISERROR(IF(O2865&lt;fi_h/20,0,(OFFSET('Base de dados'!$A$5,IF(O2865&lt;20,1,IF(O2865&gt;1000,10,MATCH(O2865,Cargas,1))),Coluna_fih,1,1))*(1+0.13*0.25)*(PI()*(fi_h/1000)^2/4)*SQRT(2*9.81*(O2865/100-fi_h/2/1000))*1000)),"",IF(O2865&lt;fi_h/20,0,(OFFSET('Base de dados'!$A$5,IF(O2865&lt;20,1,IF(O2865&gt;1000,10,MATCH(O2865,Cargas,1))),Coluna_fih,1,1))*(PI()*(fi_h/1000)^2/4)*SQRT(2*9.81*(O2865/100-fi_h/2/1000))*1000))</f>
        <v>71.84790747436044</v>
      </c>
      <c r="Q2865" s="19">
        <f ca="1">IF(O2865="","",IF(Tipo_Vertedor="Retangular",IF(O2865&lt;=cota_s*100,0,IF(Tipo_Vertedor="Retangular",Cd_sr*Lef_sr*((O2865/100-cota_s)^(3/2))*1000)),IF(O2865&lt;=cota_s*100+fi_s/20,0,(OFFSET('Base de dados'!$A$4,IF(O2865&lt;20,1,IF(O2865&gt;1000,10,MATCH(O2865,Cargas,1))),Coluna_fis,1,1))*(PI()*(fi_s/1000)^2/4)*(2*9.81*(O2865/100-cota_s-fi_s/2/1000))^0.5*1000)))</f>
        <v>18448.374202928131</v>
      </c>
      <c r="R2865" s="19">
        <f t="shared" ca="1" si="310"/>
        <v>18520.22211040249</v>
      </c>
      <c r="S2865" s="19">
        <f t="shared" ca="1" si="311"/>
        <v>18490.157531526358</v>
      </c>
    </row>
    <row r="2866" spans="13:19">
      <c r="M2866" s="81">
        <f t="shared" ca="1" si="308"/>
        <v>37028.199712566318</v>
      </c>
      <c r="N2866" s="19">
        <f t="shared" si="309"/>
        <v>554.92254030279605</v>
      </c>
      <c r="O2866" s="17">
        <f t="shared" si="307"/>
        <v>716.25</v>
      </c>
      <c r="P2866" s="19">
        <f ca="1">IF(ISERROR(IF(O2866&lt;fi_h/20,0,(OFFSET('Base de dados'!$A$5,IF(O2866&lt;20,1,IF(O2866&gt;1000,10,MATCH(O2866,Cargas,1))),Coluna_fih,1,1))*(1+0.13*0.25)*(PI()*(fi_h/1000)^2/4)*SQRT(2*9.81*(O2866/100-fi_h/2/1000))*1000)),"",IF(O2866&lt;fi_h/20,0,(OFFSET('Base de dados'!$A$5,IF(O2866&lt;20,1,IF(O2866&gt;1000,10,MATCH(O2866,Cargas,1))),Coluna_fih,1,1))*(PI()*(fi_h/1000)^2/4)*SQRT(2*9.81*(O2866/100-fi_h/2/1000))*1000))</f>
        <v>71.860549231207671</v>
      </c>
      <c r="Q2866" s="19">
        <f ca="1">IF(O2866="","",IF(Tipo_Vertedor="Retangular",IF(O2866&lt;=cota_s*100,0,IF(Tipo_Vertedor="Retangular",Cd_sr*Lef_sr*((O2866/100-cota_s)^(3/2))*1000)),IF(O2866&lt;=cota_s*100+fi_s/20,0,(OFFSET('Base de dados'!$A$4,IF(O2866&lt;20,1,IF(O2866&gt;1000,10,MATCH(O2866,Cargas,1))),Coluna_fis,1,1))*(PI()*(fi_s/1000)^2/4)*(2*9.81*(O2866/100-cota_s-fi_s/2/1000))^0.5*1000)))</f>
        <v>18458.921153241907</v>
      </c>
      <c r="R2866" s="19">
        <f t="shared" ca="1" si="310"/>
        <v>18530.781702473116</v>
      </c>
      <c r="S2866" s="19">
        <f t="shared" ca="1" si="311"/>
        <v>18497.418010093203</v>
      </c>
    </row>
    <row r="2867" spans="13:19">
      <c r="M2867" s="81">
        <f t="shared" ca="1" si="308"/>
        <v>37046.022105817756</v>
      </c>
      <c r="N2867" s="19">
        <f t="shared" si="309"/>
        <v>555.14036413089809</v>
      </c>
      <c r="O2867" s="17">
        <f t="shared" si="307"/>
        <v>716.5</v>
      </c>
      <c r="P2867" s="19">
        <f ca="1">IF(ISERROR(IF(O2867&lt;fi_h/20,0,(OFFSET('Base de dados'!$A$5,IF(O2867&lt;20,1,IF(O2867&gt;1000,10,MATCH(O2867,Cargas,1))),Coluna_fih,1,1))*(1+0.13*0.25)*(PI()*(fi_h/1000)^2/4)*SQRT(2*9.81*(O2867/100-fi_h/2/1000))*1000)),"",IF(O2867&lt;fi_h/20,0,(OFFSET('Base de dados'!$A$5,IF(O2867&lt;20,1,IF(O2867&gt;1000,10,MATCH(O2867,Cargas,1))),Coluna_fih,1,1))*(PI()*(fi_h/1000)^2/4)*SQRT(2*9.81*(O2867/100-fi_h/2/1000))*1000))</f>
        <v>71.873188764499531</v>
      </c>
      <c r="Q2867" s="19">
        <f ca="1">IF(O2867="","",IF(Tipo_Vertedor="Retangular",IF(O2867&lt;=cota_s*100,0,IF(Tipo_Vertedor="Retangular",Cd_sr*Lef_sr*((O2867/100-cota_s)^(3/2))*1000)),IF(O2867&lt;=cota_s*100+fi_s/20,0,(OFFSET('Base de dados'!$A$4,IF(O2867&lt;20,1,IF(O2867&gt;1000,10,MATCH(O2867,Cargas,1))),Coluna_fis,1,1))*(PI()*(fi_s/1000)^2/4)*(2*9.81*(O2867/100-cota_s-fi_s/2/1000))^0.5*1000)))</f>
        <v>18469.470112689985</v>
      </c>
      <c r="R2867" s="19">
        <f t="shared" ca="1" si="310"/>
        <v>18541.343301454486</v>
      </c>
      <c r="S2867" s="19">
        <f t="shared" ca="1" si="311"/>
        <v>18504.678804363273</v>
      </c>
    </row>
    <row r="2868" spans="13:19">
      <c r="M2868" s="81">
        <f t="shared" ca="1" si="308"/>
        <v>37063.846821205283</v>
      </c>
      <c r="N2868" s="19">
        <f t="shared" si="309"/>
        <v>555.35819742720287</v>
      </c>
      <c r="O2868" s="17">
        <f t="shared" si="307"/>
        <v>716.75</v>
      </c>
      <c r="P2868" s="19">
        <f ca="1">IF(ISERROR(IF(O2868&lt;fi_h/20,0,(OFFSET('Base de dados'!$A$5,IF(O2868&lt;20,1,IF(O2868&gt;1000,10,MATCH(O2868,Cargas,1))),Coluna_fih,1,1))*(1+0.13*0.25)*(PI()*(fi_h/1000)^2/4)*SQRT(2*9.81*(O2868/100-fi_h/2/1000))*1000)),"",IF(O2868&lt;fi_h/20,0,(OFFSET('Base de dados'!$A$5,IF(O2868&lt;20,1,IF(O2868&gt;1000,10,MATCH(O2868,Cargas,1))),Coluna_fih,1,1))*(PI()*(fi_h/1000)^2/4)*SQRT(2*9.81*(O2868/100-fi_h/2/1000))*1000))</f>
        <v>71.885826075408943</v>
      </c>
      <c r="Q2868" s="19">
        <f ca="1">IF(O2868="","",IF(Tipo_Vertedor="Retangular",IF(O2868&lt;=cota_s*100,0,IF(Tipo_Vertedor="Retangular",Cd_sr*Lef_sr*((O2868/100-cota_s)^(3/2))*1000)),IF(O2868&lt;=cota_s*100+fi_s/20,0,(OFFSET('Base de dados'!$A$4,IF(O2868&lt;20,1,IF(O2868&gt;1000,10,MATCH(O2868,Cargas,1))),Coluna_fis,1,1))*(PI()*(fi_s/1000)^2/4)*(2*9.81*(O2868/100-cota_s-fi_s/2/1000))^0.5*1000)))</f>
        <v>18480.021080889779</v>
      </c>
      <c r="R2868" s="19">
        <f t="shared" ca="1" si="310"/>
        <v>18551.906906965189</v>
      </c>
      <c r="S2868" s="19">
        <f t="shared" ca="1" si="311"/>
        <v>18511.939914240094</v>
      </c>
    </row>
    <row r="2869" spans="13:19">
      <c r="M2869" s="81">
        <f t="shared" ca="1" si="308"/>
        <v>37081.673858251328</v>
      </c>
      <c r="N2869" s="19">
        <f t="shared" si="309"/>
        <v>555.57604018881977</v>
      </c>
      <c r="O2869" s="17">
        <f t="shared" si="307"/>
        <v>717</v>
      </c>
      <c r="P2869" s="19">
        <f ca="1">IF(ISERROR(IF(O2869&lt;fi_h/20,0,(OFFSET('Base de dados'!$A$5,IF(O2869&lt;20,1,IF(O2869&gt;1000,10,MATCH(O2869,Cargas,1))),Coluna_fih,1,1))*(1+0.13*0.25)*(PI()*(fi_h/1000)^2/4)*SQRT(2*9.81*(O2869/100-fi_h/2/1000))*1000)),"",IF(O2869&lt;fi_h/20,0,(OFFSET('Base de dados'!$A$5,IF(O2869&lt;20,1,IF(O2869&gt;1000,10,MATCH(O2869,Cargas,1))),Coluna_fih,1,1))*(PI()*(fi_h/1000)^2/4)*SQRT(2*9.81*(O2869/100-fi_h/2/1000))*1000))</f>
        <v>71.898461165107761</v>
      </c>
      <c r="Q2869" s="19">
        <f ca="1">IF(O2869="","",IF(Tipo_Vertedor="Retangular",IF(O2869&lt;=cota_s*100,0,IF(Tipo_Vertedor="Retangular",Cd_sr*Lef_sr*((O2869/100-cota_s)^(3/2))*1000)),IF(O2869&lt;=cota_s*100+fi_s/20,0,(OFFSET('Base de dados'!$A$4,IF(O2869&lt;20,1,IF(O2869&gt;1000,10,MATCH(O2869,Cargas,1))),Coluna_fis,1,1))*(PI()*(fi_s/1000)^2/4)*(2*9.81*(O2869/100-cota_s-fi_s/2/1000))^0.5*1000)))</f>
        <v>18490.574057458896</v>
      </c>
      <c r="R2869" s="19">
        <f t="shared" ca="1" si="310"/>
        <v>18562.472518624003</v>
      </c>
      <c r="S2869" s="19">
        <f t="shared" ca="1" si="311"/>
        <v>18519.201339627325</v>
      </c>
    </row>
    <row r="2870" spans="13:19">
      <c r="M2870" s="81">
        <f t="shared" ca="1" si="308"/>
        <v>37099.503216478653</v>
      </c>
      <c r="N2870" s="19">
        <f t="shared" si="309"/>
        <v>555.79389241285958</v>
      </c>
      <c r="O2870" s="17">
        <f t="shared" si="307"/>
        <v>717.25</v>
      </c>
      <c r="P2870" s="19">
        <f ca="1">IF(ISERROR(IF(O2870&lt;fi_h/20,0,(OFFSET('Base de dados'!$A$5,IF(O2870&lt;20,1,IF(O2870&gt;1000,10,MATCH(O2870,Cargas,1))),Coluna_fih,1,1))*(1+0.13*0.25)*(PI()*(fi_h/1000)^2/4)*SQRT(2*9.81*(O2870/100-fi_h/2/1000))*1000)),"",IF(O2870&lt;fi_h/20,0,(OFFSET('Base de dados'!$A$5,IF(O2870&lt;20,1,IF(O2870&gt;1000,10,MATCH(O2870,Cargas,1))),Coluna_fih,1,1))*(PI()*(fi_h/1000)^2/4)*SQRT(2*9.81*(O2870/100-fi_h/2/1000))*1000))</f>
        <v>71.911094034766762</v>
      </c>
      <c r="Q2870" s="19">
        <f ca="1">IF(O2870="","",IF(Tipo_Vertedor="Retangular",IF(O2870&lt;=cota_s*100,0,IF(Tipo_Vertedor="Retangular",Cd_sr*Lef_sr*((O2870/100-cota_s)^(3/2))*1000)),IF(O2870&lt;=cota_s*100+fi_s/20,0,(OFFSET('Base de dados'!$A$4,IF(O2870&lt;20,1,IF(O2870&gt;1000,10,MATCH(O2870,Cargas,1))),Coluna_fis,1,1))*(PI()*(fi_s/1000)^2/4)*(2*9.81*(O2870/100-cota_s-fi_s/2/1000))^0.5*1000)))</f>
        <v>18501.129042015233</v>
      </c>
      <c r="R2870" s="19">
        <f t="shared" ca="1" si="310"/>
        <v>18573.04013605</v>
      </c>
      <c r="S2870" s="19">
        <f t="shared" ca="1" si="311"/>
        <v>18526.463080428653</v>
      </c>
    </row>
    <row r="2871" spans="13:19">
      <c r="M2871" s="81">
        <f t="shared" ca="1" si="308"/>
        <v>37117.334895410211</v>
      </c>
      <c r="N2871" s="19">
        <f t="shared" si="309"/>
        <v>556.01175409643474</v>
      </c>
      <c r="O2871" s="17">
        <f t="shared" si="307"/>
        <v>717.5</v>
      </c>
      <c r="P2871" s="19">
        <f ca="1">IF(ISERROR(IF(O2871&lt;fi_h/20,0,(OFFSET('Base de dados'!$A$5,IF(O2871&lt;20,1,IF(O2871&gt;1000,10,MATCH(O2871,Cargas,1))),Coluna_fih,1,1))*(1+0.13*0.25)*(PI()*(fi_h/1000)^2/4)*SQRT(2*9.81*(O2871/100-fi_h/2/1000))*1000)),"",IF(O2871&lt;fi_h/20,0,(OFFSET('Base de dados'!$A$5,IF(O2871&lt;20,1,IF(O2871&gt;1000,10,MATCH(O2871,Cargas,1))),Coluna_fih,1,1))*(PI()*(fi_h/1000)^2/4)*SQRT(2*9.81*(O2871/100-fi_h/2/1000))*1000))</f>
        <v>71.923724685555811</v>
      </c>
      <c r="Q2871" s="19">
        <f ca="1">IF(O2871="","",IF(Tipo_Vertedor="Retangular",IF(O2871&lt;=cota_s*100,0,IF(Tipo_Vertedor="Retangular",Cd_sr*Lef_sr*((O2871/100-cota_s)^(3/2))*1000)),IF(O2871&lt;=cota_s*100+fi_s/20,0,(OFFSET('Base de dados'!$A$4,IF(O2871&lt;20,1,IF(O2871&gt;1000,10,MATCH(O2871,Cargas,1))),Coluna_fis,1,1))*(PI()*(fi_s/1000)^2/4)*(2*9.81*(O2871/100-cota_s-fi_s/2/1000))^0.5*1000)))</f>
        <v>18511.686034176833</v>
      </c>
      <c r="R2871" s="19">
        <f t="shared" ca="1" si="310"/>
        <v>18583.609758862389</v>
      </c>
      <c r="S2871" s="19">
        <f t="shared" ca="1" si="311"/>
        <v>18533.725136547822</v>
      </c>
    </row>
    <row r="2872" spans="13:19">
      <c r="M2872" s="81">
        <f t="shared" ca="1" si="308"/>
        <v>37135.168894569317</v>
      </c>
      <c r="N2872" s="19">
        <f t="shared" si="309"/>
        <v>556.22962523666001</v>
      </c>
      <c r="O2872" s="17">
        <f t="shared" si="307"/>
        <v>717.75</v>
      </c>
      <c r="P2872" s="19">
        <f ca="1">IF(ISERROR(IF(O2872&lt;fi_h/20,0,(OFFSET('Base de dados'!$A$5,IF(O2872&lt;20,1,IF(O2872&gt;1000,10,MATCH(O2872,Cargas,1))),Coluna_fih,1,1))*(1+0.13*0.25)*(PI()*(fi_h/1000)^2/4)*SQRT(2*9.81*(O2872/100-fi_h/2/1000))*1000)),"",IF(O2872&lt;fi_h/20,0,(OFFSET('Base de dados'!$A$5,IF(O2872&lt;20,1,IF(O2872&gt;1000,10,MATCH(O2872,Cargas,1))),Coluna_fih,1,1))*(PI()*(fi_h/1000)^2/4)*SQRT(2*9.81*(O2872/100-fi_h/2/1000))*1000))</f>
        <v>71.936353118643666</v>
      </c>
      <c r="Q2872" s="19">
        <f ca="1">IF(O2872="","",IF(Tipo_Vertedor="Retangular",IF(O2872&lt;=cota_s*100,0,IF(Tipo_Vertedor="Retangular",Cd_sr*Lef_sr*((O2872/100-cota_s)^(3/2))*1000)),IF(O2872&lt;=cota_s*100+fi_s/20,0,(OFFSET('Base de dados'!$A$4,IF(O2872&lt;20,1,IF(O2872&gt;1000,10,MATCH(O2872,Cargas,1))),Coluna_fis,1,1))*(PI()*(fi_s/1000)^2/4)*(2*9.81*(O2872/100-cota_s-fi_s/2/1000))^0.5*1000)))</f>
        <v>18522.245033562005</v>
      </c>
      <c r="R2872" s="19">
        <f t="shared" ca="1" si="310"/>
        <v>18594.181386680648</v>
      </c>
      <c r="S2872" s="19">
        <f t="shared" ca="1" si="311"/>
        <v>18540.987507888665</v>
      </c>
    </row>
    <row r="2873" spans="13:19">
      <c r="M2873" s="81">
        <f t="shared" ca="1" si="308"/>
        <v>37153.005213479468</v>
      </c>
      <c r="N2873" s="19">
        <f t="shared" si="309"/>
        <v>556.44750583065149</v>
      </c>
      <c r="O2873" s="17">
        <f t="shared" si="307"/>
        <v>718</v>
      </c>
      <c r="P2873" s="19">
        <f ca="1">IF(ISERROR(IF(O2873&lt;fi_h/20,0,(OFFSET('Base de dados'!$A$5,IF(O2873&lt;20,1,IF(O2873&gt;1000,10,MATCH(O2873,Cargas,1))),Coluna_fih,1,1))*(1+0.13*0.25)*(PI()*(fi_h/1000)^2/4)*SQRT(2*9.81*(O2873/100-fi_h/2/1000))*1000)),"",IF(O2873&lt;fi_h/20,0,(OFFSET('Base de dados'!$A$5,IF(O2873&lt;20,1,IF(O2873&gt;1000,10,MATCH(O2873,Cargas,1))),Coluna_fih,1,1))*(PI()*(fi_h/1000)^2/4)*SQRT(2*9.81*(O2873/100-fi_h/2/1000))*1000))</f>
        <v>71.948979335198047</v>
      </c>
      <c r="Q2873" s="19">
        <f ca="1">IF(O2873="","",IF(Tipo_Vertedor="Retangular",IF(O2873&lt;=cota_s*100,0,IF(Tipo_Vertedor="Retangular",Cd_sr*Lef_sr*((O2873/100-cota_s)^(3/2))*1000)),IF(O2873&lt;=cota_s*100+fi_s/20,0,(OFFSET('Base de dados'!$A$4,IF(O2873&lt;20,1,IF(O2873&gt;1000,10,MATCH(O2873,Cargas,1))),Coluna_fis,1,1))*(PI()*(fi_s/1000)^2/4)*(2*9.81*(O2873/100-cota_s-fi_s/2/1000))^0.5*1000)))</f>
        <v>18532.806039789226</v>
      </c>
      <c r="R2873" s="19">
        <f t="shared" ca="1" si="310"/>
        <v>18604.755019124423</v>
      </c>
      <c r="S2873" s="19">
        <f t="shared" ca="1" si="311"/>
        <v>18548.250194355049</v>
      </c>
    </row>
    <row r="2874" spans="13:19">
      <c r="M2874" s="81">
        <f t="shared" ca="1" si="308"/>
        <v>37170.843851664569</v>
      </c>
      <c r="N2874" s="19">
        <f t="shared" si="309"/>
        <v>556.66539587552779</v>
      </c>
      <c r="O2874" s="17">
        <f t="shared" si="307"/>
        <v>718.25</v>
      </c>
      <c r="P2874" s="19">
        <f ca="1">IF(ISERROR(IF(O2874&lt;fi_h/20,0,(OFFSET('Base de dados'!$A$5,IF(O2874&lt;20,1,IF(O2874&gt;1000,10,MATCH(O2874,Cargas,1))),Coluna_fih,1,1))*(1+0.13*0.25)*(PI()*(fi_h/1000)^2/4)*SQRT(2*9.81*(O2874/100-fi_h/2/1000))*1000)),"",IF(O2874&lt;fi_h/20,0,(OFFSET('Base de dados'!$A$5,IF(O2874&lt;20,1,IF(O2874&gt;1000,10,MATCH(O2874,Cargas,1))),Coluna_fih,1,1))*(PI()*(fi_h/1000)^2/4)*SQRT(2*9.81*(O2874/100-fi_h/2/1000))*1000))</f>
        <v>71.961603336385693</v>
      </c>
      <c r="Q2874" s="19">
        <f ca="1">IF(O2874="","",IF(Tipo_Vertedor="Retangular",IF(O2874&lt;=cota_s*100,0,IF(Tipo_Vertedor="Retangular",Cd_sr*Lef_sr*((O2874/100-cota_s)^(3/2))*1000)),IF(O2874&lt;=cota_s*100+fi_s/20,0,(OFFSET('Base de dados'!$A$4,IF(O2874&lt;20,1,IF(O2874&gt;1000,10,MATCH(O2874,Cargas,1))),Coluna_fis,1,1))*(PI()*(fi_s/1000)^2/4)*(2*9.81*(O2874/100-cota_s-fi_s/2/1000))^0.5*1000)))</f>
        <v>18543.369052477254</v>
      </c>
      <c r="R2874" s="19">
        <f t="shared" ca="1" si="310"/>
        <v>18615.330655813639</v>
      </c>
      <c r="S2874" s="19">
        <f t="shared" ca="1" si="311"/>
        <v>18555.513195850926</v>
      </c>
    </row>
    <row r="2875" spans="13:19">
      <c r="M2875" s="81">
        <f t="shared" ca="1" si="308"/>
        <v>37188.684808648679</v>
      </c>
      <c r="N2875" s="19">
        <f t="shared" si="309"/>
        <v>556.88329536840877</v>
      </c>
      <c r="O2875" s="17">
        <f t="shared" si="307"/>
        <v>718.5</v>
      </c>
      <c r="P2875" s="19">
        <f ca="1">IF(ISERROR(IF(O2875&lt;fi_h/20,0,(OFFSET('Base de dados'!$A$5,IF(O2875&lt;20,1,IF(O2875&gt;1000,10,MATCH(O2875,Cargas,1))),Coluna_fih,1,1))*(1+0.13*0.25)*(PI()*(fi_h/1000)^2/4)*SQRT(2*9.81*(O2875/100-fi_h/2/1000))*1000)),"",IF(O2875&lt;fi_h/20,0,(OFFSET('Base de dados'!$A$5,IF(O2875&lt;20,1,IF(O2875&gt;1000,10,MATCH(O2875,Cargas,1))),Coluna_fih,1,1))*(PI()*(fi_h/1000)^2/4)*SQRT(2*9.81*(O2875/100-fi_h/2/1000))*1000))</f>
        <v>71.974225123372335</v>
      </c>
      <c r="Q2875" s="19">
        <f ca="1">IF(O2875="","",IF(Tipo_Vertedor="Retangular",IF(O2875&lt;=cota_s*100,0,IF(Tipo_Vertedor="Retangular",Cd_sr*Lef_sr*((O2875/100-cota_s)^(3/2))*1000)),IF(O2875&lt;=cota_s*100+fi_s/20,0,(OFFSET('Base de dados'!$A$4,IF(O2875&lt;20,1,IF(O2875&gt;1000,10,MATCH(O2875,Cargas,1))),Coluna_fis,1,1))*(PI()*(fi_s/1000)^2/4)*(2*9.81*(O2875/100-cota_s-fi_s/2/1000))^0.5*1000)))</f>
        <v>18553.934071245014</v>
      </c>
      <c r="R2875" s="19">
        <f t="shared" ca="1" si="310"/>
        <v>18625.908296368387</v>
      </c>
      <c r="S2875" s="19">
        <f t="shared" ca="1" si="311"/>
        <v>18562.776512280292</v>
      </c>
    </row>
    <row r="2876" spans="13:19">
      <c r="M2876" s="81">
        <f t="shared" ca="1" si="308"/>
        <v>37206.528083956211</v>
      </c>
      <c r="N2876" s="19">
        <f t="shared" si="309"/>
        <v>557.10120430641666</v>
      </c>
      <c r="O2876" s="17">
        <f t="shared" si="307"/>
        <v>718.75</v>
      </c>
      <c r="P2876" s="19">
        <f ca="1">IF(ISERROR(IF(O2876&lt;fi_h/20,0,(OFFSET('Base de dados'!$A$5,IF(O2876&lt;20,1,IF(O2876&gt;1000,10,MATCH(O2876,Cargas,1))),Coluna_fih,1,1))*(1+0.13*0.25)*(PI()*(fi_h/1000)^2/4)*SQRT(2*9.81*(O2876/100-fi_h/2/1000))*1000)),"",IF(O2876&lt;fi_h/20,0,(OFFSET('Base de dados'!$A$5,IF(O2876&lt;20,1,IF(O2876&gt;1000,10,MATCH(O2876,Cargas,1))),Coluna_fih,1,1))*(PI()*(fi_h/1000)^2/4)*SQRT(2*9.81*(O2876/100-fi_h/2/1000))*1000))</f>
        <v>71.986844697322596</v>
      </c>
      <c r="Q2876" s="19">
        <f ca="1">IF(O2876="","",IF(Tipo_Vertedor="Retangular",IF(O2876&lt;=cota_s*100,0,IF(Tipo_Vertedor="Retangular",Cd_sr*Lef_sr*((O2876/100-cota_s)^(3/2))*1000)),IF(O2876&lt;=cota_s*100+fi_s/20,0,(OFFSET('Base de dados'!$A$4,IF(O2876&lt;20,1,IF(O2876&gt;1000,10,MATCH(O2876,Cargas,1))),Coluna_fis,1,1))*(PI()*(fi_s/1000)^2/4)*(2*9.81*(O2876/100-cota_s-fi_s/2/1000))^0.5*1000)))</f>
        <v>18564.501095711665</v>
      </c>
      <c r="R2876" s="19">
        <f t="shared" ca="1" si="310"/>
        <v>18636.487940408988</v>
      </c>
      <c r="S2876" s="19">
        <f t="shared" ca="1" si="311"/>
        <v>18570.040143547223</v>
      </c>
    </row>
    <row r="2877" spans="13:19">
      <c r="M2877" s="81">
        <f t="shared" ca="1" si="308"/>
        <v>37224.373677111857</v>
      </c>
      <c r="N2877" s="19">
        <f t="shared" si="309"/>
        <v>557.31912268667588</v>
      </c>
      <c r="O2877" s="17">
        <f t="shared" si="307"/>
        <v>719</v>
      </c>
      <c r="P2877" s="19">
        <f ca="1">IF(ISERROR(IF(O2877&lt;fi_h/20,0,(OFFSET('Base de dados'!$A$5,IF(O2877&lt;20,1,IF(O2877&gt;1000,10,MATCH(O2877,Cargas,1))),Coluna_fih,1,1))*(1+0.13*0.25)*(PI()*(fi_h/1000)^2/4)*SQRT(2*9.81*(O2877/100-fi_h/2/1000))*1000)),"",IF(O2877&lt;fi_h/20,0,(OFFSET('Base de dados'!$A$5,IF(O2877&lt;20,1,IF(O2877&gt;1000,10,MATCH(O2877,Cargas,1))),Coluna_fih,1,1))*(PI()*(fi_h/1000)^2/4)*SQRT(2*9.81*(O2877/100-fi_h/2/1000))*1000))</f>
        <v>71.999462059400159</v>
      </c>
      <c r="Q2877" s="19">
        <f ca="1">IF(O2877="","",IF(Tipo_Vertedor="Retangular",IF(O2877&lt;=cota_s*100,0,IF(Tipo_Vertedor="Retangular",Cd_sr*Lef_sr*((O2877/100-cota_s)^(3/2))*1000)),IF(O2877&lt;=cota_s*100+fi_s/20,0,(OFFSET('Base de dados'!$A$4,IF(O2877&lt;20,1,IF(O2877&gt;1000,10,MATCH(O2877,Cargas,1))),Coluna_fis,1,1))*(PI()*(fi_s/1000)^2/4)*(2*9.81*(O2877/100-cota_s-fi_s/2/1000))^0.5*1000)))</f>
        <v>18575.070125496597</v>
      </c>
      <c r="R2877" s="19">
        <f t="shared" ca="1" si="310"/>
        <v>18647.069587555998</v>
      </c>
      <c r="S2877" s="19">
        <f t="shared" ca="1" si="311"/>
        <v>18577.304089555862</v>
      </c>
    </row>
    <row r="2878" spans="13:19">
      <c r="M2878" s="81">
        <f t="shared" ca="1" si="308"/>
        <v>37242.221587640524</v>
      </c>
      <c r="N2878" s="19">
        <f t="shared" si="309"/>
        <v>557.53705050631118</v>
      </c>
      <c r="O2878" s="17">
        <f t="shared" si="307"/>
        <v>719.25</v>
      </c>
      <c r="P2878" s="19">
        <f ca="1">IF(ISERROR(IF(O2878&lt;fi_h/20,0,(OFFSET('Base de dados'!$A$5,IF(O2878&lt;20,1,IF(O2878&gt;1000,10,MATCH(O2878,Cargas,1))),Coluna_fih,1,1))*(1+0.13*0.25)*(PI()*(fi_h/1000)^2/4)*SQRT(2*9.81*(O2878/100-fi_h/2/1000))*1000)),"",IF(O2878&lt;fi_h/20,0,(OFFSET('Base de dados'!$A$5,IF(O2878&lt;20,1,IF(O2878&gt;1000,10,MATCH(O2878,Cargas,1))),Coluna_fih,1,1))*(PI()*(fi_h/1000)^2/4)*SQRT(2*9.81*(O2878/100-fi_h/2/1000))*1000))</f>
        <v>72.012077210767671</v>
      </c>
      <c r="Q2878" s="19">
        <f ca="1">IF(O2878="","",IF(Tipo_Vertedor="Retangular",IF(O2878&lt;=cota_s*100,0,IF(Tipo_Vertedor="Retangular",Cd_sr*Lef_sr*((O2878/100-cota_s)^(3/2))*1000)),IF(O2878&lt;=cota_s*100+fi_s/20,0,(OFFSET('Base de dados'!$A$4,IF(O2878&lt;20,1,IF(O2878&gt;1000,10,MATCH(O2878,Cargas,1))),Coluna_fis,1,1))*(PI()*(fi_s/1000)^2/4)*(2*9.81*(O2878/100-cota_s-fi_s/2/1000))^0.5*1000)))</f>
        <v>18585.64116021938</v>
      </c>
      <c r="R2878" s="19">
        <f t="shared" ca="1" si="310"/>
        <v>18657.65323743015</v>
      </c>
      <c r="S2878" s="19">
        <f t="shared" ca="1" si="311"/>
        <v>18584.568350210371</v>
      </c>
    </row>
    <row r="2879" spans="13:19">
      <c r="M2879" s="81">
        <f t="shared" ca="1" si="308"/>
        <v>37260.071815067466</v>
      </c>
      <c r="N2879" s="19">
        <f t="shared" si="309"/>
        <v>557.75498776245104</v>
      </c>
      <c r="O2879" s="17">
        <f t="shared" si="307"/>
        <v>719.5</v>
      </c>
      <c r="P2879" s="19">
        <f ca="1">IF(ISERROR(IF(O2879&lt;fi_h/20,0,(OFFSET('Base de dados'!$A$5,IF(O2879&lt;20,1,IF(O2879&gt;1000,10,MATCH(O2879,Cargas,1))),Coluna_fih,1,1))*(1+0.13*0.25)*(PI()*(fi_h/1000)^2/4)*SQRT(2*9.81*(O2879/100-fi_h/2/1000))*1000)),"",IF(O2879&lt;fi_h/20,0,(OFFSET('Base de dados'!$A$5,IF(O2879&lt;20,1,IF(O2879&gt;1000,10,MATCH(O2879,Cargas,1))),Coluna_fih,1,1))*(PI()*(fi_h/1000)^2/4)*SQRT(2*9.81*(O2879/100-fi_h/2/1000))*1000))</f>
        <v>72.024690152586771</v>
      </c>
      <c r="Q2879" s="19">
        <f ca="1">IF(O2879="","",IF(Tipo_Vertedor="Retangular",IF(O2879&lt;=cota_s*100,0,IF(Tipo_Vertedor="Retangular",Cd_sr*Lef_sr*((O2879/100-cota_s)^(3/2))*1000)),IF(O2879&lt;=cota_s*100+fi_s/20,0,(OFFSET('Base de dados'!$A$4,IF(O2879&lt;20,1,IF(O2879&gt;1000,10,MATCH(O2879,Cargas,1))),Coluna_fis,1,1))*(PI()*(fi_s/1000)^2/4)*(2*9.81*(O2879/100-cota_s-fi_s/2/1000))^0.5*1000)))</f>
        <v>18596.214199499842</v>
      </c>
      <c r="R2879" s="19">
        <f t="shared" ca="1" si="310"/>
        <v>18668.238889652428</v>
      </c>
      <c r="S2879" s="19">
        <f t="shared" ca="1" si="311"/>
        <v>18591.832925415034</v>
      </c>
    </row>
    <row r="2880" spans="13:19">
      <c r="M2880" s="81">
        <f t="shared" ca="1" si="308"/>
        <v>37277.924358918186</v>
      </c>
      <c r="N2880" s="19">
        <f t="shared" si="309"/>
        <v>557.97293445222499</v>
      </c>
      <c r="O2880" s="17">
        <f t="shared" si="307"/>
        <v>719.75</v>
      </c>
      <c r="P2880" s="19">
        <f ca="1">IF(ISERROR(IF(O2880&lt;fi_h/20,0,(OFFSET('Base de dados'!$A$5,IF(O2880&lt;20,1,IF(O2880&gt;1000,10,MATCH(O2880,Cargas,1))),Coluna_fih,1,1))*(1+0.13*0.25)*(PI()*(fi_h/1000)^2/4)*SQRT(2*9.81*(O2880/100-fi_h/2/1000))*1000)),"",IF(O2880&lt;fi_h/20,0,(OFFSET('Base de dados'!$A$5,IF(O2880&lt;20,1,IF(O2880&gt;1000,10,MATCH(O2880,Cargas,1))),Coluna_fih,1,1))*(PI()*(fi_h/1000)^2/4)*SQRT(2*9.81*(O2880/100-fi_h/2/1000))*1000))</f>
        <v>72.037300886018002</v>
      </c>
      <c r="Q2880" s="19">
        <f ca="1">IF(O2880="","",IF(Tipo_Vertedor="Retangular",IF(O2880&lt;=cota_s*100,0,IF(Tipo_Vertedor="Retangular",Cd_sr*Lef_sr*((O2880/100-cota_s)^(3/2))*1000)),IF(O2880&lt;=cota_s*100+fi_s/20,0,(OFFSET('Base de dados'!$A$4,IF(O2880&lt;20,1,IF(O2880&gt;1000,10,MATCH(O2880,Cargas,1))),Coluna_fis,1,1))*(PI()*(fi_s/1000)^2/4)*(2*9.81*(O2880/100-cota_s-fi_s/2/1000))^0.5*1000)))</f>
        <v>18606.789242958006</v>
      </c>
      <c r="R2880" s="19">
        <f t="shared" ca="1" si="310"/>
        <v>18678.826543844025</v>
      </c>
      <c r="S2880" s="19">
        <f t="shared" ca="1" si="311"/>
        <v>18599.097815074165</v>
      </c>
    </row>
    <row r="2881" spans="13:19">
      <c r="M2881" s="81">
        <f t="shared" ca="1" si="308"/>
        <v>37295.779218718439</v>
      </c>
      <c r="N2881" s="19">
        <f t="shared" si="309"/>
        <v>558.19089057276392</v>
      </c>
      <c r="O2881" s="17">
        <f t="shared" si="307"/>
        <v>720</v>
      </c>
      <c r="P2881" s="19">
        <f ca="1">IF(ISERROR(IF(O2881&lt;fi_h/20,0,(OFFSET('Base de dados'!$A$5,IF(O2881&lt;20,1,IF(O2881&gt;1000,10,MATCH(O2881,Cargas,1))),Coluna_fih,1,1))*(1+0.13*0.25)*(PI()*(fi_h/1000)^2/4)*SQRT(2*9.81*(O2881/100-fi_h/2/1000))*1000)),"",IF(O2881&lt;fi_h/20,0,(OFFSET('Base de dados'!$A$5,IF(O2881&lt;20,1,IF(O2881&gt;1000,10,MATCH(O2881,Cargas,1))),Coluna_fih,1,1))*(PI()*(fi_h/1000)^2/4)*SQRT(2*9.81*(O2881/100-fi_h/2/1000))*1000))</f>
        <v>72.049909412220998</v>
      </c>
      <c r="Q2881" s="19">
        <f ca="1">IF(O2881="","",IF(Tipo_Vertedor="Retangular",IF(O2881&lt;=cota_s*100,0,IF(Tipo_Vertedor="Retangular",Cd_sr*Lef_sr*((O2881/100-cota_s)^(3/2))*1000)),IF(O2881&lt;=cota_s*100+fi_s/20,0,(OFFSET('Base de dados'!$A$4,IF(O2881&lt;20,1,IF(O2881&gt;1000,10,MATCH(O2881,Cargas,1))),Coluna_fis,1,1))*(PI()*(fi_s/1000)^2/4)*(2*9.81*(O2881/100-cota_s-fi_s/2/1000))^0.5*1000)))</f>
        <v>18617.366290214093</v>
      </c>
      <c r="R2881" s="19">
        <f t="shared" ca="1" si="310"/>
        <v>18689.416199626314</v>
      </c>
      <c r="S2881" s="19">
        <f t="shared" ca="1" si="311"/>
        <v>18606.363019092129</v>
      </c>
    </row>
    <row r="2882" spans="13:19">
      <c r="M2882" s="81">
        <f t="shared" ca="1" si="308"/>
        <v>37313.63639399434</v>
      </c>
      <c r="N2882" s="19">
        <f t="shared" si="309"/>
        <v>558.40885612120189</v>
      </c>
      <c r="O2882" s="17">
        <f t="shared" si="307"/>
        <v>720.25</v>
      </c>
      <c r="P2882" s="19">
        <f ca="1">IF(ISERROR(IF(O2882&lt;fi_h/20,0,(OFFSET('Base de dados'!$A$5,IF(O2882&lt;20,1,IF(O2882&gt;1000,10,MATCH(O2882,Cargas,1))),Coluna_fih,1,1))*(1+0.13*0.25)*(PI()*(fi_h/1000)^2/4)*SQRT(2*9.81*(O2882/100-fi_h/2/1000))*1000)),"",IF(O2882&lt;fi_h/20,0,(OFFSET('Base de dados'!$A$5,IF(O2882&lt;20,1,IF(O2882&gt;1000,10,MATCH(O2882,Cargas,1))),Coluna_fih,1,1))*(PI()*(fi_h/1000)^2/4)*SQRT(2*9.81*(O2882/100-fi_h/2/1000))*1000))</f>
        <v>72.062515732354328</v>
      </c>
      <c r="Q2882" s="19">
        <f ca="1">IF(O2882="","",IF(Tipo_Vertedor="Retangular",IF(O2882&lt;=cota_s*100,0,IF(Tipo_Vertedor="Retangular",Cd_sr*Lef_sr*((O2882/100-cota_s)^(3/2))*1000)),IF(O2882&lt;=cota_s*100+fi_s/20,0,(OFFSET('Base de dados'!$A$4,IF(O2882&lt;20,1,IF(O2882&gt;1000,10,MATCH(O2882,Cargas,1))),Coluna_fis,1,1))*(PI()*(fi_s/1000)^2/4)*(2*9.81*(O2882/100-cota_s-fi_s/2/1000))^0.5*1000)))</f>
        <v>18627.945340888586</v>
      </c>
      <c r="R2882" s="19">
        <f t="shared" ca="1" si="310"/>
        <v>18700.007856620941</v>
      </c>
      <c r="S2882" s="19">
        <f t="shared" ca="1" si="311"/>
        <v>18613.628537373395</v>
      </c>
    </row>
    <row r="2883" spans="13:19">
      <c r="M2883" s="81">
        <f t="shared" ca="1" si="308"/>
        <v>37331.495884272161</v>
      </c>
      <c r="N2883" s="19">
        <f t="shared" si="309"/>
        <v>558.62683109467332</v>
      </c>
      <c r="O2883" s="17">
        <f t="shared" si="307"/>
        <v>720.5</v>
      </c>
      <c r="P2883" s="19">
        <f ca="1">IF(ISERROR(IF(O2883&lt;fi_h/20,0,(OFFSET('Base de dados'!$A$5,IF(O2883&lt;20,1,IF(O2883&gt;1000,10,MATCH(O2883,Cargas,1))),Coluna_fih,1,1))*(1+0.13*0.25)*(PI()*(fi_h/1000)^2/4)*SQRT(2*9.81*(O2883/100-fi_h/2/1000))*1000)),"",IF(O2883&lt;fi_h/20,0,(OFFSET('Base de dados'!$A$5,IF(O2883&lt;20,1,IF(O2883&gt;1000,10,MATCH(O2883,Cargas,1))),Coluna_fih,1,1))*(PI()*(fi_h/1000)^2/4)*SQRT(2*9.81*(O2883/100-fi_h/2/1000))*1000))</f>
        <v>72.075119847575536</v>
      </c>
      <c r="Q2883" s="19">
        <f ca="1">IF(O2883="","",IF(Tipo_Vertedor="Retangular",IF(O2883&lt;=cota_s*100,0,IF(Tipo_Vertedor="Retangular",Cd_sr*Lef_sr*((O2883/100-cota_s)^(3/2))*1000)),IF(O2883&lt;=cota_s*100+fi_s/20,0,(OFFSET('Base de dados'!$A$4,IF(O2883&lt;20,1,IF(O2883&gt;1000,10,MATCH(O2883,Cargas,1))),Coluna_fis,1,1))*(PI()*(fi_s/1000)^2/4)*(2*9.81*(O2883/100-cota_s-fi_s/2/1000))^0.5*1000)))</f>
        <v>18638.526394602137</v>
      </c>
      <c r="R2883" s="19">
        <f t="shared" ca="1" si="310"/>
        <v>18710.601514449714</v>
      </c>
      <c r="S2883" s="19">
        <f t="shared" ca="1" si="311"/>
        <v>18620.894369822447</v>
      </c>
    </row>
    <row r="2884" spans="13:19">
      <c r="M2884" s="81">
        <f t="shared" ca="1" si="308"/>
        <v>37349.357689078548</v>
      </c>
      <c r="N2884" s="19">
        <f t="shared" si="309"/>
        <v>558.84481549031568</v>
      </c>
      <c r="O2884" s="17">
        <f t="shared" si="307"/>
        <v>720.75</v>
      </c>
      <c r="P2884" s="19">
        <f ca="1">IF(ISERROR(IF(O2884&lt;fi_h/20,0,(OFFSET('Base de dados'!$A$5,IF(O2884&lt;20,1,IF(O2884&gt;1000,10,MATCH(O2884,Cargas,1))),Coluna_fih,1,1))*(1+0.13*0.25)*(PI()*(fi_h/1000)^2/4)*SQRT(2*9.81*(O2884/100-fi_h/2/1000))*1000)),"",IF(O2884&lt;fi_h/20,0,(OFFSET('Base de dados'!$A$5,IF(O2884&lt;20,1,IF(O2884&gt;1000,10,MATCH(O2884,Cargas,1))),Coluna_fih,1,1))*(PI()*(fi_h/1000)^2/4)*SQRT(2*9.81*(O2884/100-fi_h/2/1000))*1000))</f>
        <v>72.087721759041187</v>
      </c>
      <c r="Q2884" s="19">
        <f ca="1">IF(O2884="","",IF(Tipo_Vertedor="Retangular",IF(O2884&lt;=cota_s*100,0,IF(Tipo_Vertedor="Retangular",Cd_sr*Lef_sr*((O2884/100-cota_s)^(3/2))*1000)),IF(O2884&lt;=cota_s*100+fi_s/20,0,(OFFSET('Base de dados'!$A$4,IF(O2884&lt;20,1,IF(O2884&gt;1000,10,MATCH(O2884,Cargas,1))),Coluna_fis,1,1))*(PI()*(fi_s/1000)^2/4)*(2*9.81*(O2884/100-cota_s-fi_s/2/1000))^0.5*1000)))</f>
        <v>18649.109450975651</v>
      </c>
      <c r="R2884" s="19">
        <f t="shared" ca="1" si="310"/>
        <v>18721.197172734694</v>
      </c>
      <c r="S2884" s="19">
        <f t="shared" ca="1" si="311"/>
        <v>18628.160516343854</v>
      </c>
    </row>
    <row r="2885" spans="13:19">
      <c r="M2885" s="81">
        <f t="shared" ca="1" si="308"/>
        <v>37367.221807940397</v>
      </c>
      <c r="N2885" s="19">
        <f t="shared" si="309"/>
        <v>559.06280930526782</v>
      </c>
      <c r="O2885" s="17">
        <f t="shared" si="307"/>
        <v>721</v>
      </c>
      <c r="P2885" s="19">
        <f ca="1">IF(ISERROR(IF(O2885&lt;fi_h/20,0,(OFFSET('Base de dados'!$A$5,IF(O2885&lt;20,1,IF(O2885&gt;1000,10,MATCH(O2885,Cargas,1))),Coluna_fih,1,1))*(1+0.13*0.25)*(PI()*(fi_h/1000)^2/4)*SQRT(2*9.81*(O2885/100-fi_h/2/1000))*1000)),"",IF(O2885&lt;fi_h/20,0,(OFFSET('Base de dados'!$A$5,IF(O2885&lt;20,1,IF(O2885&gt;1000,10,MATCH(O2885,Cargas,1))),Coluna_fih,1,1))*(PI()*(fi_h/1000)^2/4)*SQRT(2*9.81*(O2885/100-fi_h/2/1000))*1000))</f>
        <v>72.100321467906795</v>
      </c>
      <c r="Q2885" s="19">
        <f ca="1">IF(O2885="","",IF(Tipo_Vertedor="Retangular",IF(O2885&lt;=cota_s*100,0,IF(Tipo_Vertedor="Retangular",Cd_sr*Lef_sr*((O2885/100-cota_s)^(3/2))*1000)),IF(O2885&lt;=cota_s*100+fi_s/20,0,(OFFSET('Base de dados'!$A$4,IF(O2885&lt;20,1,IF(O2885&gt;1000,10,MATCH(O2885,Cargas,1))),Coluna_fis,1,1))*(PI()*(fi_s/1000)^2/4)*(2*9.81*(O2885/100-cota_s-fi_s/2/1000))^0.5*1000)))</f>
        <v>18659.694509630222</v>
      </c>
      <c r="R2885" s="19">
        <f t="shared" ca="1" si="310"/>
        <v>18731.79483109813</v>
      </c>
      <c r="S2885" s="19">
        <f t="shared" ca="1" si="311"/>
        <v>18635.426976842264</v>
      </c>
    </row>
    <row r="2886" spans="13:19">
      <c r="M2886" s="81">
        <f t="shared" ca="1" si="308"/>
        <v>37385.08824038483</v>
      </c>
      <c r="N2886" s="19">
        <f t="shared" si="309"/>
        <v>559.28081253667017</v>
      </c>
      <c r="O2886" s="17">
        <f t="shared" si="307"/>
        <v>721.25</v>
      </c>
      <c r="P2886" s="19">
        <f ca="1">IF(ISERROR(IF(O2886&lt;fi_h/20,0,(OFFSET('Base de dados'!$A$5,IF(O2886&lt;20,1,IF(O2886&gt;1000,10,MATCH(O2886,Cargas,1))),Coluna_fih,1,1))*(1+0.13*0.25)*(PI()*(fi_h/1000)^2/4)*SQRT(2*9.81*(O2886/100-fi_h/2/1000))*1000)),"",IF(O2886&lt;fi_h/20,0,(OFFSET('Base de dados'!$A$5,IF(O2886&lt;20,1,IF(O2886&gt;1000,10,MATCH(O2886,Cargas,1))),Coluna_fih,1,1))*(PI()*(fi_h/1000)^2/4)*SQRT(2*9.81*(O2886/100-fi_h/2/1000))*1000))</f>
        <v>72.11291897532692</v>
      </c>
      <c r="Q2886" s="19">
        <f ca="1">IF(O2886="","",IF(Tipo_Vertedor="Retangular",IF(O2886&lt;=cota_s*100,0,IF(Tipo_Vertedor="Retangular",Cd_sr*Lef_sr*((O2886/100-cota_s)^(3/2))*1000)),IF(O2886&lt;=cota_s*100+fi_s/20,0,(OFFSET('Base de dados'!$A$4,IF(O2886&lt;20,1,IF(O2886&gt;1000,10,MATCH(O2886,Cargas,1))),Coluna_fis,1,1))*(PI()*(fi_s/1000)^2/4)*(2*9.81*(O2886/100-cota_s-fi_s/2/1000))^0.5*1000)))</f>
        <v>18670.281570187166</v>
      </c>
      <c r="R2886" s="19">
        <f t="shared" ca="1" si="310"/>
        <v>18742.394489162492</v>
      </c>
      <c r="S2886" s="19">
        <f t="shared" ca="1" si="311"/>
        <v>18642.693751222338</v>
      </c>
    </row>
    <row r="2887" spans="13:19">
      <c r="M2887" s="81">
        <f t="shared" ca="1" si="308"/>
        <v>37402.95698593933</v>
      </c>
      <c r="N2887" s="19">
        <f t="shared" si="309"/>
        <v>559.49882518166567</v>
      </c>
      <c r="O2887" s="17">
        <f t="shared" si="307"/>
        <v>721.5</v>
      </c>
      <c r="P2887" s="19">
        <f ca="1">IF(ISERROR(IF(O2887&lt;fi_h/20,0,(OFFSET('Base de dados'!$A$5,IF(O2887&lt;20,1,IF(O2887&gt;1000,10,MATCH(O2887,Cargas,1))),Coluna_fih,1,1))*(1+0.13*0.25)*(PI()*(fi_h/1000)^2/4)*SQRT(2*9.81*(O2887/100-fi_h/2/1000))*1000)),"",IF(O2887&lt;fi_h/20,0,(OFFSET('Base de dados'!$A$5,IF(O2887&lt;20,1,IF(O2887&gt;1000,10,MATCH(O2887,Cargas,1))),Coluna_fih,1,1))*(PI()*(fi_h/1000)^2/4)*SQRT(2*9.81*(O2887/100-fi_h/2/1000))*1000))</f>
        <v>72.125514282455029</v>
      </c>
      <c r="Q2887" s="19">
        <f ca="1">IF(O2887="","",IF(Tipo_Vertedor="Retangular",IF(O2887&lt;=cota_s*100,0,IF(Tipo_Vertedor="Retangular",Cd_sr*Lef_sr*((O2887/100-cota_s)^(3/2))*1000)),IF(O2887&lt;=cota_s*100+fi_s/20,0,(OFFSET('Base de dados'!$A$4,IF(O2887&lt;20,1,IF(O2887&gt;1000,10,MATCH(O2887,Cargas,1))),Coluna_fis,1,1))*(PI()*(fi_s/1000)^2/4)*(2*9.81*(O2887/100-cota_s-fi_s/2/1000))^0.5*1000)))</f>
        <v>18680.870632268019</v>
      </c>
      <c r="R2887" s="19">
        <f t="shared" ca="1" si="310"/>
        <v>18752.996146550475</v>
      </c>
      <c r="S2887" s="19">
        <f t="shared" ca="1" si="311"/>
        <v>18649.960839388856</v>
      </c>
    </row>
    <row r="2888" spans="13:19">
      <c r="M2888" s="81">
        <f t="shared" ca="1" si="308"/>
        <v>37420.828044131602</v>
      </c>
      <c r="N2888" s="19">
        <f t="shared" si="309"/>
        <v>559.71684723739895</v>
      </c>
      <c r="O2888" s="17">
        <f t="shared" si="307"/>
        <v>721.75</v>
      </c>
      <c r="P2888" s="19">
        <f ca="1">IF(ISERROR(IF(O2888&lt;fi_h/20,0,(OFFSET('Base de dados'!$A$5,IF(O2888&lt;20,1,IF(O2888&gt;1000,10,MATCH(O2888,Cargas,1))),Coluna_fih,1,1))*(1+0.13*0.25)*(PI()*(fi_h/1000)^2/4)*SQRT(2*9.81*(O2888/100-fi_h/2/1000))*1000)),"",IF(O2888&lt;fi_h/20,0,(OFFSET('Base de dados'!$A$5,IF(O2888&lt;20,1,IF(O2888&gt;1000,10,MATCH(O2888,Cargas,1))),Coluna_fih,1,1))*(PI()*(fi_h/1000)^2/4)*SQRT(2*9.81*(O2888/100-fi_h/2/1000))*1000))</f>
        <v>72.138107390443693</v>
      </c>
      <c r="Q2888" s="19">
        <f ca="1">IF(O2888="","",IF(Tipo_Vertedor="Retangular",IF(O2888&lt;=cota_s*100,0,IF(Tipo_Vertedor="Retangular",Cd_sr*Lef_sr*((O2888/100-cota_s)^(3/2))*1000)),IF(O2888&lt;=cota_s*100+fi_s/20,0,(OFFSET('Base de dados'!$A$4,IF(O2888&lt;20,1,IF(O2888&gt;1000,10,MATCH(O2888,Cargas,1))),Coluna_fis,1,1))*(PI()*(fi_s/1000)^2/4)*(2*9.81*(O2888/100-cota_s-fi_s/2/1000))^0.5*1000)))</f>
        <v>18691.461695494523</v>
      </c>
      <c r="R2888" s="19">
        <f t="shared" ca="1" si="310"/>
        <v>18763.599802884968</v>
      </c>
      <c r="S2888" s="19">
        <f t="shared" ca="1" si="311"/>
        <v>18657.228241246634</v>
      </c>
    </row>
    <row r="2889" spans="13:19">
      <c r="M2889" s="81">
        <f t="shared" ca="1" si="308"/>
        <v>37438.701414489624</v>
      </c>
      <c r="N2889" s="19">
        <f t="shared" si="309"/>
        <v>559.9348787010158</v>
      </c>
      <c r="O2889" s="17">
        <f t="shared" si="307"/>
        <v>722</v>
      </c>
      <c r="P2889" s="19">
        <f ca="1">IF(ISERROR(IF(O2889&lt;fi_h/20,0,(OFFSET('Base de dados'!$A$5,IF(O2889&lt;20,1,IF(O2889&gt;1000,10,MATCH(O2889,Cargas,1))),Coluna_fih,1,1))*(1+0.13*0.25)*(PI()*(fi_h/1000)^2/4)*SQRT(2*9.81*(O2889/100-fi_h/2/1000))*1000)),"",IF(O2889&lt;fi_h/20,0,(OFFSET('Base de dados'!$A$5,IF(O2889&lt;20,1,IF(O2889&gt;1000,10,MATCH(O2889,Cargas,1))),Coluna_fih,1,1))*(PI()*(fi_h/1000)^2/4)*SQRT(2*9.81*(O2889/100-fi_h/2/1000))*1000))</f>
        <v>72.15069830044439</v>
      </c>
      <c r="Q2889" s="19">
        <f ca="1">IF(O2889="","",IF(Tipo_Vertedor="Retangular",IF(O2889&lt;=cota_s*100,0,IF(Tipo_Vertedor="Retangular",Cd_sr*Lef_sr*((O2889/100-cota_s)^(3/2))*1000)),IF(O2889&lt;=cota_s*100+fi_s/20,0,(OFFSET('Base de dados'!$A$4,IF(O2889&lt;20,1,IF(O2889&gt;1000,10,MATCH(O2889,Cargas,1))),Coluna_fis,1,1))*(PI()*(fi_s/1000)^2/4)*(2*9.81*(O2889/100-cota_s-fi_s/2/1000))^0.5*1000)))</f>
        <v>18702.054759488656</v>
      </c>
      <c r="R2889" s="19">
        <f t="shared" ca="1" si="310"/>
        <v>18774.205457789099</v>
      </c>
      <c r="S2889" s="19">
        <f t="shared" ca="1" si="311"/>
        <v>18664.495956700528</v>
      </c>
    </row>
    <row r="2890" spans="13:19">
      <c r="M2890" s="81">
        <f t="shared" ca="1" si="308"/>
        <v>37456.577096541674</v>
      </c>
      <c r="N2890" s="19">
        <f t="shared" si="309"/>
        <v>560.15291956966473</v>
      </c>
      <c r="O2890" s="17">
        <f t="shared" si="307"/>
        <v>722.25</v>
      </c>
      <c r="P2890" s="19">
        <f ca="1">IF(ISERROR(IF(O2890&lt;fi_h/20,0,(OFFSET('Base de dados'!$A$5,IF(O2890&lt;20,1,IF(O2890&gt;1000,10,MATCH(O2890,Cargas,1))),Coluna_fih,1,1))*(1+0.13*0.25)*(PI()*(fi_h/1000)^2/4)*SQRT(2*9.81*(O2890/100-fi_h/2/1000))*1000)),"",IF(O2890&lt;fi_h/20,0,(OFFSET('Base de dados'!$A$5,IF(O2890&lt;20,1,IF(O2890&gt;1000,10,MATCH(O2890,Cargas,1))),Coluna_fih,1,1))*(PI()*(fi_h/1000)^2/4)*SQRT(2*9.81*(O2890/100-fi_h/2/1000))*1000))</f>
        <v>72.163287013607629</v>
      </c>
      <c r="Q2890" s="19">
        <f ca="1">IF(O2890="","",IF(Tipo_Vertedor="Retangular",IF(O2890&lt;=cota_s*100,0,IF(Tipo_Vertedor="Retangular",Cd_sr*Lef_sr*((O2890/100-cota_s)^(3/2))*1000)),IF(O2890&lt;=cota_s*100+fi_s/20,0,(OFFSET('Base de dados'!$A$4,IF(O2890&lt;20,1,IF(O2890&gt;1000,10,MATCH(O2890,Cargas,1))),Coluna_fis,1,1))*(PI()*(fi_s/1000)^2/4)*(2*9.81*(O2890/100-cota_s-fi_s/2/1000))^0.5*1000)))</f>
        <v>18712.649823872569</v>
      </c>
      <c r="R2890" s="19">
        <f t="shared" ca="1" si="310"/>
        <v>18784.813110886178</v>
      </c>
      <c r="S2890" s="19">
        <f t="shared" ca="1" si="311"/>
        <v>18671.763985655492</v>
      </c>
    </row>
    <row r="2891" spans="13:19">
      <c r="M2891" s="81">
        <f t="shared" ca="1" si="308"/>
        <v>37474.455089816285</v>
      </c>
      <c r="N2891" s="19">
        <f t="shared" si="309"/>
        <v>560.37096984049572</v>
      </c>
      <c r="O2891" s="17">
        <f t="shared" si="307"/>
        <v>722.5</v>
      </c>
      <c r="P2891" s="19">
        <f ca="1">IF(ISERROR(IF(O2891&lt;fi_h/20,0,(OFFSET('Base de dados'!$A$5,IF(O2891&lt;20,1,IF(O2891&gt;1000,10,MATCH(O2891,Cargas,1))),Coluna_fih,1,1))*(1+0.13*0.25)*(PI()*(fi_h/1000)^2/4)*SQRT(2*9.81*(O2891/100-fi_h/2/1000))*1000)),"",IF(O2891&lt;fi_h/20,0,(OFFSET('Base de dados'!$A$5,IF(O2891&lt;20,1,IF(O2891&gt;1000,10,MATCH(O2891,Cargas,1))),Coluna_fih,1,1))*(PI()*(fi_h/1000)^2/4)*SQRT(2*9.81*(O2891/100-fi_h/2/1000))*1000))</f>
        <v>72.1758735310829</v>
      </c>
      <c r="Q2891" s="19">
        <f ca="1">IF(O2891="","",IF(Tipo_Vertedor="Retangular",IF(O2891&lt;=cota_s*100,0,IF(Tipo_Vertedor="Retangular",Cd_sr*Lef_sr*((O2891/100-cota_s)^(3/2))*1000)),IF(O2891&lt;=cota_s*100+fi_s/20,0,(OFFSET('Base de dados'!$A$4,IF(O2891&lt;20,1,IF(O2891&gt;1000,10,MATCH(O2891,Cargas,1))),Coluna_fis,1,1))*(PI()*(fi_s/1000)^2/4)*(2*9.81*(O2891/100-cota_s-fi_s/2/1000))^0.5*1000)))</f>
        <v>18723.246888268677</v>
      </c>
      <c r="R2891" s="19">
        <f t="shared" ca="1" si="310"/>
        <v>18795.42276179976</v>
      </c>
      <c r="S2891" s="19">
        <f t="shared" ca="1" si="311"/>
        <v>18679.032328016525</v>
      </c>
    </row>
    <row r="2892" spans="13:19">
      <c r="M2892" s="81">
        <f t="shared" ca="1" si="308"/>
        <v>37492.335393842266</v>
      </c>
      <c r="N2892" s="19">
        <f t="shared" si="309"/>
        <v>560.58902951066057</v>
      </c>
      <c r="O2892" s="17">
        <f t="shared" si="307"/>
        <v>722.75</v>
      </c>
      <c r="P2892" s="19">
        <f ca="1">IF(ISERROR(IF(O2892&lt;fi_h/20,0,(OFFSET('Base de dados'!$A$5,IF(O2892&lt;20,1,IF(O2892&gt;1000,10,MATCH(O2892,Cargas,1))),Coluna_fih,1,1))*(1+0.13*0.25)*(PI()*(fi_h/1000)^2/4)*SQRT(2*9.81*(O2892/100-fi_h/2/1000))*1000)),"",IF(O2892&lt;fi_h/20,0,(OFFSET('Base de dados'!$A$5,IF(O2892&lt;20,1,IF(O2892&gt;1000,10,MATCH(O2892,Cargas,1))),Coluna_fih,1,1))*(PI()*(fi_h/1000)^2/4)*SQRT(2*9.81*(O2892/100-fi_h/2/1000))*1000))</f>
        <v>72.188457854018708</v>
      </c>
      <c r="Q2892" s="19">
        <f ca="1">IF(O2892="","",IF(Tipo_Vertedor="Retangular",IF(O2892&lt;=cota_s*100,0,IF(Tipo_Vertedor="Retangular",Cd_sr*Lef_sr*((O2892/100-cota_s)^(3/2))*1000)),IF(O2892&lt;=cota_s*100+fi_s/20,0,(OFFSET('Base de dados'!$A$4,IF(O2892&lt;20,1,IF(O2892&gt;1000,10,MATCH(O2892,Cargas,1))),Coluna_fis,1,1))*(PI()*(fi_s/1000)^2/4)*(2*9.81*(O2892/100-cota_s-fi_s/2/1000))^0.5*1000)))</f>
        <v>18733.845952299562</v>
      </c>
      <c r="R2892" s="19">
        <f t="shared" ca="1" si="310"/>
        <v>18806.034410153581</v>
      </c>
      <c r="S2892" s="19">
        <f t="shared" ca="1" si="311"/>
        <v>18686.300983688685</v>
      </c>
    </row>
    <row r="2893" spans="13:19">
      <c r="M2893" s="81">
        <f t="shared" ca="1" si="308"/>
        <v>37510.218008148724</v>
      </c>
      <c r="N2893" s="19">
        <f t="shared" si="309"/>
        <v>560.8070985773129</v>
      </c>
      <c r="O2893" s="17">
        <f t="shared" si="307"/>
        <v>723</v>
      </c>
      <c r="P2893" s="19">
        <f ca="1">IF(ISERROR(IF(O2893&lt;fi_h/20,0,(OFFSET('Base de dados'!$A$5,IF(O2893&lt;20,1,IF(O2893&gt;1000,10,MATCH(O2893,Cargas,1))),Coluna_fih,1,1))*(1+0.13*0.25)*(PI()*(fi_h/1000)^2/4)*SQRT(2*9.81*(O2893/100-fi_h/2/1000))*1000)),"",IF(O2893&lt;fi_h/20,0,(OFFSET('Base de dados'!$A$5,IF(O2893&lt;20,1,IF(O2893&gt;1000,10,MATCH(O2893,Cargas,1))),Coluna_fih,1,1))*(PI()*(fi_h/1000)^2/4)*SQRT(2*9.81*(O2893/100-fi_h/2/1000))*1000))</f>
        <v>72.201039983562566</v>
      </c>
      <c r="Q2893" s="19">
        <f ca="1">IF(O2893="","",IF(Tipo_Vertedor="Retangular",IF(O2893&lt;=cota_s*100,0,IF(Tipo_Vertedor="Retangular",Cd_sr*Lef_sr*((O2893/100-cota_s)^(3/2))*1000)),IF(O2893&lt;=cota_s*100+fi_s/20,0,(OFFSET('Base de dados'!$A$4,IF(O2893&lt;20,1,IF(O2893&gt;1000,10,MATCH(O2893,Cargas,1))),Coluna_fis,1,1))*(PI()*(fi_s/1000)^2/4)*(2*9.81*(O2893/100-cota_s-fi_s/2/1000))^0.5*1000)))</f>
        <v>18744.447015588063</v>
      </c>
      <c r="R2893" s="19">
        <f t="shared" ca="1" si="310"/>
        <v>18816.648055571626</v>
      </c>
      <c r="S2893" s="19">
        <f t="shared" ca="1" si="311"/>
        <v>18693.569952577098</v>
      </c>
    </row>
    <row r="2894" spans="13:19">
      <c r="M2894" s="81">
        <f t="shared" ca="1" si="308"/>
        <v>37528.102932264999</v>
      </c>
      <c r="N2894" s="19">
        <f t="shared" si="309"/>
        <v>561.02517703760861</v>
      </c>
      <c r="O2894" s="17">
        <f t="shared" si="307"/>
        <v>723.25</v>
      </c>
      <c r="P2894" s="19">
        <f ca="1">IF(ISERROR(IF(O2894&lt;fi_h/20,0,(OFFSET('Base de dados'!$A$5,IF(O2894&lt;20,1,IF(O2894&gt;1000,10,MATCH(O2894,Cargas,1))),Coluna_fih,1,1))*(1+0.13*0.25)*(PI()*(fi_h/1000)^2/4)*SQRT(2*9.81*(O2894/100-fi_h/2/1000))*1000)),"",IF(O2894&lt;fi_h/20,0,(OFFSET('Base de dados'!$A$5,IF(O2894&lt;20,1,IF(O2894&gt;1000,10,MATCH(O2894,Cargas,1))),Coluna_fih,1,1))*(PI()*(fi_h/1000)^2/4)*SQRT(2*9.81*(O2894/100-fi_h/2/1000))*1000))</f>
        <v>72.213619920860921</v>
      </c>
      <c r="Q2894" s="19">
        <f ca="1">IF(O2894="","",IF(Tipo_Vertedor="Retangular",IF(O2894&lt;=cota_s*100,0,IF(Tipo_Vertedor="Retangular",Cd_sr*Lef_sr*((O2894/100-cota_s)^(3/2))*1000)),IF(O2894&lt;=cota_s*100+fi_s/20,0,(OFFSET('Base de dados'!$A$4,IF(O2894&lt;20,1,IF(O2894&gt;1000,10,MATCH(O2894,Cargas,1))),Coluna_fis,1,1))*(PI()*(fi_s/1000)^2/4)*(2*9.81*(O2894/100-cota_s-fi_s/2/1000))^0.5*1000)))</f>
        <v>18755.050077757183</v>
      </c>
      <c r="R2894" s="19">
        <f t="shared" ca="1" si="310"/>
        <v>18827.263697678045</v>
      </c>
      <c r="S2894" s="19">
        <f t="shared" ca="1" si="311"/>
        <v>18700.839234586954</v>
      </c>
    </row>
    <row r="2895" spans="13:19">
      <c r="M2895" s="81">
        <f t="shared" ca="1" si="308"/>
        <v>37545.990165720752</v>
      </c>
      <c r="N2895" s="19">
        <f t="shared" si="309"/>
        <v>561.24326488870486</v>
      </c>
      <c r="O2895" s="17">
        <f t="shared" si="307"/>
        <v>723.5</v>
      </c>
      <c r="P2895" s="19">
        <f ca="1">IF(ISERROR(IF(O2895&lt;fi_h/20,0,(OFFSET('Base de dados'!$A$5,IF(O2895&lt;20,1,IF(O2895&gt;1000,10,MATCH(O2895,Cargas,1))),Coluna_fih,1,1))*(1+0.13*0.25)*(PI()*(fi_h/1000)^2/4)*SQRT(2*9.81*(O2895/100-fi_h/2/1000))*1000)),"",IF(O2895&lt;fi_h/20,0,(OFFSET('Base de dados'!$A$5,IF(O2895&lt;20,1,IF(O2895&gt;1000,10,MATCH(O2895,Cargas,1))),Coluna_fih,1,1))*(PI()*(fi_h/1000)^2/4)*SQRT(2*9.81*(O2895/100-fi_h/2/1000))*1000))</f>
        <v>72.226197667059296</v>
      </c>
      <c r="Q2895" s="19">
        <f ca="1">IF(O2895="","",IF(Tipo_Vertedor="Retangular",IF(O2895&lt;=cota_s*100,0,IF(Tipo_Vertedor="Retangular",Cd_sr*Lef_sr*((O2895/100-cota_s)^(3/2))*1000)),IF(O2895&lt;=cota_s*100+fi_s/20,0,(OFFSET('Base de dados'!$A$4,IF(O2895&lt;20,1,IF(O2895&gt;1000,10,MATCH(O2895,Cargas,1))),Coluna_fis,1,1))*(PI()*(fi_s/1000)^2/4)*(2*9.81*(O2895/100-cota_s-fi_s/2/1000))^0.5*1000)))</f>
        <v>18765.655138430193</v>
      </c>
      <c r="R2895" s="19">
        <f t="shared" ca="1" si="310"/>
        <v>18837.881336097253</v>
      </c>
      <c r="S2895" s="19">
        <f t="shared" ca="1" si="311"/>
        <v>18708.108829623496</v>
      </c>
    </row>
    <row r="2896" spans="13:19">
      <c r="M2896" s="81">
        <f t="shared" ca="1" si="308"/>
        <v>37563.879708045861</v>
      </c>
      <c r="N2896" s="19">
        <f t="shared" si="309"/>
        <v>561.46136212776082</v>
      </c>
      <c r="O2896" s="17">
        <f t="shared" si="307"/>
        <v>723.75</v>
      </c>
      <c r="P2896" s="19">
        <f ca="1">IF(ISERROR(IF(O2896&lt;fi_h/20,0,(OFFSET('Base de dados'!$A$5,IF(O2896&lt;20,1,IF(O2896&gt;1000,10,MATCH(O2896,Cargas,1))),Coluna_fih,1,1))*(1+0.13*0.25)*(PI()*(fi_h/1000)^2/4)*SQRT(2*9.81*(O2896/100-fi_h/2/1000))*1000)),"",IF(O2896&lt;fi_h/20,0,(OFFSET('Base de dados'!$A$5,IF(O2896&lt;20,1,IF(O2896&gt;1000,10,MATCH(O2896,Cargas,1))),Coluna_fih,1,1))*(PI()*(fi_h/1000)^2/4)*SQRT(2*9.81*(O2896/100-fi_h/2/1000))*1000))</f>
        <v>72.238773223302204</v>
      </c>
      <c r="Q2896" s="19">
        <f ca="1">IF(O2896="","",IF(Tipo_Vertedor="Retangular",IF(O2896&lt;=cota_s*100,0,IF(Tipo_Vertedor="Retangular",Cd_sr*Lef_sr*((O2896/100-cota_s)^(3/2))*1000)),IF(O2896&lt;=cota_s*100+fi_s/20,0,(OFFSET('Base de dados'!$A$4,IF(O2896&lt;20,1,IF(O2896&gt;1000,10,MATCH(O2896,Cargas,1))),Coluna_fis,1,1))*(PI()*(fi_s/1000)^2/4)*(2*9.81*(O2896/100-cota_s-fi_s/2/1000))^0.5*1000)))</f>
        <v>18776.262197230531</v>
      </c>
      <c r="R2896" s="19">
        <f t="shared" ca="1" si="310"/>
        <v>18848.500970453835</v>
      </c>
      <c r="S2896" s="19">
        <f t="shared" ca="1" si="311"/>
        <v>18715.378737592026</v>
      </c>
    </row>
    <row r="2897" spans="13:19">
      <c r="M2897" s="81">
        <f t="shared" ca="1" si="308"/>
        <v>37581.771558770561</v>
      </c>
      <c r="N2897" s="19">
        <f t="shared" si="309"/>
        <v>561.67946875193809</v>
      </c>
      <c r="O2897" s="17">
        <f t="shared" si="307"/>
        <v>724</v>
      </c>
      <c r="P2897" s="19">
        <f ca="1">IF(ISERROR(IF(O2897&lt;fi_h/20,0,(OFFSET('Base de dados'!$A$5,IF(O2897&lt;20,1,IF(O2897&gt;1000,10,MATCH(O2897,Cargas,1))),Coluna_fih,1,1))*(1+0.13*0.25)*(PI()*(fi_h/1000)^2/4)*SQRT(2*9.81*(O2897/100-fi_h/2/1000))*1000)),"",IF(O2897&lt;fi_h/20,0,(OFFSET('Base de dados'!$A$5,IF(O2897&lt;20,1,IF(O2897&gt;1000,10,MATCH(O2897,Cargas,1))),Coluna_fih,1,1))*(PI()*(fi_h/1000)^2/4)*SQRT(2*9.81*(O2897/100-fi_h/2/1000))*1000))</f>
        <v>72.251346590733149</v>
      </c>
      <c r="Q2897" s="19">
        <f ca="1">IF(O2897="","",IF(Tipo_Vertedor="Retangular",IF(O2897&lt;=cota_s*100,0,IF(Tipo_Vertedor="Retangular",Cd_sr*Lef_sr*((O2897/100-cota_s)^(3/2))*1000)),IF(O2897&lt;=cota_s*100+fi_s/20,0,(OFFSET('Base de dados'!$A$4,IF(O2897&lt;20,1,IF(O2897&gt;1000,10,MATCH(O2897,Cargas,1))),Coluna_fis,1,1))*(PI()*(fi_s/1000)^2/4)*(2*9.81*(O2897/100-cota_s-fi_s/2/1000))^0.5*1000)))</f>
        <v>18786.87125378189</v>
      </c>
      <c r="R2897" s="19">
        <f t="shared" ca="1" si="310"/>
        <v>18859.122600372622</v>
      </c>
      <c r="S2897" s="19">
        <f t="shared" ca="1" si="311"/>
        <v>18722.648958397935</v>
      </c>
    </row>
    <row r="2898" spans="13:19">
      <c r="M2898" s="81">
        <f t="shared" ca="1" si="308"/>
        <v>37599.665717425247</v>
      </c>
      <c r="N2898" s="19">
        <f t="shared" si="309"/>
        <v>561.89758475839892</v>
      </c>
      <c r="O2898" s="17">
        <f t="shared" si="307"/>
        <v>724.25</v>
      </c>
      <c r="P2898" s="19">
        <f ca="1">IF(ISERROR(IF(O2898&lt;fi_h/20,0,(OFFSET('Base de dados'!$A$5,IF(O2898&lt;20,1,IF(O2898&gt;1000,10,MATCH(O2898,Cargas,1))),Coluna_fih,1,1))*(1+0.13*0.25)*(PI()*(fi_h/1000)^2/4)*SQRT(2*9.81*(O2898/100-fi_h/2/1000))*1000)),"",IF(O2898&lt;fi_h/20,0,(OFFSET('Base de dados'!$A$5,IF(O2898&lt;20,1,IF(O2898&gt;1000,10,MATCH(O2898,Cargas,1))),Coluna_fih,1,1))*(PI()*(fi_h/1000)^2/4)*SQRT(2*9.81*(O2898/100-fi_h/2/1000))*1000))</f>
        <v>72.263917770494629</v>
      </c>
      <c r="Q2898" s="19">
        <f ca="1">IF(O2898="","",IF(Tipo_Vertedor="Retangular",IF(O2898&lt;=cota_s*100,0,IF(Tipo_Vertedor="Retangular",Cd_sr*Lef_sr*((O2898/100-cota_s)^(3/2))*1000)),IF(O2898&lt;=cota_s*100+fi_s/20,0,(OFFSET('Base de dados'!$A$4,IF(O2898&lt;20,1,IF(O2898&gt;1000,10,MATCH(O2898,Cargas,1))),Coluna_fis,1,1))*(PI()*(fi_s/1000)^2/4)*(2*9.81*(O2898/100-cota_s-fi_s/2/1000))^0.5*1000)))</f>
        <v>18797.482307708124</v>
      </c>
      <c r="R2898" s="19">
        <f t="shared" ca="1" si="310"/>
        <v>18869.746225478619</v>
      </c>
      <c r="S2898" s="19">
        <f t="shared" ca="1" si="311"/>
        <v>18729.919491946632</v>
      </c>
    </row>
    <row r="2899" spans="13:19">
      <c r="M2899" s="81">
        <f t="shared" ca="1" si="308"/>
        <v>37617.562183540678</v>
      </c>
      <c r="N2899" s="19">
        <f t="shared" si="309"/>
        <v>562.11571014430876</v>
      </c>
      <c r="O2899" s="17">
        <f t="shared" ref="O2899:O2962" si="312">IF(ISERROR(IF(O2898+passo_altura&gt;h_max_puls*100,"",O2898+passo_altura)),"",IF(O2898+passo_altura&gt;h_max_puls*100,"",O2898+passo_altura))</f>
        <v>724.5</v>
      </c>
      <c r="P2899" s="19">
        <f ca="1">IF(ISERROR(IF(O2899&lt;fi_h/20,0,(OFFSET('Base de dados'!$A$5,IF(O2899&lt;20,1,IF(O2899&gt;1000,10,MATCH(O2899,Cargas,1))),Coluna_fih,1,1))*(1+0.13*0.25)*(PI()*(fi_h/1000)^2/4)*SQRT(2*9.81*(O2899/100-fi_h/2/1000))*1000)),"",IF(O2899&lt;fi_h/20,0,(OFFSET('Base de dados'!$A$5,IF(O2899&lt;20,1,IF(O2899&gt;1000,10,MATCH(O2899,Cargas,1))),Coluna_fih,1,1))*(PI()*(fi_h/1000)^2/4)*SQRT(2*9.81*(O2899/100-fi_h/2/1000))*1000))</f>
        <v>72.276486763728144</v>
      </c>
      <c r="Q2899" s="19">
        <f ca="1">IF(O2899="","",IF(Tipo_Vertedor="Retangular",IF(O2899&lt;=cota_s*100,0,IF(Tipo_Vertedor="Retangular",Cd_sr*Lef_sr*((O2899/100-cota_s)^(3/2))*1000)),IF(O2899&lt;=cota_s*100+fi_s/20,0,(OFFSET('Base de dados'!$A$4,IF(O2899&lt;20,1,IF(O2899&gt;1000,10,MATCH(O2899,Cargas,1))),Coluna_fis,1,1))*(PI()*(fi_s/1000)^2/4)*(2*9.81*(O2899/100-cota_s-fi_s/2/1000))^0.5*1000)))</f>
        <v>18808.095358633331</v>
      </c>
      <c r="R2899" s="19">
        <f t="shared" ca="1" si="310"/>
        <v>18880.371845397058</v>
      </c>
      <c r="S2899" s="19">
        <f t="shared" ca="1" si="311"/>
        <v>18737.190338143624</v>
      </c>
    </row>
    <row r="2900" spans="13:19">
      <c r="M2900" s="81">
        <f t="shared" ca="1" si="308"/>
        <v>37635.460956647861</v>
      </c>
      <c r="N2900" s="19">
        <f t="shared" si="309"/>
        <v>562.33384490683363</v>
      </c>
      <c r="O2900" s="17">
        <f t="shared" si="312"/>
        <v>724.75</v>
      </c>
      <c r="P2900" s="19">
        <f ca="1">IF(ISERROR(IF(O2900&lt;fi_h/20,0,(OFFSET('Base de dados'!$A$5,IF(O2900&lt;20,1,IF(O2900&gt;1000,10,MATCH(O2900,Cargas,1))),Coluna_fih,1,1))*(1+0.13*0.25)*(PI()*(fi_h/1000)^2/4)*SQRT(2*9.81*(O2900/100-fi_h/2/1000))*1000)),"",IF(O2900&lt;fi_h/20,0,(OFFSET('Base de dados'!$A$5,IF(O2900&lt;20,1,IF(O2900&gt;1000,10,MATCH(O2900,Cargas,1))),Coluna_fih,1,1))*(PI()*(fi_h/1000)^2/4)*SQRT(2*9.81*(O2900/100-fi_h/2/1000))*1000))</f>
        <v>72.289053571574257</v>
      </c>
      <c r="Q2900" s="19">
        <f ca="1">IF(O2900="","",IF(Tipo_Vertedor="Retangular",IF(O2900&lt;=cota_s*100,0,IF(Tipo_Vertedor="Retangular",Cd_sr*Lef_sr*((O2900/100-cota_s)^(3/2))*1000)),IF(O2900&lt;=cota_s*100+fi_s/20,0,(OFFSET('Base de dados'!$A$4,IF(O2900&lt;20,1,IF(O2900&gt;1000,10,MATCH(O2900,Cargas,1))),Coluna_fis,1,1))*(PI()*(fi_s/1000)^2/4)*(2*9.81*(O2900/100-cota_s-fi_s/2/1000))^0.5*1000)))</f>
        <v>18818.710406181828</v>
      </c>
      <c r="R2900" s="19">
        <f t="shared" ca="1" si="310"/>
        <v>18890.999459753402</v>
      </c>
      <c r="S2900" s="19">
        <f t="shared" ca="1" si="311"/>
        <v>18744.461496894455</v>
      </c>
    </row>
    <row r="2901" spans="13:19">
      <c r="M2901" s="81">
        <f t="shared" ca="1" si="308"/>
        <v>37653.362036278035</v>
      </c>
      <c r="N2901" s="19">
        <f t="shared" si="309"/>
        <v>562.55198904314204</v>
      </c>
      <c r="O2901" s="17">
        <f t="shared" si="312"/>
        <v>725</v>
      </c>
      <c r="P2901" s="19">
        <f ca="1">IF(ISERROR(IF(O2901&lt;fi_h/20,0,(OFFSET('Base de dados'!$A$5,IF(O2901&lt;20,1,IF(O2901&gt;1000,10,MATCH(O2901,Cargas,1))),Coluna_fih,1,1))*(1+0.13*0.25)*(PI()*(fi_h/1000)^2/4)*SQRT(2*9.81*(O2901/100-fi_h/2/1000))*1000)),"",IF(O2901&lt;fi_h/20,0,(OFFSET('Base de dados'!$A$5,IF(O2901&lt;20,1,IF(O2901&gt;1000,10,MATCH(O2901,Cargas,1))),Coluna_fih,1,1))*(PI()*(fi_h/1000)^2/4)*SQRT(2*9.81*(O2901/100-fi_h/2/1000))*1000))</f>
        <v>72.30161819517248</v>
      </c>
      <c r="Q2901" s="19">
        <f ca="1">IF(O2901="","",IF(Tipo_Vertedor="Retangular",IF(O2901&lt;=cota_s*100,0,IF(Tipo_Vertedor="Retangular",Cd_sr*Lef_sr*((O2901/100-cota_s)^(3/2))*1000)),IF(O2901&lt;=cota_s*100+fi_s/20,0,(OFFSET('Base de dados'!$A$4,IF(O2901&lt;20,1,IF(O2901&gt;1000,10,MATCH(O2901,Cargas,1))),Coluna_fis,1,1))*(PI()*(fi_s/1000)^2/4)*(2*9.81*(O2901/100-cota_s-fi_s/2/1000))^0.5*1000)))</f>
        <v>18829.327449978133</v>
      </c>
      <c r="R2901" s="19">
        <f t="shared" ca="1" si="310"/>
        <v>18901.629068173304</v>
      </c>
      <c r="S2901" s="19">
        <f t="shared" ca="1" si="311"/>
        <v>18751.732968104734</v>
      </c>
    </row>
    <row r="2902" spans="13:19">
      <c r="M2902" s="81">
        <f t="shared" ca="1" si="308"/>
        <v>37671.265421962788</v>
      </c>
      <c r="N2902" s="19">
        <f t="shared" si="309"/>
        <v>562.77014255040467</v>
      </c>
      <c r="O2902" s="17">
        <f t="shared" si="312"/>
        <v>725.25</v>
      </c>
      <c r="P2902" s="19">
        <f ca="1">IF(ISERROR(IF(O2902&lt;fi_h/20,0,(OFFSET('Base de dados'!$A$5,IF(O2902&lt;20,1,IF(O2902&gt;1000,10,MATCH(O2902,Cargas,1))),Coluna_fih,1,1))*(1+0.13*0.25)*(PI()*(fi_h/1000)^2/4)*SQRT(2*9.81*(O2902/100-fi_h/2/1000))*1000)),"",IF(O2902&lt;fi_h/20,0,(OFFSET('Base de dados'!$A$5,IF(O2902&lt;20,1,IF(O2902&gt;1000,10,MATCH(O2902,Cargas,1))),Coluna_fih,1,1))*(PI()*(fi_h/1000)^2/4)*SQRT(2*9.81*(O2902/100-fi_h/2/1000))*1000))</f>
        <v>72.314180635661344</v>
      </c>
      <c r="Q2902" s="19">
        <f ca="1">IF(O2902="","",IF(Tipo_Vertedor="Retangular",IF(O2902&lt;=cota_s*100,0,IF(Tipo_Vertedor="Retangular",Cd_sr*Lef_sr*((O2902/100-cota_s)^(3/2))*1000)),IF(O2902&lt;=cota_s*100+fi_s/20,0,(OFFSET('Base de dados'!$A$4,IF(O2902&lt;20,1,IF(O2902&gt;1000,10,MATCH(O2902,Cargas,1))),Coluna_fis,1,1))*(PI()*(fi_s/1000)^2/4)*(2*9.81*(O2902/100-cota_s-fi_s/2/1000))^0.5*1000)))</f>
        <v>18839.946489646973</v>
      </c>
      <c r="R2902" s="19">
        <f t="shared" ca="1" si="310"/>
        <v>18912.260670282634</v>
      </c>
      <c r="S2902" s="19">
        <f t="shared" ca="1" si="311"/>
        <v>18759.004751680153</v>
      </c>
    </row>
    <row r="2903" spans="13:19">
      <c r="M2903" s="81">
        <f t="shared" ref="M2903:M2966" ca="1" si="313">IF(O2903="","",2*N2903*1000/(Passo*60)+R2903)</f>
        <v>37689.171113233904</v>
      </c>
      <c r="N2903" s="19">
        <f t="shared" ref="N2903:N2966" si="314">IF(O2903="","",b_0*(O2903/100)^c_0)</f>
        <v>562.98830542579287</v>
      </c>
      <c r="O2903" s="17">
        <f t="shared" si="312"/>
        <v>725.5</v>
      </c>
      <c r="P2903" s="19">
        <f ca="1">IF(ISERROR(IF(O2903&lt;fi_h/20,0,(OFFSET('Base de dados'!$A$5,IF(O2903&lt;20,1,IF(O2903&gt;1000,10,MATCH(O2903,Cargas,1))),Coluna_fih,1,1))*(1+0.13*0.25)*(PI()*(fi_h/1000)^2/4)*SQRT(2*9.81*(O2903/100-fi_h/2/1000))*1000)),"",IF(O2903&lt;fi_h/20,0,(OFFSET('Base de dados'!$A$5,IF(O2903&lt;20,1,IF(O2903&gt;1000,10,MATCH(O2903,Cargas,1))),Coluna_fih,1,1))*(PI()*(fi_h/1000)^2/4)*SQRT(2*9.81*(O2903/100-fi_h/2/1000))*1000))</f>
        <v>72.326740894178414</v>
      </c>
      <c r="Q2903" s="19">
        <f ca="1">IF(O2903="","",IF(Tipo_Vertedor="Retangular",IF(O2903&lt;=cota_s*100,0,IF(Tipo_Vertedor="Retangular",Cd_sr*Lef_sr*((O2903/100-cota_s)^(3/2))*1000)),IF(O2903&lt;=cota_s*100+fi_s/20,0,(OFFSET('Base de dados'!$A$4,IF(O2903&lt;20,1,IF(O2903&gt;1000,10,MATCH(O2903,Cargas,1))),Coluna_fis,1,1))*(PI()*(fi_s/1000)^2/4)*(2*9.81*(O2903/100-cota_s-fi_s/2/1000))^0.5*1000)))</f>
        <v>18850.567524813297</v>
      </c>
      <c r="R2903" s="19">
        <f t="shared" ref="R2903:R2966" ca="1" si="315">IF(O2903="","",Q2903+P2903)</f>
        <v>18922.894265707477</v>
      </c>
      <c r="S2903" s="19">
        <f t="shared" ref="S2903:S2966" ca="1" si="316">IF(M2903="","",2*N2903*1000/(Passo*60))</f>
        <v>18766.276847526427</v>
      </c>
    </row>
    <row r="2904" spans="13:19">
      <c r="M2904" s="81">
        <f t="shared" ca="1" si="313"/>
        <v>37707.07910962349</v>
      </c>
      <c r="N2904" s="19">
        <f t="shared" si="314"/>
        <v>563.20647766648153</v>
      </c>
      <c r="O2904" s="17">
        <f t="shared" si="312"/>
        <v>725.75</v>
      </c>
      <c r="P2904" s="19">
        <f ca="1">IF(ISERROR(IF(O2904&lt;fi_h/20,0,(OFFSET('Base de dados'!$A$5,IF(O2904&lt;20,1,IF(O2904&gt;1000,10,MATCH(O2904,Cargas,1))),Coluna_fih,1,1))*(1+0.13*0.25)*(PI()*(fi_h/1000)^2/4)*SQRT(2*9.81*(O2904/100-fi_h/2/1000))*1000)),"",IF(O2904&lt;fi_h/20,0,(OFFSET('Base de dados'!$A$5,IF(O2904&lt;20,1,IF(O2904&gt;1000,10,MATCH(O2904,Cargas,1))),Coluna_fih,1,1))*(PI()*(fi_h/1000)^2/4)*SQRT(2*9.81*(O2904/100-fi_h/2/1000))*1000))</f>
        <v>72.339298971860245</v>
      </c>
      <c r="Q2904" s="19">
        <f ca="1">IF(O2904="","",IF(Tipo_Vertedor="Retangular",IF(O2904&lt;=cota_s*100,0,IF(Tipo_Vertedor="Retangular",Cd_sr*Lef_sr*((O2904/100-cota_s)^(3/2))*1000)),IF(O2904&lt;=cota_s*100+fi_s/20,0,(OFFSET('Base de dados'!$A$4,IF(O2904&lt;20,1,IF(O2904&gt;1000,10,MATCH(O2904,Cargas,1))),Coluna_fis,1,1))*(PI()*(fi_s/1000)^2/4)*(2*9.81*(O2904/100-cota_s-fi_s/2/1000))^0.5*1000)))</f>
        <v>18861.190555102246</v>
      </c>
      <c r="R2904" s="19">
        <f t="shared" ca="1" si="315"/>
        <v>18933.529854074106</v>
      </c>
      <c r="S2904" s="19">
        <f t="shared" ca="1" si="316"/>
        <v>18773.549255549384</v>
      </c>
    </row>
    <row r="2905" spans="13:19">
      <c r="M2905" s="81">
        <f t="shared" ca="1" si="313"/>
        <v>37724.989410663889</v>
      </c>
      <c r="N2905" s="19">
        <f t="shared" si="314"/>
        <v>563.42465926964576</v>
      </c>
      <c r="O2905" s="17">
        <f t="shared" si="312"/>
        <v>726</v>
      </c>
      <c r="P2905" s="19">
        <f ca="1">IF(ISERROR(IF(O2905&lt;fi_h/20,0,(OFFSET('Base de dados'!$A$5,IF(O2905&lt;20,1,IF(O2905&gt;1000,10,MATCH(O2905,Cargas,1))),Coluna_fih,1,1))*(1+0.13*0.25)*(PI()*(fi_h/1000)^2/4)*SQRT(2*9.81*(O2905/100-fi_h/2/1000))*1000)),"",IF(O2905&lt;fi_h/20,0,(OFFSET('Base de dados'!$A$5,IF(O2905&lt;20,1,IF(O2905&gt;1000,10,MATCH(O2905,Cargas,1))),Coluna_fih,1,1))*(PI()*(fi_h/1000)^2/4)*SQRT(2*9.81*(O2905/100-fi_h/2/1000))*1000))</f>
        <v>72.351854869842441</v>
      </c>
      <c r="Q2905" s="19">
        <f ca="1">IF(O2905="","",IF(Tipo_Vertedor="Retangular",IF(O2905&lt;=cota_s*100,0,IF(Tipo_Vertedor="Retangular",Cd_sr*Lef_sr*((O2905/100-cota_s)^(3/2))*1000)),IF(O2905&lt;=cota_s*100+fi_s/20,0,(OFFSET('Base de dados'!$A$4,IF(O2905&lt;20,1,IF(O2905&gt;1000,10,MATCH(O2905,Cargas,1))),Coluna_fis,1,1))*(PI()*(fi_s/1000)^2/4)*(2*9.81*(O2905/100-cota_s-fi_s/2/1000))^0.5*1000)))</f>
        <v>18871.815580139188</v>
      </c>
      <c r="R2905" s="19">
        <f t="shared" ca="1" si="315"/>
        <v>18944.167435009029</v>
      </c>
      <c r="S2905" s="19">
        <f t="shared" ca="1" si="316"/>
        <v>18780.821975654861</v>
      </c>
    </row>
    <row r="2906" spans="13:19">
      <c r="M2906" s="81">
        <f t="shared" ca="1" si="313"/>
        <v>37742.902015887732</v>
      </c>
      <c r="N2906" s="19">
        <f t="shared" si="314"/>
        <v>563.64285023246316</v>
      </c>
      <c r="O2906" s="17">
        <f t="shared" si="312"/>
        <v>726.25</v>
      </c>
      <c r="P2906" s="19">
        <f ca="1">IF(ISERROR(IF(O2906&lt;fi_h/20,0,(OFFSET('Base de dados'!$A$5,IF(O2906&lt;20,1,IF(O2906&gt;1000,10,MATCH(O2906,Cargas,1))),Coluna_fih,1,1))*(1+0.13*0.25)*(PI()*(fi_h/1000)^2/4)*SQRT(2*9.81*(O2906/100-fi_h/2/1000))*1000)),"",IF(O2906&lt;fi_h/20,0,(OFFSET('Base de dados'!$A$5,IF(O2906&lt;20,1,IF(O2906&gt;1000,10,MATCH(O2906,Cargas,1))),Coluna_fih,1,1))*(PI()*(fi_h/1000)^2/4)*SQRT(2*9.81*(O2906/100-fi_h/2/1000))*1000))</f>
        <v>72.364408589259597</v>
      </c>
      <c r="Q2906" s="19">
        <f ca="1">IF(O2906="","",IF(Tipo_Vertedor="Retangular",IF(O2906&lt;=cota_s*100,0,IF(Tipo_Vertedor="Retangular",Cd_sr*Lef_sr*((O2906/100-cota_s)^(3/2))*1000)),IF(O2906&lt;=cota_s*100+fi_s/20,0,(OFFSET('Base de dados'!$A$4,IF(O2906&lt;20,1,IF(O2906&gt;1000,10,MATCH(O2906,Cargas,1))),Coluna_fis,1,1))*(PI()*(fi_s/1000)^2/4)*(2*9.81*(O2906/100-cota_s-fi_s/2/1000))^0.5*1000)))</f>
        <v>18882.4425995497</v>
      </c>
      <c r="R2906" s="19">
        <f t="shared" ca="1" si="315"/>
        <v>18954.80700813896</v>
      </c>
      <c r="S2906" s="19">
        <f t="shared" ca="1" si="316"/>
        <v>18788.095007748772</v>
      </c>
    </row>
    <row r="2907" spans="13:19">
      <c r="M2907" s="81">
        <f t="shared" ca="1" si="313"/>
        <v>37760.81692482793</v>
      </c>
      <c r="N2907" s="19">
        <f t="shared" si="314"/>
        <v>563.86105055211351</v>
      </c>
      <c r="O2907" s="17">
        <f t="shared" si="312"/>
        <v>726.5</v>
      </c>
      <c r="P2907" s="19">
        <f ca="1">IF(ISERROR(IF(O2907&lt;fi_h/20,0,(OFFSET('Base de dados'!$A$5,IF(O2907&lt;20,1,IF(O2907&gt;1000,10,MATCH(O2907,Cargas,1))),Coluna_fih,1,1))*(1+0.13*0.25)*(PI()*(fi_h/1000)^2/4)*SQRT(2*9.81*(O2907/100-fi_h/2/1000))*1000)),"",IF(O2907&lt;fi_h/20,0,(OFFSET('Base de dados'!$A$5,IF(O2907&lt;20,1,IF(O2907&gt;1000,10,MATCH(O2907,Cargas,1))),Coluna_fih,1,1))*(PI()*(fi_h/1000)^2/4)*SQRT(2*9.81*(O2907/100-fi_h/2/1000))*1000))</f>
        <v>72.376960131245269</v>
      </c>
      <c r="Q2907" s="19">
        <f ca="1">IF(O2907="","",IF(Tipo_Vertedor="Retangular",IF(O2907&lt;=cota_s*100,0,IF(Tipo_Vertedor="Retangular",Cd_sr*Lef_sr*((O2907/100-cota_s)^(3/2))*1000)),IF(O2907&lt;=cota_s*100+fi_s/20,0,(OFFSET('Base de dados'!$A$4,IF(O2907&lt;20,1,IF(O2907&gt;1000,10,MATCH(O2907,Cargas,1))),Coluna_fis,1,1))*(PI()*(fi_s/1000)^2/4)*(2*9.81*(O2907/100-cota_s-fi_s/2/1000))^0.5*1000)))</f>
        <v>18893.071612959564</v>
      </c>
      <c r="R2907" s="19">
        <f t="shared" ca="1" si="315"/>
        <v>18965.448573090809</v>
      </c>
      <c r="S2907" s="19">
        <f t="shared" ca="1" si="316"/>
        <v>18795.368351737117</v>
      </c>
    </row>
    <row r="2908" spans="13:19">
      <c r="M2908" s="81">
        <f t="shared" ca="1" si="313"/>
        <v>37778.734137017636</v>
      </c>
      <c r="N2908" s="19">
        <f t="shared" si="314"/>
        <v>564.07926022577738</v>
      </c>
      <c r="O2908" s="17">
        <f t="shared" si="312"/>
        <v>726.75</v>
      </c>
      <c r="P2908" s="19">
        <f ca="1">IF(ISERROR(IF(O2908&lt;fi_h/20,0,(OFFSET('Base de dados'!$A$5,IF(O2908&lt;20,1,IF(O2908&gt;1000,10,MATCH(O2908,Cargas,1))),Coluna_fih,1,1))*(1+0.13*0.25)*(PI()*(fi_h/1000)^2/4)*SQRT(2*9.81*(O2908/100-fi_h/2/1000))*1000)),"",IF(O2908&lt;fi_h/20,0,(OFFSET('Base de dados'!$A$5,IF(O2908&lt;20,1,IF(O2908&gt;1000,10,MATCH(O2908,Cargas,1))),Coluna_fih,1,1))*(PI()*(fi_h/1000)^2/4)*SQRT(2*9.81*(O2908/100-fi_h/2/1000))*1000))</f>
        <v>72.389509496932135</v>
      </c>
      <c r="Q2908" s="19">
        <f ca="1">IF(O2908="","",IF(Tipo_Vertedor="Retangular",IF(O2908&lt;=cota_s*100,0,IF(Tipo_Vertedor="Retangular",Cd_sr*Lef_sr*((O2908/100-cota_s)^(3/2))*1000)),IF(O2908&lt;=cota_s*100+fi_s/20,0,(OFFSET('Base de dados'!$A$4,IF(O2908&lt;20,1,IF(O2908&gt;1000,10,MATCH(O2908,Cargas,1))),Coluna_fis,1,1))*(PI()*(fi_s/1000)^2/4)*(2*9.81*(O2908/100-cota_s-fi_s/2/1000))^0.5*1000)))</f>
        <v>18903.70261999479</v>
      </c>
      <c r="R2908" s="19">
        <f t="shared" ca="1" si="315"/>
        <v>18976.092129491724</v>
      </c>
      <c r="S2908" s="19">
        <f t="shared" ca="1" si="316"/>
        <v>18802.642007525912</v>
      </c>
    </row>
    <row r="2909" spans="13:19">
      <c r="M2909" s="81">
        <f t="shared" ca="1" si="313"/>
        <v>37796.653651990295</v>
      </c>
      <c r="N2909" s="19">
        <f t="shared" si="314"/>
        <v>564.29747925063839</v>
      </c>
      <c r="O2909" s="17">
        <f t="shared" si="312"/>
        <v>727</v>
      </c>
      <c r="P2909" s="19">
        <f ca="1">IF(ISERROR(IF(O2909&lt;fi_h/20,0,(OFFSET('Base de dados'!$A$5,IF(O2909&lt;20,1,IF(O2909&gt;1000,10,MATCH(O2909,Cargas,1))),Coluna_fih,1,1))*(1+0.13*0.25)*(PI()*(fi_h/1000)^2/4)*SQRT(2*9.81*(O2909/100-fi_h/2/1000))*1000)),"",IF(O2909&lt;fi_h/20,0,(OFFSET('Base de dados'!$A$5,IF(O2909&lt;20,1,IF(O2909&gt;1000,10,MATCH(O2909,Cargas,1))),Coluna_fih,1,1))*(PI()*(fi_h/1000)^2/4)*SQRT(2*9.81*(O2909/100-fi_h/2/1000))*1000))</f>
        <v>72.402056687451861</v>
      </c>
      <c r="Q2909" s="19">
        <f ca="1">IF(O2909="","",IF(Tipo_Vertedor="Retangular",IF(O2909&lt;=cota_s*100,0,IF(Tipo_Vertedor="Retangular",Cd_sr*Lef_sr*((O2909/100-cota_s)^(3/2))*1000)),IF(O2909&lt;=cota_s*100+fi_s/20,0,(OFFSET('Base de dados'!$A$4,IF(O2909&lt;20,1,IF(O2909&gt;1000,10,MATCH(O2909,Cargas,1))),Coluna_fis,1,1))*(PI()*(fi_s/1000)^2/4)*(2*9.81*(O2909/100-cota_s-fi_s/2/1000))^0.5*1000)))</f>
        <v>18914.335620281563</v>
      </c>
      <c r="R2909" s="19">
        <f t="shared" ca="1" si="315"/>
        <v>18986.737676969016</v>
      </c>
      <c r="S2909" s="19">
        <f t="shared" ca="1" si="316"/>
        <v>18809.915975021278</v>
      </c>
    </row>
    <row r="2910" spans="13:19">
      <c r="M2910" s="81">
        <f t="shared" ca="1" si="313"/>
        <v>37814.575469279633</v>
      </c>
      <c r="N2910" s="19">
        <f t="shared" si="314"/>
        <v>564.51570762388133</v>
      </c>
      <c r="O2910" s="17">
        <f t="shared" si="312"/>
        <v>727.25</v>
      </c>
      <c r="P2910" s="19">
        <f ca="1">IF(ISERROR(IF(O2910&lt;fi_h/20,0,(OFFSET('Base de dados'!$A$5,IF(O2910&lt;20,1,IF(O2910&gt;1000,10,MATCH(O2910,Cargas,1))),Coluna_fih,1,1))*(1+0.13*0.25)*(PI()*(fi_h/1000)^2/4)*SQRT(2*9.81*(O2910/100-fi_h/2/1000))*1000)),"",IF(O2910&lt;fi_h/20,0,(OFFSET('Base de dados'!$A$5,IF(O2910&lt;20,1,IF(O2910&gt;1000,10,MATCH(O2910,Cargas,1))),Coluna_fih,1,1))*(PI()*(fi_h/1000)^2/4)*SQRT(2*9.81*(O2910/100-fi_h/2/1000))*1000))</f>
        <v>72.414601703935048</v>
      </c>
      <c r="Q2910" s="19">
        <f ca="1">IF(O2910="","",IF(Tipo_Vertedor="Retangular",IF(O2910&lt;=cota_s*100,0,IF(Tipo_Vertedor="Retangular",Cd_sr*Lef_sr*((O2910/100-cota_s)^(3/2))*1000)),IF(O2910&lt;=cota_s*100+fi_s/20,0,(OFFSET('Base de dados'!$A$4,IF(O2910&lt;20,1,IF(O2910&gt;1000,10,MATCH(O2910,Cargas,1))),Coluna_fis,1,1))*(PI()*(fi_s/1000)^2/4)*(2*9.81*(O2910/100-cota_s-fi_s/2/1000))^0.5*1000)))</f>
        <v>18924.970613446319</v>
      </c>
      <c r="R2910" s="19">
        <f t="shared" ca="1" si="315"/>
        <v>18997.385215150254</v>
      </c>
      <c r="S2910" s="19">
        <f t="shared" ca="1" si="316"/>
        <v>18817.190254129375</v>
      </c>
    </row>
    <row r="2911" spans="13:19">
      <c r="M2911" s="81">
        <f t="shared" ca="1" si="313"/>
        <v>37832.499588419625</v>
      </c>
      <c r="N2911" s="19">
        <f t="shared" si="314"/>
        <v>564.73394534269278</v>
      </c>
      <c r="O2911" s="17">
        <f t="shared" si="312"/>
        <v>727.5</v>
      </c>
      <c r="P2911" s="19">
        <f ca="1">IF(ISERROR(IF(O2911&lt;fi_h/20,0,(OFFSET('Base de dados'!$A$5,IF(O2911&lt;20,1,IF(O2911&gt;1000,10,MATCH(O2911,Cargas,1))),Coluna_fih,1,1))*(1+0.13*0.25)*(PI()*(fi_h/1000)^2/4)*SQRT(2*9.81*(O2911/100-fi_h/2/1000))*1000)),"",IF(O2911&lt;fi_h/20,0,(OFFSET('Base de dados'!$A$5,IF(O2911&lt;20,1,IF(O2911&gt;1000,10,MATCH(O2911,Cargas,1))),Coluna_fih,1,1))*(PI()*(fi_h/1000)^2/4)*SQRT(2*9.81*(O2911/100-fi_h/2/1000))*1000))</f>
        <v>72.427144547511432</v>
      </c>
      <c r="Q2911" s="19">
        <f ca="1">IF(O2911="","",IF(Tipo_Vertedor="Retangular",IF(O2911&lt;=cota_s*100,0,IF(Tipo_Vertedor="Retangular",Cd_sr*Lef_sr*((O2911/100-cota_s)^(3/2))*1000)),IF(O2911&lt;=cota_s*100+fi_s/20,0,(OFFSET('Base de dados'!$A$4,IF(O2911&lt;20,1,IF(O2911&gt;1000,10,MATCH(O2911,Cargas,1))),Coluna_fis,1,1))*(PI()*(fi_s/1000)^2/4)*(2*9.81*(O2911/100-cota_s-fi_s/2/1000))^0.5*1000)))</f>
        <v>18935.60759911569</v>
      </c>
      <c r="R2911" s="19">
        <f t="shared" ca="1" si="315"/>
        <v>19008.0347436632</v>
      </c>
      <c r="S2911" s="19">
        <f t="shared" ca="1" si="316"/>
        <v>18824.464844756425</v>
      </c>
    </row>
    <row r="2912" spans="13:19">
      <c r="M2912" s="81">
        <f t="shared" ca="1" si="313"/>
        <v>37850.426008944502</v>
      </c>
      <c r="N2912" s="19">
        <f t="shared" si="314"/>
        <v>564.95219240426093</v>
      </c>
      <c r="O2912" s="17">
        <f t="shared" si="312"/>
        <v>727.75</v>
      </c>
      <c r="P2912" s="19">
        <f ca="1">IF(ISERROR(IF(O2912&lt;fi_h/20,0,(OFFSET('Base de dados'!$A$5,IF(O2912&lt;20,1,IF(O2912&gt;1000,10,MATCH(O2912,Cargas,1))),Coluna_fih,1,1))*(1+0.13*0.25)*(PI()*(fi_h/1000)^2/4)*SQRT(2*9.81*(O2912/100-fi_h/2/1000))*1000)),"",IF(O2912&lt;fi_h/20,0,(OFFSET('Base de dados'!$A$5,IF(O2912&lt;20,1,IF(O2912&gt;1000,10,MATCH(O2912,Cargas,1))),Coluna_fih,1,1))*(PI()*(fi_h/1000)^2/4)*SQRT(2*9.81*(O2912/100-fi_h/2/1000))*1000))</f>
        <v>72.439685219309709</v>
      </c>
      <c r="Q2912" s="19">
        <f ca="1">IF(O2912="","",IF(Tipo_Vertedor="Retangular",IF(O2912&lt;=cota_s*100,0,IF(Tipo_Vertedor="Retangular",Cd_sr*Lef_sr*((O2912/100-cota_s)^(3/2))*1000)),IF(O2912&lt;=cota_s*100+fi_s/20,0,(OFFSET('Base de dados'!$A$4,IF(O2912&lt;20,1,IF(O2912&gt;1000,10,MATCH(O2912,Cargas,1))),Coluna_fis,1,1))*(PI()*(fi_s/1000)^2/4)*(2*9.81*(O2912/100-cota_s-fi_s/2/1000))^0.5*1000)))</f>
        <v>18946.246576916488</v>
      </c>
      <c r="R2912" s="19">
        <f t="shared" ca="1" si="315"/>
        <v>19018.686262135798</v>
      </c>
      <c r="S2912" s="19">
        <f t="shared" ca="1" si="316"/>
        <v>18831.7397468087</v>
      </c>
    </row>
    <row r="2913" spans="13:19">
      <c r="M2913" s="81">
        <f t="shared" ca="1" si="313"/>
        <v>37868.354730388775</v>
      </c>
      <c r="N2913" s="19">
        <f t="shared" si="314"/>
        <v>565.17044880577635</v>
      </c>
      <c r="O2913" s="17">
        <f t="shared" si="312"/>
        <v>728</v>
      </c>
      <c r="P2913" s="19">
        <f ca="1">IF(ISERROR(IF(O2913&lt;fi_h/20,0,(OFFSET('Base de dados'!$A$5,IF(O2913&lt;20,1,IF(O2913&gt;1000,10,MATCH(O2913,Cargas,1))),Coluna_fih,1,1))*(1+0.13*0.25)*(PI()*(fi_h/1000)^2/4)*SQRT(2*9.81*(O2913/100-fi_h/2/1000))*1000)),"",IF(O2913&lt;fi_h/20,0,(OFFSET('Base de dados'!$A$5,IF(O2913&lt;20,1,IF(O2913&gt;1000,10,MATCH(O2913,Cargas,1))),Coluna_fih,1,1))*(PI()*(fi_h/1000)^2/4)*SQRT(2*9.81*(O2913/100-fi_h/2/1000))*1000))</f>
        <v>72.452223720457624</v>
      </c>
      <c r="Q2913" s="19">
        <f ca="1">IF(O2913="","",IF(Tipo_Vertedor="Retangular",IF(O2913&lt;=cota_s*100,0,IF(Tipo_Vertedor="Retangular",Cd_sr*Lef_sr*((O2913/100-cota_s)^(3/2))*1000)),IF(O2913&lt;=cota_s*100+fi_s/20,0,(OFFSET('Base de dados'!$A$4,IF(O2913&lt;20,1,IF(O2913&gt;1000,10,MATCH(O2913,Cargas,1))),Coluna_fis,1,1))*(PI()*(fi_s/1000)^2/4)*(2*9.81*(O2913/100-cota_s-fi_s/2/1000))^0.5*1000)))</f>
        <v>18956.887546475769</v>
      </c>
      <c r="R2913" s="19">
        <f t="shared" ca="1" si="315"/>
        <v>19029.339770196228</v>
      </c>
      <c r="S2913" s="19">
        <f t="shared" ca="1" si="316"/>
        <v>18839.014960192544</v>
      </c>
    </row>
    <row r="2914" spans="13:19">
      <c r="M2914" s="81">
        <f t="shared" ca="1" si="313"/>
        <v>37886.285752287244</v>
      </c>
      <c r="N2914" s="19">
        <f t="shared" si="314"/>
        <v>565.38871454443108</v>
      </c>
      <c r="O2914" s="17">
        <f t="shared" si="312"/>
        <v>728.25</v>
      </c>
      <c r="P2914" s="19">
        <f ca="1">IF(ISERROR(IF(O2914&lt;fi_h/20,0,(OFFSET('Base de dados'!$A$5,IF(O2914&lt;20,1,IF(O2914&gt;1000,10,MATCH(O2914,Cargas,1))),Coluna_fih,1,1))*(1+0.13*0.25)*(PI()*(fi_h/1000)^2/4)*SQRT(2*9.81*(O2914/100-fi_h/2/1000))*1000)),"",IF(O2914&lt;fi_h/20,0,(OFFSET('Base de dados'!$A$5,IF(O2914&lt;20,1,IF(O2914&gt;1000,10,MATCH(O2914,Cargas,1))),Coluna_fih,1,1))*(PI()*(fi_h/1000)^2/4)*SQRT(2*9.81*(O2914/100-fi_h/2/1000))*1000))</f>
        <v>72.464760052081886</v>
      </c>
      <c r="Q2914" s="19">
        <f ca="1">IF(O2914="","",IF(Tipo_Vertedor="Retangular",IF(O2914&lt;=cota_s*100,0,IF(Tipo_Vertedor="Retangular",Cd_sr*Lef_sr*((O2914/100-cota_s)^(3/2))*1000)),IF(O2914&lt;=cota_s*100+fi_s/20,0,(OFFSET('Base de dados'!$A$4,IF(O2914&lt;20,1,IF(O2914&gt;1000,10,MATCH(O2914,Cargas,1))),Coluna_fis,1,1))*(PI()*(fi_s/1000)^2/4)*(2*9.81*(O2914/100-cota_s-fi_s/2/1000))^0.5*1000)))</f>
        <v>18967.530507420794</v>
      </c>
      <c r="R2914" s="19">
        <f t="shared" ca="1" si="315"/>
        <v>19039.995267472874</v>
      </c>
      <c r="S2914" s="19">
        <f t="shared" ca="1" si="316"/>
        <v>18846.29048481437</v>
      </c>
    </row>
    <row r="2915" spans="13:19">
      <c r="M2915" s="81">
        <f t="shared" ca="1" si="313"/>
        <v>37904.21907417498</v>
      </c>
      <c r="N2915" s="19">
        <f t="shared" si="314"/>
        <v>565.60698961741912</v>
      </c>
      <c r="O2915" s="17">
        <f t="shared" si="312"/>
        <v>728.5</v>
      </c>
      <c r="P2915" s="19">
        <f ca="1">IF(ISERROR(IF(O2915&lt;fi_h/20,0,(OFFSET('Base de dados'!$A$5,IF(O2915&lt;20,1,IF(O2915&gt;1000,10,MATCH(O2915,Cargas,1))),Coluna_fih,1,1))*(1+0.13*0.25)*(PI()*(fi_h/1000)^2/4)*SQRT(2*9.81*(O2915/100-fi_h/2/1000))*1000)),"",IF(O2915&lt;fi_h/20,0,(OFFSET('Base de dados'!$A$5,IF(O2915&lt;20,1,IF(O2915&gt;1000,10,MATCH(O2915,Cargas,1))),Coluna_fih,1,1))*(PI()*(fi_h/1000)^2/4)*SQRT(2*9.81*(O2915/100-fi_h/2/1000))*1000))</f>
        <v>72.477294215308319</v>
      </c>
      <c r="Q2915" s="19">
        <f ca="1">IF(O2915="","",IF(Tipo_Vertedor="Retangular",IF(O2915&lt;=cota_s*100,0,IF(Tipo_Vertedor="Retangular",Cd_sr*Lef_sr*((O2915/100-cota_s)^(3/2))*1000)),IF(O2915&lt;=cota_s*100+fi_s/20,0,(OFFSET('Base de dados'!$A$4,IF(O2915&lt;20,1,IF(O2915&gt;1000,10,MATCH(O2915,Cargas,1))),Coluna_fis,1,1))*(PI()*(fi_s/1000)^2/4)*(2*9.81*(O2915/100-cota_s-fi_s/2/1000))^0.5*1000)))</f>
        <v>18978.175459379039</v>
      </c>
      <c r="R2915" s="19">
        <f t="shared" ca="1" si="315"/>
        <v>19050.652753594346</v>
      </c>
      <c r="S2915" s="19">
        <f t="shared" ca="1" si="316"/>
        <v>18853.566320580638</v>
      </c>
    </row>
    <row r="2916" spans="13:19">
      <c r="M2916" s="81">
        <f t="shared" ca="1" si="313"/>
        <v>37922.154695587269</v>
      </c>
      <c r="N2916" s="19">
        <f t="shared" si="314"/>
        <v>565.82527402193591</v>
      </c>
      <c r="O2916" s="17">
        <f t="shared" si="312"/>
        <v>728.75</v>
      </c>
      <c r="P2916" s="19">
        <f ca="1">IF(ISERROR(IF(O2916&lt;fi_h/20,0,(OFFSET('Base de dados'!$A$5,IF(O2916&lt;20,1,IF(O2916&gt;1000,10,MATCH(O2916,Cargas,1))),Coluna_fih,1,1))*(1+0.13*0.25)*(PI()*(fi_h/1000)^2/4)*SQRT(2*9.81*(O2916/100-fi_h/2/1000))*1000)),"",IF(O2916&lt;fi_h/20,0,(OFFSET('Base de dados'!$A$5,IF(O2916&lt;20,1,IF(O2916&gt;1000,10,MATCH(O2916,Cargas,1))),Coluna_fih,1,1))*(PI()*(fi_h/1000)^2/4)*SQRT(2*9.81*(O2916/100-fi_h/2/1000))*1000))</f>
        <v>72.489826211261715</v>
      </c>
      <c r="Q2916" s="19">
        <f ca="1">IF(O2916="","",IF(Tipo_Vertedor="Retangular",IF(O2916&lt;=cota_s*100,0,IF(Tipo_Vertedor="Retangular",Cd_sr*Lef_sr*((O2916/100-cota_s)^(3/2))*1000)),IF(O2916&lt;=cota_s*100+fi_s/20,0,(OFFSET('Base de dados'!$A$4,IF(O2916&lt;20,1,IF(O2916&gt;1000,10,MATCH(O2916,Cargas,1))),Coluna_fis,1,1))*(PI()*(fi_s/1000)^2/4)*(2*9.81*(O2916/100-cota_s-fi_s/2/1000))^0.5*1000)))</f>
        <v>18988.822401978145</v>
      </c>
      <c r="R2916" s="19">
        <f t="shared" ca="1" si="315"/>
        <v>19061.312228189407</v>
      </c>
      <c r="S2916" s="19">
        <f t="shared" ca="1" si="316"/>
        <v>18860.842467397862</v>
      </c>
    </row>
    <row r="2917" spans="13:19">
      <c r="M2917" s="81">
        <f t="shared" ca="1" si="313"/>
        <v>37940.092616059745</v>
      </c>
      <c r="N2917" s="19">
        <f t="shared" si="314"/>
        <v>566.04356775517954</v>
      </c>
      <c r="O2917" s="17">
        <f t="shared" si="312"/>
        <v>729</v>
      </c>
      <c r="P2917" s="19">
        <f ca="1">IF(ISERROR(IF(O2917&lt;fi_h/20,0,(OFFSET('Base de dados'!$A$5,IF(O2917&lt;20,1,IF(O2917&gt;1000,10,MATCH(O2917,Cargas,1))),Coluna_fih,1,1))*(1+0.13*0.25)*(PI()*(fi_h/1000)^2/4)*SQRT(2*9.81*(O2917/100-fi_h/2/1000))*1000)),"",IF(O2917&lt;fi_h/20,0,(OFFSET('Base de dados'!$A$5,IF(O2917&lt;20,1,IF(O2917&gt;1000,10,MATCH(O2917,Cargas,1))),Coluna_fih,1,1))*(PI()*(fi_h/1000)^2/4)*SQRT(2*9.81*(O2917/100-fi_h/2/1000))*1000))</f>
        <v>72.502356041065937</v>
      </c>
      <c r="Q2917" s="19">
        <f ca="1">IF(O2917="","",IF(Tipo_Vertedor="Retangular",IF(O2917&lt;=cota_s*100,0,IF(Tipo_Vertedor="Retangular",Cd_sr*Lef_sr*((O2917/100-cota_s)^(3/2))*1000)),IF(O2917&lt;=cota_s*100+fi_s/20,0,(OFFSET('Base de dados'!$A$4,IF(O2917&lt;20,1,IF(O2917&gt;1000,10,MATCH(O2917,Cargas,1))),Coluna_fis,1,1))*(PI()*(fi_s/1000)^2/4)*(2*9.81*(O2917/100-cota_s-fi_s/2/1000))^0.5*1000)))</f>
        <v>18999.471334846032</v>
      </c>
      <c r="R2917" s="19">
        <f t="shared" ca="1" si="315"/>
        <v>19071.973690887098</v>
      </c>
      <c r="S2917" s="19">
        <f t="shared" ca="1" si="316"/>
        <v>18868.11892517265</v>
      </c>
    </row>
    <row r="2918" spans="13:19">
      <c r="M2918" s="81">
        <f t="shared" ca="1" si="313"/>
        <v>37958.032835128244</v>
      </c>
      <c r="N2918" s="19">
        <f t="shared" si="314"/>
        <v>566.26187081434853</v>
      </c>
      <c r="O2918" s="17">
        <f t="shared" si="312"/>
        <v>729.25</v>
      </c>
      <c r="P2918" s="19">
        <f ca="1">IF(ISERROR(IF(O2918&lt;fi_h/20,0,(OFFSET('Base de dados'!$A$5,IF(O2918&lt;20,1,IF(O2918&gt;1000,10,MATCH(O2918,Cargas,1))),Coluna_fih,1,1))*(1+0.13*0.25)*(PI()*(fi_h/1000)^2/4)*SQRT(2*9.81*(O2918/100-fi_h/2/1000))*1000)),"",IF(O2918&lt;fi_h/20,0,(OFFSET('Base de dados'!$A$5,IF(O2918&lt;20,1,IF(O2918&gt;1000,10,MATCH(O2918,Cargas,1))),Coluna_fih,1,1))*(PI()*(fi_h/1000)^2/4)*SQRT(2*9.81*(O2918/100-fi_h/2/1000))*1000))</f>
        <v>72.5148837058438</v>
      </c>
      <c r="Q2918" s="19">
        <f ca="1">IF(O2918="","",IF(Tipo_Vertedor="Retangular",IF(O2918&lt;=cota_s*100,0,IF(Tipo_Vertedor="Retangular",Cd_sr*Lef_sr*((O2918/100-cota_s)^(3/2))*1000)),IF(O2918&lt;=cota_s*100+fi_s/20,0,(OFFSET('Base de dados'!$A$4,IF(O2918&lt;20,1,IF(O2918&gt;1000,10,MATCH(O2918,Cargas,1))),Coluna_fis,1,1))*(PI()*(fi_s/1000)^2/4)*(2*9.81*(O2918/100-cota_s-fi_s/2/1000))^0.5*1000)))</f>
        <v>19010.122257610779</v>
      </c>
      <c r="R2918" s="19">
        <f t="shared" ca="1" si="315"/>
        <v>19082.637141316623</v>
      </c>
      <c r="S2918" s="19">
        <f t="shared" ca="1" si="316"/>
        <v>18875.395693811621</v>
      </c>
    </row>
    <row r="2919" spans="13:19">
      <c r="M2919" s="81">
        <f t="shared" ca="1" si="313"/>
        <v>37975.975352328867</v>
      </c>
      <c r="N2919" s="19">
        <f t="shared" si="314"/>
        <v>566.4801831966447</v>
      </c>
      <c r="O2919" s="17">
        <f t="shared" si="312"/>
        <v>729.5</v>
      </c>
      <c r="P2919" s="19">
        <f ca="1">IF(ISERROR(IF(O2919&lt;fi_h/20,0,(OFFSET('Base de dados'!$A$5,IF(O2919&lt;20,1,IF(O2919&gt;1000,10,MATCH(O2919,Cargas,1))),Coluna_fih,1,1))*(1+0.13*0.25)*(PI()*(fi_h/1000)^2/4)*SQRT(2*9.81*(O2919/100-fi_h/2/1000))*1000)),"",IF(O2919&lt;fi_h/20,0,(OFFSET('Base de dados'!$A$5,IF(O2919&lt;20,1,IF(O2919&gt;1000,10,MATCH(O2919,Cargas,1))),Coluna_fih,1,1))*(PI()*(fi_h/1000)^2/4)*SQRT(2*9.81*(O2919/100-fi_h/2/1000))*1000))</f>
        <v>72.527409206717238</v>
      </c>
      <c r="Q2919" s="19">
        <f ca="1">IF(O2919="","",IF(Tipo_Vertedor="Retangular",IF(O2919&lt;=cota_s*100,0,IF(Tipo_Vertedor="Retangular",Cd_sr*Lef_sr*((O2919/100-cota_s)^(3/2))*1000)),IF(O2919&lt;=cota_s*100+fi_s/20,0,(OFFSET('Base de dados'!$A$4,IF(O2919&lt;20,1,IF(O2919&gt;1000,10,MATCH(O2919,Cargas,1))),Coluna_fis,1,1))*(PI()*(fi_s/1000)^2/4)*(2*9.81*(O2919/100-cota_s-fi_s/2/1000))^0.5*1000)))</f>
        <v>19020.775169900662</v>
      </c>
      <c r="R2919" s="19">
        <f t="shared" ca="1" si="315"/>
        <v>19093.302579107378</v>
      </c>
      <c r="S2919" s="19">
        <f t="shared" ca="1" si="316"/>
        <v>18882.672773221489</v>
      </c>
    </row>
    <row r="2920" spans="13:19">
      <c r="M2920" s="81">
        <f t="shared" ca="1" si="313"/>
        <v>37993.920167198048</v>
      </c>
      <c r="N2920" s="19">
        <f t="shared" si="314"/>
        <v>566.69850489927069</v>
      </c>
      <c r="O2920" s="17">
        <f t="shared" si="312"/>
        <v>729.75</v>
      </c>
      <c r="P2920" s="19">
        <f ca="1">IF(ISERROR(IF(O2920&lt;fi_h/20,0,(OFFSET('Base de dados'!$A$5,IF(O2920&lt;20,1,IF(O2920&gt;1000,10,MATCH(O2920,Cargas,1))),Coluna_fih,1,1))*(1+0.13*0.25)*(PI()*(fi_h/1000)^2/4)*SQRT(2*9.81*(O2920/100-fi_h/2/1000))*1000)),"",IF(O2920&lt;fi_h/20,0,(OFFSET('Base de dados'!$A$5,IF(O2920&lt;20,1,IF(O2920&gt;1000,10,MATCH(O2920,Cargas,1))),Coluna_fih,1,1))*(PI()*(fi_h/1000)^2/4)*SQRT(2*9.81*(O2920/100-fi_h/2/1000))*1000))</f>
        <v>72.539932544807172</v>
      </c>
      <c r="Q2920" s="19">
        <f ca="1">IF(O2920="","",IF(Tipo_Vertedor="Retangular",IF(O2920&lt;=cota_s*100,0,IF(Tipo_Vertedor="Retangular",Cd_sr*Lef_sr*((O2920/100-cota_s)^(3/2))*1000)),IF(O2920&lt;=cota_s*100+fi_s/20,0,(OFFSET('Base de dados'!$A$4,IF(O2920&lt;20,1,IF(O2920&gt;1000,10,MATCH(O2920,Cargas,1))),Coluna_fis,1,1))*(PI()*(fi_s/1000)^2/4)*(2*9.81*(O2920/100-cota_s-fi_s/2/1000))^0.5*1000)))</f>
        <v>19031.430071344217</v>
      </c>
      <c r="R2920" s="19">
        <f t="shared" ca="1" si="315"/>
        <v>19103.970003889026</v>
      </c>
      <c r="S2920" s="19">
        <f t="shared" ca="1" si="316"/>
        <v>18889.950163309022</v>
      </c>
    </row>
    <row r="2921" spans="13:19">
      <c r="M2921" s="81">
        <f t="shared" ca="1" si="313"/>
        <v>38011.867279272425</v>
      </c>
      <c r="N2921" s="19">
        <f t="shared" si="314"/>
        <v>566.91683591943115</v>
      </c>
      <c r="O2921" s="17">
        <f t="shared" si="312"/>
        <v>730</v>
      </c>
      <c r="P2921" s="19">
        <f ca="1">IF(ISERROR(IF(O2921&lt;fi_h/20,0,(OFFSET('Base de dados'!$A$5,IF(O2921&lt;20,1,IF(O2921&gt;1000,10,MATCH(O2921,Cargas,1))),Coluna_fih,1,1))*(1+0.13*0.25)*(PI()*(fi_h/1000)^2/4)*SQRT(2*9.81*(O2921/100-fi_h/2/1000))*1000)),"",IF(O2921&lt;fi_h/20,0,(OFFSET('Base de dados'!$A$5,IF(O2921&lt;20,1,IF(O2921&gt;1000,10,MATCH(O2921,Cargas,1))),Coluna_fih,1,1))*(PI()*(fi_h/1000)^2/4)*SQRT(2*9.81*(O2921/100-fi_h/2/1000))*1000))</f>
        <v>72.552453721233562</v>
      </c>
      <c r="Q2921" s="19">
        <f ca="1">IF(O2921="","",IF(Tipo_Vertedor="Retangular",IF(O2921&lt;=cota_s*100,0,IF(Tipo_Vertedor="Retangular",Cd_sr*Lef_sr*((O2921/100-cota_s)^(3/2))*1000)),IF(O2921&lt;=cota_s*100+fi_s/20,0,(OFFSET('Base de dados'!$A$4,IF(O2921&lt;20,1,IF(O2921&gt;1000,10,MATCH(O2921,Cargas,1))),Coluna_fis,1,1))*(PI()*(fi_s/1000)^2/4)*(2*9.81*(O2921/100-cota_s-fi_s/2/1000))^0.5*1000)))</f>
        <v>19042.086961570156</v>
      </c>
      <c r="R2921" s="19">
        <f t="shared" ca="1" si="315"/>
        <v>19114.639415291389</v>
      </c>
      <c r="S2921" s="19">
        <f t="shared" ca="1" si="316"/>
        <v>18897.227863981039</v>
      </c>
    </row>
    <row r="2922" spans="13:19">
      <c r="M2922" s="81">
        <f t="shared" ca="1" si="313"/>
        <v>38029.816688088933</v>
      </c>
      <c r="N2922" s="19">
        <f t="shared" si="314"/>
        <v>567.13517625433258</v>
      </c>
      <c r="O2922" s="17">
        <f t="shared" si="312"/>
        <v>730.25</v>
      </c>
      <c r="P2922" s="19">
        <f ca="1">IF(ISERROR(IF(O2922&lt;fi_h/20,0,(OFFSET('Base de dados'!$A$5,IF(O2922&lt;20,1,IF(O2922&gt;1000,10,MATCH(O2922,Cargas,1))),Coluna_fih,1,1))*(1+0.13*0.25)*(PI()*(fi_h/1000)^2/4)*SQRT(2*9.81*(O2922/100-fi_h/2/1000))*1000)),"",IF(O2922&lt;fi_h/20,0,(OFFSET('Base de dados'!$A$5,IF(O2922&lt;20,1,IF(O2922&gt;1000,10,MATCH(O2922,Cargas,1))),Coluna_fih,1,1))*(PI()*(fi_h/1000)^2/4)*SQRT(2*9.81*(O2922/100-fi_h/2/1000))*1000))</f>
        <v>72.564972737115383</v>
      </c>
      <c r="Q2922" s="19">
        <f ca="1">IF(O2922="","",IF(Tipo_Vertedor="Retangular",IF(O2922&lt;=cota_s*100,0,IF(Tipo_Vertedor="Retangular",Cd_sr*Lef_sr*((O2922/100-cota_s)^(3/2))*1000)),IF(O2922&lt;=cota_s*100+fi_s/20,0,(OFFSET('Base de dados'!$A$4,IF(O2922&lt;20,1,IF(O2922&gt;1000,10,MATCH(O2922,Cargas,1))),Coluna_fis,1,1))*(PI()*(fi_s/1000)^2/4)*(2*9.81*(O2922/100-cota_s-fi_s/2/1000))^0.5*1000)))</f>
        <v>19052.745840207393</v>
      </c>
      <c r="R2922" s="19">
        <f t="shared" ca="1" si="315"/>
        <v>19125.31081294451</v>
      </c>
      <c r="S2922" s="19">
        <f t="shared" ca="1" si="316"/>
        <v>18904.505875144419</v>
      </c>
    </row>
    <row r="2923" spans="13:19">
      <c r="M2923" s="81">
        <f t="shared" ca="1" si="313"/>
        <v>38047.768393184757</v>
      </c>
      <c r="N2923" s="19">
        <f t="shared" si="314"/>
        <v>567.35352590118373</v>
      </c>
      <c r="O2923" s="17">
        <f t="shared" si="312"/>
        <v>730.5</v>
      </c>
      <c r="P2923" s="19">
        <f ca="1">IF(ISERROR(IF(O2923&lt;fi_h/20,0,(OFFSET('Base de dados'!$A$5,IF(O2923&lt;20,1,IF(O2923&gt;1000,10,MATCH(O2923,Cargas,1))),Coluna_fih,1,1))*(1+0.13*0.25)*(PI()*(fi_h/1000)^2/4)*SQRT(2*9.81*(O2923/100-fi_h/2/1000))*1000)),"",IF(O2923&lt;fi_h/20,0,(OFFSET('Base de dados'!$A$5,IF(O2923&lt;20,1,IF(O2923&gt;1000,10,MATCH(O2923,Cargas,1))),Coluna_fih,1,1))*(PI()*(fi_h/1000)^2/4)*SQRT(2*9.81*(O2923/100-fi_h/2/1000))*1000))</f>
        <v>72.577489593570689</v>
      </c>
      <c r="Q2923" s="19">
        <f ca="1">IF(O2923="","",IF(Tipo_Vertedor="Retangular",IF(O2923&lt;=cota_s*100,0,IF(Tipo_Vertedor="Retangular",Cd_sr*Lef_sr*((O2923/100-cota_s)^(3/2))*1000)),IF(O2923&lt;=cota_s*100+fi_s/20,0,(OFFSET('Base de dados'!$A$4,IF(O2923&lt;20,1,IF(O2923&gt;1000,10,MATCH(O2923,Cargas,1))),Coluna_fis,1,1))*(PI()*(fi_s/1000)^2/4)*(2*9.81*(O2923/100-cota_s-fi_s/2/1000))^0.5*1000)))</f>
        <v>19063.406706885064</v>
      </c>
      <c r="R2923" s="19">
        <f t="shared" ca="1" si="315"/>
        <v>19135.984196478636</v>
      </c>
      <c r="S2923" s="19">
        <f t="shared" ca="1" si="316"/>
        <v>18911.784196706125</v>
      </c>
    </row>
    <row r="2924" spans="13:19">
      <c r="M2924" s="81">
        <f t="shared" ca="1" si="313"/>
        <v>38065.722394097364</v>
      </c>
      <c r="N2924" s="19">
        <f t="shared" si="314"/>
        <v>567.57188485719382</v>
      </c>
      <c r="O2924" s="17">
        <f t="shared" si="312"/>
        <v>730.75</v>
      </c>
      <c r="P2924" s="19">
        <f ca="1">IF(ISERROR(IF(O2924&lt;fi_h/20,0,(OFFSET('Base de dados'!$A$5,IF(O2924&lt;20,1,IF(O2924&gt;1000,10,MATCH(O2924,Cargas,1))),Coluna_fih,1,1))*(1+0.13*0.25)*(PI()*(fi_h/1000)^2/4)*SQRT(2*9.81*(O2924/100-fi_h/2/1000))*1000)),"",IF(O2924&lt;fi_h/20,0,(OFFSET('Base de dados'!$A$5,IF(O2924&lt;20,1,IF(O2924&gt;1000,10,MATCH(O2924,Cargas,1))),Coluna_fih,1,1))*(PI()*(fi_h/1000)^2/4)*SQRT(2*9.81*(O2924/100-fi_h/2/1000))*1000))</f>
        <v>72.590004291716525</v>
      </c>
      <c r="Q2924" s="19">
        <f ca="1">IF(O2924="","",IF(Tipo_Vertedor="Retangular",IF(O2924&lt;=cota_s*100,0,IF(Tipo_Vertedor="Retangular",Cd_sr*Lef_sr*((O2924/100-cota_s)^(3/2))*1000)),IF(O2924&lt;=cota_s*100+fi_s/20,0,(OFFSET('Base de dados'!$A$4,IF(O2924&lt;20,1,IF(O2924&gt;1000,10,MATCH(O2924,Cargas,1))),Coluna_fis,1,1))*(PI()*(fi_s/1000)^2/4)*(2*9.81*(O2924/100-cota_s-fi_s/2/1000))^0.5*1000)))</f>
        <v>19074.069561232518</v>
      </c>
      <c r="R2924" s="19">
        <f t="shared" ca="1" si="315"/>
        <v>19146.659565524234</v>
      </c>
      <c r="S2924" s="19">
        <f t="shared" ca="1" si="316"/>
        <v>18919.062828573125</v>
      </c>
    </row>
    <row r="2925" spans="13:19">
      <c r="M2925" s="81">
        <f t="shared" ca="1" si="313"/>
        <v>38083.678690364482</v>
      </c>
      <c r="N2925" s="19">
        <f t="shared" si="314"/>
        <v>567.79025311957571</v>
      </c>
      <c r="O2925" s="17">
        <f t="shared" si="312"/>
        <v>731</v>
      </c>
      <c r="P2925" s="19">
        <f ca="1">IF(ISERROR(IF(O2925&lt;fi_h/20,0,(OFFSET('Base de dados'!$A$5,IF(O2925&lt;20,1,IF(O2925&gt;1000,10,MATCH(O2925,Cargas,1))),Coluna_fih,1,1))*(1+0.13*0.25)*(PI()*(fi_h/1000)^2/4)*SQRT(2*9.81*(O2925/100-fi_h/2/1000))*1000)),"",IF(O2925&lt;fi_h/20,0,(OFFSET('Base de dados'!$A$5,IF(O2925&lt;20,1,IF(O2925&gt;1000,10,MATCH(O2925,Cargas,1))),Coluna_fih,1,1))*(PI()*(fi_h/1000)^2/4)*SQRT(2*9.81*(O2925/100-fi_h/2/1000))*1000))</f>
        <v>72.602516832668996</v>
      </c>
      <c r="Q2925" s="19">
        <f ca="1">IF(O2925="","",IF(Tipo_Vertedor="Retangular",IF(O2925&lt;=cota_s*100,0,IF(Tipo_Vertedor="Retangular",Cd_sr*Lef_sr*((O2925/100-cota_s)^(3/2))*1000)),IF(O2925&lt;=cota_s*100+fi_s/20,0,(OFFSET('Base de dados'!$A$4,IF(O2925&lt;20,1,IF(O2925&gt;1000,10,MATCH(O2925,Cargas,1))),Coluna_fis,1,1))*(PI()*(fi_s/1000)^2/4)*(2*9.81*(O2925/100-cota_s-fi_s/2/1000))^0.5*1000)))</f>
        <v>19084.734402879287</v>
      </c>
      <c r="R2925" s="19">
        <f t="shared" ca="1" si="315"/>
        <v>19157.336919711957</v>
      </c>
      <c r="S2925" s="19">
        <f t="shared" ca="1" si="316"/>
        <v>18926.341770652522</v>
      </c>
    </row>
    <row r="2926" spans="13:19">
      <c r="M2926" s="81">
        <f t="shared" ca="1" si="313"/>
        <v>38101.637281524097</v>
      </c>
      <c r="N2926" s="19">
        <f t="shared" si="314"/>
        <v>568.0086306855427</v>
      </c>
      <c r="O2926" s="17">
        <f t="shared" si="312"/>
        <v>731.25</v>
      </c>
      <c r="P2926" s="19">
        <f ca="1">IF(ISERROR(IF(O2926&lt;fi_h/20,0,(OFFSET('Base de dados'!$A$5,IF(O2926&lt;20,1,IF(O2926&gt;1000,10,MATCH(O2926,Cargas,1))),Coluna_fih,1,1))*(1+0.13*0.25)*(PI()*(fi_h/1000)^2/4)*SQRT(2*9.81*(O2926/100-fi_h/2/1000))*1000)),"",IF(O2926&lt;fi_h/20,0,(OFFSET('Base de dados'!$A$5,IF(O2926&lt;20,1,IF(O2926&gt;1000,10,MATCH(O2926,Cargas,1))),Coluna_fih,1,1))*(PI()*(fi_h/1000)^2/4)*SQRT(2*9.81*(O2926/100-fi_h/2/1000))*1000))</f>
        <v>72.615027217543258</v>
      </c>
      <c r="Q2926" s="19">
        <f ca="1">IF(O2926="","",IF(Tipo_Vertedor="Retangular",IF(O2926&lt;=cota_s*100,0,IF(Tipo_Vertedor="Retangular",Cd_sr*Lef_sr*((O2926/100-cota_s)^(3/2))*1000)),IF(O2926&lt;=cota_s*100+fi_s/20,0,(OFFSET('Base de dados'!$A$4,IF(O2926&lt;20,1,IF(O2926&gt;1000,10,MATCH(O2926,Cargas,1))),Coluna_fis,1,1))*(PI()*(fi_s/1000)^2/4)*(2*9.81*(O2926/100-cota_s-fi_s/2/1000))^0.5*1000)))</f>
        <v>19095.401231455129</v>
      </c>
      <c r="R2926" s="19">
        <f t="shared" ca="1" si="315"/>
        <v>19168.016258672673</v>
      </c>
      <c r="S2926" s="19">
        <f t="shared" ca="1" si="316"/>
        <v>18933.621022851425</v>
      </c>
    </row>
    <row r="2927" spans="13:19">
      <c r="M2927" s="81">
        <f t="shared" ca="1" si="313"/>
        <v>38119.598167114447</v>
      </c>
      <c r="N2927" s="19">
        <f t="shared" si="314"/>
        <v>568.2270175523098</v>
      </c>
      <c r="O2927" s="17">
        <f t="shared" si="312"/>
        <v>731.5</v>
      </c>
      <c r="P2927" s="19">
        <f ca="1">IF(ISERROR(IF(O2927&lt;fi_h/20,0,(OFFSET('Base de dados'!$A$5,IF(O2927&lt;20,1,IF(O2927&gt;1000,10,MATCH(O2927,Cargas,1))),Coluna_fih,1,1))*(1+0.13*0.25)*(PI()*(fi_h/1000)^2/4)*SQRT(2*9.81*(O2927/100-fi_h/2/1000))*1000)),"",IF(O2927&lt;fi_h/20,0,(OFFSET('Base de dados'!$A$5,IF(O2927&lt;20,1,IF(O2927&gt;1000,10,MATCH(O2927,Cargas,1))),Coluna_fih,1,1))*(PI()*(fi_h/1000)^2/4)*SQRT(2*9.81*(O2927/100-fi_h/2/1000))*1000))</f>
        <v>72.627535447453468</v>
      </c>
      <c r="Q2927" s="19">
        <f ca="1">IF(O2927="","",IF(Tipo_Vertedor="Retangular",IF(O2927&lt;=cota_s*100,0,IF(Tipo_Vertedor="Retangular",Cd_sr*Lef_sr*((O2927/100-cota_s)^(3/2))*1000)),IF(O2927&lt;=cota_s*100+fi_s/20,0,(OFFSET('Base de dados'!$A$4,IF(O2927&lt;20,1,IF(O2927&gt;1000,10,MATCH(O2927,Cargas,1))),Coluna_fis,1,1))*(PI()*(fi_s/1000)^2/4)*(2*9.81*(O2927/100-cota_s-fi_s/2/1000))^0.5*1000)))</f>
        <v>19106.070046590001</v>
      </c>
      <c r="R2927" s="19">
        <f t="shared" ca="1" si="315"/>
        <v>19178.697582037454</v>
      </c>
      <c r="S2927" s="19">
        <f t="shared" ca="1" si="316"/>
        <v>18940.900585076994</v>
      </c>
    </row>
    <row r="2928" spans="13:19">
      <c r="M2928" s="81">
        <f t="shared" ca="1" si="313"/>
        <v>38137.561346674083</v>
      </c>
      <c r="N2928" s="19">
        <f t="shared" si="314"/>
        <v>568.44541371709465</v>
      </c>
      <c r="O2928" s="17">
        <f t="shared" si="312"/>
        <v>731.75</v>
      </c>
      <c r="P2928" s="19">
        <f ca="1">IF(ISERROR(IF(O2928&lt;fi_h/20,0,(OFFSET('Base de dados'!$A$5,IF(O2928&lt;20,1,IF(O2928&gt;1000,10,MATCH(O2928,Cargas,1))),Coluna_fih,1,1))*(1+0.13*0.25)*(PI()*(fi_h/1000)^2/4)*SQRT(2*9.81*(O2928/100-fi_h/2/1000))*1000)),"",IF(O2928&lt;fi_h/20,0,(OFFSET('Base de dados'!$A$5,IF(O2928&lt;20,1,IF(O2928&gt;1000,10,MATCH(O2928,Cargas,1))),Coluna_fih,1,1))*(PI()*(fi_h/1000)^2/4)*SQRT(2*9.81*(O2928/100-fi_h/2/1000))*1000))</f>
        <v>72.640041523512863</v>
      </c>
      <c r="Q2928" s="19">
        <f ca="1">IF(O2928="","",IF(Tipo_Vertedor="Retangular",IF(O2928&lt;=cota_s*100,0,IF(Tipo_Vertedor="Retangular",Cd_sr*Lef_sr*((O2928/100-cota_s)^(3/2))*1000)),IF(O2928&lt;=cota_s*100+fi_s/20,0,(OFFSET('Base de dados'!$A$4,IF(O2928&lt;20,1,IF(O2928&gt;1000,10,MATCH(O2928,Cargas,1))),Coluna_fis,1,1))*(PI()*(fi_s/1000)^2/4)*(2*9.81*(O2928/100-cota_s-fi_s/2/1000))^0.5*1000)))</f>
        <v>19116.740847914083</v>
      </c>
      <c r="R2928" s="19">
        <f t="shared" ca="1" si="315"/>
        <v>19189.380889437594</v>
      </c>
      <c r="S2928" s="19">
        <f t="shared" ca="1" si="316"/>
        <v>18948.180457236489</v>
      </c>
    </row>
    <row r="2929" spans="13:19">
      <c r="M2929" s="81">
        <f t="shared" ca="1" si="313"/>
        <v>38155.526819741768</v>
      </c>
      <c r="N2929" s="19">
        <f t="shared" si="314"/>
        <v>568.66381917711635</v>
      </c>
      <c r="O2929" s="17">
        <f t="shared" si="312"/>
        <v>732</v>
      </c>
      <c r="P2929" s="19">
        <f ca="1">IF(ISERROR(IF(O2929&lt;fi_h/20,0,(OFFSET('Base de dados'!$A$5,IF(O2929&lt;20,1,IF(O2929&gt;1000,10,MATCH(O2929,Cargas,1))),Coluna_fih,1,1))*(1+0.13*0.25)*(PI()*(fi_h/1000)^2/4)*SQRT(2*9.81*(O2929/100-fi_h/2/1000))*1000)),"",IF(O2929&lt;fi_h/20,0,(OFFSET('Base de dados'!$A$5,IF(O2929&lt;20,1,IF(O2929&gt;1000,10,MATCH(O2929,Cargas,1))),Coluna_fih,1,1))*(PI()*(fi_h/1000)^2/4)*SQRT(2*9.81*(O2929/100-fi_h/2/1000))*1000))</f>
        <v>72.652545446833699</v>
      </c>
      <c r="Q2929" s="19">
        <f ca="1">IF(O2929="","",IF(Tipo_Vertedor="Retangular",IF(O2929&lt;=cota_s*100,0,IF(Tipo_Vertedor="Retangular",Cd_sr*Lef_sr*((O2929/100-cota_s)^(3/2))*1000)),IF(O2929&lt;=cota_s*100+fi_s/20,0,(OFFSET('Base de dados'!$A$4,IF(O2929&lt;20,1,IF(O2929&gt;1000,10,MATCH(O2929,Cargas,1))),Coluna_fis,1,1))*(PI()*(fi_s/1000)^2/4)*(2*9.81*(O2929/100-cota_s-fi_s/2/1000))^0.5*1000)))</f>
        <v>19127.413635057725</v>
      </c>
      <c r="R2929" s="19">
        <f t="shared" ca="1" si="315"/>
        <v>19200.066180504557</v>
      </c>
      <c r="S2929" s="19">
        <f t="shared" ca="1" si="316"/>
        <v>18955.460639237212</v>
      </c>
    </row>
    <row r="2930" spans="13:19">
      <c r="M2930" s="81">
        <f t="shared" ca="1" si="313"/>
        <v>38173.494585856577</v>
      </c>
      <c r="N2930" s="19">
        <f t="shared" si="314"/>
        <v>568.88223392959583</v>
      </c>
      <c r="O2930" s="17">
        <f t="shared" si="312"/>
        <v>732.25</v>
      </c>
      <c r="P2930" s="19">
        <f ca="1">IF(ISERROR(IF(O2930&lt;fi_h/20,0,(OFFSET('Base de dados'!$A$5,IF(O2930&lt;20,1,IF(O2930&gt;1000,10,MATCH(O2930,Cargas,1))),Coluna_fih,1,1))*(1+0.13*0.25)*(PI()*(fi_h/1000)^2/4)*SQRT(2*9.81*(O2930/100-fi_h/2/1000))*1000)),"",IF(O2930&lt;fi_h/20,0,(OFFSET('Base de dados'!$A$5,IF(O2930&lt;20,1,IF(O2930&gt;1000,10,MATCH(O2930,Cargas,1))),Coluna_fih,1,1))*(PI()*(fi_h/1000)^2/4)*SQRT(2*9.81*(O2930/100-fi_h/2/1000))*1000))</f>
        <v>72.665047218527263</v>
      </c>
      <c r="Q2930" s="19">
        <f ca="1">IF(O2930="","",IF(Tipo_Vertedor="Retangular",IF(O2930&lt;=cota_s*100,0,IF(Tipo_Vertedor="Retangular",Cd_sr*Lef_sr*((O2930/100-cota_s)^(3/2))*1000)),IF(O2930&lt;=cota_s*100+fi_s/20,0,(OFFSET('Base de dados'!$A$4,IF(O2930&lt;20,1,IF(O2930&gt;1000,10,MATCH(O2930,Cargas,1))),Coluna_fis,1,1))*(PI()*(fi_s/1000)^2/4)*(2*9.81*(O2930/100-cota_s-fi_s/2/1000))^0.5*1000)))</f>
        <v>19138.088407651525</v>
      </c>
      <c r="R2930" s="19">
        <f t="shared" ca="1" si="315"/>
        <v>19210.753454870053</v>
      </c>
      <c r="S2930" s="19">
        <f t="shared" ca="1" si="316"/>
        <v>18962.741130986527</v>
      </c>
    </row>
    <row r="2931" spans="13:19">
      <c r="M2931" s="81">
        <f t="shared" ca="1" si="313"/>
        <v>38191.464644557811</v>
      </c>
      <c r="N2931" s="19">
        <f t="shared" si="314"/>
        <v>569.10065797175514</v>
      </c>
      <c r="O2931" s="17">
        <f t="shared" si="312"/>
        <v>732.5</v>
      </c>
      <c r="P2931" s="19">
        <f ca="1">IF(ISERROR(IF(O2931&lt;fi_h/20,0,(OFFSET('Base de dados'!$A$5,IF(O2931&lt;20,1,IF(O2931&gt;1000,10,MATCH(O2931,Cargas,1))),Coluna_fih,1,1))*(1+0.13*0.25)*(PI()*(fi_h/1000)^2/4)*SQRT(2*9.81*(O2931/100-fi_h/2/1000))*1000)),"",IF(O2931&lt;fi_h/20,0,(OFFSET('Base de dados'!$A$5,IF(O2931&lt;20,1,IF(O2931&gt;1000,10,MATCH(O2931,Cargas,1))),Coluna_fih,1,1))*(PI()*(fi_h/1000)^2/4)*SQRT(2*9.81*(O2931/100-fi_h/2/1000))*1000))</f>
        <v>72.677546839703922</v>
      </c>
      <c r="Q2931" s="19">
        <f ca="1">IF(O2931="","",IF(Tipo_Vertedor="Retangular",IF(O2931&lt;=cota_s*100,0,IF(Tipo_Vertedor="Retangular",Cd_sr*Lef_sr*((O2931/100-cota_s)^(3/2))*1000)),IF(O2931&lt;=cota_s*100+fi_s/20,0,(OFFSET('Base de dados'!$A$4,IF(O2931&lt;20,1,IF(O2931&gt;1000,10,MATCH(O2931,Cargas,1))),Coluna_fis,1,1))*(PI()*(fi_s/1000)^2/4)*(2*9.81*(O2931/100-cota_s-fi_s/2/1000))^0.5*1000)))</f>
        <v>19148.765165326266</v>
      </c>
      <c r="R2931" s="19">
        <f t="shared" ca="1" si="315"/>
        <v>19221.442712165968</v>
      </c>
      <c r="S2931" s="19">
        <f t="shared" ca="1" si="316"/>
        <v>18970.021932391839</v>
      </c>
    </row>
    <row r="2932" spans="13:19">
      <c r="M2932" s="81">
        <f t="shared" ca="1" si="313"/>
        <v>38209.436995385055</v>
      </c>
      <c r="N2932" s="19">
        <f t="shared" si="314"/>
        <v>569.31909130081931</v>
      </c>
      <c r="O2932" s="17">
        <f t="shared" si="312"/>
        <v>732.75</v>
      </c>
      <c r="P2932" s="19">
        <f ca="1">IF(ISERROR(IF(O2932&lt;fi_h/20,0,(OFFSET('Base de dados'!$A$5,IF(O2932&lt;20,1,IF(O2932&gt;1000,10,MATCH(O2932,Cargas,1))),Coluna_fih,1,1))*(1+0.13*0.25)*(PI()*(fi_h/1000)^2/4)*SQRT(2*9.81*(O2932/100-fi_h/2/1000))*1000)),"",IF(O2932&lt;fi_h/20,0,(OFFSET('Base de dados'!$A$5,IF(O2932&lt;20,1,IF(O2932&gt;1000,10,MATCH(O2932,Cargas,1))),Coluna_fih,1,1))*(PI()*(fi_h/1000)^2/4)*SQRT(2*9.81*(O2932/100-fi_h/2/1000))*1000))</f>
        <v>72.690044311473088</v>
      </c>
      <c r="Q2932" s="19">
        <f ca="1">IF(O2932="","",IF(Tipo_Vertedor="Retangular",IF(O2932&lt;=cota_s*100,0,IF(Tipo_Vertedor="Retangular",Cd_sr*Lef_sr*((O2932/100-cota_s)^(3/2))*1000)),IF(O2932&lt;=cota_s*100+fi_s/20,0,(OFFSET('Base de dados'!$A$4,IF(O2932&lt;20,1,IF(O2932&gt;1000,10,MATCH(O2932,Cargas,1))),Coluna_fis,1,1))*(PI()*(fi_s/1000)^2/4)*(2*9.81*(O2932/100-cota_s-fi_s/2/1000))^0.5*1000)))</f>
        <v>19159.443907712935</v>
      </c>
      <c r="R2932" s="19">
        <f t="shared" ca="1" si="315"/>
        <v>19232.133952024407</v>
      </c>
      <c r="S2932" s="19">
        <f t="shared" ca="1" si="316"/>
        <v>18977.303043360644</v>
      </c>
    </row>
    <row r="2933" spans="13:19">
      <c r="M2933" s="81">
        <f t="shared" ca="1" si="313"/>
        <v>38227.411637878147</v>
      </c>
      <c r="N2933" s="19">
        <f t="shared" si="314"/>
        <v>569.53753391401426</v>
      </c>
      <c r="O2933" s="17">
        <f t="shared" si="312"/>
        <v>733</v>
      </c>
      <c r="P2933" s="19">
        <f ca="1">IF(ISERROR(IF(O2933&lt;fi_h/20,0,(OFFSET('Base de dados'!$A$5,IF(O2933&lt;20,1,IF(O2933&gt;1000,10,MATCH(O2933,Cargas,1))),Coluna_fih,1,1))*(1+0.13*0.25)*(PI()*(fi_h/1000)^2/4)*SQRT(2*9.81*(O2933/100-fi_h/2/1000))*1000)),"",IF(O2933&lt;fi_h/20,0,(OFFSET('Base de dados'!$A$5,IF(O2933&lt;20,1,IF(O2933&gt;1000,10,MATCH(O2933,Cargas,1))),Coluna_fih,1,1))*(PI()*(fi_h/1000)^2/4)*SQRT(2*9.81*(O2933/100-fi_h/2/1000))*1000))</f>
        <v>72.702539634943165</v>
      </c>
      <c r="Q2933" s="19">
        <f ca="1">IF(O2933="","",IF(Tipo_Vertedor="Retangular",IF(O2933&lt;=cota_s*100,0,IF(Tipo_Vertedor="Retangular",Cd_sr*Lef_sr*((O2933/100-cota_s)^(3/2))*1000)),IF(O2933&lt;=cota_s*100+fi_s/20,0,(OFFSET('Base de dados'!$A$4,IF(O2933&lt;20,1,IF(O2933&gt;1000,10,MATCH(O2933,Cargas,1))),Coluna_fis,1,1))*(PI()*(fi_s/1000)^2/4)*(2*9.81*(O2933/100-cota_s-fi_s/2/1000))^0.5*1000)))</f>
        <v>19170.124634442727</v>
      </c>
      <c r="R2933" s="19">
        <f t="shared" ca="1" si="315"/>
        <v>19242.827174077669</v>
      </c>
      <c r="S2933" s="19">
        <f t="shared" ca="1" si="316"/>
        <v>18984.584463800475</v>
      </c>
    </row>
    <row r="2934" spans="13:19">
      <c r="M2934" s="81">
        <f t="shared" ca="1" si="313"/>
        <v>38245.388571577198</v>
      </c>
      <c r="N2934" s="19">
        <f t="shared" si="314"/>
        <v>569.7559858085674</v>
      </c>
      <c r="O2934" s="17">
        <f t="shared" si="312"/>
        <v>733.25</v>
      </c>
      <c r="P2934" s="19">
        <f ca="1">IF(ISERROR(IF(O2934&lt;fi_h/20,0,(OFFSET('Base de dados'!$A$5,IF(O2934&lt;20,1,IF(O2934&gt;1000,10,MATCH(O2934,Cargas,1))),Coluna_fih,1,1))*(1+0.13*0.25)*(PI()*(fi_h/1000)^2/4)*SQRT(2*9.81*(O2934/100-fi_h/2/1000))*1000)),"",IF(O2934&lt;fi_h/20,0,(OFFSET('Base de dados'!$A$5,IF(O2934&lt;20,1,IF(O2934&gt;1000,10,MATCH(O2934,Cargas,1))),Coluna_fih,1,1))*(PI()*(fi_h/1000)^2/4)*SQRT(2*9.81*(O2934/100-fi_h/2/1000))*1000))</f>
        <v>72.715032811221676</v>
      </c>
      <c r="Q2934" s="19">
        <f ca="1">IF(O2934="","",IF(Tipo_Vertedor="Retangular",IF(O2934&lt;=cota_s*100,0,IF(Tipo_Vertedor="Retangular",Cd_sr*Lef_sr*((O2934/100-cota_s)^(3/2))*1000)),IF(O2934&lt;=cota_s*100+fi_s/20,0,(OFFSET('Base de dados'!$A$4,IF(O2934&lt;20,1,IF(O2934&gt;1000,10,MATCH(O2934,Cargas,1))),Coluna_fis,1,1))*(PI()*(fi_s/1000)^2/4)*(2*9.81*(O2934/100-cota_s-fi_s/2/1000))^0.5*1000)))</f>
        <v>19180.807345147063</v>
      </c>
      <c r="R2934" s="19">
        <f t="shared" ca="1" si="315"/>
        <v>19253.522377958285</v>
      </c>
      <c r="S2934" s="19">
        <f t="shared" ca="1" si="316"/>
        <v>18991.866193618913</v>
      </c>
    </row>
    <row r="2935" spans="13:19">
      <c r="M2935" s="81">
        <f t="shared" ca="1" si="313"/>
        <v>38263.367796022583</v>
      </c>
      <c r="N2935" s="19">
        <f t="shared" si="314"/>
        <v>569.97444698170932</v>
      </c>
      <c r="O2935" s="17">
        <f t="shared" si="312"/>
        <v>733.5</v>
      </c>
      <c r="P2935" s="19">
        <f ca="1">IF(ISERROR(IF(O2935&lt;fi_h/20,0,(OFFSET('Base de dados'!$A$5,IF(O2935&lt;20,1,IF(O2935&gt;1000,10,MATCH(O2935,Cargas,1))),Coluna_fih,1,1))*(1+0.13*0.25)*(PI()*(fi_h/1000)^2/4)*SQRT(2*9.81*(O2935/100-fi_h/2/1000))*1000)),"",IF(O2935&lt;fi_h/20,0,(OFFSET('Base de dados'!$A$5,IF(O2935&lt;20,1,IF(O2935&gt;1000,10,MATCH(O2935,Cargas,1))),Coluna_fih,1,1))*(PI()*(fi_h/1000)^2/4)*SQRT(2*9.81*(O2935/100-fi_h/2/1000))*1000))</f>
        <v>72.727523841415135</v>
      </c>
      <c r="Q2935" s="19">
        <f ca="1">IF(O2935="","",IF(Tipo_Vertedor="Retangular",IF(O2935&lt;=cota_s*100,0,IF(Tipo_Vertedor="Retangular",Cd_sr*Lef_sr*((O2935/100-cota_s)^(3/2))*1000)),IF(O2935&lt;=cota_s*100+fi_s/20,0,(OFFSET('Base de dados'!$A$4,IF(O2935&lt;20,1,IF(O2935&gt;1000,10,MATCH(O2935,Cargas,1))),Coluna_fis,1,1))*(PI()*(fi_s/1000)^2/4)*(2*9.81*(O2935/100-cota_s-fi_s/2/1000))^0.5*1000)))</f>
        <v>19191.492039457524</v>
      </c>
      <c r="R2935" s="19">
        <f t="shared" ca="1" si="315"/>
        <v>19264.219563298939</v>
      </c>
      <c r="S2935" s="19">
        <f t="shared" ca="1" si="316"/>
        <v>18999.148232723644</v>
      </c>
    </row>
    <row r="2936" spans="13:19">
      <c r="M2936" s="81">
        <f t="shared" ca="1" si="313"/>
        <v>38281.349310754937</v>
      </c>
      <c r="N2936" s="19">
        <f t="shared" si="314"/>
        <v>570.19291743067072</v>
      </c>
      <c r="O2936" s="17">
        <f t="shared" si="312"/>
        <v>733.75</v>
      </c>
      <c r="P2936" s="19">
        <f ca="1">IF(ISERROR(IF(O2936&lt;fi_h/20,0,(OFFSET('Base de dados'!$A$5,IF(O2936&lt;20,1,IF(O2936&gt;1000,10,MATCH(O2936,Cargas,1))),Coluna_fih,1,1))*(1+0.13*0.25)*(PI()*(fi_h/1000)^2/4)*SQRT(2*9.81*(O2936/100-fi_h/2/1000))*1000)),"",IF(O2936&lt;fi_h/20,0,(OFFSET('Base de dados'!$A$5,IF(O2936&lt;20,1,IF(O2936&gt;1000,10,MATCH(O2936,Cargas,1))),Coluna_fih,1,1))*(PI()*(fi_h/1000)^2/4)*SQRT(2*9.81*(O2936/100-fi_h/2/1000))*1000))</f>
        <v>72.740012726629132</v>
      </c>
      <c r="Q2936" s="19">
        <f ca="1">IF(O2936="","",IF(Tipo_Vertedor="Retangular",IF(O2936&lt;=cota_s*100,0,IF(Tipo_Vertedor="Retangular",Cd_sr*Lef_sr*((O2936/100-cota_s)^(3/2))*1000)),IF(O2936&lt;=cota_s*100+fi_s/20,0,(OFFSET('Base de dados'!$A$4,IF(O2936&lt;20,1,IF(O2936&gt;1000,10,MATCH(O2936,Cargas,1))),Coluna_fis,1,1))*(PI()*(fi_s/1000)^2/4)*(2*9.81*(O2936/100-cota_s-fi_s/2/1000))^0.5*1000)))</f>
        <v>19202.178717005951</v>
      </c>
      <c r="R2936" s="19">
        <f t="shared" ca="1" si="315"/>
        <v>19274.918729732581</v>
      </c>
      <c r="S2936" s="19">
        <f t="shared" ca="1" si="316"/>
        <v>19006.430581022356</v>
      </c>
    </row>
    <row r="2937" spans="13:19">
      <c r="M2937" s="81">
        <f t="shared" ca="1" si="313"/>
        <v>38299.333115315138</v>
      </c>
      <c r="N2937" s="19">
        <f t="shared" si="314"/>
        <v>570.41139715268514</v>
      </c>
      <c r="O2937" s="17">
        <f t="shared" si="312"/>
        <v>734</v>
      </c>
      <c r="P2937" s="19">
        <f ca="1">IF(ISERROR(IF(O2937&lt;fi_h/20,0,(OFFSET('Base de dados'!$A$5,IF(O2937&lt;20,1,IF(O2937&gt;1000,10,MATCH(O2937,Cargas,1))),Coluna_fih,1,1))*(1+0.13*0.25)*(PI()*(fi_h/1000)^2/4)*SQRT(2*9.81*(O2937/100-fi_h/2/1000))*1000)),"",IF(O2937&lt;fi_h/20,0,(OFFSET('Base de dados'!$A$5,IF(O2937&lt;20,1,IF(O2937&gt;1000,10,MATCH(O2937,Cargas,1))),Coluna_fih,1,1))*(PI()*(fi_h/1000)^2/4)*SQRT(2*9.81*(O2937/100-fi_h/2/1000))*1000))</f>
        <v>72.752499467968335</v>
      </c>
      <c r="Q2937" s="19">
        <f ca="1">IF(O2937="","",IF(Tipo_Vertedor="Retangular",IF(O2937&lt;=cota_s*100,0,IF(Tipo_Vertedor="Retangular",Cd_sr*Lef_sr*((O2937/100-cota_s)^(3/2))*1000)),IF(O2937&lt;=cota_s*100+fi_s/20,0,(OFFSET('Base de dados'!$A$4,IF(O2937&lt;20,1,IF(O2937&gt;1000,10,MATCH(O2937,Cargas,1))),Coluna_fis,1,1))*(PI()*(fi_s/1000)^2/4)*(2*9.81*(O2937/100-cota_s-fi_s/2/1000))^0.5*1000)))</f>
        <v>19212.867377424336</v>
      </c>
      <c r="R2937" s="19">
        <f t="shared" ca="1" si="315"/>
        <v>19285.619876892306</v>
      </c>
      <c r="S2937" s="19">
        <f t="shared" ca="1" si="316"/>
        <v>19013.713238422835</v>
      </c>
    </row>
    <row r="2938" spans="13:19">
      <c r="M2938" s="81">
        <f t="shared" ca="1" si="313"/>
        <v>38317.319209244364</v>
      </c>
      <c r="N2938" s="19">
        <f t="shared" si="314"/>
        <v>570.62988614498761</v>
      </c>
      <c r="O2938" s="17">
        <f t="shared" si="312"/>
        <v>734.25</v>
      </c>
      <c r="P2938" s="19">
        <f ca="1">IF(ISERROR(IF(O2938&lt;fi_h/20,0,(OFFSET('Base de dados'!$A$5,IF(O2938&lt;20,1,IF(O2938&gt;1000,10,MATCH(O2938,Cargas,1))),Coluna_fih,1,1))*(1+0.13*0.25)*(PI()*(fi_h/1000)^2/4)*SQRT(2*9.81*(O2938/100-fi_h/2/1000))*1000)),"",IF(O2938&lt;fi_h/20,0,(OFFSET('Base de dados'!$A$5,IF(O2938&lt;20,1,IF(O2938&gt;1000,10,MATCH(O2938,Cargas,1))),Coluna_fih,1,1))*(PI()*(fi_h/1000)^2/4)*SQRT(2*9.81*(O2938/100-fi_h/2/1000))*1000))</f>
        <v>72.764984066536385</v>
      </c>
      <c r="Q2938" s="19">
        <f ca="1">IF(O2938="","",IF(Tipo_Vertedor="Retangular",IF(O2938&lt;=cota_s*100,0,IF(Tipo_Vertedor="Retangular",Cd_sr*Lef_sr*((O2938/100-cota_s)^(3/2))*1000)),IF(O2938&lt;=cota_s*100+fi_s/20,0,(OFFSET('Base de dados'!$A$4,IF(O2938&lt;20,1,IF(O2938&gt;1000,10,MATCH(O2938,Cargas,1))),Coluna_fis,1,1))*(PI()*(fi_s/1000)^2/4)*(2*9.81*(O2938/100-cota_s-fi_s/2/1000))^0.5*1000)))</f>
        <v>19223.55802034491</v>
      </c>
      <c r="R2938" s="19">
        <f t="shared" ca="1" si="315"/>
        <v>19296.323004411446</v>
      </c>
      <c r="S2938" s="19">
        <f t="shared" ca="1" si="316"/>
        <v>19020.996204832922</v>
      </c>
    </row>
    <row r="2939" spans="13:19">
      <c r="M2939" s="81">
        <f t="shared" ca="1" si="313"/>
        <v>38335.307592084035</v>
      </c>
      <c r="N2939" s="19">
        <f t="shared" si="314"/>
        <v>570.84838440481485</v>
      </c>
      <c r="O2939" s="17">
        <f t="shared" si="312"/>
        <v>734.5</v>
      </c>
      <c r="P2939" s="19">
        <f ca="1">IF(ISERROR(IF(O2939&lt;fi_h/20,0,(OFFSET('Base de dados'!$A$5,IF(O2939&lt;20,1,IF(O2939&gt;1000,10,MATCH(O2939,Cargas,1))),Coluna_fih,1,1))*(1+0.13*0.25)*(PI()*(fi_h/1000)^2/4)*SQRT(2*9.81*(O2939/100-fi_h/2/1000))*1000)),"",IF(O2939&lt;fi_h/20,0,(OFFSET('Base de dados'!$A$5,IF(O2939&lt;20,1,IF(O2939&gt;1000,10,MATCH(O2939,Cargas,1))),Coluna_fih,1,1))*(PI()*(fi_h/1000)^2/4)*SQRT(2*9.81*(O2939/100-fi_h/2/1000))*1000))</f>
        <v>72.777466523436061</v>
      </c>
      <c r="Q2939" s="19">
        <f ca="1">IF(O2939="","",IF(Tipo_Vertedor="Retangular",IF(O2939&lt;=cota_s*100,0,IF(Tipo_Vertedor="Retangular",Cd_sr*Lef_sr*((O2939/100-cota_s)^(3/2))*1000)),IF(O2939&lt;=cota_s*100+fi_s/20,0,(OFFSET('Base de dados'!$A$4,IF(O2939&lt;20,1,IF(O2939&gt;1000,10,MATCH(O2939,Cargas,1))),Coluna_fis,1,1))*(PI()*(fi_s/1000)^2/4)*(2*9.81*(O2939/100-cota_s-fi_s/2/1000))^0.5*1000)))</f>
        <v>19234.250645400105</v>
      </c>
      <c r="R2939" s="19">
        <f t="shared" ca="1" si="315"/>
        <v>19307.028111923541</v>
      </c>
      <c r="S2939" s="19">
        <f t="shared" ca="1" si="316"/>
        <v>19028.279480160494</v>
      </c>
    </row>
    <row r="2940" spans="13:19">
      <c r="M2940" s="81">
        <f t="shared" ca="1" si="313"/>
        <v>38353.298263375851</v>
      </c>
      <c r="N2940" s="19">
        <f t="shared" si="314"/>
        <v>571.06689192940541</v>
      </c>
      <c r="O2940" s="17">
        <f t="shared" si="312"/>
        <v>734.75</v>
      </c>
      <c r="P2940" s="19">
        <f ca="1">IF(ISERROR(IF(O2940&lt;fi_h/20,0,(OFFSET('Base de dados'!$A$5,IF(O2940&lt;20,1,IF(O2940&gt;1000,10,MATCH(O2940,Cargas,1))),Coluna_fih,1,1))*(1+0.13*0.25)*(PI()*(fi_h/1000)^2/4)*SQRT(2*9.81*(O2940/100-fi_h/2/1000))*1000)),"",IF(O2940&lt;fi_h/20,0,(OFFSET('Base de dados'!$A$5,IF(O2940&lt;20,1,IF(O2940&gt;1000,10,MATCH(O2940,Cargas,1))),Coluna_fih,1,1))*(PI()*(fi_h/1000)^2/4)*SQRT(2*9.81*(O2940/100-fi_h/2/1000))*1000))</f>
        <v>72.789946839769144</v>
      </c>
      <c r="Q2940" s="19">
        <f ca="1">IF(O2940="","",IF(Tipo_Vertedor="Retangular",IF(O2940&lt;=cota_s*100,0,IF(Tipo_Vertedor="Retangular",Cd_sr*Lef_sr*((O2940/100-cota_s)^(3/2))*1000)),IF(O2940&lt;=cota_s*100+fi_s/20,0,(OFFSET('Base de dados'!$A$4,IF(O2940&lt;20,1,IF(O2940&gt;1000,10,MATCH(O2940,Cargas,1))),Coluna_fis,1,1))*(PI()*(fi_s/1000)^2/4)*(2*9.81*(O2940/100-cota_s-fi_s/2/1000))^0.5*1000)))</f>
        <v>19244.945252222569</v>
      </c>
      <c r="R2940" s="19">
        <f t="shared" ca="1" si="315"/>
        <v>19317.735199062339</v>
      </c>
      <c r="S2940" s="19">
        <f t="shared" ca="1" si="316"/>
        <v>19035.563064313512</v>
      </c>
    </row>
    <row r="2941" spans="13:19">
      <c r="M2941" s="81">
        <f t="shared" ca="1" si="313"/>
        <v>38371.291222661726</v>
      </c>
      <c r="N2941" s="19">
        <f t="shared" si="314"/>
        <v>571.28540871599944</v>
      </c>
      <c r="O2941" s="17">
        <f t="shared" si="312"/>
        <v>735</v>
      </c>
      <c r="P2941" s="19">
        <f ca="1">IF(ISERROR(IF(O2941&lt;fi_h/20,0,(OFFSET('Base de dados'!$A$5,IF(O2941&lt;20,1,IF(O2941&gt;1000,10,MATCH(O2941,Cargas,1))),Coluna_fih,1,1))*(1+0.13*0.25)*(PI()*(fi_h/1000)^2/4)*SQRT(2*9.81*(O2941/100-fi_h/2/1000))*1000)),"",IF(O2941&lt;fi_h/20,0,(OFFSET('Base de dados'!$A$5,IF(O2941&lt;20,1,IF(O2941&gt;1000,10,MATCH(O2941,Cargas,1))),Coluna_fih,1,1))*(PI()*(fi_h/1000)^2/4)*SQRT(2*9.81*(O2941/100-fi_h/2/1000))*1000))</f>
        <v>72.802425016636505</v>
      </c>
      <c r="Q2941" s="19">
        <f ca="1">IF(O2941="","",IF(Tipo_Vertedor="Retangular",IF(O2941&lt;=cota_s*100,0,IF(Tipo_Vertedor="Retangular",Cd_sr*Lef_sr*((O2941/100-cota_s)^(3/2))*1000)),IF(O2941&lt;=cota_s*100+fi_s/20,0,(OFFSET('Base de dados'!$A$4,IF(O2941&lt;20,1,IF(O2941&gt;1000,10,MATCH(O2941,Cargas,1))),Coluna_fis,1,1))*(PI()*(fi_s/1000)^2/4)*(2*9.81*(O2941/100-cota_s-fi_s/2/1000))^0.5*1000)))</f>
        <v>19255.641840445107</v>
      </c>
      <c r="R2941" s="19">
        <f t="shared" ca="1" si="315"/>
        <v>19328.444265461745</v>
      </c>
      <c r="S2941" s="19">
        <f t="shared" ca="1" si="316"/>
        <v>19042.846957199981</v>
      </c>
    </row>
    <row r="2942" spans="13:19">
      <c r="M2942" s="81">
        <f t="shared" ca="1" si="313"/>
        <v>38389.286469483872</v>
      </c>
      <c r="N2942" s="19">
        <f t="shared" si="314"/>
        <v>571.5039347618391</v>
      </c>
      <c r="O2942" s="17">
        <f t="shared" si="312"/>
        <v>735.25</v>
      </c>
      <c r="P2942" s="19">
        <f ca="1">IF(ISERROR(IF(O2942&lt;fi_h/20,0,(OFFSET('Base de dados'!$A$5,IF(O2942&lt;20,1,IF(O2942&gt;1000,10,MATCH(O2942,Cargas,1))),Coluna_fih,1,1))*(1+0.13*0.25)*(PI()*(fi_h/1000)^2/4)*SQRT(2*9.81*(O2942/100-fi_h/2/1000))*1000)),"",IF(O2942&lt;fi_h/20,0,(OFFSET('Base de dados'!$A$5,IF(O2942&lt;20,1,IF(O2942&gt;1000,10,MATCH(O2942,Cargas,1))),Coluna_fih,1,1))*(PI()*(fi_h/1000)^2/4)*SQRT(2*9.81*(O2942/100-fi_h/2/1000))*1000))</f>
        <v>72.814901055138037</v>
      </c>
      <c r="Q2942" s="19">
        <f ca="1">IF(O2942="","",IF(Tipo_Vertedor="Retangular",IF(O2942&lt;=cota_s*100,0,IF(Tipo_Vertedor="Retangular",Cd_sr*Lef_sr*((O2942/100-cota_s)^(3/2))*1000)),IF(O2942&lt;=cota_s*100+fi_s/20,0,(OFFSET('Base de dados'!$A$4,IF(O2942&lt;20,1,IF(O2942&gt;1000,10,MATCH(O2942,Cargas,1))),Coluna_fis,1,1))*(PI()*(fi_s/1000)^2/4)*(2*9.81*(O2942/100-cota_s-fi_s/2/1000))^0.5*1000)))</f>
        <v>19266.340409700762</v>
      </c>
      <c r="R2942" s="19">
        <f t="shared" ca="1" si="315"/>
        <v>19339.155310755901</v>
      </c>
      <c r="S2942" s="19">
        <f t="shared" ca="1" si="316"/>
        <v>19050.131158727971</v>
      </c>
    </row>
    <row r="2943" spans="13:19">
      <c r="M2943" s="81">
        <f t="shared" ca="1" si="313"/>
        <v>38407.284003384804</v>
      </c>
      <c r="N2943" s="19">
        <f t="shared" si="314"/>
        <v>571.72247006416842</v>
      </c>
      <c r="O2943" s="17">
        <f t="shared" si="312"/>
        <v>735.5</v>
      </c>
      <c r="P2943" s="19">
        <f ca="1">IF(ISERROR(IF(O2943&lt;fi_h/20,0,(OFFSET('Base de dados'!$A$5,IF(O2943&lt;20,1,IF(O2943&gt;1000,10,MATCH(O2943,Cargas,1))),Coluna_fih,1,1))*(1+0.13*0.25)*(PI()*(fi_h/1000)^2/4)*SQRT(2*9.81*(O2943/100-fi_h/2/1000))*1000)),"",IF(O2943&lt;fi_h/20,0,(OFFSET('Base de dados'!$A$5,IF(O2943&lt;20,1,IF(O2943&gt;1000,10,MATCH(O2943,Cargas,1))),Coluna_fih,1,1))*(PI()*(fi_h/1000)^2/4)*SQRT(2*9.81*(O2943/100-fi_h/2/1000))*1000))</f>
        <v>72.827374956372722</v>
      </c>
      <c r="Q2943" s="19">
        <f ca="1">IF(O2943="","",IF(Tipo_Vertedor="Retangular",IF(O2943&lt;=cota_s*100,0,IF(Tipo_Vertedor="Retangular",Cd_sr*Lef_sr*((O2943/100-cota_s)^(3/2))*1000)),IF(O2943&lt;=cota_s*100+fi_s/20,0,(OFFSET('Base de dados'!$A$4,IF(O2943&lt;20,1,IF(O2943&gt;1000,10,MATCH(O2943,Cargas,1))),Coluna_fis,1,1))*(PI()*(fi_s/1000)^2/4)*(2*9.81*(O2943/100-cota_s-fi_s/2/1000))^0.5*1000)))</f>
        <v>19277.04095962282</v>
      </c>
      <c r="R2943" s="19">
        <f t="shared" ca="1" si="315"/>
        <v>19349.868334579194</v>
      </c>
      <c r="S2943" s="19">
        <f t="shared" ca="1" si="316"/>
        <v>19057.415668805614</v>
      </c>
    </row>
    <row r="2944" spans="13:19">
      <c r="M2944" s="81">
        <f t="shared" ca="1" si="313"/>
        <v>38425.283823907201</v>
      </c>
      <c r="N2944" s="19">
        <f t="shared" si="314"/>
        <v>571.94101462023264</v>
      </c>
      <c r="O2944" s="17">
        <f t="shared" si="312"/>
        <v>735.75</v>
      </c>
      <c r="P2944" s="19">
        <f ca="1">IF(ISERROR(IF(O2944&lt;fi_h/20,0,(OFFSET('Base de dados'!$A$5,IF(O2944&lt;20,1,IF(O2944&gt;1000,10,MATCH(O2944,Cargas,1))),Coluna_fih,1,1))*(1+0.13*0.25)*(PI()*(fi_h/1000)^2/4)*SQRT(2*9.81*(O2944/100-fi_h/2/1000))*1000)),"",IF(O2944&lt;fi_h/20,0,(OFFSET('Base de dados'!$A$5,IF(O2944&lt;20,1,IF(O2944&gt;1000,10,MATCH(O2944,Cargas,1))),Coluna_fih,1,1))*(PI()*(fi_h/1000)^2/4)*SQRT(2*9.81*(O2944/100-fi_h/2/1000))*1000))</f>
        <v>72.839846721438576</v>
      </c>
      <c r="Q2944" s="19">
        <f ca="1">IF(O2944="","",IF(Tipo_Vertedor="Retangular",IF(O2944&lt;=cota_s*100,0,IF(Tipo_Vertedor="Retangular",Cd_sr*Lef_sr*((O2944/100-cota_s)^(3/2))*1000)),IF(O2944&lt;=cota_s*100+fi_s/20,0,(OFFSET('Base de dados'!$A$4,IF(O2944&lt;20,1,IF(O2944&gt;1000,10,MATCH(O2944,Cargas,1))),Coluna_fis,1,1))*(PI()*(fi_s/1000)^2/4)*(2*9.81*(O2944/100-cota_s-fi_s/2/1000))^0.5*1000)))</f>
        <v>19287.743489844677</v>
      </c>
      <c r="R2944" s="19">
        <f t="shared" ca="1" si="315"/>
        <v>19360.583336566116</v>
      </c>
      <c r="S2944" s="19">
        <f t="shared" ca="1" si="316"/>
        <v>19064.700487341088</v>
      </c>
    </row>
    <row r="2945" spans="13:19">
      <c r="M2945" s="81">
        <f t="shared" ca="1" si="313"/>
        <v>38443.285930594066</v>
      </c>
      <c r="N2945" s="19">
        <f t="shared" si="314"/>
        <v>572.15956842727905</v>
      </c>
      <c r="O2945" s="17">
        <f t="shared" si="312"/>
        <v>736</v>
      </c>
      <c r="P2945" s="19">
        <f ca="1">IF(ISERROR(IF(O2945&lt;fi_h/20,0,(OFFSET('Base de dados'!$A$5,IF(O2945&lt;20,1,IF(O2945&gt;1000,10,MATCH(O2945,Cargas,1))),Coluna_fih,1,1))*(1+0.13*0.25)*(PI()*(fi_h/1000)^2/4)*SQRT(2*9.81*(O2945/100-fi_h/2/1000))*1000)),"",IF(O2945&lt;fi_h/20,0,(OFFSET('Base de dados'!$A$5,IF(O2945&lt;20,1,IF(O2945&gt;1000,10,MATCH(O2945,Cargas,1))),Coluna_fih,1,1))*(PI()*(fi_h/1000)^2/4)*SQRT(2*9.81*(O2945/100-fi_h/2/1000))*1000))</f>
        <v>72.852316351432705</v>
      </c>
      <c r="Q2945" s="19">
        <f ca="1">IF(O2945="","",IF(Tipo_Vertedor="Retangular",IF(O2945&lt;=cota_s*100,0,IF(Tipo_Vertedor="Retangular",Cd_sr*Lef_sr*((O2945/100-cota_s)^(3/2))*1000)),IF(O2945&lt;=cota_s*100+fi_s/20,0,(OFFSET('Base de dados'!$A$4,IF(O2945&lt;20,1,IF(O2945&gt;1000,10,MATCH(O2945,Cargas,1))),Coluna_fis,1,1))*(PI()*(fi_s/1000)^2/4)*(2*9.81*(O2945/100-cota_s-fi_s/2/1000))^0.5*1000)))</f>
        <v>19298.448</v>
      </c>
      <c r="R2945" s="19">
        <f t="shared" ca="1" si="315"/>
        <v>19371.300316351433</v>
      </c>
      <c r="S2945" s="19">
        <f t="shared" ca="1" si="316"/>
        <v>19071.985614242632</v>
      </c>
    </row>
    <row r="2946" spans="13:19">
      <c r="M2946" s="81">
        <f t="shared" ca="1" si="313"/>
        <v>38461.290322988672</v>
      </c>
      <c r="N2946" s="19">
        <f t="shared" si="314"/>
        <v>572.37813148255702</v>
      </c>
      <c r="O2946" s="17">
        <f t="shared" si="312"/>
        <v>736.25</v>
      </c>
      <c r="P2946" s="19">
        <f ca="1">IF(ISERROR(IF(O2946&lt;fi_h/20,0,(OFFSET('Base de dados'!$A$5,IF(O2946&lt;20,1,IF(O2946&gt;1000,10,MATCH(O2946,Cargas,1))),Coluna_fih,1,1))*(1+0.13*0.25)*(PI()*(fi_h/1000)^2/4)*SQRT(2*9.81*(O2946/100-fi_h/2/1000))*1000)),"",IF(O2946&lt;fi_h/20,0,(OFFSET('Base de dados'!$A$5,IF(O2946&lt;20,1,IF(O2946&gt;1000,10,MATCH(O2946,Cargas,1))),Coluna_fih,1,1))*(PI()*(fi_h/1000)^2/4)*SQRT(2*9.81*(O2946/100-fi_h/2/1000))*1000))</f>
        <v>72.864783847451235</v>
      </c>
      <c r="Q2946" s="19">
        <f ca="1">IF(O2946="","",IF(Tipo_Vertedor="Retangular",IF(O2946&lt;=cota_s*100,0,IF(Tipo_Vertedor="Retangular",Cd_sr*Lef_sr*((O2946/100-cota_s)^(3/2))*1000)),IF(O2946&lt;=cota_s*100+fi_s/20,0,(OFFSET('Base de dados'!$A$4,IF(O2946&lt;20,1,IF(O2946&gt;1000,10,MATCH(O2946,Cargas,1))),Coluna_fis,1,1))*(PI()*(fi_s/1000)^2/4)*(2*9.81*(O2946/100-cota_s-fi_s/2/1000))^0.5*1000)))</f>
        <v>19309.154489722656</v>
      </c>
      <c r="R2946" s="19">
        <f t="shared" ca="1" si="315"/>
        <v>19382.019273570106</v>
      </c>
      <c r="S2946" s="19">
        <f t="shared" ca="1" si="316"/>
        <v>19079.271049418567</v>
      </c>
    </row>
    <row r="2947" spans="13:19">
      <c r="M2947" s="81">
        <f t="shared" ca="1" si="313"/>
        <v>38479.297000634528</v>
      </c>
      <c r="N2947" s="19">
        <f t="shared" si="314"/>
        <v>572.59670378331725</v>
      </c>
      <c r="O2947" s="17">
        <f t="shared" si="312"/>
        <v>736.5</v>
      </c>
      <c r="P2947" s="19">
        <f ca="1">IF(ISERROR(IF(O2947&lt;fi_h/20,0,(OFFSET('Base de dados'!$A$5,IF(O2947&lt;20,1,IF(O2947&gt;1000,10,MATCH(O2947,Cargas,1))),Coluna_fih,1,1))*(1+0.13*0.25)*(PI()*(fi_h/1000)^2/4)*SQRT(2*9.81*(O2947/100-fi_h/2/1000))*1000)),"",IF(O2947&lt;fi_h/20,0,(OFFSET('Base de dados'!$A$5,IF(O2947&lt;20,1,IF(O2947&gt;1000,10,MATCH(O2947,Cargas,1))),Coluna_fih,1,1))*(PI()*(fi_h/1000)^2/4)*SQRT(2*9.81*(O2947/100-fi_h/2/1000))*1000))</f>
        <v>72.877249210589383</v>
      </c>
      <c r="Q2947" s="19">
        <f ca="1">IF(O2947="","",IF(Tipo_Vertedor="Retangular",IF(O2947&lt;=cota_s*100,0,IF(Tipo_Vertedor="Retangular",Cd_sr*Lef_sr*((O2947/100-cota_s)^(3/2))*1000)),IF(O2947&lt;=cota_s*100+fi_s/20,0,(OFFSET('Base de dados'!$A$4,IF(O2947&lt;20,1,IF(O2947&gt;1000,10,MATCH(O2947,Cargas,1))),Coluna_fis,1,1))*(PI()*(fi_s/1000)^2/4)*(2*9.81*(O2947/100-cota_s-fi_s/2/1000))^0.5*1000)))</f>
        <v>19319.862958646696</v>
      </c>
      <c r="R2947" s="19">
        <f t="shared" ca="1" si="315"/>
        <v>19392.740207857285</v>
      </c>
      <c r="S2947" s="19">
        <f t="shared" ca="1" si="316"/>
        <v>19086.556792777243</v>
      </c>
    </row>
    <row r="2948" spans="13:19">
      <c r="M2948" s="81">
        <f t="shared" ca="1" si="313"/>
        <v>38497.305963075385</v>
      </c>
      <c r="N2948" s="19">
        <f t="shared" si="314"/>
        <v>572.81528532681216</v>
      </c>
      <c r="O2948" s="17">
        <f t="shared" si="312"/>
        <v>736.75</v>
      </c>
      <c r="P2948" s="19">
        <f ca="1">IF(ISERROR(IF(O2948&lt;fi_h/20,0,(OFFSET('Base de dados'!$A$5,IF(O2948&lt;20,1,IF(O2948&gt;1000,10,MATCH(O2948,Cargas,1))),Coluna_fih,1,1))*(1+0.13*0.25)*(PI()*(fi_h/1000)^2/4)*SQRT(2*9.81*(O2948/100-fi_h/2/1000))*1000)),"",IF(O2948&lt;fi_h/20,0,(OFFSET('Base de dados'!$A$5,IF(O2948&lt;20,1,IF(O2948&gt;1000,10,MATCH(O2948,Cargas,1))),Coluna_fih,1,1))*(PI()*(fi_h/1000)^2/4)*SQRT(2*9.81*(O2948/100-fi_h/2/1000))*1000))</f>
        <v>72.889712441941455</v>
      </c>
      <c r="Q2948" s="19">
        <f ca="1">IF(O2948="","",IF(Tipo_Vertedor="Retangular",IF(O2948&lt;=cota_s*100,0,IF(Tipo_Vertedor="Retangular",Cd_sr*Lef_sr*((O2948/100-cota_s)^(3/2))*1000)),IF(O2948&lt;=cota_s*100+fi_s/20,0,(OFFSET('Base de dados'!$A$4,IF(O2948&lt;20,1,IF(O2948&gt;1000,10,MATCH(O2948,Cargas,1))),Coluna_fis,1,1))*(PI()*(fi_s/1000)^2/4)*(2*9.81*(O2948/100-cota_s-fi_s/2/1000))^0.5*1000)))</f>
        <v>19330.573406406369</v>
      </c>
      <c r="R2948" s="19">
        <f t="shared" ca="1" si="315"/>
        <v>19403.463118848311</v>
      </c>
      <c r="S2948" s="19">
        <f t="shared" ca="1" si="316"/>
        <v>19093.842844227074</v>
      </c>
    </row>
    <row r="2949" spans="13:19">
      <c r="M2949" s="81">
        <f t="shared" ca="1" si="313"/>
        <v>38515.317209855304</v>
      </c>
      <c r="N2949" s="19">
        <f t="shared" si="314"/>
        <v>573.03387611029655</v>
      </c>
      <c r="O2949" s="17">
        <f t="shared" si="312"/>
        <v>737</v>
      </c>
      <c r="P2949" s="19">
        <f ca="1">IF(ISERROR(IF(O2949&lt;fi_h/20,0,(OFFSET('Base de dados'!$A$5,IF(O2949&lt;20,1,IF(O2949&gt;1000,10,MATCH(O2949,Cargas,1))),Coluna_fih,1,1))*(1+0.13*0.25)*(PI()*(fi_h/1000)^2/4)*SQRT(2*9.81*(O2949/100-fi_h/2/1000))*1000)),"",IF(O2949&lt;fi_h/20,0,(OFFSET('Base de dados'!$A$5,IF(O2949&lt;20,1,IF(O2949&gt;1000,10,MATCH(O2949,Cargas,1))),Coluna_fih,1,1))*(PI()*(fi_h/1000)^2/4)*SQRT(2*9.81*(O2949/100-fi_h/2/1000))*1000))</f>
        <v>72.902173542600764</v>
      </c>
      <c r="Q2949" s="19">
        <f ca="1">IF(O2949="","",IF(Tipo_Vertedor="Retangular",IF(O2949&lt;=cota_s*100,0,IF(Tipo_Vertedor="Retangular",Cd_sr*Lef_sr*((O2949/100-cota_s)^(3/2))*1000)),IF(O2949&lt;=cota_s*100+fi_s/20,0,(OFFSET('Base de dados'!$A$4,IF(O2949&lt;20,1,IF(O2949&gt;1000,10,MATCH(O2949,Cargas,1))),Coluna_fis,1,1))*(PI()*(fi_s/1000)^2/4)*(2*9.81*(O2949/100-cota_s-fi_s/2/1000))^0.5*1000)))</f>
        <v>19341.285832636149</v>
      </c>
      <c r="R2949" s="19">
        <f t="shared" ca="1" si="315"/>
        <v>19414.188006178749</v>
      </c>
      <c r="S2949" s="19">
        <f t="shared" ca="1" si="316"/>
        <v>19101.129203676552</v>
      </c>
    </row>
    <row r="2950" spans="13:19">
      <c r="M2950" s="81">
        <f t="shared" ca="1" si="313"/>
        <v>38533.33074051857</v>
      </c>
      <c r="N2950" s="19">
        <f t="shared" si="314"/>
        <v>573.2524761310259</v>
      </c>
      <c r="O2950" s="17">
        <f t="shared" si="312"/>
        <v>737.25</v>
      </c>
      <c r="P2950" s="19">
        <f ca="1">IF(ISERROR(IF(O2950&lt;fi_h/20,0,(OFFSET('Base de dados'!$A$5,IF(O2950&lt;20,1,IF(O2950&gt;1000,10,MATCH(O2950,Cargas,1))),Coluna_fih,1,1))*(1+0.13*0.25)*(PI()*(fi_h/1000)^2/4)*SQRT(2*9.81*(O2950/100-fi_h/2/1000))*1000)),"",IF(O2950&lt;fi_h/20,0,(OFFSET('Base de dados'!$A$5,IF(O2950&lt;20,1,IF(O2950&gt;1000,10,MATCH(O2950,Cargas,1))),Coluna_fih,1,1))*(PI()*(fi_h/1000)^2/4)*SQRT(2*9.81*(O2950/100-fi_h/2/1000))*1000))</f>
        <v>72.914632513659683</v>
      </c>
      <c r="Q2950" s="19">
        <f ca="1">IF(O2950="","",IF(Tipo_Vertedor="Retangular",IF(O2950&lt;=cota_s*100,0,IF(Tipo_Vertedor="Retangular",Cd_sr*Lef_sr*((O2950/100-cota_s)^(3/2))*1000)),IF(O2950&lt;=cota_s*100+fi_s/20,0,(OFFSET('Base de dados'!$A$4,IF(O2950&lt;20,1,IF(O2950&gt;1000,10,MATCH(O2950,Cargas,1))),Coluna_fis,1,1))*(PI()*(fi_s/1000)^2/4)*(2*9.81*(O2950/100-cota_s-fi_s/2/1000))^0.5*1000)))</f>
        <v>19352.000236970711</v>
      </c>
      <c r="R2950" s="19">
        <f t="shared" ca="1" si="315"/>
        <v>19424.914869484372</v>
      </c>
      <c r="S2950" s="19">
        <f t="shared" ca="1" si="316"/>
        <v>19108.415871034198</v>
      </c>
    </row>
    <row r="2951" spans="13:19">
      <c r="M2951" s="81">
        <f t="shared" ca="1" si="313"/>
        <v>38551.346554609721</v>
      </c>
      <c r="N2951" s="19">
        <f t="shared" si="314"/>
        <v>573.47108538625832</v>
      </c>
      <c r="O2951" s="17">
        <f t="shared" si="312"/>
        <v>737.5</v>
      </c>
      <c r="P2951" s="19">
        <f ca="1">IF(ISERROR(IF(O2951&lt;fi_h/20,0,(OFFSET('Base de dados'!$A$5,IF(O2951&lt;20,1,IF(O2951&gt;1000,10,MATCH(O2951,Cargas,1))),Coluna_fih,1,1))*(1+0.13*0.25)*(PI()*(fi_h/1000)^2/4)*SQRT(2*9.81*(O2951/100-fi_h/2/1000))*1000)),"",IF(O2951&lt;fi_h/20,0,(OFFSET('Base de dados'!$A$5,IF(O2951&lt;20,1,IF(O2951&gt;1000,10,MATCH(O2951,Cargas,1))),Coluna_fih,1,1))*(PI()*(fi_h/1000)^2/4)*SQRT(2*9.81*(O2951/100-fi_h/2/1000))*1000))</f>
        <v>72.927089356209748</v>
      </c>
      <c r="Q2951" s="19">
        <f ca="1">IF(O2951="","",IF(Tipo_Vertedor="Retangular",IF(O2951&lt;=cota_s*100,0,IF(Tipo_Vertedor="Retangular",Cd_sr*Lef_sr*((O2951/100-cota_s)^(3/2))*1000)),IF(O2951&lt;=cota_s*100+fi_s/20,0,(OFFSET('Base de dados'!$A$4,IF(O2951&lt;20,1,IF(O2951&gt;1000,10,MATCH(O2951,Cargas,1))),Coluna_fis,1,1))*(PI()*(fi_s/1000)^2/4)*(2*9.81*(O2951/100-cota_s-fi_s/2/1000))^0.5*1000)))</f>
        <v>19362.716619044902</v>
      </c>
      <c r="R2951" s="19">
        <f t="shared" ca="1" si="315"/>
        <v>19435.643708401112</v>
      </c>
      <c r="S2951" s="19">
        <f t="shared" ca="1" si="316"/>
        <v>19115.702846208609</v>
      </c>
    </row>
    <row r="2952" spans="13:19">
      <c r="M2952" s="81">
        <f t="shared" ca="1" si="313"/>
        <v>38569.364651673604</v>
      </c>
      <c r="N2952" s="19">
        <f t="shared" si="314"/>
        <v>573.68970387325362</v>
      </c>
      <c r="O2952" s="17">
        <f t="shared" si="312"/>
        <v>737.75</v>
      </c>
      <c r="P2952" s="19">
        <f ca="1">IF(ISERROR(IF(O2952&lt;fi_h/20,0,(OFFSET('Base de dados'!$A$5,IF(O2952&lt;20,1,IF(O2952&gt;1000,10,MATCH(O2952,Cargas,1))),Coluna_fih,1,1))*(1+0.13*0.25)*(PI()*(fi_h/1000)^2/4)*SQRT(2*9.81*(O2952/100-fi_h/2/1000))*1000)),"",IF(O2952&lt;fi_h/20,0,(OFFSET('Base de dados'!$A$5,IF(O2952&lt;20,1,IF(O2952&gt;1000,10,MATCH(O2952,Cargas,1))),Coluna_fih,1,1))*(PI()*(fi_h/1000)^2/4)*SQRT(2*9.81*(O2952/100-fi_h/2/1000))*1000))</f>
        <v>72.939544071341459</v>
      </c>
      <c r="Q2952" s="19">
        <f ca="1">IF(O2952="","",IF(Tipo_Vertedor="Retangular",IF(O2952&lt;=cota_s*100,0,IF(Tipo_Vertedor="Retangular",Cd_sr*Lef_sr*((O2952/100-cota_s)^(3/2))*1000)),IF(O2952&lt;=cota_s*100+fi_s/20,0,(OFFSET('Base de dados'!$A$4,IF(O2952&lt;20,1,IF(O2952&gt;1000,10,MATCH(O2952,Cargas,1))),Coluna_fis,1,1))*(PI()*(fi_s/1000)^2/4)*(2*9.81*(O2952/100-cota_s-fi_s/2/1000))^0.5*1000)))</f>
        <v>19373.434978493802</v>
      </c>
      <c r="R2952" s="19">
        <f t="shared" ca="1" si="315"/>
        <v>19446.374522565144</v>
      </c>
      <c r="S2952" s="19">
        <f t="shared" ca="1" si="316"/>
        <v>19122.990129108457</v>
      </c>
    </row>
    <row r="2953" spans="13:19">
      <c r="M2953" s="81">
        <f t="shared" ca="1" si="313"/>
        <v>38587.385031255239</v>
      </c>
      <c r="N2953" s="19">
        <f t="shared" si="314"/>
        <v>573.90833158927251</v>
      </c>
      <c r="O2953" s="17">
        <f t="shared" si="312"/>
        <v>738</v>
      </c>
      <c r="P2953" s="19">
        <f ca="1">IF(ISERROR(IF(O2953&lt;fi_h/20,0,(OFFSET('Base de dados'!$A$5,IF(O2953&lt;20,1,IF(O2953&gt;1000,10,MATCH(O2953,Cargas,1))),Coluna_fih,1,1))*(1+0.13*0.25)*(PI()*(fi_h/1000)^2/4)*SQRT(2*9.81*(O2953/100-fi_h/2/1000))*1000)),"",IF(O2953&lt;fi_h/20,0,(OFFSET('Base de dados'!$A$5,IF(O2953&lt;20,1,IF(O2953&gt;1000,10,MATCH(O2953,Cargas,1))),Coluna_fih,1,1))*(PI()*(fi_h/1000)^2/4)*SQRT(2*9.81*(O2953/100-fi_h/2/1000))*1000))</f>
        <v>72.951996660144431</v>
      </c>
      <c r="Q2953" s="19">
        <f ca="1">IF(O2953="","",IF(Tipo_Vertedor="Retangular",IF(O2953&lt;=cota_s*100,0,IF(Tipo_Vertedor="Retangular",Cd_sr*Lef_sr*((O2953/100-cota_s)^(3/2))*1000)),IF(O2953&lt;=cota_s*100+fi_s/20,0,(OFFSET('Base de dados'!$A$4,IF(O2953&lt;20,1,IF(O2953&gt;1000,10,MATCH(O2953,Cargas,1))),Coluna_fis,1,1))*(PI()*(fi_s/1000)^2/4)*(2*9.81*(O2953/100-cota_s-fi_s/2/1000))^0.5*1000)))</f>
        <v>19384.155314952674</v>
      </c>
      <c r="R2953" s="19">
        <f t="shared" ca="1" si="315"/>
        <v>19457.107311612817</v>
      </c>
      <c r="S2953" s="19">
        <f t="shared" ca="1" si="316"/>
        <v>19130.277719642418</v>
      </c>
    </row>
    <row r="2954" spans="13:19">
      <c r="M2954" s="81">
        <f t="shared" ca="1" si="313"/>
        <v>38605.4076929</v>
      </c>
      <c r="N2954" s="19">
        <f t="shared" si="314"/>
        <v>574.12696853157843</v>
      </c>
      <c r="O2954" s="17">
        <f t="shared" si="312"/>
        <v>738.25</v>
      </c>
      <c r="P2954" s="19">
        <f ca="1">IF(ISERROR(IF(O2954&lt;fi_h/20,0,(OFFSET('Base de dados'!$A$5,IF(O2954&lt;20,1,IF(O2954&gt;1000,10,MATCH(O2954,Cargas,1))),Coluna_fih,1,1))*(1+0.13*0.25)*(PI()*(fi_h/1000)^2/4)*SQRT(2*9.81*(O2954/100-fi_h/2/1000))*1000)),"",IF(O2954&lt;fi_h/20,0,(OFFSET('Base de dados'!$A$5,IF(O2954&lt;20,1,IF(O2954&gt;1000,10,MATCH(O2954,Cargas,1))),Coluna_fih,1,1))*(PI()*(fi_h/1000)^2/4)*SQRT(2*9.81*(O2954/100-fi_h/2/1000))*1000))</f>
        <v>72.964447123707359</v>
      </c>
      <c r="Q2954" s="19">
        <f ca="1">IF(O2954="","",IF(Tipo_Vertedor="Retangular",IF(O2954&lt;=cota_s*100,0,IF(Tipo_Vertedor="Retangular",Cd_sr*Lef_sr*((O2954/100-cota_s)^(3/2))*1000)),IF(O2954&lt;=cota_s*100+fi_s/20,0,(OFFSET('Base de dados'!$A$4,IF(O2954&lt;20,1,IF(O2954&gt;1000,10,MATCH(O2954,Cargas,1))),Coluna_fis,1,1))*(PI()*(fi_s/1000)^2/4)*(2*9.81*(O2954/100-cota_s-fi_s/2/1000))^0.5*1000)))</f>
        <v>19394.877628057009</v>
      </c>
      <c r="R2954" s="19">
        <f t="shared" ca="1" si="315"/>
        <v>19467.842075180717</v>
      </c>
      <c r="S2954" s="19">
        <f t="shared" ca="1" si="316"/>
        <v>19137.56561771928</v>
      </c>
    </row>
    <row r="2955" spans="13:19">
      <c r="M2955" s="81">
        <f t="shared" ca="1" si="313"/>
        <v>38623.432636153448</v>
      </c>
      <c r="N2955" s="19">
        <f t="shared" si="314"/>
        <v>574.34561469743608</v>
      </c>
      <c r="O2955" s="17">
        <f t="shared" si="312"/>
        <v>738.5</v>
      </c>
      <c r="P2955" s="19">
        <f ca="1">IF(ISERROR(IF(O2955&lt;fi_h/20,0,(OFFSET('Base de dados'!$A$5,IF(O2955&lt;20,1,IF(O2955&gt;1000,10,MATCH(O2955,Cargas,1))),Coluna_fih,1,1))*(1+0.13*0.25)*(PI()*(fi_h/1000)^2/4)*SQRT(2*9.81*(O2955/100-fi_h/2/1000))*1000)),"",IF(O2955&lt;fi_h/20,0,(OFFSET('Base de dados'!$A$5,IF(O2955&lt;20,1,IF(O2955&gt;1000,10,MATCH(O2955,Cargas,1))),Coluna_fih,1,1))*(PI()*(fi_h/1000)^2/4)*SQRT(2*9.81*(O2955/100-fi_h/2/1000))*1000))</f>
        <v>72.97689546311797</v>
      </c>
      <c r="Q2955" s="19">
        <f ca="1">IF(O2955="","",IF(Tipo_Vertedor="Retangular",IF(O2955&lt;=cota_s*100,0,IF(Tipo_Vertedor="Retangular",Cd_sr*Lef_sr*((O2955/100-cota_s)^(3/2))*1000)),IF(O2955&lt;=cota_s*100+fi_s/20,0,(OFFSET('Base de dados'!$A$4,IF(O2955&lt;20,1,IF(O2955&gt;1000,10,MATCH(O2955,Cargas,1))),Coluna_fis,1,1))*(PI()*(fi_s/1000)^2/4)*(2*9.81*(O2955/100-cota_s-fi_s/2/1000))^0.5*1000)))</f>
        <v>19405.601917442462</v>
      </c>
      <c r="R2955" s="19">
        <f t="shared" ca="1" si="315"/>
        <v>19478.57881290558</v>
      </c>
      <c r="S2955" s="19">
        <f t="shared" ca="1" si="316"/>
        <v>19144.853823247871</v>
      </c>
    </row>
    <row r="2956" spans="13:19">
      <c r="M2956" s="81">
        <f t="shared" ca="1" si="313"/>
        <v>38641.459860561459</v>
      </c>
      <c r="N2956" s="19">
        <f t="shared" si="314"/>
        <v>574.56427008411197</v>
      </c>
      <c r="O2956" s="17">
        <f t="shared" si="312"/>
        <v>738.75</v>
      </c>
      <c r="P2956" s="19">
        <f ca="1">IF(ISERROR(IF(O2956&lt;fi_h/20,0,(OFFSET('Base de dados'!$A$5,IF(O2956&lt;20,1,IF(O2956&gt;1000,10,MATCH(O2956,Cargas,1))),Coluna_fih,1,1))*(1+0.13*0.25)*(PI()*(fi_h/1000)^2/4)*SQRT(2*9.81*(O2956/100-fi_h/2/1000))*1000)),"",IF(O2956&lt;fi_h/20,0,(OFFSET('Base de dados'!$A$5,IF(O2956&lt;20,1,IF(O2956&gt;1000,10,MATCH(O2956,Cargas,1))),Coluna_fih,1,1))*(PI()*(fi_h/1000)^2/4)*SQRT(2*9.81*(O2956/100-fi_h/2/1000))*1000))</f>
        <v>72.989341679463109</v>
      </c>
      <c r="Q2956" s="19">
        <f ca="1">IF(O2956="","",IF(Tipo_Vertedor="Retangular",IF(O2956&lt;=cota_s*100,0,IF(Tipo_Vertedor="Retangular",Cd_sr*Lef_sr*((O2956/100-cota_s)^(3/2))*1000)),IF(O2956&lt;=cota_s*100+fi_s/20,0,(OFFSET('Base de dados'!$A$4,IF(O2956&lt;20,1,IF(O2956&gt;1000,10,MATCH(O2956,Cargas,1))),Coluna_fis,1,1))*(PI()*(fi_s/1000)^2/4)*(2*9.81*(O2956/100-cota_s-fi_s/2/1000))^0.5*1000)))</f>
        <v>19416.328182744928</v>
      </c>
      <c r="R2956" s="19">
        <f t="shared" ca="1" si="315"/>
        <v>19489.31752442439</v>
      </c>
      <c r="S2956" s="19">
        <f t="shared" ca="1" si="316"/>
        <v>19152.142336137065</v>
      </c>
    </row>
    <row r="2957" spans="13:19">
      <c r="M2957" s="81">
        <f t="shared" ca="1" si="313"/>
        <v>38659.489365670102</v>
      </c>
      <c r="N2957" s="19">
        <f t="shared" si="314"/>
        <v>574.78293468887455</v>
      </c>
      <c r="O2957" s="17">
        <f t="shared" si="312"/>
        <v>739</v>
      </c>
      <c r="P2957" s="19">
        <f ca="1">IF(ISERROR(IF(O2957&lt;fi_h/20,0,(OFFSET('Base de dados'!$A$5,IF(O2957&lt;20,1,IF(O2957&gt;1000,10,MATCH(O2957,Cargas,1))),Coluna_fih,1,1))*(1+0.13*0.25)*(PI()*(fi_h/1000)^2/4)*SQRT(2*9.81*(O2957/100-fi_h/2/1000))*1000)),"",IF(O2957&lt;fi_h/20,0,(OFFSET('Base de dados'!$A$5,IF(O2957&lt;20,1,IF(O2957&gt;1000,10,MATCH(O2957,Cargas,1))),Coluna_fih,1,1))*(PI()*(fi_h/1000)^2/4)*SQRT(2*9.81*(O2957/100-fi_h/2/1000))*1000))</f>
        <v>73.001785773828672</v>
      </c>
      <c r="Q2957" s="19">
        <f ca="1">IF(O2957="","",IF(Tipo_Vertedor="Retangular",IF(O2957&lt;=cota_s*100,0,IF(Tipo_Vertedor="Retangular",Cd_sr*Lef_sr*((O2957/100-cota_s)^(3/2))*1000)),IF(O2957&lt;=cota_s*100+fi_s/20,0,(OFFSET('Base de dados'!$A$4,IF(O2957&lt;20,1,IF(O2957&gt;1000,10,MATCH(O2957,Cargas,1))),Coluna_fis,1,1))*(PI()*(fi_s/1000)^2/4)*(2*9.81*(O2957/100-cota_s-fi_s/2/1000))^0.5*1000)))</f>
        <v>19427.056423600461</v>
      </c>
      <c r="R2957" s="19">
        <f t="shared" ca="1" si="315"/>
        <v>19500.058209374289</v>
      </c>
      <c r="S2957" s="19">
        <f t="shared" ca="1" si="316"/>
        <v>19159.431156295817</v>
      </c>
    </row>
    <row r="2958" spans="13:19">
      <c r="M2958" s="81">
        <f t="shared" ca="1" si="313"/>
        <v>38677.52115102578</v>
      </c>
      <c r="N2958" s="19">
        <f t="shared" si="314"/>
        <v>575.00160850899351</v>
      </c>
      <c r="O2958" s="17">
        <f t="shared" si="312"/>
        <v>739.25</v>
      </c>
      <c r="P2958" s="19">
        <f ca="1">IF(ISERROR(IF(O2958&lt;fi_h/20,0,(OFFSET('Base de dados'!$A$5,IF(O2958&lt;20,1,IF(O2958&gt;1000,10,MATCH(O2958,Cargas,1))),Coluna_fih,1,1))*(1+0.13*0.25)*(PI()*(fi_h/1000)^2/4)*SQRT(2*9.81*(O2958/100-fi_h/2/1000))*1000)),"",IF(O2958&lt;fi_h/20,0,(OFFSET('Base de dados'!$A$5,IF(O2958&lt;20,1,IF(O2958&gt;1000,10,MATCH(O2958,Cargas,1))),Coluna_fih,1,1))*(PI()*(fi_h/1000)^2/4)*SQRT(2*9.81*(O2958/100-fi_h/2/1000))*1000))</f>
        <v>73.014227747299614</v>
      </c>
      <c r="Q2958" s="19">
        <f ca="1">IF(O2958="","",IF(Tipo_Vertedor="Retangular",IF(O2958&lt;=cota_s*100,0,IF(Tipo_Vertedor="Retangular",Cd_sr*Lef_sr*((O2958/100-cota_s)^(3/2))*1000)),IF(O2958&lt;=cota_s*100+fi_s/20,0,(OFFSET('Base de dados'!$A$4,IF(O2958&lt;20,1,IF(O2958&gt;1000,10,MATCH(O2958,Cargas,1))),Coluna_fis,1,1))*(PI()*(fi_s/1000)^2/4)*(2*9.81*(O2958/100-cota_s-fi_s/2/1000))^0.5*1000)))</f>
        <v>19437.786639645368</v>
      </c>
      <c r="R2958" s="19">
        <f t="shared" ca="1" si="315"/>
        <v>19510.800867392667</v>
      </c>
      <c r="S2958" s="19">
        <f t="shared" ca="1" si="316"/>
        <v>19166.720283633116</v>
      </c>
    </row>
    <row r="2959" spans="13:19">
      <c r="M2959" s="81">
        <f t="shared" ca="1" si="313"/>
        <v>38695.555216175082</v>
      </c>
      <c r="N2959" s="19">
        <f t="shared" si="314"/>
        <v>575.22029154174049</v>
      </c>
      <c r="O2959" s="17">
        <f t="shared" si="312"/>
        <v>739.5</v>
      </c>
      <c r="P2959" s="19">
        <f ca="1">IF(ISERROR(IF(O2959&lt;fi_h/20,0,(OFFSET('Base de dados'!$A$5,IF(O2959&lt;20,1,IF(O2959&gt;1000,10,MATCH(O2959,Cargas,1))),Coluna_fih,1,1))*(1+0.13*0.25)*(PI()*(fi_h/1000)^2/4)*SQRT(2*9.81*(O2959/100-fi_h/2/1000))*1000)),"",IF(O2959&lt;fi_h/20,0,(OFFSET('Base de dados'!$A$5,IF(O2959&lt;20,1,IF(O2959&gt;1000,10,MATCH(O2959,Cargas,1))),Coluna_fih,1,1))*(PI()*(fi_h/1000)^2/4)*SQRT(2*9.81*(O2959/100-fi_h/2/1000))*1000))</f>
        <v>73.026667600959982</v>
      </c>
      <c r="Q2959" s="19">
        <f ca="1">IF(O2959="","",IF(Tipo_Vertedor="Retangular",IF(O2959&lt;=cota_s*100,0,IF(Tipo_Vertedor="Retangular",Cd_sr*Lef_sr*((O2959/100-cota_s)^(3/2))*1000)),IF(O2959&lt;=cota_s*100+fi_s/20,0,(OFFSET('Base de dados'!$A$4,IF(O2959&lt;20,1,IF(O2959&gt;1000,10,MATCH(O2959,Cargas,1))),Coluna_fis,1,1))*(PI()*(fi_s/1000)^2/4)*(2*9.81*(O2959/100-cota_s-fi_s/2/1000))^0.5*1000)))</f>
        <v>19448.518830516106</v>
      </c>
      <c r="R2959" s="19">
        <f t="shared" ca="1" si="315"/>
        <v>19521.545498117066</v>
      </c>
      <c r="S2959" s="19">
        <f t="shared" ca="1" si="316"/>
        <v>19174.009718058016</v>
      </c>
    </row>
    <row r="2960" spans="13:19">
      <c r="M2960" s="81">
        <f t="shared" ca="1" si="313"/>
        <v>38713.591560664907</v>
      </c>
      <c r="N2960" s="19">
        <f t="shared" si="314"/>
        <v>575.43898378438939</v>
      </c>
      <c r="O2960" s="17">
        <f t="shared" si="312"/>
        <v>739.75</v>
      </c>
      <c r="P2960" s="19">
        <f ca="1">IF(ISERROR(IF(O2960&lt;fi_h/20,0,(OFFSET('Base de dados'!$A$5,IF(O2960&lt;20,1,IF(O2960&gt;1000,10,MATCH(O2960,Cargas,1))),Coluna_fih,1,1))*(1+0.13*0.25)*(PI()*(fi_h/1000)^2/4)*SQRT(2*9.81*(O2960/100-fi_h/2/1000))*1000)),"",IF(O2960&lt;fi_h/20,0,(OFFSET('Base de dados'!$A$5,IF(O2960&lt;20,1,IF(O2960&gt;1000,10,MATCH(O2960,Cargas,1))),Coluna_fih,1,1))*(PI()*(fi_h/1000)^2/4)*SQRT(2*9.81*(O2960/100-fi_h/2/1000))*1000))</f>
        <v>73.039105335892899</v>
      </c>
      <c r="Q2960" s="19">
        <f ca="1">IF(O2960="","",IF(Tipo_Vertedor="Retangular",IF(O2960&lt;=cota_s*100,0,IF(Tipo_Vertedor="Retangular",Cd_sr*Lef_sr*((O2960/100-cota_s)^(3/2))*1000)),IF(O2960&lt;=cota_s*100+fi_s/20,0,(OFFSET('Base de dados'!$A$4,IF(O2960&lt;20,1,IF(O2960&gt;1000,10,MATCH(O2960,Cargas,1))),Coluna_fis,1,1))*(PI()*(fi_s/1000)^2/4)*(2*9.81*(O2960/100-cota_s-fi_s/2/1000))^0.5*1000)))</f>
        <v>19459.252995849365</v>
      </c>
      <c r="R2960" s="19">
        <f t="shared" ca="1" si="315"/>
        <v>19532.29210118526</v>
      </c>
      <c r="S2960" s="19">
        <f t="shared" ca="1" si="316"/>
        <v>19181.299459479647</v>
      </c>
    </row>
    <row r="2961" spans="13:19">
      <c r="M2961" s="81">
        <f t="shared" ca="1" si="313"/>
        <v>38731.630184042384</v>
      </c>
      <c r="N2961" s="19">
        <f t="shared" si="314"/>
        <v>575.65768523421525</v>
      </c>
      <c r="O2961" s="17">
        <f t="shared" si="312"/>
        <v>740</v>
      </c>
      <c r="P2961" s="19">
        <f ca="1">IF(ISERROR(IF(O2961&lt;fi_h/20,0,(OFFSET('Base de dados'!$A$5,IF(O2961&lt;20,1,IF(O2961&gt;1000,10,MATCH(O2961,Cargas,1))),Coluna_fih,1,1))*(1+0.13*0.25)*(PI()*(fi_h/1000)^2/4)*SQRT(2*9.81*(O2961/100-fi_h/2/1000))*1000)),"",IF(O2961&lt;fi_h/20,0,(OFFSET('Base de dados'!$A$5,IF(O2961&lt;20,1,IF(O2961&gt;1000,10,MATCH(O2961,Cargas,1))),Coluna_fih,1,1))*(PI()*(fi_h/1000)^2/4)*SQRT(2*9.81*(O2961/100-fi_h/2/1000))*1000))</f>
        <v>73.051540953180606</v>
      </c>
      <c r="Q2961" s="19">
        <f ca="1">IF(O2961="","",IF(Tipo_Vertedor="Retangular",IF(O2961&lt;=cota_s*100,0,IF(Tipo_Vertedor="Retangular",Cd_sr*Lef_sr*((O2961/100-cota_s)^(3/2))*1000)),IF(O2961&lt;=cota_s*100+fi_s/20,0,(OFFSET('Base de dados'!$A$4,IF(O2961&lt;20,1,IF(O2961&gt;1000,10,MATCH(O2961,Cargas,1))),Coluna_fis,1,1))*(PI()*(fi_s/1000)^2/4)*(2*9.81*(O2961/100-cota_s-fi_s/2/1000))^0.5*1000)))</f>
        <v>19469.989135282027</v>
      </c>
      <c r="R2961" s="19">
        <f t="shared" ca="1" si="315"/>
        <v>19543.040676235207</v>
      </c>
      <c r="S2961" s="19">
        <f t="shared" ca="1" si="316"/>
        <v>19188.589507807174</v>
      </c>
    </row>
    <row r="2962" spans="13:19">
      <c r="M2962" s="81">
        <f t="shared" ca="1" si="313"/>
        <v>38749.671085854876</v>
      </c>
      <c r="N2962" s="19">
        <f t="shared" si="314"/>
        <v>575.87639588849436</v>
      </c>
      <c r="O2962" s="17">
        <f t="shared" si="312"/>
        <v>740.25</v>
      </c>
      <c r="P2962" s="19">
        <f ca="1">IF(ISERROR(IF(O2962&lt;fi_h/20,0,(OFFSET('Base de dados'!$A$5,IF(O2962&lt;20,1,IF(O2962&gt;1000,10,MATCH(O2962,Cargas,1))),Coluna_fih,1,1))*(1+0.13*0.25)*(PI()*(fi_h/1000)^2/4)*SQRT(2*9.81*(O2962/100-fi_h/2/1000))*1000)),"",IF(O2962&lt;fi_h/20,0,(OFFSET('Base de dados'!$A$5,IF(O2962&lt;20,1,IF(O2962&gt;1000,10,MATCH(O2962,Cargas,1))),Coluna_fih,1,1))*(PI()*(fi_h/1000)^2/4)*SQRT(2*9.81*(O2962/100-fi_h/2/1000))*1000))</f>
        <v>73.063974453904322</v>
      </c>
      <c r="Q2962" s="19">
        <f ca="1">IF(O2962="","",IF(Tipo_Vertedor="Retangular",IF(O2962&lt;=cota_s*100,0,IF(Tipo_Vertedor="Retangular",Cd_sr*Lef_sr*((O2962/100-cota_s)^(3/2))*1000)),IF(O2962&lt;=cota_s*100+fi_s/20,0,(OFFSET('Base de dados'!$A$4,IF(O2962&lt;20,1,IF(O2962&gt;1000,10,MATCH(O2962,Cargas,1))),Coluna_fis,1,1))*(PI()*(fi_s/1000)^2/4)*(2*9.81*(O2962/100-cota_s-fi_s/2/1000))^0.5*1000)))</f>
        <v>19480.72724845116</v>
      </c>
      <c r="R2962" s="19">
        <f t="shared" ca="1" si="315"/>
        <v>19553.791222905063</v>
      </c>
      <c r="S2962" s="19">
        <f t="shared" ca="1" si="316"/>
        <v>19195.879862949812</v>
      </c>
    </row>
    <row r="2963" spans="13:19">
      <c r="M2963" s="81">
        <f t="shared" ca="1" si="313"/>
        <v>38767.714265650087</v>
      </c>
      <c r="N2963" s="19">
        <f t="shared" si="314"/>
        <v>576.09511574450642</v>
      </c>
      <c r="O2963" s="17">
        <f t="shared" ref="O2963:O3026" si="317">IF(ISERROR(IF(O2962+passo_altura&gt;h_max_puls*100,"",O2962+passo_altura)),"",IF(O2962+passo_altura&gt;h_max_puls*100,"",O2962+passo_altura))</f>
        <v>740.5</v>
      </c>
      <c r="P2963" s="19">
        <f ca="1">IF(ISERROR(IF(O2963&lt;fi_h/20,0,(OFFSET('Base de dados'!$A$5,IF(O2963&lt;20,1,IF(O2963&gt;1000,10,MATCH(O2963,Cargas,1))),Coluna_fih,1,1))*(1+0.13*0.25)*(PI()*(fi_h/1000)^2/4)*SQRT(2*9.81*(O2963/100-fi_h/2/1000))*1000)),"",IF(O2963&lt;fi_h/20,0,(OFFSET('Base de dados'!$A$5,IF(O2963&lt;20,1,IF(O2963&gt;1000,10,MATCH(O2963,Cargas,1))),Coluna_fih,1,1))*(PI()*(fi_h/1000)^2/4)*SQRT(2*9.81*(O2963/100-fi_h/2/1000))*1000))</f>
        <v>73.076405839144456</v>
      </c>
      <c r="Q2963" s="19">
        <f ca="1">IF(O2963="","",IF(Tipo_Vertedor="Retangular",IF(O2963&lt;=cota_s*100,0,IF(Tipo_Vertedor="Retangular",Cd_sr*Lef_sr*((O2963/100-cota_s)^(3/2))*1000)),IF(O2963&lt;=cota_s*100+fi_s/20,0,(OFFSET('Base de dados'!$A$4,IF(O2963&lt;20,1,IF(O2963&gt;1000,10,MATCH(O2963,Cargas,1))),Coluna_fis,1,1))*(PI()*(fi_s/1000)^2/4)*(2*9.81*(O2963/100-cota_s-fi_s/2/1000))^0.5*1000)))</f>
        <v>19491.467334994064</v>
      </c>
      <c r="R2963" s="19">
        <f t="shared" ca="1" si="315"/>
        <v>19564.543740833207</v>
      </c>
      <c r="S2963" s="19">
        <f t="shared" ca="1" si="316"/>
        <v>19203.17052481688</v>
      </c>
    </row>
    <row r="2964" spans="13:19">
      <c r="M2964" s="81">
        <f t="shared" ca="1" si="313"/>
        <v>38785.759722975876</v>
      </c>
      <c r="N2964" s="19">
        <f t="shared" si="314"/>
        <v>576.31384479953078</v>
      </c>
      <c r="O2964" s="17">
        <f t="shared" si="317"/>
        <v>740.75</v>
      </c>
      <c r="P2964" s="19">
        <f ca="1">IF(ISERROR(IF(O2964&lt;fi_h/20,0,(OFFSET('Base de dados'!$A$5,IF(O2964&lt;20,1,IF(O2964&gt;1000,10,MATCH(O2964,Cargas,1))),Coluna_fih,1,1))*(1+0.13*0.25)*(PI()*(fi_h/1000)^2/4)*SQRT(2*9.81*(O2964/100-fi_h/2/1000))*1000)),"",IF(O2964&lt;fi_h/20,0,(OFFSET('Base de dados'!$A$5,IF(O2964&lt;20,1,IF(O2964&gt;1000,10,MATCH(O2964,Cargas,1))),Coluna_fih,1,1))*(PI()*(fi_h/1000)^2/4)*SQRT(2*9.81*(O2964/100-fi_h/2/1000))*1000))</f>
        <v>73.088835109980423</v>
      </c>
      <c r="Q2964" s="19">
        <f ca="1">IF(O2964="","",IF(Tipo_Vertedor="Retangular",IF(O2964&lt;=cota_s*100,0,IF(Tipo_Vertedor="Retangular",Cd_sr*Lef_sr*((O2964/100-cota_s)^(3/2))*1000)),IF(O2964&lt;=cota_s*100+fi_s/20,0,(OFFSET('Base de dados'!$A$4,IF(O2964&lt;20,1,IF(O2964&gt;1000,10,MATCH(O2964,Cargas,1))),Coluna_fis,1,1))*(PI()*(fi_s/1000)^2/4)*(2*9.81*(O2964/100-cota_s-fi_s/2/1000))^0.5*1000)))</f>
        <v>19502.209394548201</v>
      </c>
      <c r="R2964" s="19">
        <f t="shared" ca="1" si="315"/>
        <v>19575.298229658183</v>
      </c>
      <c r="S2964" s="19">
        <f t="shared" ca="1" si="316"/>
        <v>19210.461493317693</v>
      </c>
    </row>
    <row r="2965" spans="13:19">
      <c r="M2965" s="81">
        <f t="shared" ca="1" si="313"/>
        <v>38803.807457380433</v>
      </c>
      <c r="N2965" s="19">
        <f t="shared" si="314"/>
        <v>576.53258305085023</v>
      </c>
      <c r="O2965" s="17">
        <f t="shared" si="317"/>
        <v>741</v>
      </c>
      <c r="P2965" s="19">
        <f ca="1">IF(ISERROR(IF(O2965&lt;fi_h/20,0,(OFFSET('Base de dados'!$A$5,IF(O2965&lt;20,1,IF(O2965&gt;1000,10,MATCH(O2965,Cargas,1))),Coluna_fih,1,1))*(1+0.13*0.25)*(PI()*(fi_h/1000)^2/4)*SQRT(2*9.81*(O2965/100-fi_h/2/1000))*1000)),"",IF(O2965&lt;fi_h/20,0,(OFFSET('Base de dados'!$A$5,IF(O2965&lt;20,1,IF(O2965&gt;1000,10,MATCH(O2965,Cargas,1))),Coluna_fih,1,1))*(PI()*(fi_h/1000)^2/4)*SQRT(2*9.81*(O2965/100-fi_h/2/1000))*1000))</f>
        <v>73.101262267490767</v>
      </c>
      <c r="Q2965" s="19">
        <f ca="1">IF(O2965="","",IF(Tipo_Vertedor="Retangular",IF(O2965&lt;=cota_s*100,0,IF(Tipo_Vertedor="Retangular",Cd_sr*Lef_sr*((O2965/100-cota_s)^(3/2))*1000)),IF(O2965&lt;=cota_s*100+fi_s/20,0,(OFFSET('Base de dados'!$A$4,IF(O2965&lt;20,1,IF(O2965&gt;1000,10,MATCH(O2965,Cargas,1))),Coluna_fis,1,1))*(PI()*(fi_s/1000)^2/4)*(2*9.81*(O2965/100-cota_s-fi_s/2/1000))^0.5*1000)))</f>
        <v>19512.953426751275</v>
      </c>
      <c r="R2965" s="19">
        <f t="shared" ca="1" si="315"/>
        <v>19586.054689018765</v>
      </c>
      <c r="S2965" s="19">
        <f t="shared" ca="1" si="316"/>
        <v>19217.752768361672</v>
      </c>
    </row>
    <row r="2966" spans="13:19">
      <c r="M2966" s="81">
        <f t="shared" ca="1" si="313"/>
        <v>38821.857468412141</v>
      </c>
      <c r="N2966" s="19">
        <f t="shared" si="314"/>
        <v>576.75133049574765</v>
      </c>
      <c r="O2966" s="17">
        <f t="shared" si="317"/>
        <v>741.25</v>
      </c>
      <c r="P2966" s="19">
        <f ca="1">IF(ISERROR(IF(O2966&lt;fi_h/20,0,(OFFSET('Base de dados'!$A$5,IF(O2966&lt;20,1,IF(O2966&gt;1000,10,MATCH(O2966,Cargas,1))),Coluna_fih,1,1))*(1+0.13*0.25)*(PI()*(fi_h/1000)^2/4)*SQRT(2*9.81*(O2966/100-fi_h/2/1000))*1000)),"",IF(O2966&lt;fi_h/20,0,(OFFSET('Base de dados'!$A$5,IF(O2966&lt;20,1,IF(O2966&gt;1000,10,MATCH(O2966,Cargas,1))),Coluna_fih,1,1))*(PI()*(fi_h/1000)^2/4)*SQRT(2*9.81*(O2966/100-fi_h/2/1000))*1000))</f>
        <v>73.1136873127531</v>
      </c>
      <c r="Q2966" s="19">
        <f ca="1">IF(O2966="","",IF(Tipo_Vertedor="Retangular",IF(O2966&lt;=cota_s*100,0,IF(Tipo_Vertedor="Retangular",Cd_sr*Lef_sr*((O2966/100-cota_s)^(3/2))*1000)),IF(O2966&lt;=cota_s*100+fi_s/20,0,(OFFSET('Base de dados'!$A$4,IF(O2966&lt;20,1,IF(O2966&gt;1000,10,MATCH(O2966,Cargas,1))),Coluna_fis,1,1))*(PI()*(fi_s/1000)^2/4)*(2*9.81*(O2966/100-cota_s-fi_s/2/1000))^0.5*1000)))</f>
        <v>19523.699431241133</v>
      </c>
      <c r="R2966" s="19">
        <f t="shared" ca="1" si="315"/>
        <v>19596.813118553888</v>
      </c>
      <c r="S2966" s="19">
        <f t="shared" ca="1" si="316"/>
        <v>19225.044349858254</v>
      </c>
    </row>
    <row r="2967" spans="13:19">
      <c r="M2967" s="81">
        <f t="shared" ref="M2967:M3030" ca="1" si="318">IF(O2967="","",2*N2967*1000/(Passo*60)+R2967)</f>
        <v>38839.909755619723</v>
      </c>
      <c r="N2967" s="19">
        <f t="shared" ref="N2967:N3030" si="319">IF(O2967="","",b_0*(O2967/100)^c_0)</f>
        <v>576.97008713150979</v>
      </c>
      <c r="O2967" s="17">
        <f t="shared" si="317"/>
        <v>741.5</v>
      </c>
      <c r="P2967" s="19">
        <f ca="1">IF(ISERROR(IF(O2967&lt;fi_h/20,0,(OFFSET('Base de dados'!$A$5,IF(O2967&lt;20,1,IF(O2967&gt;1000,10,MATCH(O2967,Cargas,1))),Coluna_fih,1,1))*(1+0.13*0.25)*(PI()*(fi_h/1000)^2/4)*SQRT(2*9.81*(O2967/100-fi_h/2/1000))*1000)),"",IF(O2967&lt;fi_h/20,0,(OFFSET('Base de dados'!$A$5,IF(O2967&lt;20,1,IF(O2967&gt;1000,10,MATCH(O2967,Cargas,1))),Coluna_fih,1,1))*(PI()*(fi_h/1000)^2/4)*SQRT(2*9.81*(O2967/100-fi_h/2/1000))*1000))</f>
        <v>73.126110246844078</v>
      </c>
      <c r="Q2967" s="19">
        <f ca="1">IF(O2967="","",IF(Tipo_Vertedor="Retangular",IF(O2967&lt;=cota_s*100,0,IF(Tipo_Vertedor="Retangular",Cd_sr*Lef_sr*((O2967/100-cota_s)^(3/2))*1000)),IF(O2967&lt;=cota_s*100+fi_s/20,0,(OFFSET('Base de dados'!$A$4,IF(O2967&lt;20,1,IF(O2967&gt;1000,10,MATCH(O2967,Cargas,1))),Coluna_fis,1,1))*(PI()*(fi_s/1000)^2/4)*(2*9.81*(O2967/100-cota_s-fi_s/2/1000))^0.5*1000)))</f>
        <v>19534.447407655884</v>
      </c>
      <c r="R2967" s="19">
        <f t="shared" ref="R2967:R3030" ca="1" si="320">IF(O2967="","",Q2967+P2967)</f>
        <v>19607.573517902729</v>
      </c>
      <c r="S2967" s="19">
        <f t="shared" ref="S2967:S3030" ca="1" si="321">IF(M2967="","",2*N2967*1000/(Passo*60))</f>
        <v>19232.336237716994</v>
      </c>
    </row>
    <row r="2968" spans="13:19">
      <c r="M2968" s="81">
        <f t="shared" ca="1" si="318"/>
        <v>38857.964318552076</v>
      </c>
      <c r="N2968" s="19">
        <f t="shared" si="319"/>
        <v>577.18885295542339</v>
      </c>
      <c r="O2968" s="17">
        <f t="shared" si="317"/>
        <v>741.75</v>
      </c>
      <c r="P2968" s="19">
        <f ca="1">IF(ISERROR(IF(O2968&lt;fi_h/20,0,(OFFSET('Base de dados'!$A$5,IF(O2968&lt;20,1,IF(O2968&gt;1000,10,MATCH(O2968,Cargas,1))),Coluna_fih,1,1))*(1+0.13*0.25)*(PI()*(fi_h/1000)^2/4)*SQRT(2*9.81*(O2968/100-fi_h/2/1000))*1000)),"",IF(O2968&lt;fi_h/20,0,(OFFSET('Base de dados'!$A$5,IF(O2968&lt;20,1,IF(O2968&gt;1000,10,MATCH(O2968,Cargas,1))),Coluna_fih,1,1))*(PI()*(fi_h/1000)^2/4)*SQRT(2*9.81*(O2968/100-fi_h/2/1000))*1000))</f>
        <v>73.13853107083952</v>
      </c>
      <c r="Q2968" s="19">
        <f ca="1">IF(O2968="","",IF(Tipo_Vertedor="Retangular",IF(O2968&lt;=cota_s*100,0,IF(Tipo_Vertedor="Retangular",Cd_sr*Lef_sr*((O2968/100-cota_s)^(3/2))*1000)),IF(O2968&lt;=cota_s*100+fi_s/20,0,(OFFSET('Base de dados'!$A$4,IF(O2968&lt;20,1,IF(O2968&gt;1000,10,MATCH(O2968,Cargas,1))),Coluna_fis,1,1))*(PI()*(fi_s/1000)^2/4)*(2*9.81*(O2968/100-cota_s-fi_s/2/1000))^0.5*1000)))</f>
        <v>19545.197355633791</v>
      </c>
      <c r="R2968" s="19">
        <f t="shared" ca="1" si="320"/>
        <v>19618.33588670463</v>
      </c>
      <c r="S2968" s="19">
        <f t="shared" ca="1" si="321"/>
        <v>19239.628431847446</v>
      </c>
    </row>
    <row r="2969" spans="13:19">
      <c r="M2969" s="81">
        <f t="shared" ca="1" si="318"/>
        <v>38876.021156758376</v>
      </c>
      <c r="N2969" s="19">
        <f t="shared" si="319"/>
        <v>577.40762796477657</v>
      </c>
      <c r="O2969" s="17">
        <f t="shared" si="317"/>
        <v>742</v>
      </c>
      <c r="P2969" s="19">
        <f ca="1">IF(ISERROR(IF(O2969&lt;fi_h/20,0,(OFFSET('Base de dados'!$A$5,IF(O2969&lt;20,1,IF(O2969&gt;1000,10,MATCH(O2969,Cargas,1))),Coluna_fih,1,1))*(1+0.13*0.25)*(PI()*(fi_h/1000)^2/4)*SQRT(2*9.81*(O2969/100-fi_h/2/1000))*1000)),"",IF(O2969&lt;fi_h/20,0,(OFFSET('Base de dados'!$A$5,IF(O2969&lt;20,1,IF(O2969&gt;1000,10,MATCH(O2969,Cargas,1))),Coluna_fih,1,1))*(PI()*(fi_h/1000)^2/4)*SQRT(2*9.81*(O2969/100-fi_h/2/1000))*1000))</f>
        <v>73.150949785814262</v>
      </c>
      <c r="Q2969" s="19">
        <f ca="1">IF(O2969="","",IF(Tipo_Vertedor="Retangular",IF(O2969&lt;=cota_s*100,0,IF(Tipo_Vertedor="Retangular",Cd_sr*Lef_sr*((O2969/100-cota_s)^(3/2))*1000)),IF(O2969&lt;=cota_s*100+fi_s/20,0,(OFFSET('Base de dados'!$A$4,IF(O2969&lt;20,1,IF(O2969&gt;1000,10,MATCH(O2969,Cargas,1))),Coluna_fis,1,1))*(PI()*(fi_s/1000)^2/4)*(2*9.81*(O2969/100-cota_s-fi_s/2/1000))^0.5*1000)))</f>
        <v>19555.949274813338</v>
      </c>
      <c r="R2969" s="19">
        <f t="shared" ca="1" si="320"/>
        <v>19629.100224599151</v>
      </c>
      <c r="S2969" s="19">
        <f t="shared" ca="1" si="321"/>
        <v>19246.920932159221</v>
      </c>
    </row>
    <row r="2970" spans="13:19">
      <c r="M2970" s="81">
        <f t="shared" ca="1" si="318"/>
        <v>38894.080269788072</v>
      </c>
      <c r="N2970" s="19">
        <f t="shared" si="319"/>
        <v>577.62641215686119</v>
      </c>
      <c r="O2970" s="17">
        <f t="shared" si="317"/>
        <v>742.25</v>
      </c>
      <c r="P2970" s="19">
        <f ca="1">IF(ISERROR(IF(O2970&lt;fi_h/20,0,(OFFSET('Base de dados'!$A$5,IF(O2970&lt;20,1,IF(O2970&gt;1000,10,MATCH(O2970,Cargas,1))),Coluna_fih,1,1))*(1+0.13*0.25)*(PI()*(fi_h/1000)^2/4)*SQRT(2*9.81*(O2970/100-fi_h/2/1000))*1000)),"",IF(O2970&lt;fi_h/20,0,(OFFSET('Base de dados'!$A$5,IF(O2970&lt;20,1,IF(O2970&gt;1000,10,MATCH(O2970,Cargas,1))),Coluna_fih,1,1))*(PI()*(fi_h/1000)^2/4)*SQRT(2*9.81*(O2970/100-fi_h/2/1000))*1000))</f>
        <v>73.163366392842264</v>
      </c>
      <c r="Q2970" s="19">
        <f ca="1">IF(O2970="","",IF(Tipo_Vertedor="Retangular",IF(O2970&lt;=cota_s*100,0,IF(Tipo_Vertedor="Retangular",Cd_sr*Lef_sr*((O2970/100-cota_s)^(3/2))*1000)),IF(O2970&lt;=cota_s*100+fi_s/20,0,(OFFSET('Base de dados'!$A$4,IF(O2970&lt;20,1,IF(O2970&gt;1000,10,MATCH(O2970,Cargas,1))),Coluna_fis,1,1))*(PI()*(fi_s/1000)^2/4)*(2*9.81*(O2970/100-cota_s-fi_s/2/1000))^0.5*1000)))</f>
        <v>19566.703164833198</v>
      </c>
      <c r="R2970" s="19">
        <f t="shared" ca="1" si="320"/>
        <v>19639.866531226038</v>
      </c>
      <c r="S2970" s="19">
        <f t="shared" ca="1" si="321"/>
        <v>19254.213738562037</v>
      </c>
    </row>
    <row r="2971" spans="13:19">
      <c r="M2971" s="81">
        <f t="shared" ca="1" si="318"/>
        <v>38912.141657190863</v>
      </c>
      <c r="N2971" s="19">
        <f t="shared" si="319"/>
        <v>577.84520552896868</v>
      </c>
      <c r="O2971" s="17">
        <f t="shared" si="317"/>
        <v>742.5</v>
      </c>
      <c r="P2971" s="19">
        <f ca="1">IF(ISERROR(IF(O2971&lt;fi_h/20,0,(OFFSET('Base de dados'!$A$5,IF(O2971&lt;20,1,IF(O2971&gt;1000,10,MATCH(O2971,Cargas,1))),Coluna_fih,1,1))*(1+0.13*0.25)*(PI()*(fi_h/1000)^2/4)*SQRT(2*9.81*(O2971/100-fi_h/2/1000))*1000)),"",IF(O2971&lt;fi_h/20,0,(OFFSET('Base de dados'!$A$5,IF(O2971&lt;20,1,IF(O2971&gt;1000,10,MATCH(O2971,Cargas,1))),Coluna_fih,1,1))*(PI()*(fi_h/1000)^2/4)*SQRT(2*9.81*(O2971/100-fi_h/2/1000))*1000))</f>
        <v>73.175780892996571</v>
      </c>
      <c r="Q2971" s="19">
        <f ca="1">IF(O2971="","",IF(Tipo_Vertedor="Retangular",IF(O2971&lt;=cota_s*100,0,IF(Tipo_Vertedor="Retangular",Cd_sr*Lef_sr*((O2971/100-cota_s)^(3/2))*1000)),IF(O2971&lt;=cota_s*100+fi_s/20,0,(OFFSET('Base de dados'!$A$4,IF(O2971&lt;20,1,IF(O2971&gt;1000,10,MATCH(O2971,Cargas,1))),Coluna_fis,1,1))*(PI()*(fi_s/1000)^2/4)*(2*9.81*(O2971/100-cota_s-fi_s/2/1000))^0.5*1000)))</f>
        <v>19577.459025332242</v>
      </c>
      <c r="R2971" s="19">
        <f t="shared" ca="1" si="320"/>
        <v>19650.63480622524</v>
      </c>
      <c r="S2971" s="19">
        <f t="shared" ca="1" si="321"/>
        <v>19261.506850965623</v>
      </c>
    </row>
    <row r="2972" spans="13:19">
      <c r="M2972" s="81">
        <f t="shared" ca="1" si="318"/>
        <v>38930.205318516702</v>
      </c>
      <c r="N2972" s="19">
        <f t="shared" si="319"/>
        <v>578.06400807839429</v>
      </c>
      <c r="O2972" s="17">
        <f t="shared" si="317"/>
        <v>742.75</v>
      </c>
      <c r="P2972" s="19">
        <f ca="1">IF(ISERROR(IF(O2972&lt;fi_h/20,0,(OFFSET('Base de dados'!$A$5,IF(O2972&lt;20,1,IF(O2972&gt;1000,10,MATCH(O2972,Cargas,1))),Coluna_fih,1,1))*(1+0.13*0.25)*(PI()*(fi_h/1000)^2/4)*SQRT(2*9.81*(O2972/100-fi_h/2/1000))*1000)),"",IF(O2972&lt;fi_h/20,0,(OFFSET('Base de dados'!$A$5,IF(O2972&lt;20,1,IF(O2972&gt;1000,10,MATCH(O2972,Cargas,1))),Coluna_fih,1,1))*(PI()*(fi_h/1000)^2/4)*SQRT(2*9.81*(O2972/100-fi_h/2/1000))*1000))</f>
        <v>73.188193287349321</v>
      </c>
      <c r="Q2972" s="19">
        <f ca="1">IF(O2972="","",IF(Tipo_Vertedor="Retangular",IF(O2972&lt;=cota_s*100,0,IF(Tipo_Vertedor="Retangular",Cd_sr*Lef_sr*((O2972/100-cota_s)^(3/2))*1000)),IF(O2972&lt;=cota_s*100+fi_s/20,0,(OFFSET('Base de dados'!$A$4,IF(O2972&lt;20,1,IF(O2972&gt;1000,10,MATCH(O2972,Cargas,1))),Coluna_fis,1,1))*(PI()*(fi_s/1000)^2/4)*(2*9.81*(O2972/100-cota_s-fi_s/2/1000))^0.5*1000)))</f>
        <v>19588.21685594954</v>
      </c>
      <c r="R2972" s="19">
        <f t="shared" ca="1" si="320"/>
        <v>19661.405049236888</v>
      </c>
      <c r="S2972" s="19">
        <f t="shared" ca="1" si="321"/>
        <v>19268.800269279811</v>
      </c>
    </row>
    <row r="2973" spans="13:19">
      <c r="M2973" s="81">
        <f t="shared" ca="1" si="318"/>
        <v>38948.271253315761</v>
      </c>
      <c r="N2973" s="19">
        <f t="shared" si="319"/>
        <v>578.2828198024323</v>
      </c>
      <c r="O2973" s="17">
        <f t="shared" si="317"/>
        <v>743</v>
      </c>
      <c r="P2973" s="19">
        <f ca="1">IF(ISERROR(IF(O2973&lt;fi_h/20,0,(OFFSET('Base de dados'!$A$5,IF(O2973&lt;20,1,IF(O2973&gt;1000,10,MATCH(O2973,Cargas,1))),Coluna_fih,1,1))*(1+0.13*0.25)*(PI()*(fi_h/1000)^2/4)*SQRT(2*9.81*(O2973/100-fi_h/2/1000))*1000)),"",IF(O2973&lt;fi_h/20,0,(OFFSET('Base de dados'!$A$5,IF(O2973&lt;20,1,IF(O2973&gt;1000,10,MATCH(O2973,Cargas,1))),Coluna_fih,1,1))*(PI()*(fi_h/1000)^2/4)*SQRT(2*9.81*(O2973/100-fi_h/2/1000))*1000))</f>
        <v>73.20060357697173</v>
      </c>
      <c r="Q2973" s="19">
        <f ca="1">IF(O2973="","",IF(Tipo_Vertedor="Retangular",IF(O2973&lt;=cota_s*100,0,IF(Tipo_Vertedor="Retangular",Cd_sr*Lef_sr*((O2973/100-cota_s)^(3/2))*1000)),IF(O2973&lt;=cota_s*100+fi_s/20,0,(OFFSET('Base de dados'!$A$4,IF(O2973&lt;20,1,IF(O2973&gt;1000,10,MATCH(O2973,Cargas,1))),Coluna_fis,1,1))*(PI()*(fi_s/1000)^2/4)*(2*9.81*(O2973/100-cota_s-fi_s/2/1000))^0.5*1000)))</f>
        <v>19598.976656324383</v>
      </c>
      <c r="R2973" s="19">
        <f t="shared" ca="1" si="320"/>
        <v>19672.177259901353</v>
      </c>
      <c r="S2973" s="19">
        <f t="shared" ca="1" si="321"/>
        <v>19276.093993414412</v>
      </c>
    </row>
    <row r="2974" spans="13:19">
      <c r="M2974" s="81">
        <f t="shared" ca="1" si="318"/>
        <v>38966.339461138523</v>
      </c>
      <c r="N2974" s="19">
        <f t="shared" si="319"/>
        <v>578.50164069838104</v>
      </c>
      <c r="O2974" s="17">
        <f t="shared" si="317"/>
        <v>743.25</v>
      </c>
      <c r="P2974" s="19">
        <f ca="1">IF(ISERROR(IF(O2974&lt;fi_h/20,0,(OFFSET('Base de dados'!$A$5,IF(O2974&lt;20,1,IF(O2974&gt;1000,10,MATCH(O2974,Cargas,1))),Coluna_fih,1,1))*(1+0.13*0.25)*(PI()*(fi_h/1000)^2/4)*SQRT(2*9.81*(O2974/100-fi_h/2/1000))*1000)),"",IF(O2974&lt;fi_h/20,0,(OFFSET('Base de dados'!$A$5,IF(O2974&lt;20,1,IF(O2974&gt;1000,10,MATCH(O2974,Cargas,1))),Coluna_fih,1,1))*(PI()*(fi_h/1000)^2/4)*SQRT(2*9.81*(O2974/100-fi_h/2/1000))*1000))</f>
        <v>73.21301176293413</v>
      </c>
      <c r="Q2974" s="19">
        <f ca="1">IF(O2974="","",IF(Tipo_Vertedor="Retangular",IF(O2974&lt;=cota_s*100,0,IF(Tipo_Vertedor="Retangular",Cd_sr*Lef_sr*((O2974/100-cota_s)^(3/2))*1000)),IF(O2974&lt;=cota_s*100+fi_s/20,0,(OFFSET('Base de dados'!$A$4,IF(O2974&lt;20,1,IF(O2974&gt;1000,10,MATCH(O2974,Cargas,1))),Coluna_fis,1,1))*(PI()*(fi_s/1000)^2/4)*(2*9.81*(O2974/100-cota_s-fi_s/2/1000))^0.5*1000)))</f>
        <v>19609.738426096221</v>
      </c>
      <c r="R2974" s="19">
        <f t="shared" ca="1" si="320"/>
        <v>19682.951437859156</v>
      </c>
      <c r="S2974" s="19">
        <f t="shared" ca="1" si="321"/>
        <v>19283.388023279367</v>
      </c>
    </row>
    <row r="2975" spans="13:19">
      <c r="M2975" s="81">
        <f t="shared" ca="1" si="318"/>
        <v>38984.409941535705</v>
      </c>
      <c r="N2975" s="19">
        <f t="shared" si="319"/>
        <v>578.72047076353977</v>
      </c>
      <c r="O2975" s="17">
        <f t="shared" si="317"/>
        <v>743.5</v>
      </c>
      <c r="P2975" s="19">
        <f ca="1">IF(ISERROR(IF(O2975&lt;fi_h/20,0,(OFFSET('Base de dados'!$A$5,IF(O2975&lt;20,1,IF(O2975&gt;1000,10,MATCH(O2975,Cargas,1))),Coluna_fih,1,1))*(1+0.13*0.25)*(PI()*(fi_h/1000)^2/4)*SQRT(2*9.81*(O2975/100-fi_h/2/1000))*1000)),"",IF(O2975&lt;fi_h/20,0,(OFFSET('Base de dados'!$A$5,IF(O2975&lt;20,1,IF(O2975&gt;1000,10,MATCH(O2975,Cargas,1))),Coluna_fih,1,1))*(PI()*(fi_h/1000)^2/4)*SQRT(2*9.81*(O2975/100-fi_h/2/1000))*1000))</f>
        <v>73.225417846305874</v>
      </c>
      <c r="Q2975" s="19">
        <f ca="1">IF(O2975="","",IF(Tipo_Vertedor="Retangular",IF(O2975&lt;=cota_s*100,0,IF(Tipo_Vertedor="Retangular",Cd_sr*Lef_sr*((O2975/100-cota_s)^(3/2))*1000)),IF(O2975&lt;=cota_s*100+fi_s/20,0,(OFFSET('Base de dados'!$A$4,IF(O2975&lt;20,1,IF(O2975&gt;1000,10,MATCH(O2975,Cargas,1))),Coluna_fis,1,1))*(PI()*(fi_s/1000)^2/4)*(2*9.81*(O2975/100-cota_s-fi_s/2/1000))^0.5*1000)))</f>
        <v>19620.502164904738</v>
      </c>
      <c r="R2975" s="19">
        <f t="shared" ca="1" si="320"/>
        <v>19693.727582751042</v>
      </c>
      <c r="S2975" s="19">
        <f t="shared" ca="1" si="321"/>
        <v>19290.682358784659</v>
      </c>
    </row>
    <row r="2976" spans="13:19">
      <c r="M2976" s="81">
        <f t="shared" ca="1" si="318"/>
        <v>39002.48269405825</v>
      </c>
      <c r="N2976" s="19">
        <f t="shared" si="319"/>
        <v>578.93930999520921</v>
      </c>
      <c r="O2976" s="17">
        <f t="shared" si="317"/>
        <v>743.75</v>
      </c>
      <c r="P2976" s="19">
        <f ca="1">IF(ISERROR(IF(O2976&lt;fi_h/20,0,(OFFSET('Base de dados'!$A$5,IF(O2976&lt;20,1,IF(O2976&gt;1000,10,MATCH(O2976,Cargas,1))),Coluna_fih,1,1))*(1+0.13*0.25)*(PI()*(fi_h/1000)^2/4)*SQRT(2*9.81*(O2976/100-fi_h/2/1000))*1000)),"",IF(O2976&lt;fi_h/20,0,(OFFSET('Base de dados'!$A$5,IF(O2976&lt;20,1,IF(O2976&gt;1000,10,MATCH(O2976,Cargas,1))),Coluna_fih,1,1))*(PI()*(fi_h/1000)^2/4)*SQRT(2*9.81*(O2976/100-fi_h/2/1000))*1000))</f>
        <v>73.237821828155518</v>
      </c>
      <c r="Q2976" s="19">
        <f ca="1">IF(O2976="","",IF(Tipo_Vertedor="Retangular",IF(O2976&lt;=cota_s*100,0,IF(Tipo_Vertedor="Retangular",Cd_sr*Lef_sr*((O2976/100-cota_s)^(3/2))*1000)),IF(O2976&lt;=cota_s*100+fi_s/20,0,(OFFSET('Base de dados'!$A$4,IF(O2976&lt;20,1,IF(O2976&gt;1000,10,MATCH(O2976,Cargas,1))),Coluna_fis,1,1))*(PI()*(fi_s/1000)^2/4)*(2*9.81*(O2976/100-cota_s-fi_s/2/1000))^0.5*1000)))</f>
        <v>19631.267872389788</v>
      </c>
      <c r="R2976" s="19">
        <f t="shared" ca="1" si="320"/>
        <v>19704.505694217944</v>
      </c>
      <c r="S2976" s="19">
        <f t="shared" ca="1" si="321"/>
        <v>19297.976999840306</v>
      </c>
    </row>
    <row r="2977" spans="13:19">
      <c r="M2977" s="81">
        <f t="shared" ca="1" si="318"/>
        <v>39020.557718257398</v>
      </c>
      <c r="N2977" s="19">
        <f t="shared" si="319"/>
        <v>579.15815839069217</v>
      </c>
      <c r="O2977" s="17">
        <f t="shared" si="317"/>
        <v>744</v>
      </c>
      <c r="P2977" s="19">
        <f ca="1">IF(ISERROR(IF(O2977&lt;fi_h/20,0,(OFFSET('Base de dados'!$A$5,IF(O2977&lt;20,1,IF(O2977&gt;1000,10,MATCH(O2977,Cargas,1))),Coluna_fih,1,1))*(1+0.13*0.25)*(PI()*(fi_h/1000)^2/4)*SQRT(2*9.81*(O2977/100-fi_h/2/1000))*1000)),"",IF(O2977&lt;fi_h/20,0,(OFFSET('Base de dados'!$A$5,IF(O2977&lt;20,1,IF(O2977&gt;1000,10,MATCH(O2977,Cargas,1))),Coluna_fih,1,1))*(PI()*(fi_h/1000)^2/4)*SQRT(2*9.81*(O2977/100-fi_h/2/1000))*1000))</f>
        <v>73.250223709550639</v>
      </c>
      <c r="Q2977" s="19">
        <f ca="1">IF(O2977="","",IF(Tipo_Vertedor="Retangular",IF(O2977&lt;=cota_s*100,0,IF(Tipo_Vertedor="Retangular",Cd_sr*Lef_sr*((O2977/100-cota_s)^(3/2))*1000)),IF(O2977&lt;=cota_s*100+fi_s/20,0,(OFFSET('Base de dados'!$A$4,IF(O2977&lt;20,1,IF(O2977&gt;1000,10,MATCH(O2977,Cargas,1))),Coluna_fis,1,1))*(PI()*(fi_s/1000)^2/4)*(2*9.81*(O2977/100-cota_s-fi_s/2/1000))^0.5*1000)))</f>
        <v>19642.035548191441</v>
      </c>
      <c r="R2977" s="19">
        <f t="shared" ca="1" si="320"/>
        <v>19715.285771900992</v>
      </c>
      <c r="S2977" s="19">
        <f t="shared" ca="1" si="321"/>
        <v>19305.271946356406</v>
      </c>
    </row>
    <row r="2978" spans="13:19">
      <c r="M2978" s="81">
        <f t="shared" ca="1" si="318"/>
        <v>39038.635013684587</v>
      </c>
      <c r="N2978" s="19">
        <f t="shared" si="319"/>
        <v>579.37701594729265</v>
      </c>
      <c r="O2978" s="17">
        <f t="shared" si="317"/>
        <v>744.25</v>
      </c>
      <c r="P2978" s="19">
        <f ca="1">IF(ISERROR(IF(O2978&lt;fi_h/20,0,(OFFSET('Base de dados'!$A$5,IF(O2978&lt;20,1,IF(O2978&gt;1000,10,MATCH(O2978,Cargas,1))),Coluna_fih,1,1))*(1+0.13*0.25)*(PI()*(fi_h/1000)^2/4)*SQRT(2*9.81*(O2978/100-fi_h/2/1000))*1000)),"",IF(O2978&lt;fi_h/20,0,(OFFSET('Base de dados'!$A$5,IF(O2978&lt;20,1,IF(O2978&gt;1000,10,MATCH(O2978,Cargas,1))),Coluna_fih,1,1))*(PI()*(fi_h/1000)^2/4)*SQRT(2*9.81*(O2978/100-fi_h/2/1000))*1000))</f>
        <v>73.262623491557946</v>
      </c>
      <c r="Q2978" s="19">
        <f ca="1">IF(O2978="","",IF(Tipo_Vertedor="Retangular",IF(O2978&lt;=cota_s*100,0,IF(Tipo_Vertedor="Retangular",Cd_sr*Lef_sr*((O2978/100-cota_s)^(3/2))*1000)),IF(O2978&lt;=cota_s*100+fi_s/20,0,(OFFSET('Base de dados'!$A$4,IF(O2978&lt;20,1,IF(O2978&gt;1000,10,MATCH(O2978,Cargas,1))),Coluna_fis,1,1))*(PI()*(fi_s/1000)^2/4)*(2*9.81*(O2978/100-cota_s-fi_s/2/1000))^0.5*1000)))</f>
        <v>19652.805191949941</v>
      </c>
      <c r="R2978" s="19">
        <f t="shared" ca="1" si="320"/>
        <v>19726.0678154415</v>
      </c>
      <c r="S2978" s="19">
        <f t="shared" ca="1" si="321"/>
        <v>19312.56719824309</v>
      </c>
    </row>
    <row r="2979" spans="13:19">
      <c r="M2979" s="81">
        <f t="shared" ca="1" si="318"/>
        <v>39056.714579891574</v>
      </c>
      <c r="N2979" s="19">
        <f t="shared" si="319"/>
        <v>579.59588266231663</v>
      </c>
      <c r="O2979" s="17">
        <f t="shared" si="317"/>
        <v>744.5</v>
      </c>
      <c r="P2979" s="19">
        <f ca="1">IF(ISERROR(IF(O2979&lt;fi_h/20,0,(OFFSET('Base de dados'!$A$5,IF(O2979&lt;20,1,IF(O2979&gt;1000,10,MATCH(O2979,Cargas,1))),Coluna_fih,1,1))*(1+0.13*0.25)*(PI()*(fi_h/1000)^2/4)*SQRT(2*9.81*(O2979/100-fi_h/2/1000))*1000)),"",IF(O2979&lt;fi_h/20,0,(OFFSET('Base de dados'!$A$5,IF(O2979&lt;20,1,IF(O2979&gt;1000,10,MATCH(O2979,Cargas,1))),Coluna_fih,1,1))*(PI()*(fi_h/1000)^2/4)*SQRT(2*9.81*(O2979/100-fi_h/2/1000))*1000))</f>
        <v>73.275021175243211</v>
      </c>
      <c r="Q2979" s="19">
        <f ca="1">IF(O2979="","",IF(Tipo_Vertedor="Retangular",IF(O2979&lt;=cota_s*100,0,IF(Tipo_Vertedor="Retangular",Cd_sr*Lef_sr*((O2979/100-cota_s)^(3/2))*1000)),IF(O2979&lt;=cota_s*100+fi_s/20,0,(OFFSET('Base de dados'!$A$4,IF(O2979&lt;20,1,IF(O2979&gt;1000,10,MATCH(O2979,Cargas,1))),Coluna_fis,1,1))*(PI()*(fi_s/1000)^2/4)*(2*9.81*(O2979/100-cota_s-fi_s/2/1000))^0.5*1000)))</f>
        <v>19663.576803305772</v>
      </c>
      <c r="R2979" s="19">
        <f t="shared" ca="1" si="320"/>
        <v>19736.851824481015</v>
      </c>
      <c r="S2979" s="19">
        <f t="shared" ca="1" si="321"/>
        <v>19319.862755410555</v>
      </c>
    </row>
    <row r="2980" spans="13:19">
      <c r="M2980" s="81">
        <f t="shared" ca="1" si="318"/>
        <v>39074.796416430283</v>
      </c>
      <c r="N2980" s="19">
        <f t="shared" si="319"/>
        <v>579.81475853307177</v>
      </c>
      <c r="O2980" s="17">
        <f t="shared" si="317"/>
        <v>744.75</v>
      </c>
      <c r="P2980" s="19">
        <f ca="1">IF(ISERROR(IF(O2980&lt;fi_h/20,0,(OFFSET('Base de dados'!$A$5,IF(O2980&lt;20,1,IF(O2980&gt;1000,10,MATCH(O2980,Cargas,1))),Coluna_fih,1,1))*(1+0.13*0.25)*(PI()*(fi_h/1000)^2/4)*SQRT(2*9.81*(O2980/100-fi_h/2/1000))*1000)),"",IF(O2980&lt;fi_h/20,0,(OFFSET('Base de dados'!$A$5,IF(O2980&lt;20,1,IF(O2980&gt;1000,10,MATCH(O2980,Cargas,1))),Coluna_fih,1,1))*(PI()*(fi_h/1000)^2/4)*SQRT(2*9.81*(O2980/100-fi_h/2/1000))*1000))</f>
        <v>73.287416761671324</v>
      </c>
      <c r="Q2980" s="19">
        <f ca="1">IF(O2980="","",IF(Tipo_Vertedor="Retangular",IF(O2980&lt;=cota_s*100,0,IF(Tipo_Vertedor="Retangular",Cd_sr*Lef_sr*((O2980/100-cota_s)^(3/2))*1000)),IF(O2980&lt;=cota_s*100+fi_s/20,0,(OFFSET('Base de dados'!$A$4,IF(O2980&lt;20,1,IF(O2980&gt;1000,10,MATCH(O2980,Cargas,1))),Coluna_fis,1,1))*(PI()*(fi_s/1000)^2/4)*(2*9.81*(O2980/100-cota_s-fi_s/2/1000))^0.5*1000)))</f>
        <v>19674.350381899552</v>
      </c>
      <c r="R2980" s="19">
        <f t="shared" ca="1" si="320"/>
        <v>19747.637798661224</v>
      </c>
      <c r="S2980" s="19">
        <f t="shared" ca="1" si="321"/>
        <v>19327.158617769059</v>
      </c>
    </row>
    <row r="2981" spans="13:19">
      <c r="M2981" s="81">
        <f t="shared" ca="1" si="318"/>
        <v>39092.880522853011</v>
      </c>
      <c r="N2981" s="19">
        <f t="shared" si="319"/>
        <v>580.03364355686801</v>
      </c>
      <c r="O2981" s="17">
        <f t="shared" si="317"/>
        <v>745</v>
      </c>
      <c r="P2981" s="19">
        <f ca="1">IF(ISERROR(IF(O2981&lt;fi_h/20,0,(OFFSET('Base de dados'!$A$5,IF(O2981&lt;20,1,IF(O2981&gt;1000,10,MATCH(O2981,Cargas,1))),Coluna_fih,1,1))*(1+0.13*0.25)*(PI()*(fi_h/1000)^2/4)*SQRT(2*9.81*(O2981/100-fi_h/2/1000))*1000)),"",IF(O2981&lt;fi_h/20,0,(OFFSET('Base de dados'!$A$5,IF(O2981&lt;20,1,IF(O2981&gt;1000,10,MATCH(O2981,Cargas,1))),Coluna_fih,1,1))*(PI()*(fi_h/1000)^2/4)*SQRT(2*9.81*(O2981/100-fi_h/2/1000))*1000))</f>
        <v>73.29981025190628</v>
      </c>
      <c r="Q2981" s="19">
        <f ca="1">IF(O2981="","",IF(Tipo_Vertedor="Retangular",IF(O2981&lt;=cota_s*100,0,IF(Tipo_Vertedor="Retangular",Cd_sr*Lef_sr*((O2981/100-cota_s)^(3/2))*1000)),IF(O2981&lt;=cota_s*100+fi_s/20,0,(OFFSET('Base de dados'!$A$4,IF(O2981&lt;20,1,IF(O2981&gt;1000,10,MATCH(O2981,Cargas,1))),Coluna_fis,1,1))*(PI()*(fi_s/1000)^2/4)*(2*9.81*(O2981/100-cota_s-fi_s/2/1000))^0.5*1000)))</f>
        <v>19685.125927372177</v>
      </c>
      <c r="R2981" s="19">
        <f t="shared" ca="1" si="320"/>
        <v>19758.425737624082</v>
      </c>
      <c r="S2981" s="19">
        <f t="shared" ca="1" si="321"/>
        <v>19334.454785228932</v>
      </c>
    </row>
    <row r="2982" spans="13:19">
      <c r="M2982" s="81">
        <f t="shared" ca="1" si="318"/>
        <v>39110.966898712191</v>
      </c>
      <c r="N2982" s="19">
        <f t="shared" si="319"/>
        <v>580.25253773101576</v>
      </c>
      <c r="O2982" s="17">
        <f t="shared" si="317"/>
        <v>745.25</v>
      </c>
      <c r="P2982" s="19">
        <f ca="1">IF(ISERROR(IF(O2982&lt;fi_h/20,0,(OFFSET('Base de dados'!$A$5,IF(O2982&lt;20,1,IF(O2982&gt;1000,10,MATCH(O2982,Cargas,1))),Coluna_fih,1,1))*(1+0.13*0.25)*(PI()*(fi_h/1000)^2/4)*SQRT(2*9.81*(O2982/100-fi_h/2/1000))*1000)),"",IF(O2982&lt;fi_h/20,0,(OFFSET('Base de dados'!$A$5,IF(O2982&lt;20,1,IF(O2982&gt;1000,10,MATCH(O2982,Cargas,1))),Coluna_fih,1,1))*(PI()*(fi_h/1000)^2/4)*SQRT(2*9.81*(O2982/100-fi_h/2/1000))*1000))</f>
        <v>73.312201647011165</v>
      </c>
      <c r="Q2982" s="19">
        <f ca="1">IF(O2982="","",IF(Tipo_Vertedor="Retangular",IF(O2982&lt;=cota_s*100,0,IF(Tipo_Vertedor="Retangular",Cd_sr*Lef_sr*((O2982/100-cota_s)^(3/2))*1000)),IF(O2982&lt;=cota_s*100+fi_s/20,0,(OFFSET('Base de dados'!$A$4,IF(O2982&lt;20,1,IF(O2982&gt;1000,10,MATCH(O2982,Cargas,1))),Coluna_fis,1,1))*(PI()*(fi_s/1000)^2/4)*(2*9.81*(O2982/100-cota_s-fi_s/2/1000))^0.5*1000)))</f>
        <v>19695.903439364651</v>
      </c>
      <c r="R2982" s="19">
        <f t="shared" ca="1" si="320"/>
        <v>19769.215641011662</v>
      </c>
      <c r="S2982" s="19">
        <f t="shared" ca="1" si="321"/>
        <v>19341.751257700529</v>
      </c>
    </row>
    <row r="2983" spans="13:19">
      <c r="M2983" s="81">
        <f t="shared" ca="1" si="318"/>
        <v>39129.055543560564</v>
      </c>
      <c r="N2983" s="19">
        <f t="shared" si="319"/>
        <v>580.47144105282803</v>
      </c>
      <c r="O2983" s="17">
        <f t="shared" si="317"/>
        <v>745.5</v>
      </c>
      <c r="P2983" s="19">
        <f ca="1">IF(ISERROR(IF(O2983&lt;fi_h/20,0,(OFFSET('Base de dados'!$A$5,IF(O2983&lt;20,1,IF(O2983&gt;1000,10,MATCH(O2983,Cargas,1))),Coluna_fih,1,1))*(1+0.13*0.25)*(PI()*(fi_h/1000)^2/4)*SQRT(2*9.81*(O2983/100-fi_h/2/1000))*1000)),"",IF(O2983&lt;fi_h/20,0,(OFFSET('Base de dados'!$A$5,IF(O2983&lt;20,1,IF(O2983&gt;1000,10,MATCH(O2983,Cargas,1))),Coluna_fih,1,1))*(PI()*(fi_h/1000)^2/4)*SQRT(2*9.81*(O2983/100-fi_h/2/1000))*1000))</f>
        <v>73.324590948048183</v>
      </c>
      <c r="Q2983" s="19">
        <f ca="1">IF(O2983="","",IF(Tipo_Vertedor="Retangular",IF(O2983&lt;=cota_s*100,0,IF(Tipo_Vertedor="Retangular",Cd_sr*Lef_sr*((O2983/100-cota_s)^(3/2))*1000)),IF(O2983&lt;=cota_s*100+fi_s/20,0,(OFFSET('Base de dados'!$A$4,IF(O2983&lt;20,1,IF(O2983&gt;1000,10,MATCH(O2983,Cargas,1))),Coluna_fis,1,1))*(PI()*(fi_s/1000)^2/4)*(2*9.81*(O2983/100-cota_s-fi_s/2/1000))^0.5*1000)))</f>
        <v>19706.682917518247</v>
      </c>
      <c r="R2983" s="19">
        <f t="shared" ca="1" si="320"/>
        <v>19780.007508466293</v>
      </c>
      <c r="S2983" s="19">
        <f t="shared" ca="1" si="321"/>
        <v>19349.048035094267</v>
      </c>
    </row>
    <row r="2984" spans="13:19">
      <c r="M2984" s="81">
        <f t="shared" ca="1" si="318"/>
        <v>39147.146456951115</v>
      </c>
      <c r="N2984" s="19">
        <f t="shared" si="319"/>
        <v>580.69035351961918</v>
      </c>
      <c r="O2984" s="17">
        <f t="shared" si="317"/>
        <v>745.75</v>
      </c>
      <c r="P2984" s="19">
        <f ca="1">IF(ISERROR(IF(O2984&lt;fi_h/20,0,(OFFSET('Base de dados'!$A$5,IF(O2984&lt;20,1,IF(O2984&gt;1000,10,MATCH(O2984,Cargas,1))),Coluna_fih,1,1))*(1+0.13*0.25)*(PI()*(fi_h/1000)^2/4)*SQRT(2*9.81*(O2984/100-fi_h/2/1000))*1000)),"",IF(O2984&lt;fi_h/20,0,(OFFSET('Base de dados'!$A$5,IF(O2984&lt;20,1,IF(O2984&gt;1000,10,MATCH(O2984,Cargas,1))),Coluna_fih,1,1))*(PI()*(fi_h/1000)^2/4)*SQRT(2*9.81*(O2984/100-fi_h/2/1000))*1000))</f>
        <v>73.336978156078601</v>
      </c>
      <c r="Q2984" s="19">
        <f ca="1">IF(O2984="","",IF(Tipo_Vertedor="Retangular",IF(O2984&lt;=cota_s*100,0,IF(Tipo_Vertedor="Retangular",Cd_sr*Lef_sr*((O2984/100-cota_s)^(3/2))*1000)),IF(O2984&lt;=cota_s*100+fi_s/20,0,(OFFSET('Base de dados'!$A$4,IF(O2984&lt;20,1,IF(O2984&gt;1000,10,MATCH(O2984,Cargas,1))),Coluna_fis,1,1))*(PI()*(fi_s/1000)^2/4)*(2*9.81*(O2984/100-cota_s-fi_s/2/1000))^0.5*1000)))</f>
        <v>19717.464361474398</v>
      </c>
      <c r="R2984" s="19">
        <f t="shared" ca="1" si="320"/>
        <v>19790.801339630478</v>
      </c>
      <c r="S2984" s="19">
        <f t="shared" ca="1" si="321"/>
        <v>19356.345117320641</v>
      </c>
    </row>
    <row r="2985" spans="13:19">
      <c r="M2985" s="81">
        <f t="shared" ca="1" si="318"/>
        <v>39165.239638437102</v>
      </c>
      <c r="N2985" s="19">
        <f t="shared" si="319"/>
        <v>580.90927512870587</v>
      </c>
      <c r="O2985" s="17">
        <f t="shared" si="317"/>
        <v>746</v>
      </c>
      <c r="P2985" s="19">
        <f ca="1">IF(ISERROR(IF(O2985&lt;fi_h/20,0,(OFFSET('Base de dados'!$A$5,IF(O2985&lt;20,1,IF(O2985&gt;1000,10,MATCH(O2985,Cargas,1))),Coluna_fih,1,1))*(1+0.13*0.25)*(PI()*(fi_h/1000)^2/4)*SQRT(2*9.81*(O2985/100-fi_h/2/1000))*1000)),"",IF(O2985&lt;fi_h/20,0,(OFFSET('Base de dados'!$A$5,IF(O2985&lt;20,1,IF(O2985&gt;1000,10,MATCH(O2985,Cargas,1))),Coluna_fih,1,1))*(PI()*(fi_h/1000)^2/4)*SQRT(2*9.81*(O2985/100-fi_h/2/1000))*1000))</f>
        <v>73.349363272162847</v>
      </c>
      <c r="Q2985" s="19">
        <f ca="1">IF(O2985="","",IF(Tipo_Vertedor="Retangular",IF(O2985&lt;=cota_s*100,0,IF(Tipo_Vertedor="Retangular",Cd_sr*Lef_sr*((O2985/100-cota_s)^(3/2))*1000)),IF(O2985&lt;=cota_s*100+fi_s/20,0,(OFFSET('Base de dados'!$A$4,IF(O2985&lt;20,1,IF(O2985&gt;1000,10,MATCH(O2985,Cargas,1))),Coluna_fis,1,1))*(PI()*(fi_s/1000)^2/4)*(2*9.81*(O2985/100-cota_s-fi_s/2/1000))^0.5*1000)))</f>
        <v>19728.247770874743</v>
      </c>
      <c r="R2985" s="19">
        <f t="shared" ca="1" si="320"/>
        <v>19801.597134146905</v>
      </c>
      <c r="S2985" s="19">
        <f t="shared" ca="1" si="321"/>
        <v>19363.642504290197</v>
      </c>
    </row>
    <row r="2986" spans="13:19">
      <c r="M2986" s="81">
        <f t="shared" ca="1" si="318"/>
        <v>39183.335087571984</v>
      </c>
      <c r="N2986" s="19">
        <f t="shared" si="319"/>
        <v>581.12820587740566</v>
      </c>
      <c r="O2986" s="17">
        <f t="shared" si="317"/>
        <v>746.25</v>
      </c>
      <c r="P2986" s="19">
        <f ca="1">IF(ISERROR(IF(O2986&lt;fi_h/20,0,(OFFSET('Base de dados'!$A$5,IF(O2986&lt;20,1,IF(O2986&gt;1000,10,MATCH(O2986,Cargas,1))),Coluna_fih,1,1))*(1+0.13*0.25)*(PI()*(fi_h/1000)^2/4)*SQRT(2*9.81*(O2986/100-fi_h/2/1000))*1000)),"",IF(O2986&lt;fi_h/20,0,(OFFSET('Base de dados'!$A$5,IF(O2986&lt;20,1,IF(O2986&gt;1000,10,MATCH(O2986,Cargas,1))),Coluna_fih,1,1))*(PI()*(fi_h/1000)^2/4)*SQRT(2*9.81*(O2986/100-fi_h/2/1000))*1000))</f>
        <v>73.361746297360426</v>
      </c>
      <c r="Q2986" s="19">
        <f ca="1">IF(O2986="","",IF(Tipo_Vertedor="Retangular",IF(O2986&lt;=cota_s*100,0,IF(Tipo_Vertedor="Retangular",Cd_sr*Lef_sr*((O2986/100-cota_s)^(3/2))*1000)),IF(O2986&lt;=cota_s*100+fi_s/20,0,(OFFSET('Base de dados'!$A$4,IF(O2986&lt;20,1,IF(O2986&gt;1000,10,MATCH(O2986,Cargas,1))),Coluna_fis,1,1))*(PI()*(fi_s/1000)^2/4)*(2*9.81*(O2986/100-cota_s-fi_s/2/1000))^0.5*1000)))</f>
        <v>19739.0331453611</v>
      </c>
      <c r="R2986" s="19">
        <f t="shared" ca="1" si="320"/>
        <v>19812.39489165846</v>
      </c>
      <c r="S2986" s="19">
        <f t="shared" ca="1" si="321"/>
        <v>19370.940195913525</v>
      </c>
    </row>
    <row r="2987" spans="13:19">
      <c r="M2987" s="81">
        <f t="shared" ca="1" si="318"/>
        <v>39201.432803909498</v>
      </c>
      <c r="N2987" s="19">
        <f t="shared" si="319"/>
        <v>581.3471457630377</v>
      </c>
      <c r="O2987" s="17">
        <f t="shared" si="317"/>
        <v>746.5</v>
      </c>
      <c r="P2987" s="19">
        <f ca="1">IF(ISERROR(IF(O2987&lt;fi_h/20,0,(OFFSET('Base de dados'!$A$5,IF(O2987&lt;20,1,IF(O2987&gt;1000,10,MATCH(O2987,Cargas,1))),Coluna_fih,1,1))*(1+0.13*0.25)*(PI()*(fi_h/1000)^2/4)*SQRT(2*9.81*(O2987/100-fi_h/2/1000))*1000)),"",IF(O2987&lt;fi_h/20,0,(OFFSET('Base de dados'!$A$5,IF(O2987&lt;20,1,IF(O2987&gt;1000,10,MATCH(O2987,Cargas,1))),Coluna_fih,1,1))*(PI()*(fi_h/1000)^2/4)*SQRT(2*9.81*(O2987/100-fi_h/2/1000))*1000))</f>
        <v>73.374127232729904</v>
      </c>
      <c r="Q2987" s="19">
        <f ca="1">IF(O2987="","",IF(Tipo_Vertedor="Retangular",IF(O2987&lt;=cota_s*100,0,IF(Tipo_Vertedor="Retangular",Cd_sr*Lef_sr*((O2987/100-cota_s)^(3/2))*1000)),IF(O2987&lt;=cota_s*100+fi_s/20,0,(OFFSET('Base de dados'!$A$4,IF(O2987&lt;20,1,IF(O2987&gt;1000,10,MATCH(O2987,Cargas,1))),Coluna_fis,1,1))*(PI()*(fi_s/1000)^2/4)*(2*9.81*(O2987/100-cota_s-fi_s/2/1000))^0.5*1000)))</f>
        <v>19749.820484575514</v>
      </c>
      <c r="R2987" s="19">
        <f t="shared" ca="1" si="320"/>
        <v>19823.194611808245</v>
      </c>
      <c r="S2987" s="19">
        <f t="shared" ca="1" si="321"/>
        <v>19378.238192101257</v>
      </c>
    </row>
    <row r="2988" spans="13:19">
      <c r="M2988" s="81">
        <f t="shared" ca="1" si="318"/>
        <v>39219.532787003656</v>
      </c>
      <c r="N2988" s="19">
        <f t="shared" si="319"/>
        <v>581.56609478292353</v>
      </c>
      <c r="O2988" s="17">
        <f t="shared" si="317"/>
        <v>746.75</v>
      </c>
      <c r="P2988" s="19">
        <f ca="1">IF(ISERROR(IF(O2988&lt;fi_h/20,0,(OFFSET('Base de dados'!$A$5,IF(O2988&lt;20,1,IF(O2988&gt;1000,10,MATCH(O2988,Cargas,1))),Coluna_fih,1,1))*(1+0.13*0.25)*(PI()*(fi_h/1000)^2/4)*SQRT(2*9.81*(O2988/100-fi_h/2/1000))*1000)),"",IF(O2988&lt;fi_h/20,0,(OFFSET('Base de dados'!$A$5,IF(O2988&lt;20,1,IF(O2988&gt;1000,10,MATCH(O2988,Cargas,1))),Coluna_fih,1,1))*(PI()*(fi_h/1000)^2/4)*SQRT(2*9.81*(O2988/100-fi_h/2/1000))*1000))</f>
        <v>73.386506079329052</v>
      </c>
      <c r="Q2988" s="19">
        <f ca="1">IF(O2988="","",IF(Tipo_Vertedor="Retangular",IF(O2988&lt;=cota_s*100,0,IF(Tipo_Vertedor="Retangular",Cd_sr*Lef_sr*((O2988/100-cota_s)^(3/2))*1000)),IF(O2988&lt;=cota_s*100+fi_s/20,0,(OFFSET('Base de dados'!$A$4,IF(O2988&lt;20,1,IF(O2988&gt;1000,10,MATCH(O2988,Cargas,1))),Coluna_fis,1,1))*(PI()*(fi_s/1000)^2/4)*(2*9.81*(O2988/100-cota_s-fi_s/2/1000))^0.5*1000)))</f>
        <v>19760.609788160204</v>
      </c>
      <c r="R2988" s="19">
        <f t="shared" ca="1" si="320"/>
        <v>19833.996294239532</v>
      </c>
      <c r="S2988" s="19">
        <f t="shared" ca="1" si="321"/>
        <v>19385.53649276412</v>
      </c>
    </row>
    <row r="2989" spans="13:19">
      <c r="M2989" s="81">
        <f t="shared" ca="1" si="318"/>
        <v>39237.635036408661</v>
      </c>
      <c r="N2989" s="19">
        <f t="shared" si="319"/>
        <v>581.78505293438604</v>
      </c>
      <c r="O2989" s="17">
        <f t="shared" si="317"/>
        <v>747</v>
      </c>
      <c r="P2989" s="19">
        <f ca="1">IF(ISERROR(IF(O2989&lt;fi_h/20,0,(OFFSET('Base de dados'!$A$5,IF(O2989&lt;20,1,IF(O2989&gt;1000,10,MATCH(O2989,Cargas,1))),Coluna_fih,1,1))*(1+0.13*0.25)*(PI()*(fi_h/1000)^2/4)*SQRT(2*9.81*(O2989/100-fi_h/2/1000))*1000)),"",IF(O2989&lt;fi_h/20,0,(OFFSET('Base de dados'!$A$5,IF(O2989&lt;20,1,IF(O2989&gt;1000,10,MATCH(O2989,Cargas,1))),Coluna_fih,1,1))*(PI()*(fi_h/1000)^2/4)*SQRT(2*9.81*(O2989/100-fi_h/2/1000))*1000))</f>
        <v>73.398882838214647</v>
      </c>
      <c r="Q2989" s="19">
        <f ca="1">IF(O2989="","",IF(Tipo_Vertedor="Retangular",IF(O2989&lt;=cota_s*100,0,IF(Tipo_Vertedor="Retangular",Cd_sr*Lef_sr*((O2989/100-cota_s)^(3/2))*1000)),IF(O2989&lt;=cota_s*100+fi_s/20,0,(OFFSET('Base de dados'!$A$4,IF(O2989&lt;20,1,IF(O2989&gt;1000,10,MATCH(O2989,Cargas,1))),Coluna_fis,1,1))*(PI()*(fi_s/1000)^2/4)*(2*9.81*(O2989/100-cota_s-fi_s/2/1000))^0.5*1000)))</f>
        <v>19771.401055757578</v>
      </c>
      <c r="R2989" s="19">
        <f t="shared" ca="1" si="320"/>
        <v>19844.799938595792</v>
      </c>
      <c r="S2989" s="19">
        <f t="shared" ca="1" si="321"/>
        <v>19392.835097812869</v>
      </c>
    </row>
    <row r="2990" spans="13:19">
      <c r="M2990" s="81">
        <f t="shared" ca="1" si="318"/>
        <v>39255.739551679057</v>
      </c>
      <c r="N2990" s="19">
        <f t="shared" si="319"/>
        <v>582.00402021475008</v>
      </c>
      <c r="O2990" s="17">
        <f t="shared" si="317"/>
        <v>747.25</v>
      </c>
      <c r="P2990" s="19">
        <f ca="1">IF(ISERROR(IF(O2990&lt;fi_h/20,0,(OFFSET('Base de dados'!$A$5,IF(O2990&lt;20,1,IF(O2990&gt;1000,10,MATCH(O2990,Cargas,1))),Coluna_fih,1,1))*(1+0.13*0.25)*(PI()*(fi_h/1000)^2/4)*SQRT(2*9.81*(O2990/100-fi_h/2/1000))*1000)),"",IF(O2990&lt;fi_h/20,0,(OFFSET('Base de dados'!$A$5,IF(O2990&lt;20,1,IF(O2990&gt;1000,10,MATCH(O2990,Cargas,1))),Coluna_fih,1,1))*(PI()*(fi_h/1000)^2/4)*SQRT(2*9.81*(O2990/100-fi_h/2/1000))*1000))</f>
        <v>73.411257510442653</v>
      </c>
      <c r="Q2990" s="19">
        <f ca="1">IF(O2990="","",IF(Tipo_Vertedor="Retangular",IF(O2990&lt;=cota_s*100,0,IF(Tipo_Vertedor="Retangular",Cd_sr*Lef_sr*((O2990/100-cota_s)^(3/2))*1000)),IF(O2990&lt;=cota_s*100+fi_s/20,0,(OFFSET('Base de dados'!$A$4,IF(O2990&lt;20,1,IF(O2990&gt;1000,10,MATCH(O2990,Cargas,1))),Coluna_fis,1,1))*(PI()*(fi_s/1000)^2/4)*(2*9.81*(O2990/100-cota_s-fi_s/2/1000))^0.5*1000)))</f>
        <v>19782.194287010276</v>
      </c>
      <c r="R2990" s="19">
        <f t="shared" ca="1" si="320"/>
        <v>19855.605544520717</v>
      </c>
      <c r="S2990" s="19">
        <f t="shared" ca="1" si="321"/>
        <v>19400.134007158336</v>
      </c>
    </row>
    <row r="2991" spans="13:19">
      <c r="M2991" s="81">
        <f t="shared" ca="1" si="318"/>
        <v>39273.846332369518</v>
      </c>
      <c r="N2991" s="19">
        <f t="shared" si="319"/>
        <v>582.22299662134105</v>
      </c>
      <c r="O2991" s="17">
        <f t="shared" si="317"/>
        <v>747.5</v>
      </c>
      <c r="P2991" s="19">
        <f ca="1">IF(ISERROR(IF(O2991&lt;fi_h/20,0,(OFFSET('Base de dados'!$A$5,IF(O2991&lt;20,1,IF(O2991&gt;1000,10,MATCH(O2991,Cargas,1))),Coluna_fih,1,1))*(1+0.13*0.25)*(PI()*(fi_h/1000)^2/4)*SQRT(2*9.81*(O2991/100-fi_h/2/1000))*1000)),"",IF(O2991&lt;fi_h/20,0,(OFFSET('Base de dados'!$A$5,IF(O2991&lt;20,1,IF(O2991&gt;1000,10,MATCH(O2991,Cargas,1))),Coluna_fih,1,1))*(PI()*(fi_h/1000)^2/4)*SQRT(2*9.81*(O2991/100-fi_h/2/1000))*1000))</f>
        <v>73.423630097068099</v>
      </c>
      <c r="Q2991" s="19">
        <f ca="1">IF(O2991="","",IF(Tipo_Vertedor="Retangular",IF(O2991&lt;=cota_s*100,0,IF(Tipo_Vertedor="Retangular",Cd_sr*Lef_sr*((O2991/100-cota_s)^(3/2))*1000)),IF(O2991&lt;=cota_s*100+fi_s/20,0,(OFFSET('Base de dados'!$A$4,IF(O2991&lt;20,1,IF(O2991&gt;1000,10,MATCH(O2991,Cargas,1))),Coluna_fis,1,1))*(PI()*(fi_s/1000)^2/4)*(2*9.81*(O2991/100-cota_s-fi_s/2/1000))^0.5*1000)))</f>
        <v>19792.989481561079</v>
      </c>
      <c r="R2991" s="19">
        <f t="shared" ca="1" si="320"/>
        <v>19866.413111658148</v>
      </c>
      <c r="S2991" s="19">
        <f t="shared" ca="1" si="321"/>
        <v>19407.433220711369</v>
      </c>
    </row>
    <row r="2992" spans="13:19">
      <c r="M2992" s="81">
        <f t="shared" ca="1" si="318"/>
        <v>39291.955378035083</v>
      </c>
      <c r="N2992" s="19">
        <f t="shared" si="319"/>
        <v>582.44198215148776</v>
      </c>
      <c r="O2992" s="17">
        <f t="shared" si="317"/>
        <v>747.75</v>
      </c>
      <c r="P2992" s="19">
        <f ca="1">IF(ISERROR(IF(O2992&lt;fi_h/20,0,(OFFSET('Base de dados'!$A$5,IF(O2992&lt;20,1,IF(O2992&gt;1000,10,MATCH(O2992,Cargas,1))),Coluna_fih,1,1))*(1+0.13*0.25)*(PI()*(fi_h/1000)^2/4)*SQRT(2*9.81*(O2992/100-fi_h/2/1000))*1000)),"",IF(O2992&lt;fi_h/20,0,(OFFSET('Base de dados'!$A$5,IF(O2992&lt;20,1,IF(O2992&gt;1000,10,MATCH(O2992,Cargas,1))),Coluna_fih,1,1))*(PI()*(fi_h/1000)^2/4)*SQRT(2*9.81*(O2992/100-fi_h/2/1000))*1000))</f>
        <v>73.43600059914516</v>
      </c>
      <c r="Q2992" s="19">
        <f ca="1">IF(O2992="","",IF(Tipo_Vertedor="Retangular",IF(O2992&lt;=cota_s*100,0,IF(Tipo_Vertedor="Retangular",Cd_sr*Lef_sr*((O2992/100-cota_s)^(3/2))*1000)),IF(O2992&lt;=cota_s*100+fi_s/20,0,(OFFSET('Base de dados'!$A$4,IF(O2992&lt;20,1,IF(O2992&gt;1000,10,MATCH(O2992,Cargas,1))),Coluna_fis,1,1))*(PI()*(fi_s/1000)^2/4)*(2*9.81*(O2992/100-cota_s-fi_s/2/1000))^0.5*1000)))</f>
        <v>19803.786639053011</v>
      </c>
      <c r="R2992" s="19">
        <f t="shared" ca="1" si="320"/>
        <v>19877.222639652155</v>
      </c>
      <c r="S2992" s="19">
        <f t="shared" ca="1" si="321"/>
        <v>19414.732738382925</v>
      </c>
    </row>
    <row r="2993" spans="13:19">
      <c r="M2993" s="81">
        <f t="shared" ca="1" si="318"/>
        <v>39310.06668823096</v>
      </c>
      <c r="N2993" s="19">
        <f t="shared" si="319"/>
        <v>582.66097680251914</v>
      </c>
      <c r="O2993" s="17">
        <f t="shared" si="317"/>
        <v>748</v>
      </c>
      <c r="P2993" s="19">
        <f ca="1">IF(ISERROR(IF(O2993&lt;fi_h/20,0,(OFFSET('Base de dados'!$A$5,IF(O2993&lt;20,1,IF(O2993&gt;1000,10,MATCH(O2993,Cargas,1))),Coluna_fih,1,1))*(1+0.13*0.25)*(PI()*(fi_h/1000)^2/4)*SQRT(2*9.81*(O2993/100-fi_h/2/1000))*1000)),"",IF(O2993&lt;fi_h/20,0,(OFFSET('Base de dados'!$A$5,IF(O2993&lt;20,1,IF(O2993&gt;1000,10,MATCH(O2993,Cargas,1))),Coluna_fih,1,1))*(PI()*(fi_h/1000)^2/4)*SQRT(2*9.81*(O2993/100-fi_h/2/1000))*1000))</f>
        <v>73.448369017727074</v>
      </c>
      <c r="Q2993" s="19">
        <f ca="1">IF(O2993="","",IF(Tipo_Vertedor="Retangular",IF(O2993&lt;=cota_s*100,0,IF(Tipo_Vertedor="Retangular",Cd_sr*Lef_sr*((O2993/100-cota_s)^(3/2))*1000)),IF(O2993&lt;=cota_s*100+fi_s/20,0,(OFFSET('Base de dados'!$A$4,IF(O2993&lt;20,1,IF(O2993&gt;1000,10,MATCH(O2993,Cargas,1))),Coluna_fis,1,1))*(PI()*(fi_s/1000)^2/4)*(2*9.81*(O2993/100-cota_s-fi_s/2/1000))^0.5*1000)))</f>
        <v>19814.585759129259</v>
      </c>
      <c r="R2993" s="19">
        <f t="shared" ca="1" si="320"/>
        <v>19888.034128146985</v>
      </c>
      <c r="S2993" s="19">
        <f t="shared" ca="1" si="321"/>
        <v>19422.032560083971</v>
      </c>
    </row>
    <row r="2994" spans="13:19">
      <c r="M2994" s="81">
        <f t="shared" ca="1" si="318"/>
        <v>39328.180262512658</v>
      </c>
      <c r="N2994" s="19">
        <f t="shared" si="319"/>
        <v>582.87998057176696</v>
      </c>
      <c r="O2994" s="17">
        <f t="shared" si="317"/>
        <v>748.25</v>
      </c>
      <c r="P2994" s="19">
        <f ca="1">IF(ISERROR(IF(O2994&lt;fi_h/20,0,(OFFSET('Base de dados'!$A$5,IF(O2994&lt;20,1,IF(O2994&gt;1000,10,MATCH(O2994,Cargas,1))),Coluna_fih,1,1))*(1+0.13*0.25)*(PI()*(fi_h/1000)^2/4)*SQRT(2*9.81*(O2994/100-fi_h/2/1000))*1000)),"",IF(O2994&lt;fi_h/20,0,(OFFSET('Base de dados'!$A$5,IF(O2994&lt;20,1,IF(O2994&gt;1000,10,MATCH(O2994,Cargas,1))),Coluna_fih,1,1))*(PI()*(fi_h/1000)^2/4)*SQRT(2*9.81*(O2994/100-fi_h/2/1000))*1000))</f>
        <v>73.460735353866241</v>
      </c>
      <c r="Q2994" s="19">
        <f ca="1">IF(O2994="","",IF(Tipo_Vertedor="Retangular",IF(O2994&lt;=cota_s*100,0,IF(Tipo_Vertedor="Retangular",Cd_sr*Lef_sr*((O2994/100-cota_s)^(3/2))*1000)),IF(O2994&lt;=cota_s*100+fi_s/20,0,(OFFSET('Base de dados'!$A$4,IF(O2994&lt;20,1,IF(O2994&gt;1000,10,MATCH(O2994,Cargas,1))),Coluna_fis,1,1))*(PI()*(fi_s/1000)^2/4)*(2*9.81*(O2994/100-cota_s-fi_s/2/1000))^0.5*1000)))</f>
        <v>19825.386841433228</v>
      </c>
      <c r="R2994" s="19">
        <f t="shared" ca="1" si="320"/>
        <v>19898.847576787095</v>
      </c>
      <c r="S2994" s="19">
        <f t="shared" ca="1" si="321"/>
        <v>19429.332685725567</v>
      </c>
    </row>
    <row r="2995" spans="13:19">
      <c r="M2995" s="81">
        <f t="shared" ca="1" si="318"/>
        <v>39346.296100435909</v>
      </c>
      <c r="N2995" s="19">
        <f t="shared" si="319"/>
        <v>583.09899345656402</v>
      </c>
      <c r="O2995" s="17">
        <f t="shared" si="317"/>
        <v>748.5</v>
      </c>
      <c r="P2995" s="19">
        <f ca="1">IF(ISERROR(IF(O2995&lt;fi_h/20,0,(OFFSET('Base de dados'!$A$5,IF(O2995&lt;20,1,IF(O2995&gt;1000,10,MATCH(O2995,Cargas,1))),Coluna_fih,1,1))*(1+0.13*0.25)*(PI()*(fi_h/1000)^2/4)*SQRT(2*9.81*(O2995/100-fi_h/2/1000))*1000)),"",IF(O2995&lt;fi_h/20,0,(OFFSET('Base de dados'!$A$5,IF(O2995&lt;20,1,IF(O2995&gt;1000,10,MATCH(O2995,Cargas,1))),Coluna_fih,1,1))*(PI()*(fi_h/1000)^2/4)*SQRT(2*9.81*(O2995/100-fi_h/2/1000))*1000))</f>
        <v>73.473099608614135</v>
      </c>
      <c r="Q2995" s="19">
        <f ca="1">IF(O2995="","",IF(Tipo_Vertedor="Retangular",IF(O2995&lt;=cota_s*100,0,IF(Tipo_Vertedor="Retangular",Cd_sr*Lef_sr*((O2995/100-cota_s)^(3/2))*1000)),IF(O2995&lt;=cota_s*100+fi_s/20,0,(OFFSET('Base de dados'!$A$4,IF(O2995&lt;20,1,IF(O2995&gt;1000,10,MATCH(O2995,Cargas,1))),Coluna_fis,1,1))*(PI()*(fi_s/1000)^2/4)*(2*9.81*(O2995/100-cota_s-fi_s/2/1000))^0.5*1000)))</f>
        <v>19836.189885608499</v>
      </c>
      <c r="R2995" s="19">
        <f t="shared" ca="1" si="320"/>
        <v>19909.662985217114</v>
      </c>
      <c r="S2995" s="19">
        <f t="shared" ca="1" si="321"/>
        <v>19436.6331152188</v>
      </c>
    </row>
    <row r="2996" spans="13:19">
      <c r="M2996" s="81">
        <f t="shared" ca="1" si="318"/>
        <v>39364.41420155669</v>
      </c>
      <c r="N2996" s="19">
        <f t="shared" si="319"/>
        <v>583.31801545424491</v>
      </c>
      <c r="O2996" s="17">
        <f t="shared" si="317"/>
        <v>748.75</v>
      </c>
      <c r="P2996" s="19">
        <f ca="1">IF(ISERROR(IF(O2996&lt;fi_h/20,0,(OFFSET('Base de dados'!$A$5,IF(O2996&lt;20,1,IF(O2996&gt;1000,10,MATCH(O2996,Cargas,1))),Coluna_fih,1,1))*(1+0.13*0.25)*(PI()*(fi_h/1000)^2/4)*SQRT(2*9.81*(O2996/100-fi_h/2/1000))*1000)),"",IF(O2996&lt;fi_h/20,0,(OFFSET('Base de dados'!$A$5,IF(O2996&lt;20,1,IF(O2996&gt;1000,10,MATCH(O2996,Cargas,1))),Coluna_fih,1,1))*(PI()*(fi_h/1000)^2/4)*SQRT(2*9.81*(O2996/100-fi_h/2/1000))*1000))</f>
        <v>73.485461783021378</v>
      </c>
      <c r="Q2996" s="19">
        <f ca="1">IF(O2996="","",IF(Tipo_Vertedor="Retangular",IF(O2996&lt;=cota_s*100,0,IF(Tipo_Vertedor="Retangular",Cd_sr*Lef_sr*((O2996/100-cota_s)^(3/2))*1000)),IF(O2996&lt;=cota_s*100+fi_s/20,0,(OFFSET('Base de dados'!$A$4,IF(O2996&lt;20,1,IF(O2996&gt;1000,10,MATCH(O2996,Cargas,1))),Coluna_fis,1,1))*(PI()*(fi_s/1000)^2/4)*(2*9.81*(O2996/100-cota_s-fi_s/2/1000))^0.5*1000)))</f>
        <v>19846.994891298844</v>
      </c>
      <c r="R2996" s="19">
        <f t="shared" ca="1" si="320"/>
        <v>19920.480353081864</v>
      </c>
      <c r="S2996" s="19">
        <f t="shared" ca="1" si="321"/>
        <v>19443.93384847483</v>
      </c>
    </row>
    <row r="2997" spans="13:19">
      <c r="M2997" s="81">
        <f t="shared" ca="1" si="318"/>
        <v>39382.53456543127</v>
      </c>
      <c r="N2997" s="19">
        <f t="shared" si="319"/>
        <v>583.5370465621462</v>
      </c>
      <c r="O2997" s="17">
        <f t="shared" si="317"/>
        <v>749</v>
      </c>
      <c r="P2997" s="19">
        <f ca="1">IF(ISERROR(IF(O2997&lt;fi_h/20,0,(OFFSET('Base de dados'!$A$5,IF(O2997&lt;20,1,IF(O2997&gt;1000,10,MATCH(O2997,Cargas,1))),Coluna_fih,1,1))*(1+0.13*0.25)*(PI()*(fi_h/1000)^2/4)*SQRT(2*9.81*(O2997/100-fi_h/2/1000))*1000)),"",IF(O2997&lt;fi_h/20,0,(OFFSET('Base de dados'!$A$5,IF(O2997&lt;20,1,IF(O2997&gt;1000,10,MATCH(O2997,Cargas,1))),Coluna_fih,1,1))*(PI()*(fi_h/1000)^2/4)*SQRT(2*9.81*(O2997/100-fi_h/2/1000))*1000))</f>
        <v>73.4978218781377</v>
      </c>
      <c r="Q2997" s="19">
        <f ca="1">IF(O2997="","",IF(Tipo_Vertedor="Retangular",IF(O2997&lt;=cota_s*100,0,IF(Tipo_Vertedor="Retangular",Cd_sr*Lef_sr*((O2997/100-cota_s)^(3/2))*1000)),IF(O2997&lt;=cota_s*100+fi_s/20,0,(OFFSET('Base de dados'!$A$4,IF(O2997&lt;20,1,IF(O2997&gt;1000,10,MATCH(O2997,Cargas,1))),Coluna_fis,1,1))*(PI()*(fi_s/1000)^2/4)*(2*9.81*(O2997/100-cota_s-fi_s/2/1000))^0.5*1000)))</f>
        <v>19857.801858148261</v>
      </c>
      <c r="R2997" s="19">
        <f t="shared" ca="1" si="320"/>
        <v>19931.299680026397</v>
      </c>
      <c r="S2997" s="19">
        <f t="shared" ca="1" si="321"/>
        <v>19451.234885404872</v>
      </c>
    </row>
    <row r="2998" spans="13:19">
      <c r="M2998" s="81">
        <f t="shared" ca="1" si="318"/>
        <v>39400.65719161609</v>
      </c>
      <c r="N2998" s="19">
        <f t="shared" si="319"/>
        <v>583.75608677760533</v>
      </c>
      <c r="O2998" s="17">
        <f t="shared" si="317"/>
        <v>749.25</v>
      </c>
      <c r="P2998" s="19">
        <f ca="1">IF(ISERROR(IF(O2998&lt;fi_h/20,0,(OFFSET('Base de dados'!$A$5,IF(O2998&lt;20,1,IF(O2998&gt;1000,10,MATCH(O2998,Cargas,1))),Coluna_fih,1,1))*(1+0.13*0.25)*(PI()*(fi_h/1000)^2/4)*SQRT(2*9.81*(O2998/100-fi_h/2/1000))*1000)),"",IF(O2998&lt;fi_h/20,0,(OFFSET('Base de dados'!$A$5,IF(O2998&lt;20,1,IF(O2998&gt;1000,10,MATCH(O2998,Cargas,1))),Coluna_fih,1,1))*(PI()*(fi_h/1000)^2/4)*SQRT(2*9.81*(O2998/100-fi_h/2/1000))*1000))</f>
        <v>73.510179895011959</v>
      </c>
      <c r="Q2998" s="19">
        <f ca="1">IF(O2998="","",IF(Tipo_Vertedor="Retangular",IF(O2998&lt;=cota_s*100,0,IF(Tipo_Vertedor="Retangular",Cd_sr*Lef_sr*((O2998/100-cota_s)^(3/2))*1000)),IF(O2998&lt;=cota_s*100+fi_s/20,0,(OFFSET('Base de dados'!$A$4,IF(O2998&lt;20,1,IF(O2998&gt;1000,10,MATCH(O2998,Cargas,1))),Coluna_fis,1,1))*(PI()*(fi_s/1000)^2/4)*(2*9.81*(O2998/100-cota_s-fi_s/2/1000))^0.5*1000)))</f>
        <v>19868.610785800895</v>
      </c>
      <c r="R2998" s="19">
        <f t="shared" ca="1" si="320"/>
        <v>19942.120965695907</v>
      </c>
      <c r="S2998" s="19">
        <f t="shared" ca="1" si="321"/>
        <v>19458.536225920179</v>
      </c>
    </row>
    <row r="2999" spans="13:19">
      <c r="M2999" s="81">
        <f t="shared" ca="1" si="318"/>
        <v>39418.782079667872</v>
      </c>
      <c r="N2999" s="19">
        <f t="shared" si="319"/>
        <v>583.97513609796192</v>
      </c>
      <c r="O2999" s="17">
        <f t="shared" si="317"/>
        <v>749.5</v>
      </c>
      <c r="P2999" s="19">
        <f ca="1">IF(ISERROR(IF(O2999&lt;fi_h/20,0,(OFFSET('Base de dados'!$A$5,IF(O2999&lt;20,1,IF(O2999&gt;1000,10,MATCH(O2999,Cargas,1))),Coluna_fih,1,1))*(1+0.13*0.25)*(PI()*(fi_h/1000)^2/4)*SQRT(2*9.81*(O2999/100-fi_h/2/1000))*1000)),"",IF(O2999&lt;fi_h/20,0,(OFFSET('Base de dados'!$A$5,IF(O2999&lt;20,1,IF(O2999&gt;1000,10,MATCH(O2999,Cargas,1))),Coluna_fih,1,1))*(PI()*(fi_h/1000)^2/4)*SQRT(2*9.81*(O2999/100-fi_h/2/1000))*1000))</f>
        <v>73.522535834692079</v>
      </c>
      <c r="Q2999" s="19">
        <f ca="1">IF(O2999="","",IF(Tipo_Vertedor="Retangular",IF(O2999&lt;=cota_s*100,0,IF(Tipo_Vertedor="Retangular",Cd_sr*Lef_sr*((O2999/100-cota_s)^(3/2))*1000)),IF(O2999&lt;=cota_s*100+fi_s/20,0,(OFFSET('Base de dados'!$A$4,IF(O2999&lt;20,1,IF(O2999&gt;1000,10,MATCH(O2999,Cargas,1))),Coluna_fis,1,1))*(PI()*(fi_s/1000)^2/4)*(2*9.81*(O2999/100-cota_s-fi_s/2/1000))^0.5*1000)))</f>
        <v>19879.421673901117</v>
      </c>
      <c r="R2999" s="19">
        <f t="shared" ca="1" si="320"/>
        <v>19952.944209735808</v>
      </c>
      <c r="S2999" s="19">
        <f t="shared" ca="1" si="321"/>
        <v>19465.837869932064</v>
      </c>
    </row>
    <row r="3000" spans="13:19">
      <c r="M3000" s="81">
        <f t="shared" ca="1" si="318"/>
        <v>39436.909229143639</v>
      </c>
      <c r="N3000" s="19">
        <f t="shared" si="319"/>
        <v>584.19419452055763</v>
      </c>
      <c r="O3000" s="17">
        <f t="shared" si="317"/>
        <v>749.75</v>
      </c>
      <c r="P3000" s="19">
        <f ca="1">IF(ISERROR(IF(O3000&lt;fi_h/20,0,(OFFSET('Base de dados'!$A$5,IF(O3000&lt;20,1,IF(O3000&gt;1000,10,MATCH(O3000,Cargas,1))),Coluna_fih,1,1))*(1+0.13*0.25)*(PI()*(fi_h/1000)^2/4)*SQRT(2*9.81*(O3000/100-fi_h/2/1000))*1000)),"",IF(O3000&lt;fi_h/20,0,(OFFSET('Base de dados'!$A$5,IF(O3000&lt;20,1,IF(O3000&gt;1000,10,MATCH(O3000,Cargas,1))),Coluna_fih,1,1))*(PI()*(fi_h/1000)^2/4)*SQRT(2*9.81*(O3000/100-fi_h/2/1000))*1000))</f>
        <v>73.534889698225186</v>
      </c>
      <c r="Q3000" s="19">
        <f ca="1">IF(O3000="","",IF(Tipo_Vertedor="Retangular",IF(O3000&lt;=cota_s*100,0,IF(Tipo_Vertedor="Retangular",Cd_sr*Lef_sr*((O3000/100-cota_s)^(3/2))*1000)),IF(O3000&lt;=cota_s*100+fi_s/20,0,(OFFSET('Base de dados'!$A$4,IF(O3000&lt;20,1,IF(O3000&gt;1000,10,MATCH(O3000,Cargas,1))),Coluna_fis,1,1))*(PI()*(fi_s/1000)^2/4)*(2*9.81*(O3000/100-cota_s-fi_s/2/1000))^0.5*1000)))</f>
        <v>19890.234522093495</v>
      </c>
      <c r="R3000" s="19">
        <f t="shared" ca="1" si="320"/>
        <v>19963.76941179172</v>
      </c>
      <c r="S3000" s="19">
        <f t="shared" ca="1" si="321"/>
        <v>19473.139817351923</v>
      </c>
    </row>
    <row r="3001" spans="13:19">
      <c r="M3001" s="81">
        <f t="shared" ca="1" si="318"/>
        <v>39455.038639600614</v>
      </c>
      <c r="N3001" s="19">
        <f t="shared" si="319"/>
        <v>584.41326204273537</v>
      </c>
      <c r="O3001" s="17">
        <f t="shared" si="317"/>
        <v>750</v>
      </c>
      <c r="P3001" s="19">
        <f ca="1">IF(ISERROR(IF(O3001&lt;fi_h/20,0,(OFFSET('Base de dados'!$A$5,IF(O3001&lt;20,1,IF(O3001&gt;1000,10,MATCH(O3001,Cargas,1))),Coluna_fih,1,1))*(1+0.13*0.25)*(PI()*(fi_h/1000)^2/4)*SQRT(2*9.81*(O3001/100-fi_h/2/1000))*1000)),"",IF(O3001&lt;fi_h/20,0,(OFFSET('Base de dados'!$A$5,IF(O3001&lt;20,1,IF(O3001&gt;1000,10,MATCH(O3001,Cargas,1))),Coluna_fih,1,1))*(PI()*(fi_h/1000)^2/4)*SQRT(2*9.81*(O3001/100-fi_h/2/1000))*1000))</f>
        <v>73.547241486657455</v>
      </c>
      <c r="Q3001" s="19">
        <f ca="1">IF(O3001="","",IF(Tipo_Vertedor="Retangular",IF(O3001&lt;=cota_s*100,0,IF(Tipo_Vertedor="Retangular",Cd_sr*Lef_sr*((O3001/100-cota_s)^(3/2))*1000)),IF(O3001&lt;=cota_s*100+fi_s/20,0,(OFFSET('Base de dados'!$A$4,IF(O3001&lt;20,1,IF(O3001&gt;1000,10,MATCH(O3001,Cargas,1))),Coluna_fis,1,1))*(PI()*(fi_s/1000)^2/4)*(2*9.81*(O3001/100-cota_s-fi_s/2/1000))^0.5*1000)))</f>
        <v>19901.049330022779</v>
      </c>
      <c r="R3001" s="19">
        <f t="shared" ca="1" si="320"/>
        <v>19974.596571509435</v>
      </c>
      <c r="S3001" s="19">
        <f t="shared" ca="1" si="321"/>
        <v>19480.442068091179</v>
      </c>
    </row>
    <row r="3002" spans="13:19">
      <c r="M3002" s="81">
        <f t="shared" ca="1" si="318"/>
        <v>39473.170310596266</v>
      </c>
      <c r="N3002" s="19">
        <f t="shared" si="319"/>
        <v>584.63233866183998</v>
      </c>
      <c r="O3002" s="17">
        <f t="shared" si="317"/>
        <v>750.25</v>
      </c>
      <c r="P3002" s="19">
        <f ca="1">IF(ISERROR(IF(O3002&lt;fi_h/20,0,(OFFSET('Base de dados'!$A$5,IF(O3002&lt;20,1,IF(O3002&gt;1000,10,MATCH(O3002,Cargas,1))),Coluna_fih,1,1))*(1+0.13*0.25)*(PI()*(fi_h/1000)^2/4)*SQRT(2*9.81*(O3002/100-fi_h/2/1000))*1000)),"",IF(O3002&lt;fi_h/20,0,(OFFSET('Base de dados'!$A$5,IF(O3002&lt;20,1,IF(O3002&gt;1000,10,MATCH(O3002,Cargas,1))),Coluna_fih,1,1))*(PI()*(fi_h/1000)^2/4)*SQRT(2*9.81*(O3002/100-fi_h/2/1000))*1000))</f>
        <v>73.559591201034209</v>
      </c>
      <c r="Q3002" s="19">
        <f ca="1">IF(O3002="","",IF(Tipo_Vertedor="Retangular",IF(O3002&lt;=cota_s*100,0,IF(Tipo_Vertedor="Retangular",Cd_sr*Lef_sr*((O3002/100-cota_s)^(3/2))*1000)),IF(O3002&lt;=cota_s*100+fi_s/20,0,(OFFSET('Base de dados'!$A$4,IF(O3002&lt;20,1,IF(O3002&gt;1000,10,MATCH(O3002,Cargas,1))),Coluna_fis,1,1))*(PI()*(fi_s/1000)^2/4)*(2*9.81*(O3002/100-cota_s-fi_s/2/1000))^0.5*1000)))</f>
        <v>19911.866097333899</v>
      </c>
      <c r="R3002" s="19">
        <f t="shared" ca="1" si="320"/>
        <v>19985.425688534935</v>
      </c>
      <c r="S3002" s="19">
        <f t="shared" ca="1" si="321"/>
        <v>19487.744622061331</v>
      </c>
    </row>
    <row r="3003" spans="13:19">
      <c r="M3003" s="81">
        <f t="shared" ca="1" si="318"/>
        <v>39491.304241688296</v>
      </c>
      <c r="N3003" s="19">
        <f t="shared" si="319"/>
        <v>584.85142437521699</v>
      </c>
      <c r="O3003" s="17">
        <f t="shared" si="317"/>
        <v>750.5</v>
      </c>
      <c r="P3003" s="19">
        <f ca="1">IF(ISERROR(IF(O3003&lt;fi_h/20,0,(OFFSET('Base de dados'!$A$5,IF(O3003&lt;20,1,IF(O3003&gt;1000,10,MATCH(O3003,Cargas,1))),Coluna_fih,1,1))*(1+0.13*0.25)*(PI()*(fi_h/1000)^2/4)*SQRT(2*9.81*(O3003/100-fi_h/2/1000))*1000)),"",IF(O3003&lt;fi_h/20,0,(OFFSET('Base de dados'!$A$5,IF(O3003&lt;20,1,IF(O3003&gt;1000,10,MATCH(O3003,Cargas,1))),Coluna_fih,1,1))*(PI()*(fi_h/1000)^2/4)*SQRT(2*9.81*(O3003/100-fi_h/2/1000))*1000))</f>
        <v>73.571938842399902</v>
      </c>
      <c r="Q3003" s="19">
        <f ca="1">IF(O3003="","",IF(Tipo_Vertedor="Retangular",IF(O3003&lt;=cota_s*100,0,IF(Tipo_Vertedor="Retangular",Cd_sr*Lef_sr*((O3003/100-cota_s)^(3/2))*1000)),IF(O3003&lt;=cota_s*100+fi_s/20,0,(OFFSET('Base de dados'!$A$4,IF(O3003&lt;20,1,IF(O3003&gt;1000,10,MATCH(O3003,Cargas,1))),Coluna_fis,1,1))*(PI()*(fi_s/1000)^2/4)*(2*9.81*(O3003/100-cota_s-fi_s/2/1000))^0.5*1000)))</f>
        <v>19922.684823672</v>
      </c>
      <c r="R3003" s="19">
        <f t="shared" ca="1" si="320"/>
        <v>19996.2567625144</v>
      </c>
      <c r="S3003" s="19">
        <f t="shared" ca="1" si="321"/>
        <v>19495.0474791739</v>
      </c>
    </row>
    <row r="3004" spans="13:19">
      <c r="M3004" s="81">
        <f t="shared" ca="1" si="318"/>
        <v>39509.440432434698</v>
      </c>
      <c r="N3004" s="19">
        <f t="shared" si="319"/>
        <v>585.07051918021466</v>
      </c>
      <c r="O3004" s="17">
        <f t="shared" si="317"/>
        <v>750.75</v>
      </c>
      <c r="P3004" s="19">
        <f ca="1">IF(ISERROR(IF(O3004&lt;fi_h/20,0,(OFFSET('Base de dados'!$A$5,IF(O3004&lt;20,1,IF(O3004&gt;1000,10,MATCH(O3004,Cargas,1))),Coluna_fih,1,1))*(1+0.13*0.25)*(PI()*(fi_h/1000)^2/4)*SQRT(2*9.81*(O3004/100-fi_h/2/1000))*1000)),"",IF(O3004&lt;fi_h/20,0,(OFFSET('Base de dados'!$A$5,IF(O3004&lt;20,1,IF(O3004&gt;1000,10,MATCH(O3004,Cargas,1))),Coluna_fih,1,1))*(PI()*(fi_h/1000)^2/4)*SQRT(2*9.81*(O3004/100-fi_h/2/1000))*1000))</f>
        <v>73.584284411798095</v>
      </c>
      <c r="Q3004" s="19">
        <f ca="1">IF(O3004="","",IF(Tipo_Vertedor="Retangular",IF(O3004&lt;=cota_s*100,0,IF(Tipo_Vertedor="Retangular",Cd_sr*Lef_sr*((O3004/100-cota_s)^(3/2))*1000)),IF(O3004&lt;=cota_s*100+fi_s/20,0,(OFFSET('Base de dados'!$A$4,IF(O3004&lt;20,1,IF(O3004&gt;1000,10,MATCH(O3004,Cargas,1))),Coluna_fis,1,1))*(PI()*(fi_s/1000)^2/4)*(2*9.81*(O3004/100-cota_s-fi_s/2/1000))^0.5*1000)))</f>
        <v>19933.50550868241</v>
      </c>
      <c r="R3004" s="19">
        <f t="shared" ca="1" si="320"/>
        <v>20007.089793094208</v>
      </c>
      <c r="S3004" s="19">
        <f t="shared" ca="1" si="321"/>
        <v>19502.350639340486</v>
      </c>
    </row>
    <row r="3005" spans="13:19">
      <c r="M3005" s="81">
        <f t="shared" ca="1" si="318"/>
        <v>39527.578882393675</v>
      </c>
      <c r="N3005" s="19">
        <f t="shared" si="319"/>
        <v>585.28962307418294</v>
      </c>
      <c r="O3005" s="17">
        <f t="shared" si="317"/>
        <v>751</v>
      </c>
      <c r="P3005" s="19">
        <f ca="1">IF(ISERROR(IF(O3005&lt;fi_h/20,0,(OFFSET('Base de dados'!$A$5,IF(O3005&lt;20,1,IF(O3005&gt;1000,10,MATCH(O3005,Cargas,1))),Coluna_fih,1,1))*(1+0.13*0.25)*(PI()*(fi_h/1000)^2/4)*SQRT(2*9.81*(O3005/100-fi_h/2/1000))*1000)),"",IF(O3005&lt;fi_h/20,0,(OFFSET('Base de dados'!$A$5,IF(O3005&lt;20,1,IF(O3005&gt;1000,10,MATCH(O3005,Cargas,1))),Coluna_fih,1,1))*(PI()*(fi_h/1000)^2/4)*SQRT(2*9.81*(O3005/100-fi_h/2/1000))*1000))</f>
        <v>73.596627910271508</v>
      </c>
      <c r="Q3005" s="19">
        <f ca="1">IF(O3005="","",IF(Tipo_Vertedor="Retangular",IF(O3005&lt;=cota_s*100,0,IF(Tipo_Vertedor="Retangular",Cd_sr*Lef_sr*((O3005/100-cota_s)^(3/2))*1000)),IF(O3005&lt;=cota_s*100+fi_s/20,0,(OFFSET('Base de dados'!$A$4,IF(O3005&lt;20,1,IF(O3005&gt;1000,10,MATCH(O3005,Cargas,1))),Coluna_fis,1,1))*(PI()*(fi_s/1000)^2/4)*(2*9.81*(O3005/100-cota_s-fi_s/2/1000))^0.5*1000)))</f>
        <v>19944.328152010639</v>
      </c>
      <c r="R3005" s="19">
        <f t="shared" ca="1" si="320"/>
        <v>20017.924779920912</v>
      </c>
      <c r="S3005" s="19">
        <f t="shared" ca="1" si="321"/>
        <v>19509.654102472763</v>
      </c>
    </row>
    <row r="3006" spans="13:19">
      <c r="M3006" s="81">
        <f t="shared" ca="1" si="318"/>
        <v>39545.719591123692</v>
      </c>
      <c r="N3006" s="19">
        <f t="shared" si="319"/>
        <v>585.50873605447248</v>
      </c>
      <c r="O3006" s="17">
        <f t="shared" si="317"/>
        <v>751.25</v>
      </c>
      <c r="P3006" s="19">
        <f ca="1">IF(ISERROR(IF(O3006&lt;fi_h/20,0,(OFFSET('Base de dados'!$A$5,IF(O3006&lt;20,1,IF(O3006&gt;1000,10,MATCH(O3006,Cargas,1))),Coluna_fih,1,1))*(1+0.13*0.25)*(PI()*(fi_h/1000)^2/4)*SQRT(2*9.81*(O3006/100-fi_h/2/1000))*1000)),"",IF(O3006&lt;fi_h/20,0,(OFFSET('Base de dados'!$A$5,IF(O3006&lt;20,1,IF(O3006&gt;1000,10,MATCH(O3006,Cargas,1))),Coluna_fih,1,1))*(PI()*(fi_h/1000)^2/4)*SQRT(2*9.81*(O3006/100-fi_h/2/1000))*1000))</f>
        <v>73.608969338861939</v>
      </c>
      <c r="Q3006" s="19">
        <f ca="1">IF(O3006="","",IF(Tipo_Vertedor="Retangular",IF(O3006&lt;=cota_s*100,0,IF(Tipo_Vertedor="Retangular",Cd_sr*Lef_sr*((O3006/100-cota_s)^(3/2))*1000)),IF(O3006&lt;=cota_s*100+fi_s/20,0,(OFFSET('Base de dados'!$A$4,IF(O3006&lt;20,1,IF(O3006&gt;1000,10,MATCH(O3006,Cargas,1))),Coluna_fis,1,1))*(PI()*(fi_s/1000)^2/4)*(2*9.81*(O3006/100-cota_s-fi_s/2/1000))^0.5*1000)))</f>
        <v>19955.15275330242</v>
      </c>
      <c r="R3006" s="19">
        <f t="shared" ca="1" si="320"/>
        <v>20028.76172264128</v>
      </c>
      <c r="S3006" s="19">
        <f t="shared" ca="1" si="321"/>
        <v>19516.957868482416</v>
      </c>
    </row>
    <row r="3007" spans="13:19">
      <c r="M3007" s="81">
        <f t="shared" ca="1" si="318"/>
        <v>39563.862558183464</v>
      </c>
      <c r="N3007" s="19">
        <f t="shared" si="319"/>
        <v>585.72785811843653</v>
      </c>
      <c r="O3007" s="17">
        <f t="shared" si="317"/>
        <v>751.5</v>
      </c>
      <c r="P3007" s="19">
        <f ca="1">IF(ISERROR(IF(O3007&lt;fi_h/20,0,(OFFSET('Base de dados'!$A$5,IF(O3007&lt;20,1,IF(O3007&gt;1000,10,MATCH(O3007,Cargas,1))),Coluna_fih,1,1))*(1+0.13*0.25)*(PI()*(fi_h/1000)^2/4)*SQRT(2*9.81*(O3007/100-fi_h/2/1000))*1000)),"",IF(O3007&lt;fi_h/20,0,(OFFSET('Base de dados'!$A$5,IF(O3007&lt;20,1,IF(O3007&gt;1000,10,MATCH(O3007,Cargas,1))),Coluna_fih,1,1))*(PI()*(fi_h/1000)^2/4)*SQRT(2*9.81*(O3007/100-fi_h/2/1000))*1000))</f>
        <v>73.621308698610335</v>
      </c>
      <c r="Q3007" s="19">
        <f ca="1">IF(O3007="","",IF(Tipo_Vertedor="Retangular",IF(O3007&lt;=cota_s*100,0,IF(Tipo_Vertedor="Retangular",Cd_sr*Lef_sr*((O3007/100-cota_s)^(3/2))*1000)),IF(O3007&lt;=cota_s*100+fi_s/20,0,(OFFSET('Base de dados'!$A$4,IF(O3007&lt;20,1,IF(O3007&gt;1000,10,MATCH(O3007,Cargas,1))),Coluna_fis,1,1))*(PI()*(fi_s/1000)^2/4)*(2*9.81*(O3007/100-cota_s-fi_s/2/1000))^0.5*1000)))</f>
        <v>19965.979312203639</v>
      </c>
      <c r="R3007" s="19">
        <f t="shared" ca="1" si="320"/>
        <v>20039.600620902249</v>
      </c>
      <c r="S3007" s="19">
        <f t="shared" ca="1" si="321"/>
        <v>19524.261937281219</v>
      </c>
    </row>
    <row r="3008" spans="13:19">
      <c r="M3008" s="81">
        <f t="shared" ca="1" si="318"/>
        <v>39582.00778313195</v>
      </c>
      <c r="N3008" s="19">
        <f t="shared" si="319"/>
        <v>585.94698926342949</v>
      </c>
      <c r="O3008" s="17">
        <f t="shared" si="317"/>
        <v>751.75</v>
      </c>
      <c r="P3008" s="19">
        <f ca="1">IF(ISERROR(IF(O3008&lt;fi_h/20,0,(OFFSET('Base de dados'!$A$5,IF(O3008&lt;20,1,IF(O3008&gt;1000,10,MATCH(O3008,Cargas,1))),Coluna_fih,1,1))*(1+0.13*0.25)*(PI()*(fi_h/1000)^2/4)*SQRT(2*9.81*(O3008/100-fi_h/2/1000))*1000)),"",IF(O3008&lt;fi_h/20,0,(OFFSET('Base de dados'!$A$5,IF(O3008&lt;20,1,IF(O3008&gt;1000,10,MATCH(O3008,Cargas,1))),Coluna_fih,1,1))*(PI()*(fi_h/1000)^2/4)*SQRT(2*9.81*(O3008/100-fi_h/2/1000))*1000))</f>
        <v>73.633645990556801</v>
      </c>
      <c r="Q3008" s="19">
        <f ca="1">IF(O3008="","",IF(Tipo_Vertedor="Retangular",IF(O3008&lt;=cota_s*100,0,IF(Tipo_Vertedor="Retangular",Cd_sr*Lef_sr*((O3008/100-cota_s)^(3/2))*1000)),IF(O3008&lt;=cota_s*100+fi_s/20,0,(OFFSET('Base de dados'!$A$4,IF(O3008&lt;20,1,IF(O3008&gt;1000,10,MATCH(O3008,Cargas,1))),Coluna_fis,1,1))*(PI()*(fi_s/1000)^2/4)*(2*9.81*(O3008/100-cota_s-fi_s/2/1000))^0.5*1000)))</f>
        <v>19976.807828360408</v>
      </c>
      <c r="R3008" s="19">
        <f t="shared" ca="1" si="320"/>
        <v>20050.441474350966</v>
      </c>
      <c r="S3008" s="19">
        <f t="shared" ca="1" si="321"/>
        <v>19531.566308780984</v>
      </c>
    </row>
    <row r="3009" spans="13:19">
      <c r="M3009" s="81">
        <f t="shared" ca="1" si="318"/>
        <v>39600.155265528345</v>
      </c>
      <c r="N3009" s="19">
        <f t="shared" si="319"/>
        <v>586.1661294868079</v>
      </c>
      <c r="O3009" s="17">
        <f t="shared" si="317"/>
        <v>752</v>
      </c>
      <c r="P3009" s="19">
        <f ca="1">IF(ISERROR(IF(O3009&lt;fi_h/20,0,(OFFSET('Base de dados'!$A$5,IF(O3009&lt;20,1,IF(O3009&gt;1000,10,MATCH(O3009,Cargas,1))),Coluna_fih,1,1))*(1+0.13*0.25)*(PI()*(fi_h/1000)^2/4)*SQRT(2*9.81*(O3009/100-fi_h/2/1000))*1000)),"",IF(O3009&lt;fi_h/20,0,(OFFSET('Base de dados'!$A$5,IF(O3009&lt;20,1,IF(O3009&gt;1000,10,MATCH(O3009,Cargas,1))),Coluna_fih,1,1))*(PI()*(fi_h/1000)^2/4)*SQRT(2*9.81*(O3009/100-fi_h/2/1000))*1000))</f>
        <v>73.645981215740491</v>
      </c>
      <c r="Q3009" s="19">
        <f ca="1">IF(O3009="","",IF(Tipo_Vertedor="Retangular",IF(O3009&lt;=cota_s*100,0,IF(Tipo_Vertedor="Retangular",Cd_sr*Lef_sr*((O3009/100-cota_s)^(3/2))*1000)),IF(O3009&lt;=cota_s*100+fi_s/20,0,(OFFSET('Base de dados'!$A$4,IF(O3009&lt;20,1,IF(O3009&gt;1000,10,MATCH(O3009,Cargas,1))),Coluna_fis,1,1))*(PI()*(fi_s/1000)^2/4)*(2*9.81*(O3009/100-cota_s-fi_s/2/1000))^0.5*1000)))</f>
        <v>19987.638301419007</v>
      </c>
      <c r="R3009" s="19">
        <f t="shared" ca="1" si="320"/>
        <v>20061.284282634748</v>
      </c>
      <c r="S3009" s="19">
        <f t="shared" ca="1" si="321"/>
        <v>19538.870982893593</v>
      </c>
    </row>
    <row r="3010" spans="13:19">
      <c r="M3010" s="81">
        <f t="shared" ca="1" si="318"/>
        <v>39618.305004932103</v>
      </c>
      <c r="N3010" s="19">
        <f t="shared" si="319"/>
        <v>586.38527878592947</v>
      </c>
      <c r="O3010" s="17">
        <f t="shared" si="317"/>
        <v>752.25</v>
      </c>
      <c r="P3010" s="19">
        <f ca="1">IF(ISERROR(IF(O3010&lt;fi_h/20,0,(OFFSET('Base de dados'!$A$5,IF(O3010&lt;20,1,IF(O3010&gt;1000,10,MATCH(O3010,Cargas,1))),Coluna_fih,1,1))*(1+0.13*0.25)*(PI()*(fi_h/1000)^2/4)*SQRT(2*9.81*(O3010/100-fi_h/2/1000))*1000)),"",IF(O3010&lt;fi_h/20,0,(OFFSET('Base de dados'!$A$5,IF(O3010&lt;20,1,IF(O3010&gt;1000,10,MATCH(O3010,Cargas,1))),Coluna_fih,1,1))*(PI()*(fi_h/1000)^2/4)*SQRT(2*9.81*(O3010/100-fi_h/2/1000))*1000))</f>
        <v>73.658314375199794</v>
      </c>
      <c r="Q3010" s="19">
        <f ca="1">IF(O3010="","",IF(Tipo_Vertedor="Retangular",IF(O3010&lt;=cota_s*100,0,IF(Tipo_Vertedor="Retangular",Cd_sr*Lef_sr*((O3010/100-cota_s)^(3/2))*1000)),IF(O3010&lt;=cota_s*100+fi_s/20,0,(OFFSET('Base de dados'!$A$4,IF(O3010&lt;20,1,IF(O3010&gt;1000,10,MATCH(O3010,Cargas,1))),Coluna_fis,1,1))*(PI()*(fi_s/1000)^2/4)*(2*9.81*(O3010/100-cota_s-fi_s/2/1000))^0.5*1000)))</f>
        <v>19998.470731025922</v>
      </c>
      <c r="R3010" s="19">
        <f t="shared" ca="1" si="320"/>
        <v>20072.129045401121</v>
      </c>
      <c r="S3010" s="19">
        <f t="shared" ca="1" si="321"/>
        <v>19546.175959530981</v>
      </c>
    </row>
    <row r="3011" spans="13:19">
      <c r="M3011" s="81">
        <f t="shared" ca="1" si="318"/>
        <v>39636.457000902927</v>
      </c>
      <c r="N3011" s="19">
        <f t="shared" si="319"/>
        <v>586.60443715815336</v>
      </c>
      <c r="O3011" s="17">
        <f t="shared" si="317"/>
        <v>752.5</v>
      </c>
      <c r="P3011" s="19">
        <f ca="1">IF(ISERROR(IF(O3011&lt;fi_h/20,0,(OFFSET('Base de dados'!$A$5,IF(O3011&lt;20,1,IF(O3011&gt;1000,10,MATCH(O3011,Cargas,1))),Coluna_fih,1,1))*(1+0.13*0.25)*(PI()*(fi_h/1000)^2/4)*SQRT(2*9.81*(O3011/100-fi_h/2/1000))*1000)),"",IF(O3011&lt;fi_h/20,0,(OFFSET('Base de dados'!$A$5,IF(O3011&lt;20,1,IF(O3011&gt;1000,10,MATCH(O3011,Cargas,1))),Coluna_fih,1,1))*(PI()*(fi_h/1000)^2/4)*SQRT(2*9.81*(O3011/100-fi_h/2/1000))*1000))</f>
        <v>73.670645469972158</v>
      </c>
      <c r="Q3011" s="19">
        <f ca="1">IF(O3011="","",IF(Tipo_Vertedor="Retangular",IF(O3011&lt;=cota_s*100,0,IF(Tipo_Vertedor="Retangular",Cd_sr*Lef_sr*((O3011/100-cota_s)^(3/2))*1000)),IF(O3011&lt;=cota_s*100+fi_s/20,0,(OFFSET('Base de dados'!$A$4,IF(O3011&lt;20,1,IF(O3011&gt;1000,10,MATCH(O3011,Cargas,1))),Coluna_fis,1,1))*(PI()*(fi_s/1000)^2/4)*(2*9.81*(O3011/100-cota_s-fi_s/2/1000))^0.5*1000)))</f>
        <v>20009.30511682784</v>
      </c>
      <c r="R3011" s="19">
        <f t="shared" ca="1" si="320"/>
        <v>20082.97576229781</v>
      </c>
      <c r="S3011" s="19">
        <f t="shared" ca="1" si="321"/>
        <v>19553.481238605113</v>
      </c>
    </row>
    <row r="3012" spans="13:19">
      <c r="M3012" s="81">
        <f t="shared" ca="1" si="318"/>
        <v>39654.611253000723</v>
      </c>
      <c r="N3012" s="19">
        <f t="shared" si="319"/>
        <v>586.82360460084067</v>
      </c>
      <c r="O3012" s="17">
        <f t="shared" si="317"/>
        <v>752.75</v>
      </c>
      <c r="P3012" s="19">
        <f ca="1">IF(ISERROR(IF(O3012&lt;fi_h/20,0,(OFFSET('Base de dados'!$A$5,IF(O3012&lt;20,1,IF(O3012&gt;1000,10,MATCH(O3012,Cargas,1))),Coluna_fih,1,1))*(1+0.13*0.25)*(PI()*(fi_h/1000)^2/4)*SQRT(2*9.81*(O3012/100-fi_h/2/1000))*1000)),"",IF(O3012&lt;fi_h/20,0,(OFFSET('Base de dados'!$A$5,IF(O3012&lt;20,1,IF(O3012&gt;1000,10,MATCH(O3012,Cargas,1))),Coluna_fih,1,1))*(PI()*(fi_h/1000)^2/4)*SQRT(2*9.81*(O3012/100-fi_h/2/1000))*1000))</f>
        <v>73.682974501094151</v>
      </c>
      <c r="Q3012" s="19">
        <f ca="1">IF(O3012="","",IF(Tipo_Vertedor="Retangular",IF(O3012&lt;=cota_s*100,0,IF(Tipo_Vertedor="Retangular",Cd_sr*Lef_sr*((O3012/100-cota_s)^(3/2))*1000)),IF(O3012&lt;=cota_s*100+fi_s/20,0,(OFFSET('Base de dados'!$A$4,IF(O3012&lt;20,1,IF(O3012&gt;1000,10,MATCH(O3012,Cargas,1))),Coluna_fis,1,1))*(PI()*(fi_s/1000)^2/4)*(2*9.81*(O3012/100-cota_s-fi_s/2/1000))^0.5*1000)))</f>
        <v>20020.1414584716</v>
      </c>
      <c r="R3012" s="19">
        <f t="shared" ca="1" si="320"/>
        <v>20093.824432972695</v>
      </c>
      <c r="S3012" s="19">
        <f t="shared" ca="1" si="321"/>
        <v>19560.786820028025</v>
      </c>
    </row>
    <row r="3013" spans="13:19">
      <c r="M3013" s="81">
        <f t="shared" ca="1" si="318"/>
        <v>39672.767760785689</v>
      </c>
      <c r="N3013" s="19">
        <f t="shared" si="319"/>
        <v>587.04278111135454</v>
      </c>
      <c r="O3013" s="17">
        <f t="shared" si="317"/>
        <v>753</v>
      </c>
      <c r="P3013" s="19">
        <f ca="1">IF(ISERROR(IF(O3013&lt;fi_h/20,0,(OFFSET('Base de dados'!$A$5,IF(O3013&lt;20,1,IF(O3013&gt;1000,10,MATCH(O3013,Cargas,1))),Coluna_fih,1,1))*(1+0.13*0.25)*(PI()*(fi_h/1000)^2/4)*SQRT(2*9.81*(O3013/100-fi_h/2/1000))*1000)),"",IF(O3013&lt;fi_h/20,0,(OFFSET('Base de dados'!$A$5,IF(O3013&lt;20,1,IF(O3013&gt;1000,10,MATCH(O3013,Cargas,1))),Coluna_fih,1,1))*(PI()*(fi_h/1000)^2/4)*SQRT(2*9.81*(O3013/100-fi_h/2/1000))*1000))</f>
        <v>73.695301469601532</v>
      </c>
      <c r="Q3013" s="19">
        <f ca="1">IF(O3013="","",IF(Tipo_Vertedor="Retangular",IF(O3013&lt;=cota_s*100,0,IF(Tipo_Vertedor="Retangular",Cd_sr*Lef_sr*((O3013/100-cota_s)^(3/2))*1000)),IF(O3013&lt;=cota_s*100+fi_s/20,0,(OFFSET('Base de dados'!$A$4,IF(O3013&lt;20,1,IF(O3013&gt;1000,10,MATCH(O3013,Cargas,1))),Coluna_fis,1,1))*(PI()*(fi_s/1000)^2/4)*(2*9.81*(O3013/100-cota_s-fi_s/2/1000))^0.5*1000)))</f>
        <v>20030.979755604265</v>
      </c>
      <c r="R3013" s="19">
        <f t="shared" ca="1" si="320"/>
        <v>20104.675057073866</v>
      </c>
      <c r="S3013" s="19">
        <f t="shared" ca="1" si="321"/>
        <v>19568.09270371182</v>
      </c>
    </row>
    <row r="3014" spans="13:19">
      <c r="M3014" s="81">
        <f t="shared" ca="1" si="318"/>
        <v>39690.926523818271</v>
      </c>
      <c r="N3014" s="19">
        <f t="shared" si="319"/>
        <v>587.26196668705927</v>
      </c>
      <c r="O3014" s="17">
        <f t="shared" si="317"/>
        <v>753.25</v>
      </c>
      <c r="P3014" s="19">
        <f ca="1">IF(ISERROR(IF(O3014&lt;fi_h/20,0,(OFFSET('Base de dados'!$A$5,IF(O3014&lt;20,1,IF(O3014&gt;1000,10,MATCH(O3014,Cargas,1))),Coluna_fih,1,1))*(1+0.13*0.25)*(PI()*(fi_h/1000)^2/4)*SQRT(2*9.81*(O3014/100-fi_h/2/1000))*1000)),"",IF(O3014&lt;fi_h/20,0,(OFFSET('Base de dados'!$A$5,IF(O3014&lt;20,1,IF(O3014&gt;1000,10,MATCH(O3014,Cargas,1))),Coluna_fih,1,1))*(PI()*(fi_h/1000)^2/4)*SQRT(2*9.81*(O3014/100-fi_h/2/1000))*1000))</f>
        <v>73.707626376529134</v>
      </c>
      <c r="Q3014" s="19">
        <f ca="1">IF(O3014="","",IF(Tipo_Vertedor="Retangular",IF(O3014&lt;=cota_s*100,0,IF(Tipo_Vertedor="Retangular",Cd_sr*Lef_sr*((O3014/100-cota_s)^(3/2))*1000)),IF(O3014&lt;=cota_s*100+fi_s/20,0,(OFFSET('Base de dados'!$A$4,IF(O3014&lt;20,1,IF(O3014&gt;1000,10,MATCH(O3014,Cargas,1))),Coluna_fis,1,1))*(PI()*(fi_s/1000)^2/4)*(2*9.81*(O3014/100-cota_s-fi_s/2/1000))^0.5*1000)))</f>
        <v>20041.820007873099</v>
      </c>
      <c r="R3014" s="19">
        <f t="shared" ca="1" si="320"/>
        <v>20115.527634249629</v>
      </c>
      <c r="S3014" s="19">
        <f t="shared" ca="1" si="321"/>
        <v>19575.398889568642</v>
      </c>
    </row>
    <row r="3015" spans="13:19">
      <c r="M3015" s="81">
        <f t="shared" ca="1" si="318"/>
        <v>39709.087541659137</v>
      </c>
      <c r="N3015" s="19">
        <f t="shared" si="319"/>
        <v>587.4811613253213</v>
      </c>
      <c r="O3015" s="17">
        <f t="shared" si="317"/>
        <v>753.5</v>
      </c>
      <c r="P3015" s="19">
        <f ca="1">IF(ISERROR(IF(O3015&lt;fi_h/20,0,(OFFSET('Base de dados'!$A$5,IF(O3015&lt;20,1,IF(O3015&gt;1000,10,MATCH(O3015,Cargas,1))),Coluna_fih,1,1))*(1+0.13*0.25)*(PI()*(fi_h/1000)^2/4)*SQRT(2*9.81*(O3015/100-fi_h/2/1000))*1000)),"",IF(O3015&lt;fi_h/20,0,(OFFSET('Base de dados'!$A$5,IF(O3015&lt;20,1,IF(O3015&gt;1000,10,MATCH(O3015,Cargas,1))),Coluna_fih,1,1))*(PI()*(fi_h/1000)^2/4)*SQRT(2*9.81*(O3015/100-fi_h/2/1000))*1000))</f>
        <v>73.719949222910998</v>
      </c>
      <c r="Q3015" s="19">
        <f ca="1">IF(O3015="","",IF(Tipo_Vertedor="Retangular",IF(O3015&lt;=cota_s*100,0,IF(Tipo_Vertedor="Retangular",Cd_sr*Lef_sr*((O3015/100-cota_s)^(3/2))*1000)),IF(O3015&lt;=cota_s*100+fi_s/20,0,(OFFSET('Base de dados'!$A$4,IF(O3015&lt;20,1,IF(O3015&gt;1000,10,MATCH(O3015,Cargas,1))),Coluna_fis,1,1))*(PI()*(fi_s/1000)^2/4)*(2*9.81*(O3015/100-cota_s-fi_s/2/1000))^0.5*1000)))</f>
        <v>20052.662214925516</v>
      </c>
      <c r="R3015" s="19">
        <f t="shared" ca="1" si="320"/>
        <v>20126.382164148428</v>
      </c>
      <c r="S3015" s="19">
        <f t="shared" ca="1" si="321"/>
        <v>19582.705377510709</v>
      </c>
    </row>
    <row r="3016" spans="13:19">
      <c r="M3016" s="81">
        <f t="shared" ca="1" si="318"/>
        <v>39727.250813869177</v>
      </c>
      <c r="N3016" s="19">
        <f t="shared" si="319"/>
        <v>587.70036502350717</v>
      </c>
      <c r="O3016" s="17">
        <f t="shared" si="317"/>
        <v>753.75</v>
      </c>
      <c r="P3016" s="19">
        <f ca="1">IF(ISERROR(IF(O3016&lt;fi_h/20,0,(OFFSET('Base de dados'!$A$5,IF(O3016&lt;20,1,IF(O3016&gt;1000,10,MATCH(O3016,Cargas,1))),Coluna_fih,1,1))*(1+0.13*0.25)*(PI()*(fi_h/1000)^2/4)*SQRT(2*9.81*(O3016/100-fi_h/2/1000))*1000)),"",IF(O3016&lt;fi_h/20,0,(OFFSET('Base de dados'!$A$5,IF(O3016&lt;20,1,IF(O3016&gt;1000,10,MATCH(O3016,Cargas,1))),Coluna_fih,1,1))*(PI()*(fi_h/1000)^2/4)*SQRT(2*9.81*(O3016/100-fi_h/2/1000))*1000))</f>
        <v>73.732270009780237</v>
      </c>
      <c r="Q3016" s="19">
        <f ca="1">IF(O3016="","",IF(Tipo_Vertedor="Retangular",IF(O3016&lt;=cota_s*100,0,IF(Tipo_Vertedor="Retangular",Cd_sr*Lef_sr*((O3016/100-cota_s)^(3/2))*1000)),IF(O3016&lt;=cota_s*100+fi_s/20,0,(OFFSET('Base de dados'!$A$4,IF(O3016&lt;20,1,IF(O3016&gt;1000,10,MATCH(O3016,Cargas,1))),Coluna_fis,1,1))*(PI()*(fi_s/1000)^2/4)*(2*9.81*(O3016/100-cota_s-fi_s/2/1000))^0.5*1000)))</f>
        <v>20063.506376409161</v>
      </c>
      <c r="R3016" s="19">
        <f t="shared" ca="1" si="320"/>
        <v>20137.23864641894</v>
      </c>
      <c r="S3016" s="19">
        <f t="shared" ca="1" si="321"/>
        <v>19590.012167450237</v>
      </c>
    </row>
    <row r="3017" spans="13:19">
      <c r="M3017" s="81">
        <f t="shared" ca="1" si="318"/>
        <v>39745.4163400096</v>
      </c>
      <c r="N3017" s="19">
        <f t="shared" si="319"/>
        <v>587.91957777898745</v>
      </c>
      <c r="O3017" s="17">
        <f t="shared" si="317"/>
        <v>754</v>
      </c>
      <c r="P3017" s="19">
        <f ca="1">IF(ISERROR(IF(O3017&lt;fi_h/20,0,(OFFSET('Base de dados'!$A$5,IF(O3017&lt;20,1,IF(O3017&gt;1000,10,MATCH(O3017,Cargas,1))),Coluna_fih,1,1))*(1+0.13*0.25)*(PI()*(fi_h/1000)^2/4)*SQRT(2*9.81*(O3017/100-fi_h/2/1000))*1000)),"",IF(O3017&lt;fi_h/20,0,(OFFSET('Base de dados'!$A$5,IF(O3017&lt;20,1,IF(O3017&gt;1000,10,MATCH(O3017,Cargas,1))),Coluna_fih,1,1))*(PI()*(fi_h/1000)^2/4)*SQRT(2*9.81*(O3017/100-fi_h/2/1000))*1000))</f>
        <v>73.744588738169128</v>
      </c>
      <c r="Q3017" s="19">
        <f ca="1">IF(O3017="","",IF(Tipo_Vertedor="Retangular",IF(O3017&lt;=cota_s*100,0,IF(Tipo_Vertedor="Retangular",Cd_sr*Lef_sr*((O3017/100-cota_s)^(3/2))*1000)),IF(O3017&lt;=cota_s*100+fi_s/20,0,(OFFSET('Base de dados'!$A$4,IF(O3017&lt;20,1,IF(O3017&gt;1000,10,MATCH(O3017,Cargas,1))),Coluna_fis,1,1))*(PI()*(fi_s/1000)^2/4)*(2*9.81*(O3017/100-cota_s-fi_s/2/1000))^0.5*1000)))</f>
        <v>20074.352491971844</v>
      </c>
      <c r="R3017" s="19">
        <f t="shared" ca="1" si="320"/>
        <v>20148.097080710013</v>
      </c>
      <c r="S3017" s="19">
        <f t="shared" ca="1" si="321"/>
        <v>19597.319259299584</v>
      </c>
    </row>
    <row r="3018" spans="13:19">
      <c r="M3018" s="81">
        <f t="shared" ca="1" si="318"/>
        <v>39763.584119641768</v>
      </c>
      <c r="N3018" s="19">
        <f t="shared" si="319"/>
        <v>588.13879958913253</v>
      </c>
      <c r="O3018" s="17">
        <f t="shared" si="317"/>
        <v>754.25</v>
      </c>
      <c r="P3018" s="19">
        <f ca="1">IF(ISERROR(IF(O3018&lt;fi_h/20,0,(OFFSET('Base de dados'!$A$5,IF(O3018&lt;20,1,IF(O3018&gt;1000,10,MATCH(O3018,Cargas,1))),Coluna_fih,1,1))*(1+0.13*0.25)*(PI()*(fi_h/1000)^2/4)*SQRT(2*9.81*(O3018/100-fi_h/2/1000))*1000)),"",IF(O3018&lt;fi_h/20,0,(OFFSET('Base de dados'!$A$5,IF(O3018&lt;20,1,IF(O3018&gt;1000,10,MATCH(O3018,Cargas,1))),Coluna_fih,1,1))*(PI()*(fi_h/1000)^2/4)*SQRT(2*9.81*(O3018/100-fi_h/2/1000))*1000))</f>
        <v>73.756905409109081</v>
      </c>
      <c r="Q3018" s="19">
        <f ca="1">IF(O3018="","",IF(Tipo_Vertedor="Retangular",IF(O3018&lt;=cota_s*100,0,IF(Tipo_Vertedor="Retangular",Cd_sr*Lef_sr*((O3018/100-cota_s)^(3/2))*1000)),IF(O3018&lt;=cota_s*100+fi_s/20,0,(OFFSET('Base de dados'!$A$4,IF(O3018&lt;20,1,IF(O3018&gt;1000,10,MATCH(O3018,Cargas,1))),Coluna_fis,1,1))*(PI()*(fi_s/1000)^2/4)*(2*9.81*(O3018/100-cota_s-fi_s/2/1000))^0.5*1000)))</f>
        <v>20085.200561261576</v>
      </c>
      <c r="R3018" s="19">
        <f t="shared" ca="1" si="320"/>
        <v>20158.957466670683</v>
      </c>
      <c r="S3018" s="19">
        <f t="shared" ca="1" si="321"/>
        <v>19604.626652971085</v>
      </c>
    </row>
    <row r="3019" spans="13:19">
      <c r="M3019" s="81">
        <f t="shared" ca="1" si="318"/>
        <v>39781.754152327339</v>
      </c>
      <c r="N3019" s="19">
        <f t="shared" si="319"/>
        <v>588.35803045131479</v>
      </c>
      <c r="O3019" s="17">
        <f t="shared" si="317"/>
        <v>754.5</v>
      </c>
      <c r="P3019" s="19">
        <f ca="1">IF(ISERROR(IF(O3019&lt;fi_h/20,0,(OFFSET('Base de dados'!$A$5,IF(O3019&lt;20,1,IF(O3019&gt;1000,10,MATCH(O3019,Cargas,1))),Coluna_fih,1,1))*(1+0.13*0.25)*(PI()*(fi_h/1000)^2/4)*SQRT(2*9.81*(O3019/100-fi_h/2/1000))*1000)),"",IF(O3019&lt;fi_h/20,0,(OFFSET('Base de dados'!$A$5,IF(O3019&lt;20,1,IF(O3019&gt;1000,10,MATCH(O3019,Cargas,1))),Coluna_fih,1,1))*(PI()*(fi_h/1000)^2/4)*SQRT(2*9.81*(O3019/100-fi_h/2/1000))*1000))</f>
        <v>73.769220023630623</v>
      </c>
      <c r="Q3019" s="19">
        <f ca="1">IF(O3019="","",IF(Tipo_Vertedor="Retangular",IF(O3019&lt;=cota_s*100,0,IF(Tipo_Vertedor="Retangular",Cd_sr*Lef_sr*((O3019/100-cota_s)^(3/2))*1000)),IF(O3019&lt;=cota_s*100+fi_s/20,0,(OFFSET('Base de dados'!$A$4,IF(O3019&lt;20,1,IF(O3019&gt;1000,10,MATCH(O3019,Cargas,1))),Coluna_fis,1,1))*(PI()*(fi_s/1000)^2/4)*(2*9.81*(O3019/100-cota_s-fi_s/2/1000))^0.5*1000)))</f>
        <v>20096.05058392655</v>
      </c>
      <c r="R3019" s="19">
        <f t="shared" ca="1" si="320"/>
        <v>20169.81980395018</v>
      </c>
      <c r="S3019" s="19">
        <f t="shared" ca="1" si="321"/>
        <v>19611.934348377159</v>
      </c>
    </row>
    <row r="3020" spans="13:19">
      <c r="M3020" s="81">
        <f t="shared" ca="1" si="318"/>
        <v>39799.926437628237</v>
      </c>
      <c r="N3020" s="19">
        <f t="shared" si="319"/>
        <v>588.5772703629093</v>
      </c>
      <c r="O3020" s="17">
        <f t="shared" si="317"/>
        <v>754.75</v>
      </c>
      <c r="P3020" s="19">
        <f ca="1">IF(ISERROR(IF(O3020&lt;fi_h/20,0,(OFFSET('Base de dados'!$A$5,IF(O3020&lt;20,1,IF(O3020&gt;1000,10,MATCH(O3020,Cargas,1))),Coluna_fih,1,1))*(1+0.13*0.25)*(PI()*(fi_h/1000)^2/4)*SQRT(2*9.81*(O3020/100-fi_h/2/1000))*1000)),"",IF(O3020&lt;fi_h/20,0,(OFFSET('Base de dados'!$A$5,IF(O3020&lt;20,1,IF(O3020&gt;1000,10,MATCH(O3020,Cargas,1))),Coluna_fih,1,1))*(PI()*(fi_h/1000)^2/4)*SQRT(2*9.81*(O3020/100-fi_h/2/1000))*1000))</f>
        <v>73.781532582763475</v>
      </c>
      <c r="Q3020" s="19">
        <f ca="1">IF(O3020="","",IF(Tipo_Vertedor="Retangular",IF(O3020&lt;=cota_s*100,0,IF(Tipo_Vertedor="Retangular",Cd_sr*Lef_sr*((O3020/100-cota_s)^(3/2))*1000)),IF(O3020&lt;=cota_s*100+fi_s/20,0,(OFFSET('Base de dados'!$A$4,IF(O3020&lt;20,1,IF(O3020&gt;1000,10,MATCH(O3020,Cargas,1))),Coluna_fis,1,1))*(PI()*(fi_s/1000)^2/4)*(2*9.81*(O3020/100-cota_s-fi_s/2/1000))^0.5*1000)))</f>
        <v>20106.902559615166</v>
      </c>
      <c r="R3020" s="19">
        <f t="shared" ca="1" si="320"/>
        <v>20180.684092197931</v>
      </c>
      <c r="S3020" s="19">
        <f t="shared" ca="1" si="321"/>
        <v>19619.24234543031</v>
      </c>
    </row>
    <row r="3021" spans="13:19">
      <c r="M3021" s="81">
        <f t="shared" ca="1" si="318"/>
        <v>39818.100975106572</v>
      </c>
      <c r="N3021" s="19">
        <f t="shared" si="319"/>
        <v>588.79651932129138</v>
      </c>
      <c r="O3021" s="17">
        <f t="shared" si="317"/>
        <v>755</v>
      </c>
      <c r="P3021" s="19">
        <f ca="1">IF(ISERROR(IF(O3021&lt;fi_h/20,0,(OFFSET('Base de dados'!$A$5,IF(O3021&lt;20,1,IF(O3021&gt;1000,10,MATCH(O3021,Cargas,1))),Coluna_fih,1,1))*(1+0.13*0.25)*(PI()*(fi_h/1000)^2/4)*SQRT(2*9.81*(O3021/100-fi_h/2/1000))*1000)),"",IF(O3021&lt;fi_h/20,0,(OFFSET('Base de dados'!$A$5,IF(O3021&lt;20,1,IF(O3021&gt;1000,10,MATCH(O3021,Cargas,1))),Coluna_fih,1,1))*(PI()*(fi_h/1000)^2/4)*SQRT(2*9.81*(O3021/100-fi_h/2/1000))*1000))</f>
        <v>73.79384308753643</v>
      </c>
      <c r="Q3021" s="19">
        <f ca="1">IF(O3021="","",IF(Tipo_Vertedor="Retangular",IF(O3021&lt;=cota_s*100,0,IF(Tipo_Vertedor="Retangular",Cd_sr*Lef_sr*((O3021/100-cota_s)^(3/2))*1000)),IF(O3021&lt;=cota_s*100+fi_s/20,0,(OFFSET('Base de dados'!$A$4,IF(O3021&lt;20,1,IF(O3021&gt;1000,10,MATCH(O3021,Cargas,1))),Coluna_fis,1,1))*(PI()*(fi_s/1000)^2/4)*(2*9.81*(O3021/100-cota_s-fi_s/2/1000))^0.5*1000)))</f>
        <v>20117.756487975992</v>
      </c>
      <c r="R3021" s="19">
        <f t="shared" ca="1" si="320"/>
        <v>20191.550331063529</v>
      </c>
      <c r="S3021" s="19">
        <f t="shared" ca="1" si="321"/>
        <v>19626.550644043044</v>
      </c>
    </row>
    <row r="3022" spans="13:19">
      <c r="M3022" s="81">
        <f t="shared" ca="1" si="318"/>
        <v>39836.277764324732</v>
      </c>
      <c r="N3022" s="19">
        <f t="shared" si="319"/>
        <v>589.01577732383839</v>
      </c>
      <c r="O3022" s="17">
        <f t="shared" si="317"/>
        <v>755.25</v>
      </c>
      <c r="P3022" s="19">
        <f ca="1">IF(ISERROR(IF(O3022&lt;fi_h/20,0,(OFFSET('Base de dados'!$A$5,IF(O3022&lt;20,1,IF(O3022&gt;1000,10,MATCH(O3022,Cargas,1))),Coluna_fih,1,1))*(1+0.13*0.25)*(PI()*(fi_h/1000)^2/4)*SQRT(2*9.81*(O3022/100-fi_h/2/1000))*1000)),"",IF(O3022&lt;fi_h/20,0,(OFFSET('Base de dados'!$A$5,IF(O3022&lt;20,1,IF(O3022&gt;1000,10,MATCH(O3022,Cargas,1))),Coluna_fih,1,1))*(PI()*(fi_h/1000)^2/4)*SQRT(2*9.81*(O3022/100-fi_h/2/1000))*1000))</f>
        <v>73.806151538977502</v>
      </c>
      <c r="Q3022" s="19">
        <f ca="1">IF(O3022="","",IF(Tipo_Vertedor="Retangular",IF(O3022&lt;=cota_s*100,0,IF(Tipo_Vertedor="Retangular",Cd_sr*Lef_sr*((O3022/100-cota_s)^(3/2))*1000)),IF(O3022&lt;=cota_s*100+fi_s/20,0,(OFFSET('Base de dados'!$A$4,IF(O3022&lt;20,1,IF(O3022&gt;1000,10,MATCH(O3022,Cargas,1))),Coluna_fis,1,1))*(PI()*(fi_s/1000)^2/4)*(2*9.81*(O3022/100-cota_s-fi_s/2/1000))^0.5*1000)))</f>
        <v>20128.612368657807</v>
      </c>
      <c r="R3022" s="19">
        <f t="shared" ca="1" si="320"/>
        <v>20202.418520196785</v>
      </c>
      <c r="S3022" s="19">
        <f t="shared" ca="1" si="321"/>
        <v>19633.859244127947</v>
      </c>
    </row>
    <row r="3023" spans="13:19">
      <c r="M3023" s="81">
        <f t="shared" ca="1" si="318"/>
        <v>39854.456804845337</v>
      </c>
      <c r="N3023" s="19">
        <f t="shared" si="319"/>
        <v>589.23504436792985</v>
      </c>
      <c r="O3023" s="17">
        <f t="shared" si="317"/>
        <v>755.5</v>
      </c>
      <c r="P3023" s="19">
        <f ca="1">IF(ISERROR(IF(O3023&lt;fi_h/20,0,(OFFSET('Base de dados'!$A$5,IF(O3023&lt;20,1,IF(O3023&gt;1000,10,MATCH(O3023,Cargas,1))),Coluna_fih,1,1))*(1+0.13*0.25)*(PI()*(fi_h/1000)^2/4)*SQRT(2*9.81*(O3023/100-fi_h/2/1000))*1000)),"",IF(O3023&lt;fi_h/20,0,(OFFSET('Base de dados'!$A$5,IF(O3023&lt;20,1,IF(O3023&gt;1000,10,MATCH(O3023,Cargas,1))),Coluna_fih,1,1))*(PI()*(fi_h/1000)^2/4)*SQRT(2*9.81*(O3023/100-fi_h/2/1000))*1000))</f>
        <v>73.818457938113781</v>
      </c>
      <c r="Q3023" s="19">
        <f ca="1">IF(O3023="","",IF(Tipo_Vertedor="Retangular",IF(O3023&lt;=cota_s*100,0,IF(Tipo_Vertedor="Retangular",Cd_sr*Lef_sr*((O3023/100-cota_s)^(3/2))*1000)),IF(O3023&lt;=cota_s*100+fi_s/20,0,(OFFSET('Base de dados'!$A$4,IF(O3023&lt;20,1,IF(O3023&gt;1000,10,MATCH(O3023,Cargas,1))),Coluna_fis,1,1))*(PI()*(fi_s/1000)^2/4)*(2*9.81*(O3023/100-cota_s-fi_s/2/1000))^0.5*1000)))</f>
        <v>20139.470201309559</v>
      </c>
      <c r="R3023" s="19">
        <f t="shared" ca="1" si="320"/>
        <v>20213.288659247672</v>
      </c>
      <c r="S3023" s="19">
        <f t="shared" ca="1" si="321"/>
        <v>19641.168145597661</v>
      </c>
    </row>
    <row r="3024" spans="13:19">
      <c r="M3024" s="81">
        <f t="shared" ca="1" si="318"/>
        <v>39872.638096231247</v>
      </c>
      <c r="N3024" s="19">
        <f t="shared" si="319"/>
        <v>589.45432045094606</v>
      </c>
      <c r="O3024" s="17">
        <f t="shared" si="317"/>
        <v>755.75</v>
      </c>
      <c r="P3024" s="19">
        <f ca="1">IF(ISERROR(IF(O3024&lt;fi_h/20,0,(OFFSET('Base de dados'!$A$5,IF(O3024&lt;20,1,IF(O3024&gt;1000,10,MATCH(O3024,Cargas,1))),Coluna_fih,1,1))*(1+0.13*0.25)*(PI()*(fi_h/1000)^2/4)*SQRT(2*9.81*(O3024/100-fi_h/2/1000))*1000)),"",IF(O3024&lt;fi_h/20,0,(OFFSET('Base de dados'!$A$5,IF(O3024&lt;20,1,IF(O3024&gt;1000,10,MATCH(O3024,Cargas,1))),Coluna_fih,1,1))*(PI()*(fi_h/1000)^2/4)*SQRT(2*9.81*(O3024/100-fi_h/2/1000))*1000))</f>
        <v>73.830762285971517</v>
      </c>
      <c r="Q3024" s="19">
        <f ca="1">IF(O3024="","",IF(Tipo_Vertedor="Retangular",IF(O3024&lt;=cota_s*100,0,IF(Tipo_Vertedor="Retangular",Cd_sr*Lef_sr*((O3024/100-cota_s)^(3/2))*1000)),IF(O3024&lt;=cota_s*100+fi_s/20,0,(OFFSET('Base de dados'!$A$4,IF(O3024&lt;20,1,IF(O3024&gt;1000,10,MATCH(O3024,Cargas,1))),Coluna_fis,1,1))*(PI()*(fi_s/1000)^2/4)*(2*9.81*(O3024/100-cota_s-fi_s/2/1000))^0.5*1000)))</f>
        <v>20150.329985580403</v>
      </c>
      <c r="R3024" s="19">
        <f t="shared" ca="1" si="320"/>
        <v>20224.160747866375</v>
      </c>
      <c r="S3024" s="19">
        <f t="shared" ca="1" si="321"/>
        <v>19648.477348364871</v>
      </c>
    </row>
    <row r="3025" spans="13:19">
      <c r="M3025" s="81">
        <f t="shared" ca="1" si="318"/>
        <v>39890.821638045563</v>
      </c>
      <c r="N3025" s="19">
        <f t="shared" si="319"/>
        <v>589.67360557026961</v>
      </c>
      <c r="O3025" s="17">
        <f t="shared" si="317"/>
        <v>756</v>
      </c>
      <c r="P3025" s="19">
        <f ca="1">IF(ISERROR(IF(O3025&lt;fi_h/20,0,(OFFSET('Base de dados'!$A$5,IF(O3025&lt;20,1,IF(O3025&gt;1000,10,MATCH(O3025,Cargas,1))),Coluna_fih,1,1))*(1+0.13*0.25)*(PI()*(fi_h/1000)^2/4)*SQRT(2*9.81*(O3025/100-fi_h/2/1000))*1000)),"",IF(O3025&lt;fi_h/20,0,(OFFSET('Base de dados'!$A$5,IF(O3025&lt;20,1,IF(O3025&gt;1000,10,MATCH(O3025,Cargas,1))),Coluna_fih,1,1))*(PI()*(fi_h/1000)^2/4)*SQRT(2*9.81*(O3025/100-fi_h/2/1000))*1000))</f>
        <v>73.843064583576137</v>
      </c>
      <c r="Q3025" s="19">
        <f ca="1">IF(O3025="","",IF(Tipo_Vertedor="Retangular",IF(O3025&lt;=cota_s*100,0,IF(Tipo_Vertedor="Retangular",Cd_sr*Lef_sr*((O3025/100-cota_s)^(3/2))*1000)),IF(O3025&lt;=cota_s*100+fi_s/20,0,(OFFSET('Base de dados'!$A$4,IF(O3025&lt;20,1,IF(O3025&gt;1000,10,MATCH(O3025,Cargas,1))),Coluna_fis,1,1))*(PI()*(fi_s/1000)^2/4)*(2*9.81*(O3025/100-cota_s-fi_s/2/1000))^0.5*1000)))</f>
        <v>20161.191721119667</v>
      </c>
      <c r="R3025" s="19">
        <f t="shared" ca="1" si="320"/>
        <v>20235.034785703243</v>
      </c>
      <c r="S3025" s="19">
        <f t="shared" ca="1" si="321"/>
        <v>19655.78685234232</v>
      </c>
    </row>
    <row r="3026" spans="13:19">
      <c r="M3026" s="81">
        <f t="shared" ca="1" si="318"/>
        <v>39909.007429851656</v>
      </c>
      <c r="N3026" s="19">
        <f t="shared" si="319"/>
        <v>589.8928997232847</v>
      </c>
      <c r="O3026" s="17">
        <f t="shared" si="317"/>
        <v>756.25</v>
      </c>
      <c r="P3026" s="19">
        <f ca="1">IF(ISERROR(IF(O3026&lt;fi_h/20,0,(OFFSET('Base de dados'!$A$5,IF(O3026&lt;20,1,IF(O3026&gt;1000,10,MATCH(O3026,Cargas,1))),Coluna_fih,1,1))*(1+0.13*0.25)*(PI()*(fi_h/1000)^2/4)*SQRT(2*9.81*(O3026/100-fi_h/2/1000))*1000)),"",IF(O3026&lt;fi_h/20,0,(OFFSET('Base de dados'!$A$5,IF(O3026&lt;20,1,IF(O3026&gt;1000,10,MATCH(O3026,Cargas,1))),Coluna_fih,1,1))*(PI()*(fi_h/1000)^2/4)*SQRT(2*9.81*(O3026/100-fi_h/2/1000))*1000))</f>
        <v>73.855364831952187</v>
      </c>
      <c r="Q3026" s="19">
        <f ca="1">IF(O3026="","",IF(Tipo_Vertedor="Retangular",IF(O3026&lt;=cota_s*100,0,IF(Tipo_Vertedor="Retangular",Cd_sr*Lef_sr*((O3026/100-cota_s)^(3/2))*1000)),IF(O3026&lt;=cota_s*100+fi_s/20,0,(OFFSET('Base de dados'!$A$4,IF(O3026&lt;20,1,IF(O3026&gt;1000,10,MATCH(O3026,Cargas,1))),Coluna_fis,1,1))*(PI()*(fi_s/1000)^2/4)*(2*9.81*(O3026/100-cota_s-fi_s/2/1000))^0.5*1000)))</f>
        <v>20172.055407576881</v>
      </c>
      <c r="R3026" s="19">
        <f t="shared" ca="1" si="320"/>
        <v>20245.910772408835</v>
      </c>
      <c r="S3026" s="19">
        <f t="shared" ca="1" si="321"/>
        <v>19663.09665744282</v>
      </c>
    </row>
    <row r="3027" spans="13:19">
      <c r="M3027" s="81">
        <f t="shared" ca="1" si="318"/>
        <v>39927.195471213119</v>
      </c>
      <c r="N3027" s="19">
        <f t="shared" si="319"/>
        <v>590.11220290737697</v>
      </c>
      <c r="O3027" s="17">
        <f t="shared" ref="O3027:O3090" si="322">IF(ISERROR(IF(O3026+passo_altura&gt;h_max_puls*100,"",O3026+passo_altura)),"",IF(O3026+passo_altura&gt;h_max_puls*100,"",O3026+passo_altura))</f>
        <v>756.5</v>
      </c>
      <c r="P3027" s="19">
        <f ca="1">IF(ISERROR(IF(O3027&lt;fi_h/20,0,(OFFSET('Base de dados'!$A$5,IF(O3027&lt;20,1,IF(O3027&gt;1000,10,MATCH(O3027,Cargas,1))),Coluna_fih,1,1))*(1+0.13*0.25)*(PI()*(fi_h/1000)^2/4)*SQRT(2*9.81*(O3027/100-fi_h/2/1000))*1000)),"",IF(O3027&lt;fi_h/20,0,(OFFSET('Base de dados'!$A$5,IF(O3027&lt;20,1,IF(O3027&gt;1000,10,MATCH(O3027,Cargas,1))),Coluna_fih,1,1))*(PI()*(fi_h/1000)^2/4)*SQRT(2*9.81*(O3027/100-fi_h/2/1000))*1000))</f>
        <v>73.867663032123346</v>
      </c>
      <c r="Q3027" s="19">
        <f ca="1">IF(O3027="","",IF(Tipo_Vertedor="Retangular",IF(O3027&lt;=cota_s*100,0,IF(Tipo_Vertedor="Retangular",Cd_sr*Lef_sr*((O3027/100-cota_s)^(3/2))*1000)),IF(O3027&lt;=cota_s*100+fi_s/20,0,(OFFSET('Base de dados'!$A$4,IF(O3027&lt;20,1,IF(O3027&gt;1000,10,MATCH(O3027,Cargas,1))),Coluna_fis,1,1))*(PI()*(fi_s/1000)^2/4)*(2*9.81*(O3027/100-cota_s-fi_s/2/1000))^0.5*1000)))</f>
        <v>20182.921044601764</v>
      </c>
      <c r="R3027" s="19">
        <f t="shared" ca="1" si="320"/>
        <v>20256.788707633888</v>
      </c>
      <c r="S3027" s="19">
        <f t="shared" ca="1" si="321"/>
        <v>19670.406763579231</v>
      </c>
    </row>
    <row r="3028" spans="13:19">
      <c r="M3028" s="81">
        <f t="shared" ca="1" si="318"/>
        <v>39945.38576169376</v>
      </c>
      <c r="N3028" s="19">
        <f t="shared" si="319"/>
        <v>590.33151511993321</v>
      </c>
      <c r="O3028" s="17">
        <f t="shared" si="322"/>
        <v>756.75</v>
      </c>
      <c r="P3028" s="19">
        <f ca="1">IF(ISERROR(IF(O3028&lt;fi_h/20,0,(OFFSET('Base de dados'!$A$5,IF(O3028&lt;20,1,IF(O3028&gt;1000,10,MATCH(O3028,Cargas,1))),Coluna_fih,1,1))*(1+0.13*0.25)*(PI()*(fi_h/1000)^2/4)*SQRT(2*9.81*(O3028/100-fi_h/2/1000))*1000)),"",IF(O3028&lt;fi_h/20,0,(OFFSET('Base de dados'!$A$5,IF(O3028&lt;20,1,IF(O3028&gt;1000,10,MATCH(O3028,Cargas,1))),Coluna_fih,1,1))*(PI()*(fi_h/1000)^2/4)*SQRT(2*9.81*(O3028/100-fi_h/2/1000))*1000))</f>
        <v>73.879959185112469</v>
      </c>
      <c r="Q3028" s="19">
        <f ca="1">IF(O3028="","",IF(Tipo_Vertedor="Retangular",IF(O3028&lt;=cota_s*100,0,IF(Tipo_Vertedor="Retangular",Cd_sr*Lef_sr*((O3028/100-cota_s)^(3/2))*1000)),IF(O3028&lt;=cota_s*100+fi_s/20,0,(OFFSET('Base de dados'!$A$4,IF(O3028&lt;20,1,IF(O3028&gt;1000,10,MATCH(O3028,Cargas,1))),Coluna_fis,1,1))*(PI()*(fi_s/1000)^2/4)*(2*9.81*(O3028/100-cota_s-fi_s/2/1000))^0.5*1000)))</f>
        <v>20193.788631844203</v>
      </c>
      <c r="R3028" s="19">
        <f t="shared" ca="1" si="320"/>
        <v>20267.668591029316</v>
      </c>
      <c r="S3028" s="19">
        <f t="shared" ca="1" si="321"/>
        <v>19677.71717066444</v>
      </c>
    </row>
    <row r="3029" spans="13:19">
      <c r="M3029" s="81">
        <f t="shared" ca="1" si="318"/>
        <v>39963.578300857669</v>
      </c>
      <c r="N3029" s="19">
        <f t="shared" si="319"/>
        <v>590.55083635834251</v>
      </c>
      <c r="O3029" s="17">
        <f t="shared" si="322"/>
        <v>757</v>
      </c>
      <c r="P3029" s="19">
        <f ca="1">IF(ISERROR(IF(O3029&lt;fi_h/20,0,(OFFSET('Base de dados'!$A$5,IF(O3029&lt;20,1,IF(O3029&gt;1000,10,MATCH(O3029,Cargas,1))),Coluna_fih,1,1))*(1+0.13*0.25)*(PI()*(fi_h/1000)^2/4)*SQRT(2*9.81*(O3029/100-fi_h/2/1000))*1000)),"",IF(O3029&lt;fi_h/20,0,(OFFSET('Base de dados'!$A$5,IF(O3029&lt;20,1,IF(O3029&gt;1000,10,MATCH(O3029,Cargas,1))),Coluna_fih,1,1))*(PI()*(fi_h/1000)^2/4)*SQRT(2*9.81*(O3029/100-fi_h/2/1000))*1000))</f>
        <v>73.892253291941543</v>
      </c>
      <c r="Q3029" s="19">
        <f ca="1">IF(O3029="","",IF(Tipo_Vertedor="Retangular",IF(O3029&lt;=cota_s*100,0,IF(Tipo_Vertedor="Retangular",Cd_sr*Lef_sr*((O3029/100-cota_s)^(3/2))*1000)),IF(O3029&lt;=cota_s*100+fi_s/20,0,(OFFSET('Base de dados'!$A$4,IF(O3029&lt;20,1,IF(O3029&gt;1000,10,MATCH(O3029,Cargas,1))),Coluna_fis,1,1))*(PI()*(fi_s/1000)^2/4)*(2*9.81*(O3029/100-cota_s-fi_s/2/1000))^0.5*1000)))</f>
        <v>20204.658168954309</v>
      </c>
      <c r="R3029" s="19">
        <f t="shared" ca="1" si="320"/>
        <v>20278.550422246251</v>
      </c>
      <c r="S3029" s="19">
        <f t="shared" ca="1" si="321"/>
        <v>19685.027878611418</v>
      </c>
    </row>
    <row r="3030" spans="13:19">
      <c r="M3030" s="81">
        <f t="shared" ca="1" si="318"/>
        <v>39981.773088269161</v>
      </c>
      <c r="N3030" s="19">
        <f t="shared" si="319"/>
        <v>590.77016661999539</v>
      </c>
      <c r="O3030" s="17">
        <f t="shared" si="322"/>
        <v>757.25</v>
      </c>
      <c r="P3030" s="19">
        <f ca="1">IF(ISERROR(IF(O3030&lt;fi_h/20,0,(OFFSET('Base de dados'!$A$5,IF(O3030&lt;20,1,IF(O3030&gt;1000,10,MATCH(O3030,Cargas,1))),Coluna_fih,1,1))*(1+0.13*0.25)*(PI()*(fi_h/1000)^2/4)*SQRT(2*9.81*(O3030/100-fi_h/2/1000))*1000)),"",IF(O3030&lt;fi_h/20,0,(OFFSET('Base de dados'!$A$5,IF(O3030&lt;20,1,IF(O3030&gt;1000,10,MATCH(O3030,Cargas,1))),Coluna_fih,1,1))*(PI()*(fi_h/1000)^2/4)*SQRT(2*9.81*(O3030/100-fi_h/2/1000))*1000))</f>
        <v>73.904545353631718</v>
      </c>
      <c r="Q3030" s="19">
        <f ca="1">IF(O3030="","",IF(Tipo_Vertedor="Retangular",IF(O3030&lt;=cota_s*100,0,IF(Tipo_Vertedor="Retangular",Cd_sr*Lef_sr*((O3030/100-cota_s)^(3/2))*1000)),IF(O3030&lt;=cota_s*100+fi_s/20,0,(OFFSET('Base de dados'!$A$4,IF(O3030&lt;20,1,IF(O3030&gt;1000,10,MATCH(O3030,Cargas,1))),Coluna_fis,1,1))*(PI()*(fi_s/1000)^2/4)*(2*9.81*(O3030/100-cota_s-fi_s/2/1000))^0.5*1000)))</f>
        <v>20215.529655582352</v>
      </c>
      <c r="R3030" s="19">
        <f t="shared" ca="1" si="320"/>
        <v>20289.434200935983</v>
      </c>
      <c r="S3030" s="19">
        <f t="shared" ca="1" si="321"/>
        <v>19692.338887333179</v>
      </c>
    </row>
    <row r="3031" spans="13:19">
      <c r="M3031" s="81">
        <f t="shared" ref="M3031:M3094" ca="1" si="323">IF(O3031="","",2*N3031*1000/(Passo*60)+R3031)</f>
        <v>39999.970123492807</v>
      </c>
      <c r="N3031" s="19">
        <f t="shared" ref="N3031:N3094" si="324">IF(O3031="","",b_0*(O3031/100)^c_0)</f>
        <v>590.98950590228424</v>
      </c>
      <c r="O3031" s="17">
        <f t="shared" si="322"/>
        <v>757.5</v>
      </c>
      <c r="P3031" s="19">
        <f ca="1">IF(ISERROR(IF(O3031&lt;fi_h/20,0,(OFFSET('Base de dados'!$A$5,IF(O3031&lt;20,1,IF(O3031&gt;1000,10,MATCH(O3031,Cargas,1))),Coluna_fih,1,1))*(1+0.13*0.25)*(PI()*(fi_h/1000)^2/4)*SQRT(2*9.81*(O3031/100-fi_h/2/1000))*1000)),"",IF(O3031&lt;fi_h/20,0,(OFFSET('Base de dados'!$A$5,IF(O3031&lt;20,1,IF(O3031&gt;1000,10,MATCH(O3031,Cargas,1))),Coluna_fih,1,1))*(PI()*(fi_h/1000)^2/4)*SQRT(2*9.81*(O3031/100-fi_h/2/1000))*1000))</f>
        <v>73.916835371203291</v>
      </c>
      <c r="Q3031" s="19">
        <f ca="1">IF(O3031="","",IF(Tipo_Vertedor="Retangular",IF(O3031&lt;=cota_s*100,0,IF(Tipo_Vertedor="Retangular",Cd_sr*Lef_sr*((O3031/100-cota_s)^(3/2))*1000)),IF(O3031&lt;=cota_s*100+fi_s/20,0,(OFFSET('Base de dados'!$A$4,IF(O3031&lt;20,1,IF(O3031&gt;1000,10,MATCH(O3031,Cargas,1))),Coluna_fis,1,1))*(PI()*(fi_s/1000)^2/4)*(2*9.81*(O3031/100-cota_s-fi_s/2/1000))^0.5*1000)))</f>
        <v>20226.40309137879</v>
      </c>
      <c r="R3031" s="19">
        <f t="shared" ref="R3031:R3094" ca="1" si="325">IF(O3031="","",Q3031+P3031)</f>
        <v>20300.319926749995</v>
      </c>
      <c r="S3031" s="19">
        <f t="shared" ref="S3031:S3094" ca="1" si="326">IF(M3031="","",2*N3031*1000/(Passo*60))</f>
        <v>19699.650196742808</v>
      </c>
    </row>
    <row r="3032" spans="13:19">
      <c r="M3032" s="81">
        <f t="shared" ca="1" si="323"/>
        <v>40018.169406093373</v>
      </c>
      <c r="N3032" s="19">
        <f t="shared" si="324"/>
        <v>591.20885420260208</v>
      </c>
      <c r="O3032" s="17">
        <f t="shared" si="322"/>
        <v>757.75</v>
      </c>
      <c r="P3032" s="19">
        <f ca="1">IF(ISERROR(IF(O3032&lt;fi_h/20,0,(OFFSET('Base de dados'!$A$5,IF(O3032&lt;20,1,IF(O3032&gt;1000,10,MATCH(O3032,Cargas,1))),Coluna_fih,1,1))*(1+0.13*0.25)*(PI()*(fi_h/1000)^2/4)*SQRT(2*9.81*(O3032/100-fi_h/2/1000))*1000)),"",IF(O3032&lt;fi_h/20,0,(OFFSET('Base de dados'!$A$5,IF(O3032&lt;20,1,IF(O3032&gt;1000,10,MATCH(O3032,Cargas,1))),Coluna_fih,1,1))*(PI()*(fi_h/1000)^2/4)*SQRT(2*9.81*(O3032/100-fi_h/2/1000))*1000))</f>
        <v>73.929123345675706</v>
      </c>
      <c r="Q3032" s="19">
        <f ca="1">IF(O3032="","",IF(Tipo_Vertedor="Retangular",IF(O3032&lt;=cota_s*100,0,IF(Tipo_Vertedor="Retangular",Cd_sr*Lef_sr*((O3032/100-cota_s)^(3/2))*1000)),IF(O3032&lt;=cota_s*100+fi_s/20,0,(OFFSET('Base de dados'!$A$4,IF(O3032&lt;20,1,IF(O3032&gt;1000,10,MATCH(O3032,Cargas,1))),Coluna_fis,1,1))*(PI()*(fi_s/1000)^2/4)*(2*9.81*(O3032/100-cota_s-fi_s/2/1000))^0.5*1000)))</f>
        <v>20237.278475994295</v>
      </c>
      <c r="R3032" s="19">
        <f t="shared" ca="1" si="325"/>
        <v>20311.20759933997</v>
      </c>
      <c r="S3032" s="19">
        <f t="shared" ca="1" si="326"/>
        <v>19706.961806753403</v>
      </c>
    </row>
    <row r="3033" spans="13:19">
      <c r="M3033" s="81">
        <f t="shared" ca="1" si="323"/>
        <v>40036.370935635932</v>
      </c>
      <c r="N3033" s="19">
        <f t="shared" si="324"/>
        <v>591.42821151834494</v>
      </c>
      <c r="O3033" s="17">
        <f t="shared" si="322"/>
        <v>758</v>
      </c>
      <c r="P3033" s="19">
        <f ca="1">IF(ISERROR(IF(O3033&lt;fi_h/20,0,(OFFSET('Base de dados'!$A$5,IF(O3033&lt;20,1,IF(O3033&gt;1000,10,MATCH(O3033,Cargas,1))),Coluna_fih,1,1))*(1+0.13*0.25)*(PI()*(fi_h/1000)^2/4)*SQRT(2*9.81*(O3033/100-fi_h/2/1000))*1000)),"",IF(O3033&lt;fi_h/20,0,(OFFSET('Base de dados'!$A$5,IF(O3033&lt;20,1,IF(O3033&gt;1000,10,MATCH(O3033,Cargas,1))),Coluna_fih,1,1))*(PI()*(fi_h/1000)^2/4)*SQRT(2*9.81*(O3033/100-fi_h/2/1000))*1000))</f>
        <v>73.941409278067553</v>
      </c>
      <c r="Q3033" s="19">
        <f ca="1">IF(O3033="","",IF(Tipo_Vertedor="Retangular",IF(O3033&lt;=cota_s*100,0,IF(Tipo_Vertedor="Retangular",Cd_sr*Lef_sr*((O3033/100-cota_s)^(3/2))*1000)),IF(O3033&lt;=cota_s*100+fi_s/20,0,(OFFSET('Base de dados'!$A$4,IF(O3033&lt;20,1,IF(O3033&gt;1000,10,MATCH(O3033,Cargas,1))),Coluna_fis,1,1))*(PI()*(fi_s/1000)^2/4)*(2*9.81*(O3033/100-cota_s-fi_s/2/1000))^0.5*1000)))</f>
        <v>20248.155809079704</v>
      </c>
      <c r="R3033" s="19">
        <f t="shared" ca="1" si="325"/>
        <v>20322.097218357772</v>
      </c>
      <c r="S3033" s="19">
        <f t="shared" ca="1" si="326"/>
        <v>19714.273717278164</v>
      </c>
    </row>
    <row r="3034" spans="13:19">
      <c r="M3034" s="81">
        <f t="shared" ca="1" si="323"/>
        <v>40054.574711685753</v>
      </c>
      <c r="N3034" s="19">
        <f t="shared" si="324"/>
        <v>591.64757784690937</v>
      </c>
      <c r="O3034" s="17">
        <f t="shared" si="322"/>
        <v>758.25</v>
      </c>
      <c r="P3034" s="19">
        <f ca="1">IF(ISERROR(IF(O3034&lt;fi_h/20,0,(OFFSET('Base de dados'!$A$5,IF(O3034&lt;20,1,IF(O3034&gt;1000,10,MATCH(O3034,Cargas,1))),Coluna_fih,1,1))*(1+0.13*0.25)*(PI()*(fi_h/1000)^2/4)*SQRT(2*9.81*(O3034/100-fi_h/2/1000))*1000)),"",IF(O3034&lt;fi_h/20,0,(OFFSET('Base de dados'!$A$5,IF(O3034&lt;20,1,IF(O3034&gt;1000,10,MATCH(O3034,Cargas,1))),Coluna_fih,1,1))*(PI()*(fi_h/1000)^2/4)*SQRT(2*9.81*(O3034/100-fi_h/2/1000))*1000))</f>
        <v>73.953693169396601</v>
      </c>
      <c r="Q3034" s="19">
        <f ca="1">IF(O3034="","",IF(Tipo_Vertedor="Retangular",IF(O3034&lt;=cota_s*100,0,IF(Tipo_Vertedor="Retangular",Cd_sr*Lef_sr*((O3034/100-cota_s)^(3/2))*1000)),IF(O3034&lt;=cota_s*100+fi_s/20,0,(OFFSET('Base de dados'!$A$4,IF(O3034&lt;20,1,IF(O3034&gt;1000,10,MATCH(O3034,Cargas,1))),Coluna_fis,1,1))*(PI()*(fi_s/1000)^2/4)*(2*9.81*(O3034/100-cota_s-fi_s/2/1000))^0.5*1000)))</f>
        <v>20259.035090286045</v>
      </c>
      <c r="R3034" s="19">
        <f t="shared" ca="1" si="325"/>
        <v>20332.988783455443</v>
      </c>
      <c r="S3034" s="19">
        <f t="shared" ca="1" si="326"/>
        <v>19721.585928230314</v>
      </c>
    </row>
    <row r="3035" spans="13:19">
      <c r="M3035" s="81">
        <f t="shared" ca="1" si="323"/>
        <v>40072.780733808351</v>
      </c>
      <c r="N3035" s="19">
        <f t="shared" si="324"/>
        <v>591.86695318569389</v>
      </c>
      <c r="O3035" s="17">
        <f t="shared" si="322"/>
        <v>758.5</v>
      </c>
      <c r="P3035" s="19">
        <f ca="1">IF(ISERROR(IF(O3035&lt;fi_h/20,0,(OFFSET('Base de dados'!$A$5,IF(O3035&lt;20,1,IF(O3035&gt;1000,10,MATCH(O3035,Cargas,1))),Coluna_fih,1,1))*(1+0.13*0.25)*(PI()*(fi_h/1000)^2/4)*SQRT(2*9.81*(O3035/100-fi_h/2/1000))*1000)),"",IF(O3035&lt;fi_h/20,0,(OFFSET('Base de dados'!$A$5,IF(O3035&lt;20,1,IF(O3035&gt;1000,10,MATCH(O3035,Cargas,1))),Coluna_fih,1,1))*(PI()*(fi_h/1000)^2/4)*SQRT(2*9.81*(O3035/100-fi_h/2/1000))*1000))</f>
        <v>73.965975020679736</v>
      </c>
      <c r="Q3035" s="19">
        <f ca="1">IF(O3035="","",IF(Tipo_Vertedor="Retangular",IF(O3035&lt;=cota_s*100,0,IF(Tipo_Vertedor="Retangular",Cd_sr*Lef_sr*((O3035/100-cota_s)^(3/2))*1000)),IF(O3035&lt;=cota_s*100+fi_s/20,0,(OFFSET('Base de dados'!$A$4,IF(O3035&lt;20,1,IF(O3035&gt;1000,10,MATCH(O3035,Cargas,1))),Coluna_fis,1,1))*(PI()*(fi_s/1000)^2/4)*(2*9.81*(O3035/100-cota_s-fi_s/2/1000))^0.5*1000)))</f>
        <v>20269.916319264536</v>
      </c>
      <c r="R3035" s="19">
        <f t="shared" ca="1" si="325"/>
        <v>20343.882294285217</v>
      </c>
      <c r="S3035" s="19">
        <f t="shared" ca="1" si="326"/>
        <v>19728.898439523131</v>
      </c>
    </row>
    <row r="3036" spans="13:19">
      <c r="M3036" s="81">
        <f t="shared" ca="1" si="323"/>
        <v>40090.989001569476</v>
      </c>
      <c r="N3036" s="19">
        <f t="shared" si="324"/>
        <v>592.08633753209892</v>
      </c>
      <c r="O3036" s="17">
        <f t="shared" si="322"/>
        <v>758.75</v>
      </c>
      <c r="P3036" s="19">
        <f ca="1">IF(ISERROR(IF(O3036&lt;fi_h/20,0,(OFFSET('Base de dados'!$A$5,IF(O3036&lt;20,1,IF(O3036&gt;1000,10,MATCH(O3036,Cargas,1))),Coluna_fih,1,1))*(1+0.13*0.25)*(PI()*(fi_h/1000)^2/4)*SQRT(2*9.81*(O3036/100-fi_h/2/1000))*1000)),"",IF(O3036&lt;fi_h/20,0,(OFFSET('Base de dados'!$A$5,IF(O3036&lt;20,1,IF(O3036&gt;1000,10,MATCH(O3036,Cargas,1))),Coluna_fih,1,1))*(PI()*(fi_h/1000)^2/4)*SQRT(2*9.81*(O3036/100-fi_h/2/1000))*1000))</f>
        <v>73.978254832933033</v>
      </c>
      <c r="Q3036" s="19">
        <f ca="1">IF(O3036="","",IF(Tipo_Vertedor="Retangular",IF(O3036&lt;=cota_s*100,0,IF(Tipo_Vertedor="Retangular",Cd_sr*Lef_sr*((O3036/100-cota_s)^(3/2))*1000)),IF(O3036&lt;=cota_s*100+fi_s/20,0,(OFFSET('Base de dados'!$A$4,IF(O3036&lt;20,1,IF(O3036&gt;1000,10,MATCH(O3036,Cargas,1))),Coluna_fis,1,1))*(PI()*(fi_s/1000)^2/4)*(2*9.81*(O3036/100-cota_s-fi_s/2/1000))^0.5*1000)))</f>
        <v>20280.799495666583</v>
      </c>
      <c r="R3036" s="19">
        <f t="shared" ca="1" si="325"/>
        <v>20354.777750499514</v>
      </c>
      <c r="S3036" s="19">
        <f t="shared" ca="1" si="326"/>
        <v>19736.211251069963</v>
      </c>
    </row>
    <row r="3037" spans="13:19">
      <c r="M3037" s="81">
        <f t="shared" ca="1" si="323"/>
        <v>40109.199514535139</v>
      </c>
      <c r="N3037" s="19">
        <f t="shared" si="324"/>
        <v>592.30573088352594</v>
      </c>
      <c r="O3037" s="17">
        <f t="shared" si="322"/>
        <v>759</v>
      </c>
      <c r="P3037" s="19">
        <f ca="1">IF(ISERROR(IF(O3037&lt;fi_h/20,0,(OFFSET('Base de dados'!$A$5,IF(O3037&lt;20,1,IF(O3037&gt;1000,10,MATCH(O3037,Cargas,1))),Coluna_fih,1,1))*(1+0.13*0.25)*(PI()*(fi_h/1000)^2/4)*SQRT(2*9.81*(O3037/100-fi_h/2/1000))*1000)),"",IF(O3037&lt;fi_h/20,0,(OFFSET('Base de dados'!$A$5,IF(O3037&lt;20,1,IF(O3037&gt;1000,10,MATCH(O3037,Cargas,1))),Coluna_fih,1,1))*(PI()*(fi_h/1000)^2/4)*SQRT(2*9.81*(O3037/100-fi_h/2/1000))*1000))</f>
        <v>73.99053260717173</v>
      </c>
      <c r="Q3037" s="19">
        <f ca="1">IF(O3037="","",IF(Tipo_Vertedor="Retangular",IF(O3037&lt;=cota_s*100,0,IF(Tipo_Vertedor="Retangular",Cd_sr*Lef_sr*((O3037/100-cota_s)^(3/2))*1000)),IF(O3037&lt;=cota_s*100+fi_s/20,0,(OFFSET('Base de dados'!$A$4,IF(O3037&lt;20,1,IF(O3037&gt;1000,10,MATCH(O3037,Cargas,1))),Coluna_fis,1,1))*(PI()*(fi_s/1000)^2/4)*(2*9.81*(O3037/100-cota_s-fi_s/2/1000))^0.5*1000)))</f>
        <v>20291.684619143776</v>
      </c>
      <c r="R3037" s="19">
        <f t="shared" ca="1" si="325"/>
        <v>20365.675151750947</v>
      </c>
      <c r="S3037" s="19">
        <f t="shared" ca="1" si="326"/>
        <v>19743.524362784196</v>
      </c>
    </row>
    <row r="3038" spans="13:19">
      <c r="M3038" s="81">
        <f t="shared" ca="1" si="323"/>
        <v>40127.412272271606</v>
      </c>
      <c r="N3038" s="19">
        <f t="shared" si="324"/>
        <v>592.52513323737867</v>
      </c>
      <c r="O3038" s="17">
        <f t="shared" si="322"/>
        <v>759.25</v>
      </c>
      <c r="P3038" s="19">
        <f ca="1">IF(ISERROR(IF(O3038&lt;fi_h/20,0,(OFFSET('Base de dados'!$A$5,IF(O3038&lt;20,1,IF(O3038&gt;1000,10,MATCH(O3038,Cargas,1))),Coluna_fih,1,1))*(1+0.13*0.25)*(PI()*(fi_h/1000)^2/4)*SQRT(2*9.81*(O3038/100-fi_h/2/1000))*1000)),"",IF(O3038&lt;fi_h/20,0,(OFFSET('Base de dados'!$A$5,IF(O3038&lt;20,1,IF(O3038&gt;1000,10,MATCH(O3038,Cargas,1))),Coluna_fih,1,1))*(PI()*(fi_h/1000)^2/4)*SQRT(2*9.81*(O3038/100-fi_h/2/1000))*1000))</f>
        <v>74.00280834441017</v>
      </c>
      <c r="Q3038" s="19">
        <f ca="1">IF(O3038="","",IF(Tipo_Vertedor="Retangular",IF(O3038&lt;=cota_s*100,0,IF(Tipo_Vertedor="Retangular",Cd_sr*Lef_sr*((O3038/100-cota_s)^(3/2))*1000)),IF(O3038&lt;=cota_s*100+fi_s/20,0,(OFFSET('Base de dados'!$A$4,IF(O3038&lt;20,1,IF(O3038&gt;1000,10,MATCH(O3038,Cargas,1))),Coluna_fis,1,1))*(PI()*(fi_s/1000)^2/4)*(2*9.81*(O3038/100-cota_s-fi_s/2/1000))^0.5*1000)))</f>
        <v>20302.571689347908</v>
      </c>
      <c r="R3038" s="19">
        <f t="shared" ca="1" si="325"/>
        <v>20376.574497692316</v>
      </c>
      <c r="S3038" s="19">
        <f t="shared" ca="1" si="326"/>
        <v>19750.83777457929</v>
      </c>
    </row>
    <row r="3039" spans="13:19">
      <c r="M3039" s="81">
        <f t="shared" ca="1" si="323"/>
        <v>40145.627274345301</v>
      </c>
      <c r="N3039" s="19">
        <f t="shared" si="324"/>
        <v>592.74454459106153</v>
      </c>
      <c r="O3039" s="17">
        <f t="shared" si="322"/>
        <v>759.5</v>
      </c>
      <c r="P3039" s="19">
        <f ca="1">IF(ISERROR(IF(O3039&lt;fi_h/20,0,(OFFSET('Base de dados'!$A$5,IF(O3039&lt;20,1,IF(O3039&gt;1000,10,MATCH(O3039,Cargas,1))),Coluna_fih,1,1))*(1+0.13*0.25)*(PI()*(fi_h/1000)^2/4)*SQRT(2*9.81*(O3039/100-fi_h/2/1000))*1000)),"",IF(O3039&lt;fi_h/20,0,(OFFSET('Base de dados'!$A$5,IF(O3039&lt;20,1,IF(O3039&gt;1000,10,MATCH(O3039,Cargas,1))),Coluna_fih,1,1))*(PI()*(fi_h/1000)^2/4)*SQRT(2*9.81*(O3039/100-fi_h/2/1000))*1000))</f>
        <v>74.015082045661927</v>
      </c>
      <c r="Q3039" s="19">
        <f ca="1">IF(O3039="","",IF(Tipo_Vertedor="Retangular",IF(O3039&lt;=cota_s*100,0,IF(Tipo_Vertedor="Retangular",Cd_sr*Lef_sr*((O3039/100-cota_s)^(3/2))*1000)),IF(O3039&lt;=cota_s*100+fi_s/20,0,(OFFSET('Base de dados'!$A$4,IF(O3039&lt;20,1,IF(O3039&gt;1000,10,MATCH(O3039,Cargas,1))),Coluna_fis,1,1))*(PI()*(fi_s/1000)^2/4)*(2*9.81*(O3039/100-cota_s-fi_s/2/1000))^0.5*1000)))</f>
        <v>20313.460705930916</v>
      </c>
      <c r="R3039" s="19">
        <f t="shared" ca="1" si="325"/>
        <v>20387.475787976578</v>
      </c>
      <c r="S3039" s="19">
        <f t="shared" ca="1" si="326"/>
        <v>19758.151486368719</v>
      </c>
    </row>
    <row r="3040" spans="13:19">
      <c r="M3040" s="81">
        <f t="shared" ca="1" si="323"/>
        <v>40163.844520322986</v>
      </c>
      <c r="N3040" s="19">
        <f t="shared" si="324"/>
        <v>592.96396494198154</v>
      </c>
      <c r="O3040" s="17">
        <f t="shared" si="322"/>
        <v>759.75</v>
      </c>
      <c r="P3040" s="19">
        <f ca="1">IF(ISERROR(IF(O3040&lt;fi_h/20,0,(OFFSET('Base de dados'!$A$5,IF(O3040&lt;20,1,IF(O3040&gt;1000,10,MATCH(O3040,Cargas,1))),Coluna_fih,1,1))*(1+0.13*0.25)*(PI()*(fi_h/1000)^2/4)*SQRT(2*9.81*(O3040/100-fi_h/2/1000))*1000)),"",IF(O3040&lt;fi_h/20,0,(OFFSET('Base de dados'!$A$5,IF(O3040&lt;20,1,IF(O3040&gt;1000,10,MATCH(O3040,Cargas,1))),Coluna_fih,1,1))*(PI()*(fi_h/1000)^2/4)*SQRT(2*9.81*(O3040/100-fi_h/2/1000))*1000))</f>
        <v>74.027353711939682</v>
      </c>
      <c r="Q3040" s="19">
        <f ca="1">IF(O3040="","",IF(Tipo_Vertedor="Retangular",IF(O3040&lt;=cota_s*100,0,IF(Tipo_Vertedor="Retangular",Cd_sr*Lef_sr*((O3040/100-cota_s)^(3/2))*1000)),IF(O3040&lt;=cota_s*100+fi_s/20,0,(OFFSET('Base de dados'!$A$4,IF(O3040&lt;20,1,IF(O3040&gt;1000,10,MATCH(O3040,Cargas,1))),Coluna_fis,1,1))*(PI()*(fi_s/1000)^2/4)*(2*9.81*(O3040/100-cota_s-fi_s/2/1000))^0.5*1000)))</f>
        <v>20324.351668544994</v>
      </c>
      <c r="R3040" s="19">
        <f t="shared" ca="1" si="325"/>
        <v>20398.379022256933</v>
      </c>
      <c r="S3040" s="19">
        <f t="shared" ca="1" si="326"/>
        <v>19765.465498066053</v>
      </c>
    </row>
    <row r="3041" spans="13:19">
      <c r="M3041" s="81">
        <f t="shared" ca="1" si="323"/>
        <v>40182.06400977158</v>
      </c>
      <c r="N3041" s="19">
        <f t="shared" si="324"/>
        <v>593.18339428754655</v>
      </c>
      <c r="O3041" s="17">
        <f t="shared" si="322"/>
        <v>760</v>
      </c>
      <c r="P3041" s="19">
        <f ca="1">IF(ISERROR(IF(O3041&lt;fi_h/20,0,(OFFSET('Base de dados'!$A$5,IF(O3041&lt;20,1,IF(O3041&gt;1000,10,MATCH(O3041,Cargas,1))),Coluna_fih,1,1))*(1+0.13*0.25)*(PI()*(fi_h/1000)^2/4)*SQRT(2*9.81*(O3041/100-fi_h/2/1000))*1000)),"",IF(O3041&lt;fi_h/20,0,(OFFSET('Base de dados'!$A$5,IF(O3041&lt;20,1,IF(O3041&gt;1000,10,MATCH(O3041,Cargas,1))),Coluna_fih,1,1))*(PI()*(fi_h/1000)^2/4)*SQRT(2*9.81*(O3041/100-fi_h/2/1000))*1000))</f>
        <v>74.039623344255276</v>
      </c>
      <c r="Q3041" s="19">
        <f ca="1">IF(O3041="","",IF(Tipo_Vertedor="Retangular",IF(O3041&lt;=cota_s*100,0,IF(Tipo_Vertedor="Retangular",Cd_sr*Lef_sr*((O3041/100-cota_s)^(3/2))*1000)),IF(O3041&lt;=cota_s*100+fi_s/20,0,(OFFSET('Base de dados'!$A$4,IF(O3041&lt;20,1,IF(O3041&gt;1000,10,MATCH(O3041,Cargas,1))),Coluna_fis,1,1))*(PI()*(fi_s/1000)^2/4)*(2*9.81*(O3041/100-cota_s-fi_s/2/1000))^0.5*1000)))</f>
        <v>20335.244576842437</v>
      </c>
      <c r="R3041" s="19">
        <f t="shared" ca="1" si="325"/>
        <v>20409.284200186692</v>
      </c>
      <c r="S3041" s="19">
        <f t="shared" ca="1" si="326"/>
        <v>19772.779809584885</v>
      </c>
    </row>
    <row r="3042" spans="13:19">
      <c r="M3042" s="81">
        <f t="shared" ca="1" si="323"/>
        <v>40200.285742258326</v>
      </c>
      <c r="N3042" s="19">
        <f t="shared" si="324"/>
        <v>593.40283262516675</v>
      </c>
      <c r="O3042" s="17">
        <f t="shared" si="322"/>
        <v>760.25</v>
      </c>
      <c r="P3042" s="19">
        <f ca="1">IF(ISERROR(IF(O3042&lt;fi_h/20,0,(OFFSET('Base de dados'!$A$5,IF(O3042&lt;20,1,IF(O3042&gt;1000,10,MATCH(O3042,Cargas,1))),Coluna_fih,1,1))*(1+0.13*0.25)*(PI()*(fi_h/1000)^2/4)*SQRT(2*9.81*(O3042/100-fi_h/2/1000))*1000)),"",IF(O3042&lt;fi_h/20,0,(OFFSET('Base de dados'!$A$5,IF(O3042&lt;20,1,IF(O3042&gt;1000,10,MATCH(O3042,Cargas,1))),Coluna_fih,1,1))*(PI()*(fi_h/1000)^2/4)*SQRT(2*9.81*(O3042/100-fi_h/2/1000))*1000))</f>
        <v>74.051890943619753</v>
      </c>
      <c r="Q3042" s="19">
        <f ca="1">IF(O3042="","",IF(Tipo_Vertedor="Retangular",IF(O3042&lt;=cota_s*100,0,IF(Tipo_Vertedor="Retangular",Cd_sr*Lef_sr*((O3042/100-cota_s)^(3/2))*1000)),IF(O3042&lt;=cota_s*100+fi_s/20,0,(OFFSET('Base de dados'!$A$4,IF(O3042&lt;20,1,IF(O3042&gt;1000,10,MATCH(O3042,Cargas,1))),Coluna_fis,1,1))*(PI()*(fi_s/1000)^2/4)*(2*9.81*(O3042/100-cota_s-fi_s/2/1000))^0.5*1000)))</f>
        <v>20346.139430475814</v>
      </c>
      <c r="R3042" s="19">
        <f t="shared" ca="1" si="325"/>
        <v>20420.191321419436</v>
      </c>
      <c r="S3042" s="19">
        <f t="shared" ca="1" si="326"/>
        <v>19780.09442083889</v>
      </c>
    </row>
    <row r="3043" spans="13:19">
      <c r="M3043" s="81">
        <f t="shared" ca="1" si="323"/>
        <v>40218.509717350629</v>
      </c>
      <c r="N3043" s="19">
        <f t="shared" si="324"/>
        <v>593.62227995225317</v>
      </c>
      <c r="O3043" s="17">
        <f t="shared" si="322"/>
        <v>760.5</v>
      </c>
      <c r="P3043" s="19">
        <f ca="1">IF(ISERROR(IF(O3043&lt;fi_h/20,0,(OFFSET('Base de dados'!$A$5,IF(O3043&lt;20,1,IF(O3043&gt;1000,10,MATCH(O3043,Cargas,1))),Coluna_fih,1,1))*(1+0.13*0.25)*(PI()*(fi_h/1000)^2/4)*SQRT(2*9.81*(O3043/100-fi_h/2/1000))*1000)),"",IF(O3043&lt;fi_h/20,0,(OFFSET('Base de dados'!$A$5,IF(O3043&lt;20,1,IF(O3043&gt;1000,10,MATCH(O3043,Cargas,1))),Coluna_fih,1,1))*(PI()*(fi_h/1000)^2/4)*SQRT(2*9.81*(O3043/100-fi_h/2/1000))*1000))</f>
        <v>74.064156511043294</v>
      </c>
      <c r="Q3043" s="19">
        <f ca="1">IF(O3043="","",IF(Tipo_Vertedor="Retangular",IF(O3043&lt;=cota_s*100,0,IF(Tipo_Vertedor="Retangular",Cd_sr*Lef_sr*((O3043/100-cota_s)^(3/2))*1000)),IF(O3043&lt;=cota_s*100+fi_s/20,0,(OFFSET('Base de dados'!$A$4,IF(O3043&lt;20,1,IF(O3043&gt;1000,10,MATCH(O3043,Cargas,1))),Coluna_fis,1,1))*(PI()*(fi_s/1000)^2/4)*(2*9.81*(O3043/100-cota_s-fi_s/2/1000))^0.5*1000)))</f>
        <v>20357.036229097812</v>
      </c>
      <c r="R3043" s="19">
        <f t="shared" ca="1" si="325"/>
        <v>20431.100385608854</v>
      </c>
      <c r="S3043" s="19">
        <f t="shared" ca="1" si="326"/>
        <v>19787.409331741776</v>
      </c>
    </row>
    <row r="3044" spans="13:19">
      <c r="M3044" s="81">
        <f t="shared" ca="1" si="323"/>
        <v>40236.735934616139</v>
      </c>
      <c r="N3044" s="19">
        <f t="shared" si="324"/>
        <v>593.84173626621862</v>
      </c>
      <c r="O3044" s="17">
        <f t="shared" si="322"/>
        <v>760.75</v>
      </c>
      <c r="P3044" s="19">
        <f ca="1">IF(ISERROR(IF(O3044&lt;fi_h/20,0,(OFFSET('Base de dados'!$A$5,IF(O3044&lt;20,1,IF(O3044&gt;1000,10,MATCH(O3044,Cargas,1))),Coluna_fih,1,1))*(1+0.13*0.25)*(PI()*(fi_h/1000)^2/4)*SQRT(2*9.81*(O3044/100-fi_h/2/1000))*1000)),"",IF(O3044&lt;fi_h/20,0,(OFFSET('Base de dados'!$A$5,IF(O3044&lt;20,1,IF(O3044&gt;1000,10,MATCH(O3044,Cargas,1))),Coluna_fih,1,1))*(PI()*(fi_h/1000)^2/4)*SQRT(2*9.81*(O3044/100-fi_h/2/1000))*1000))</f>
        <v>74.076420047535223</v>
      </c>
      <c r="Q3044" s="19">
        <f ca="1">IF(O3044="","",IF(Tipo_Vertedor="Retangular",IF(O3044&lt;=cota_s*100,0,IF(Tipo_Vertedor="Retangular",Cd_sr*Lef_sr*((O3044/100-cota_s)^(3/2))*1000)),IF(O3044&lt;=cota_s*100+fi_s/20,0,(OFFSET('Base de dados'!$A$4,IF(O3044&lt;20,1,IF(O3044&gt;1000,10,MATCH(O3044,Cargas,1))),Coluna_fis,1,1))*(PI()*(fi_s/1000)^2/4)*(2*9.81*(O3044/100-cota_s-fi_s/2/1000))^0.5*1000)))</f>
        <v>20367.93497236132</v>
      </c>
      <c r="R3044" s="19">
        <f t="shared" ca="1" si="325"/>
        <v>20442.011392408855</v>
      </c>
      <c r="S3044" s="19">
        <f t="shared" ca="1" si="326"/>
        <v>19794.724542207285</v>
      </c>
    </row>
    <row r="3045" spans="13:19">
      <c r="M3045" s="81">
        <f t="shared" ca="1" si="323"/>
        <v>40254.964393622824</v>
      </c>
      <c r="N3045" s="19">
        <f t="shared" si="324"/>
        <v>594.06120156447855</v>
      </c>
      <c r="O3045" s="17">
        <f t="shared" si="322"/>
        <v>761</v>
      </c>
      <c r="P3045" s="19">
        <f ca="1">IF(ISERROR(IF(O3045&lt;fi_h/20,0,(OFFSET('Base de dados'!$A$5,IF(O3045&lt;20,1,IF(O3045&gt;1000,10,MATCH(O3045,Cargas,1))),Coluna_fih,1,1))*(1+0.13*0.25)*(PI()*(fi_h/1000)^2/4)*SQRT(2*9.81*(O3045/100-fi_h/2/1000))*1000)),"",IF(O3045&lt;fi_h/20,0,(OFFSET('Base de dados'!$A$5,IF(O3045&lt;20,1,IF(O3045&gt;1000,10,MATCH(O3045,Cargas,1))),Coluna_fih,1,1))*(PI()*(fi_h/1000)^2/4)*SQRT(2*9.81*(O3045/100-fi_h/2/1000))*1000))</f>
        <v>74.08868155410407</v>
      </c>
      <c r="Q3045" s="19">
        <f ca="1">IF(O3045="","",IF(Tipo_Vertedor="Retangular",IF(O3045&lt;=cota_s*100,0,IF(Tipo_Vertedor="Retangular",Cd_sr*Lef_sr*((O3045/100-cota_s)^(3/2))*1000)),IF(O3045&lt;=cota_s*100+fi_s/20,0,(OFFSET('Base de dados'!$A$4,IF(O3045&lt;20,1,IF(O3045&gt;1000,10,MATCH(O3045,Cargas,1))),Coluna_fis,1,1))*(PI()*(fi_s/1000)^2/4)*(2*9.81*(O3045/100-cota_s-fi_s/2/1000))^0.5*1000)))</f>
        <v>20378.835659919438</v>
      </c>
      <c r="R3045" s="19">
        <f t="shared" ca="1" si="325"/>
        <v>20452.924341473543</v>
      </c>
      <c r="S3045" s="19">
        <f t="shared" ca="1" si="326"/>
        <v>19802.040052149285</v>
      </c>
    </row>
    <row r="3046" spans="13:19">
      <c r="M3046" s="81">
        <f t="shared" ca="1" si="323"/>
        <v>40273.195093938775</v>
      </c>
      <c r="N3046" s="19">
        <f t="shared" si="324"/>
        <v>594.28067584444784</v>
      </c>
      <c r="O3046" s="17">
        <f t="shared" si="322"/>
        <v>761.25</v>
      </c>
      <c r="P3046" s="19">
        <f ca="1">IF(ISERROR(IF(O3046&lt;fi_h/20,0,(OFFSET('Base de dados'!$A$5,IF(O3046&lt;20,1,IF(O3046&gt;1000,10,MATCH(O3046,Cargas,1))),Coluna_fih,1,1))*(1+0.13*0.25)*(PI()*(fi_h/1000)^2/4)*SQRT(2*9.81*(O3046/100-fi_h/2/1000))*1000)),"",IF(O3046&lt;fi_h/20,0,(OFFSET('Base de dados'!$A$5,IF(O3046&lt;20,1,IF(O3046&gt;1000,10,MATCH(O3046,Cargas,1))),Coluna_fih,1,1))*(PI()*(fi_h/1000)^2/4)*SQRT(2*9.81*(O3046/100-fi_h/2/1000))*1000))</f>
        <v>74.100941031757486</v>
      </c>
      <c r="Q3046" s="19">
        <f ca="1">IF(O3046="","",IF(Tipo_Vertedor="Retangular",IF(O3046&lt;=cota_s*100,0,IF(Tipo_Vertedor="Retangular",Cd_sr*Lef_sr*((O3046/100-cota_s)^(3/2))*1000)),IF(O3046&lt;=cota_s*100+fi_s/20,0,(OFFSET('Base de dados'!$A$4,IF(O3046&lt;20,1,IF(O3046&gt;1000,10,MATCH(O3046,Cargas,1))),Coluna_fis,1,1))*(PI()*(fi_s/1000)^2/4)*(2*9.81*(O3046/100-cota_s-fi_s/2/1000))^0.5*1000)))</f>
        <v>20389.73829142543</v>
      </c>
      <c r="R3046" s="19">
        <f t="shared" ca="1" si="325"/>
        <v>20463.839232457187</v>
      </c>
      <c r="S3046" s="19">
        <f t="shared" ca="1" si="326"/>
        <v>19809.355861481592</v>
      </c>
    </row>
    <row r="3047" spans="13:19">
      <c r="M3047" s="81">
        <f t="shared" ca="1" si="323"/>
        <v>40291.42803513242</v>
      </c>
      <c r="N3047" s="19">
        <f t="shared" si="324"/>
        <v>594.50015910354512</v>
      </c>
      <c r="O3047" s="17">
        <f t="shared" si="322"/>
        <v>761.5</v>
      </c>
      <c r="P3047" s="19">
        <f ca="1">IF(ISERROR(IF(O3047&lt;fi_h/20,0,(OFFSET('Base de dados'!$A$5,IF(O3047&lt;20,1,IF(O3047&gt;1000,10,MATCH(O3047,Cargas,1))),Coluna_fih,1,1))*(1+0.13*0.25)*(PI()*(fi_h/1000)^2/4)*SQRT(2*9.81*(O3047/100-fi_h/2/1000))*1000)),"",IF(O3047&lt;fi_h/20,0,(OFFSET('Base de dados'!$A$5,IF(O3047&lt;20,1,IF(O3047&gt;1000,10,MATCH(O3047,Cargas,1))),Coluna_fih,1,1))*(PI()*(fi_h/1000)^2/4)*SQRT(2*9.81*(O3047/100-fi_h/2/1000))*1000))</f>
        <v>74.113198481502351</v>
      </c>
      <c r="Q3047" s="19">
        <f ca="1">IF(O3047="","",IF(Tipo_Vertedor="Retangular",IF(O3047&lt;=cota_s*100,0,IF(Tipo_Vertedor="Retangular",Cd_sr*Lef_sr*((O3047/100-cota_s)^(3/2))*1000)),IF(O3047&lt;=cota_s*100+fi_s/20,0,(OFFSET('Base de dados'!$A$4,IF(O3047&lt;20,1,IF(O3047&gt;1000,10,MATCH(O3047,Cargas,1))),Coluna_fis,1,1))*(PI()*(fi_s/1000)^2/4)*(2*9.81*(O3047/100-cota_s-fi_s/2/1000))^0.5*1000)))</f>
        <v>20400.642866532744</v>
      </c>
      <c r="R3047" s="19">
        <f t="shared" ca="1" si="325"/>
        <v>20474.756065014248</v>
      </c>
      <c r="S3047" s="19">
        <f t="shared" ca="1" si="326"/>
        <v>19816.671970118172</v>
      </c>
    </row>
    <row r="3048" spans="13:19">
      <c r="M3048" s="81">
        <f t="shared" ca="1" si="323"/>
        <v>40309.663216772358</v>
      </c>
      <c r="N3048" s="19">
        <f t="shared" si="324"/>
        <v>594.71965133918923</v>
      </c>
      <c r="O3048" s="17">
        <f t="shared" si="322"/>
        <v>761.75</v>
      </c>
      <c r="P3048" s="19">
        <f ca="1">IF(ISERROR(IF(O3048&lt;fi_h/20,0,(OFFSET('Base de dados'!$A$5,IF(O3048&lt;20,1,IF(O3048&gt;1000,10,MATCH(O3048,Cargas,1))),Coluna_fih,1,1))*(1+0.13*0.25)*(PI()*(fi_h/1000)^2/4)*SQRT(2*9.81*(O3048/100-fi_h/2/1000))*1000)),"",IF(O3048&lt;fi_h/20,0,(OFFSET('Base de dados'!$A$5,IF(O3048&lt;20,1,IF(O3048&gt;1000,10,MATCH(O3048,Cargas,1))),Coluna_fih,1,1))*(PI()*(fi_h/1000)^2/4)*SQRT(2*9.81*(O3048/100-fi_h/2/1000))*1000))</f>
        <v>74.125453904344667</v>
      </c>
      <c r="Q3048" s="19">
        <f ca="1">IF(O3048="","",IF(Tipo_Vertedor="Retangular",IF(O3048&lt;=cota_s*100,0,IF(Tipo_Vertedor="Retangular",Cd_sr*Lef_sr*((O3048/100-cota_s)^(3/2))*1000)),IF(O3048&lt;=cota_s*100+fi_s/20,0,(OFFSET('Base de dados'!$A$4,IF(O3048&lt;20,1,IF(O3048&gt;1000,10,MATCH(O3048,Cargas,1))),Coluna_fis,1,1))*(PI()*(fi_s/1000)^2/4)*(2*9.81*(O3048/100-cota_s-fi_s/2/1000))^0.5*1000)))</f>
        <v>20411.549384895035</v>
      </c>
      <c r="R3048" s="19">
        <f t="shared" ca="1" si="325"/>
        <v>20485.674838799379</v>
      </c>
      <c r="S3048" s="19">
        <f t="shared" ca="1" si="326"/>
        <v>19823.988377972975</v>
      </c>
    </row>
    <row r="3049" spans="13:19">
      <c r="M3049" s="81">
        <f t="shared" ca="1" si="323"/>
        <v>40327.900638427454</v>
      </c>
      <c r="N3049" s="19">
        <f t="shared" si="324"/>
        <v>594.9391525488013</v>
      </c>
      <c r="O3049" s="17">
        <f t="shared" si="322"/>
        <v>762</v>
      </c>
      <c r="P3049" s="19">
        <f ca="1">IF(ISERROR(IF(O3049&lt;fi_h/20,0,(OFFSET('Base de dados'!$A$5,IF(O3049&lt;20,1,IF(O3049&gt;1000,10,MATCH(O3049,Cargas,1))),Coluna_fih,1,1))*(1+0.13*0.25)*(PI()*(fi_h/1000)^2/4)*SQRT(2*9.81*(O3049/100-fi_h/2/1000))*1000)),"",IF(O3049&lt;fi_h/20,0,(OFFSET('Base de dados'!$A$5,IF(O3049&lt;20,1,IF(O3049&gt;1000,10,MATCH(O3049,Cargas,1))),Coluna_fih,1,1))*(PI()*(fi_h/1000)^2/4)*SQRT(2*9.81*(O3049/100-fi_h/2/1000))*1000))</f>
        <v>74.137707301289581</v>
      </c>
      <c r="Q3049" s="19">
        <f ca="1">IF(O3049="","",IF(Tipo_Vertedor="Retangular",IF(O3049&lt;=cota_s*100,0,IF(Tipo_Vertedor="Retangular",Cd_sr*Lef_sr*((O3049/100-cota_s)^(3/2))*1000)),IF(O3049&lt;=cota_s*100+fi_s/20,0,(OFFSET('Base de dados'!$A$4,IF(O3049&lt;20,1,IF(O3049&gt;1000,10,MATCH(O3049,Cargas,1))),Coluna_fis,1,1))*(PI()*(fi_s/1000)^2/4)*(2*9.81*(O3049/100-cota_s-fi_s/2/1000))^0.5*1000)))</f>
        <v>20422.457846166122</v>
      </c>
      <c r="R3049" s="19">
        <f t="shared" ca="1" si="325"/>
        <v>20496.59555346741</v>
      </c>
      <c r="S3049" s="19">
        <f t="shared" ca="1" si="326"/>
        <v>19831.305084960044</v>
      </c>
    </row>
    <row r="3050" spans="13:19">
      <c r="M3050" s="81">
        <f t="shared" ca="1" si="323"/>
        <v>40346.140299666811</v>
      </c>
      <c r="N3050" s="19">
        <f t="shared" si="324"/>
        <v>595.15866272980429</v>
      </c>
      <c r="O3050" s="17">
        <f t="shared" si="322"/>
        <v>762.25</v>
      </c>
      <c r="P3050" s="19">
        <f ca="1">IF(ISERROR(IF(O3050&lt;fi_h/20,0,(OFFSET('Base de dados'!$A$5,IF(O3050&lt;20,1,IF(O3050&gt;1000,10,MATCH(O3050,Cargas,1))),Coluna_fih,1,1))*(1+0.13*0.25)*(PI()*(fi_h/1000)^2/4)*SQRT(2*9.81*(O3050/100-fi_h/2/1000))*1000)),"",IF(O3050&lt;fi_h/20,0,(OFFSET('Base de dados'!$A$5,IF(O3050&lt;20,1,IF(O3050&gt;1000,10,MATCH(O3050,Cargas,1))),Coluna_fih,1,1))*(PI()*(fi_h/1000)^2/4)*SQRT(2*9.81*(O3050/100-fi_h/2/1000))*1000))</f>
        <v>74.149958673341487</v>
      </c>
      <c r="Q3050" s="19">
        <f ca="1">IF(O3050="","",IF(Tipo_Vertedor="Retangular",IF(O3050&lt;=cota_s*100,0,IF(Tipo_Vertedor="Retangular",Cd_sr*Lef_sr*((O3050/100-cota_s)^(3/2))*1000)),IF(O3050&lt;=cota_s*100+fi_s/20,0,(OFFSET('Base de dados'!$A$4,IF(O3050&lt;20,1,IF(O3050&gt;1000,10,MATCH(O3050,Cargas,1))),Coluna_fis,1,1))*(PI()*(fi_s/1000)^2/4)*(2*9.81*(O3050/100-cota_s-fi_s/2/1000))^0.5*1000)))</f>
        <v>20433.368249999996</v>
      </c>
      <c r="R3050" s="19">
        <f t="shared" ca="1" si="325"/>
        <v>20507.518208673337</v>
      </c>
      <c r="S3050" s="19">
        <f t="shared" ca="1" si="326"/>
        <v>19838.622090993475</v>
      </c>
    </row>
    <row r="3051" spans="13:19">
      <c r="M3051" s="81">
        <f t="shared" ca="1" si="323"/>
        <v>40364.382200059765</v>
      </c>
      <c r="N3051" s="19">
        <f t="shared" si="324"/>
        <v>595.37818187962125</v>
      </c>
      <c r="O3051" s="17">
        <f t="shared" si="322"/>
        <v>762.5</v>
      </c>
      <c r="P3051" s="19">
        <f ca="1">IF(ISERROR(IF(O3051&lt;fi_h/20,0,(OFFSET('Base de dados'!$A$5,IF(O3051&lt;20,1,IF(O3051&gt;1000,10,MATCH(O3051,Cargas,1))),Coluna_fih,1,1))*(1+0.13*0.25)*(PI()*(fi_h/1000)^2/4)*SQRT(2*9.81*(O3051/100-fi_h/2/1000))*1000)),"",IF(O3051&lt;fi_h/20,0,(OFFSET('Base de dados'!$A$5,IF(O3051&lt;20,1,IF(O3051&gt;1000,10,MATCH(O3051,Cargas,1))),Coluna_fih,1,1))*(PI()*(fi_h/1000)^2/4)*SQRT(2*9.81*(O3051/100-fi_h/2/1000))*1000))</f>
        <v>74.162208021503858</v>
      </c>
      <c r="Q3051" s="19">
        <f ca="1">IF(O3051="","",IF(Tipo_Vertedor="Retangular",IF(O3051&lt;=cota_s*100,0,IF(Tipo_Vertedor="Retangular",Cd_sr*Lef_sr*((O3051/100-cota_s)^(3/2))*1000)),IF(O3051&lt;=cota_s*100+fi_s/20,0,(OFFSET('Base de dados'!$A$4,IF(O3051&lt;20,1,IF(O3051&gt;1000,10,MATCH(O3051,Cargas,1))),Coluna_fis,1,1))*(PI()*(fi_s/1000)^2/4)*(2*9.81*(O3051/100-cota_s-fi_s/2/1000))^0.5*1000)))</f>
        <v>20444.280596050885</v>
      </c>
      <c r="R3051" s="19">
        <f t="shared" ca="1" si="325"/>
        <v>20518.442804072391</v>
      </c>
      <c r="S3051" s="19">
        <f t="shared" ca="1" si="326"/>
        <v>19845.939395987374</v>
      </c>
    </row>
    <row r="3052" spans="13:19">
      <c r="M3052" s="81">
        <f t="shared" ca="1" si="323"/>
        <v>40382.626339175869</v>
      </c>
      <c r="N3052" s="19">
        <f t="shared" si="324"/>
        <v>595.59770999567888</v>
      </c>
      <c r="O3052" s="17">
        <f t="shared" si="322"/>
        <v>762.75</v>
      </c>
      <c r="P3052" s="19">
        <f ca="1">IF(ISERROR(IF(O3052&lt;fi_h/20,0,(OFFSET('Base de dados'!$A$5,IF(O3052&lt;20,1,IF(O3052&gt;1000,10,MATCH(O3052,Cargas,1))),Coluna_fih,1,1))*(1+0.13*0.25)*(PI()*(fi_h/1000)^2/4)*SQRT(2*9.81*(O3052/100-fi_h/2/1000))*1000)),"",IF(O3052&lt;fi_h/20,0,(OFFSET('Base de dados'!$A$5,IF(O3052&lt;20,1,IF(O3052&gt;1000,10,MATCH(O3052,Cargas,1))),Coluna_fih,1,1))*(PI()*(fi_h/1000)^2/4)*SQRT(2*9.81*(O3052/100-fi_h/2/1000))*1000))</f>
        <v>74.174455346779425</v>
      </c>
      <c r="Q3052" s="19">
        <f ca="1">IF(O3052="","",IF(Tipo_Vertedor="Retangular",IF(O3052&lt;=cota_s*100,0,IF(Tipo_Vertedor="Retangular",Cd_sr*Lef_sr*((O3052/100-cota_s)^(3/2))*1000)),IF(O3052&lt;=cota_s*100+fi_s/20,0,(OFFSET('Base de dados'!$A$4,IF(O3052&lt;20,1,IF(O3052&gt;1000,10,MATCH(O3052,Cargas,1))),Coluna_fis,1,1))*(PI()*(fi_s/1000)^2/4)*(2*9.81*(O3052/100-cota_s-fi_s/2/1000))^0.5*1000)))</f>
        <v>20455.19488397313</v>
      </c>
      <c r="R3052" s="19">
        <f t="shared" ca="1" si="325"/>
        <v>20529.36933931991</v>
      </c>
      <c r="S3052" s="19">
        <f t="shared" ca="1" si="326"/>
        <v>19853.256999855963</v>
      </c>
    </row>
    <row r="3053" spans="13:19">
      <c r="M3053" s="81">
        <f t="shared" ca="1" si="323"/>
        <v>40400.872716584956</v>
      </c>
      <c r="N3053" s="19">
        <f t="shared" si="324"/>
        <v>595.81724707540366</v>
      </c>
      <c r="O3053" s="17">
        <f t="shared" si="322"/>
        <v>763</v>
      </c>
      <c r="P3053" s="19">
        <f ca="1">IF(ISERROR(IF(O3053&lt;fi_h/20,0,(OFFSET('Base de dados'!$A$5,IF(O3053&lt;20,1,IF(O3053&gt;1000,10,MATCH(O3053,Cargas,1))),Coluna_fih,1,1))*(1+0.13*0.25)*(PI()*(fi_h/1000)^2/4)*SQRT(2*9.81*(O3053/100-fi_h/2/1000))*1000)),"",IF(O3053&lt;fi_h/20,0,(OFFSET('Base de dados'!$A$5,IF(O3053&lt;20,1,IF(O3053&gt;1000,10,MATCH(O3053,Cargas,1))),Coluna_fih,1,1))*(PI()*(fi_h/1000)^2/4)*SQRT(2*9.81*(O3053/100-fi_h/2/1000))*1000))</f>
        <v>74.18670065017001</v>
      </c>
      <c r="Q3053" s="19">
        <f ca="1">IF(O3053="","",IF(Tipo_Vertedor="Retangular",IF(O3053&lt;=cota_s*100,0,IF(Tipo_Vertedor="Retangular",Cd_sr*Lef_sr*((O3053/100-cota_s)^(3/2))*1000)),IF(O3053&lt;=cota_s*100+fi_s/20,0,(OFFSET('Base de dados'!$A$4,IF(O3053&lt;20,1,IF(O3053&gt;1000,10,MATCH(O3053,Cargas,1))),Coluna_fis,1,1))*(PI()*(fi_s/1000)^2/4)*(2*9.81*(O3053/100-cota_s-fi_s/2/1000))^0.5*1000)))</f>
        <v>20466.111113421332</v>
      </c>
      <c r="R3053" s="19">
        <f t="shared" ca="1" si="325"/>
        <v>20540.297814071502</v>
      </c>
      <c r="S3053" s="19">
        <f t="shared" ca="1" si="326"/>
        <v>19860.574902513457</v>
      </c>
    </row>
    <row r="3054" spans="13:19">
      <c r="M3054" s="81">
        <f t="shared" ca="1" si="323"/>
        <v>40419.121331857066</v>
      </c>
      <c r="N3054" s="19">
        <f t="shared" si="324"/>
        <v>596.036793116225</v>
      </c>
      <c r="O3054" s="17">
        <f t="shared" si="322"/>
        <v>763.25</v>
      </c>
      <c r="P3054" s="19">
        <f ca="1">IF(ISERROR(IF(O3054&lt;fi_h/20,0,(OFFSET('Base de dados'!$A$5,IF(O3054&lt;20,1,IF(O3054&gt;1000,10,MATCH(O3054,Cargas,1))),Coluna_fih,1,1))*(1+0.13*0.25)*(PI()*(fi_h/1000)^2/4)*SQRT(2*9.81*(O3054/100-fi_h/2/1000))*1000)),"",IF(O3054&lt;fi_h/20,0,(OFFSET('Base de dados'!$A$5,IF(O3054&lt;20,1,IF(O3054&gt;1000,10,MATCH(O3054,Cargas,1))),Coluna_fih,1,1))*(PI()*(fi_h/1000)^2/4)*SQRT(2*9.81*(O3054/100-fi_h/2/1000))*1000))</f>
        <v>74.198943932676684</v>
      </c>
      <c r="Q3054" s="19">
        <f ca="1">IF(O3054="","",IF(Tipo_Vertedor="Retangular",IF(O3054&lt;=cota_s*100,0,IF(Tipo_Vertedor="Retangular",Cd_sr*Lef_sr*((O3054/100-cota_s)^(3/2))*1000)),IF(O3054&lt;=cota_s*100+fi_s/20,0,(OFFSET('Base de dados'!$A$4,IF(O3054&lt;20,1,IF(O3054&gt;1000,10,MATCH(O3054,Cargas,1))),Coluna_fis,1,1))*(PI()*(fi_s/1000)^2/4)*(2*9.81*(O3054/100-cota_s-fi_s/2/1000))^0.5*1000)))</f>
        <v>20477.029284050219</v>
      </c>
      <c r="R3054" s="19">
        <f t="shared" ca="1" si="325"/>
        <v>20551.228227982894</v>
      </c>
      <c r="S3054" s="19">
        <f t="shared" ca="1" si="326"/>
        <v>19867.893103874168</v>
      </c>
    </row>
    <row r="3055" spans="13:19">
      <c r="M3055" s="81">
        <f t="shared" ca="1" si="323"/>
        <v>40437.372184562468</v>
      </c>
      <c r="N3055" s="19">
        <f t="shared" si="324"/>
        <v>596.25634811557336</v>
      </c>
      <c r="O3055" s="17">
        <f t="shared" si="322"/>
        <v>763.5</v>
      </c>
      <c r="P3055" s="19">
        <f ca="1">IF(ISERROR(IF(O3055&lt;fi_h/20,0,(OFFSET('Base de dados'!$A$5,IF(O3055&lt;20,1,IF(O3055&gt;1000,10,MATCH(O3055,Cargas,1))),Coluna_fih,1,1))*(1+0.13*0.25)*(PI()*(fi_h/1000)^2/4)*SQRT(2*9.81*(O3055/100-fi_h/2/1000))*1000)),"",IF(O3055&lt;fi_h/20,0,(OFFSET('Base de dados'!$A$5,IF(O3055&lt;20,1,IF(O3055&gt;1000,10,MATCH(O3055,Cargas,1))),Coluna_fih,1,1))*(PI()*(fi_h/1000)^2/4)*SQRT(2*9.81*(O3055/100-fi_h/2/1000))*1000))</f>
        <v>74.211185195299649</v>
      </c>
      <c r="Q3055" s="19">
        <f ca="1">IF(O3055="","",IF(Tipo_Vertedor="Retangular",IF(O3055&lt;=cota_s*100,0,IF(Tipo_Vertedor="Retangular",Cd_sr*Lef_sr*((O3055/100-cota_s)^(3/2))*1000)),IF(O3055&lt;=cota_s*100+fi_s/20,0,(OFFSET('Base de dados'!$A$4,IF(O3055&lt;20,1,IF(O3055&gt;1000,10,MATCH(O3055,Cargas,1))),Coluna_fis,1,1))*(PI()*(fi_s/1000)^2/4)*(2*9.81*(O3055/100-cota_s-fi_s/2/1000))^0.5*1000)))</f>
        <v>20487.949395514715</v>
      </c>
      <c r="R3055" s="19">
        <f t="shared" ca="1" si="325"/>
        <v>20562.160580710017</v>
      </c>
      <c r="S3055" s="19">
        <f t="shared" ca="1" si="326"/>
        <v>19875.211603852447</v>
      </c>
    </row>
    <row r="3056" spans="13:19">
      <c r="M3056" s="81">
        <f t="shared" ca="1" si="323"/>
        <v>40455.625274271646</v>
      </c>
      <c r="N3056" s="19">
        <f t="shared" si="324"/>
        <v>596.47591207087999</v>
      </c>
      <c r="O3056" s="17">
        <f t="shared" si="322"/>
        <v>763.75</v>
      </c>
      <c r="P3056" s="19">
        <f ca="1">IF(ISERROR(IF(O3056&lt;fi_h/20,0,(OFFSET('Base de dados'!$A$5,IF(O3056&lt;20,1,IF(O3056&gt;1000,10,MATCH(O3056,Cargas,1))),Coluna_fih,1,1))*(1+0.13*0.25)*(PI()*(fi_h/1000)^2/4)*SQRT(2*9.81*(O3056/100-fi_h/2/1000))*1000)),"",IF(O3056&lt;fi_h/20,0,(OFFSET('Base de dados'!$A$5,IF(O3056&lt;20,1,IF(O3056&gt;1000,10,MATCH(O3056,Cargas,1))),Coluna_fih,1,1))*(PI()*(fi_h/1000)^2/4)*SQRT(2*9.81*(O3056/100-fi_h/2/1000))*1000))</f>
        <v>74.223424439038254</v>
      </c>
      <c r="Q3056" s="19">
        <f ca="1">IF(O3056="","",IF(Tipo_Vertedor="Retangular",IF(O3056&lt;=cota_s*100,0,IF(Tipo_Vertedor="Retangular",Cd_sr*Lef_sr*((O3056/100-cota_s)^(3/2))*1000)),IF(O3056&lt;=cota_s*100+fi_s/20,0,(OFFSET('Base de dados'!$A$4,IF(O3056&lt;20,1,IF(O3056&gt;1000,10,MATCH(O3056,Cargas,1))),Coluna_fis,1,1))*(PI()*(fi_s/1000)^2/4)*(2*9.81*(O3056/100-cota_s-fi_s/2/1000))^0.5*1000)))</f>
        <v>20498.871447469941</v>
      </c>
      <c r="R3056" s="19">
        <f t="shared" ca="1" si="325"/>
        <v>20573.094871908979</v>
      </c>
      <c r="S3056" s="19">
        <f t="shared" ca="1" si="326"/>
        <v>19882.530402362663</v>
      </c>
    </row>
    <row r="3057" spans="13:19">
      <c r="M3057" s="81">
        <f t="shared" ca="1" si="323"/>
        <v>40473.880600555407</v>
      </c>
      <c r="N3057" s="19">
        <f t="shared" si="324"/>
        <v>596.69548497957908</v>
      </c>
      <c r="O3057" s="17">
        <f t="shared" si="322"/>
        <v>764</v>
      </c>
      <c r="P3057" s="19">
        <f ca="1">IF(ISERROR(IF(O3057&lt;fi_h/20,0,(OFFSET('Base de dados'!$A$5,IF(O3057&lt;20,1,IF(O3057&gt;1000,10,MATCH(O3057,Cargas,1))),Coluna_fih,1,1))*(1+0.13*0.25)*(PI()*(fi_h/1000)^2/4)*SQRT(2*9.81*(O3057/100-fi_h/2/1000))*1000)),"",IF(O3057&lt;fi_h/20,0,(OFFSET('Base de dados'!$A$5,IF(O3057&lt;20,1,IF(O3057&gt;1000,10,MATCH(O3057,Cargas,1))),Coluna_fih,1,1))*(PI()*(fi_h/1000)^2/4)*SQRT(2*9.81*(O3057/100-fi_h/2/1000))*1000))</f>
        <v>74.235661664891126</v>
      </c>
      <c r="Q3057" s="19">
        <f ca="1">IF(O3057="","",IF(Tipo_Vertedor="Retangular",IF(O3057&lt;=cota_s*100,0,IF(Tipo_Vertedor="Retangular",Cd_sr*Lef_sr*((O3057/100-cota_s)^(3/2))*1000)),IF(O3057&lt;=cota_s*100+fi_s/20,0,(OFFSET('Base de dados'!$A$4,IF(O3057&lt;20,1,IF(O3057&gt;1000,10,MATCH(O3057,Cargas,1))),Coluna_fis,1,1))*(PI()*(fi_s/1000)^2/4)*(2*9.81*(O3057/100-cota_s-fi_s/2/1000))^0.5*1000)))</f>
        <v>20509.795439571211</v>
      </c>
      <c r="R3057" s="19">
        <f t="shared" ca="1" si="325"/>
        <v>20584.031101236102</v>
      </c>
      <c r="S3057" s="19">
        <f t="shared" ca="1" si="326"/>
        <v>19889.849499319305</v>
      </c>
    </row>
    <row r="3058" spans="13:19">
      <c r="M3058" s="81">
        <f t="shared" ca="1" si="323"/>
        <v>40492.138162984716</v>
      </c>
      <c r="N3058" s="19">
        <f t="shared" si="324"/>
        <v>596.91506683910575</v>
      </c>
      <c r="O3058" s="17">
        <f t="shared" si="322"/>
        <v>764.25</v>
      </c>
      <c r="P3058" s="19">
        <f ca="1">IF(ISERROR(IF(O3058&lt;fi_h/20,0,(OFFSET('Base de dados'!$A$5,IF(O3058&lt;20,1,IF(O3058&gt;1000,10,MATCH(O3058,Cargas,1))),Coluna_fih,1,1))*(1+0.13*0.25)*(PI()*(fi_h/1000)^2/4)*SQRT(2*9.81*(O3058/100-fi_h/2/1000))*1000)),"",IF(O3058&lt;fi_h/20,0,(OFFSET('Base de dados'!$A$5,IF(O3058&lt;20,1,IF(O3058&gt;1000,10,MATCH(O3058,Cargas,1))),Coluna_fih,1,1))*(PI()*(fi_h/1000)^2/4)*SQRT(2*9.81*(O3058/100-fi_h/2/1000))*1000))</f>
        <v>74.247896873855936</v>
      </c>
      <c r="Q3058" s="19">
        <f ca="1">IF(O3058="","",IF(Tipo_Vertedor="Retangular",IF(O3058&lt;=cota_s*100,0,IF(Tipo_Vertedor="Retangular",Cd_sr*Lef_sr*((O3058/100-cota_s)^(3/2))*1000)),IF(O3058&lt;=cota_s*100+fi_s/20,0,(OFFSET('Base de dados'!$A$4,IF(O3058&lt;20,1,IF(O3058&gt;1000,10,MATCH(O3058,Cargas,1))),Coluna_fis,1,1))*(PI()*(fi_s/1000)^2/4)*(2*9.81*(O3058/100-cota_s-fi_s/2/1000))^0.5*1000)))</f>
        <v>20520.721371473999</v>
      </c>
      <c r="R3058" s="19">
        <f t="shared" ca="1" si="325"/>
        <v>20594.969268347853</v>
      </c>
      <c r="S3058" s="19">
        <f t="shared" ca="1" si="326"/>
        <v>19897.168894636859</v>
      </c>
    </row>
    <row r="3059" spans="13:19">
      <c r="M3059" s="81">
        <f t="shared" ca="1" si="323"/>
        <v>40510.39796113078</v>
      </c>
      <c r="N3059" s="19">
        <f t="shared" si="324"/>
        <v>597.13465764689658</v>
      </c>
      <c r="O3059" s="17">
        <f t="shared" si="322"/>
        <v>764.5</v>
      </c>
      <c r="P3059" s="19">
        <f ca="1">IF(ISERROR(IF(O3059&lt;fi_h/20,0,(OFFSET('Base de dados'!$A$5,IF(O3059&lt;20,1,IF(O3059&gt;1000,10,MATCH(O3059,Cargas,1))),Coluna_fih,1,1))*(1+0.13*0.25)*(PI()*(fi_h/1000)^2/4)*SQRT(2*9.81*(O3059/100-fi_h/2/1000))*1000)),"",IF(O3059&lt;fi_h/20,0,(OFFSET('Base de dados'!$A$5,IF(O3059&lt;20,1,IF(O3059&gt;1000,10,MATCH(O3059,Cargas,1))),Coluna_fih,1,1))*(PI()*(fi_h/1000)^2/4)*SQRT(2*9.81*(O3059/100-fi_h/2/1000))*1000))</f>
        <v>74.260130066929648</v>
      </c>
      <c r="Q3059" s="19">
        <f ca="1">IF(O3059="","",IF(Tipo_Vertedor="Retangular",IF(O3059&lt;=cota_s*100,0,IF(Tipo_Vertedor="Retangular",Cd_sr*Lef_sr*((O3059/100-cota_s)^(3/2))*1000)),IF(O3059&lt;=cota_s*100+fi_s/20,0,(OFFSET('Base de dados'!$A$4,IF(O3059&lt;20,1,IF(O3059&gt;1000,10,MATCH(O3059,Cargas,1))),Coluna_fis,1,1))*(PI()*(fi_s/1000)^2/4)*(2*9.81*(O3059/100-cota_s-fi_s/2/1000))^0.5*1000)))</f>
        <v>20531.649242833966</v>
      </c>
      <c r="R3059" s="19">
        <f t="shared" ca="1" si="325"/>
        <v>20605.909372900896</v>
      </c>
      <c r="S3059" s="19">
        <f t="shared" ca="1" si="326"/>
        <v>19904.488588229884</v>
      </c>
    </row>
    <row r="3060" spans="13:19">
      <c r="M3060" s="81">
        <f t="shared" ca="1" si="323"/>
        <v>40528.659994565074</v>
      </c>
      <c r="N3060" s="19">
        <f t="shared" si="324"/>
        <v>597.35425740038988</v>
      </c>
      <c r="O3060" s="17">
        <f t="shared" si="322"/>
        <v>764.75</v>
      </c>
      <c r="P3060" s="19">
        <f ca="1">IF(ISERROR(IF(O3060&lt;fi_h/20,0,(OFFSET('Base de dados'!$A$5,IF(O3060&lt;20,1,IF(O3060&gt;1000,10,MATCH(O3060,Cargas,1))),Coluna_fih,1,1))*(1+0.13*0.25)*(PI()*(fi_h/1000)^2/4)*SQRT(2*9.81*(O3060/100-fi_h/2/1000))*1000)),"",IF(O3060&lt;fi_h/20,0,(OFFSET('Base de dados'!$A$5,IF(O3060&lt;20,1,IF(O3060&gt;1000,10,MATCH(O3060,Cargas,1))),Coluna_fih,1,1))*(PI()*(fi_h/1000)^2/4)*SQRT(2*9.81*(O3060/100-fi_h/2/1000))*1000))</f>
        <v>74.272361245108343</v>
      </c>
      <c r="Q3060" s="19">
        <f ca="1">IF(O3060="","",IF(Tipo_Vertedor="Retangular",IF(O3060&lt;=cota_s*100,0,IF(Tipo_Vertedor="Retangular",Cd_sr*Lef_sr*((O3060/100-cota_s)^(3/2))*1000)),IF(O3060&lt;=cota_s*100+fi_s/20,0,(OFFSET('Base de dados'!$A$4,IF(O3060&lt;20,1,IF(O3060&gt;1000,10,MATCH(O3060,Cargas,1))),Coluna_fis,1,1))*(PI()*(fi_s/1000)^2/4)*(2*9.81*(O3060/100-cota_s-fi_s/2/1000))^0.5*1000)))</f>
        <v>20542.57905330697</v>
      </c>
      <c r="R3060" s="19">
        <f t="shared" ca="1" si="325"/>
        <v>20616.851414552078</v>
      </c>
      <c r="S3060" s="19">
        <f t="shared" ca="1" si="326"/>
        <v>19911.808580012996</v>
      </c>
    </row>
    <row r="3061" spans="13:19">
      <c r="M3061" s="81">
        <f t="shared" ca="1" si="323"/>
        <v>40546.924262859284</v>
      </c>
      <c r="N3061" s="19">
        <f t="shared" si="324"/>
        <v>597.57386609702553</v>
      </c>
      <c r="O3061" s="17">
        <f t="shared" si="322"/>
        <v>765</v>
      </c>
      <c r="P3061" s="19">
        <f ca="1">IF(ISERROR(IF(O3061&lt;fi_h/20,0,(OFFSET('Base de dados'!$A$5,IF(O3061&lt;20,1,IF(O3061&gt;1000,10,MATCH(O3061,Cargas,1))),Coluna_fih,1,1))*(1+0.13*0.25)*(PI()*(fi_h/1000)^2/4)*SQRT(2*9.81*(O3061/100-fi_h/2/1000))*1000)),"",IF(O3061&lt;fi_h/20,0,(OFFSET('Base de dados'!$A$5,IF(O3061&lt;20,1,IF(O3061&gt;1000,10,MATCH(O3061,Cargas,1))),Coluna_fih,1,1))*(PI()*(fi_h/1000)^2/4)*SQRT(2*9.81*(O3061/100-fi_h/2/1000))*1000))</f>
        <v>74.284590409387292</v>
      </c>
      <c r="Q3061" s="19">
        <f ca="1">IF(O3061="","",IF(Tipo_Vertedor="Retangular",IF(O3061&lt;=cota_s*100,0,IF(Tipo_Vertedor="Retangular",Cd_sr*Lef_sr*((O3061/100-cota_s)^(3/2))*1000)),IF(O3061&lt;=cota_s*100+fi_s/20,0,(OFFSET('Base de dados'!$A$4,IF(O3061&lt;20,1,IF(O3061&gt;1000,10,MATCH(O3061,Cargas,1))),Coluna_fis,1,1))*(PI()*(fi_s/1000)^2/4)*(2*9.81*(O3061/100-cota_s-fi_s/2/1000))^0.5*1000)))</f>
        <v>20553.510802549044</v>
      </c>
      <c r="R3061" s="19">
        <f t="shared" ca="1" si="325"/>
        <v>20627.795392958433</v>
      </c>
      <c r="S3061" s="19">
        <f t="shared" ca="1" si="326"/>
        <v>19919.128869900851</v>
      </c>
    </row>
    <row r="3062" spans="13:19">
      <c r="M3062" s="81">
        <f t="shared" ca="1" si="323"/>
        <v>40565.190765585328</v>
      </c>
      <c r="N3062" s="19">
        <f t="shared" si="324"/>
        <v>597.79348373424523</v>
      </c>
      <c r="O3062" s="17">
        <f t="shared" si="322"/>
        <v>765.25</v>
      </c>
      <c r="P3062" s="19">
        <f ca="1">IF(ISERROR(IF(O3062&lt;fi_h/20,0,(OFFSET('Base de dados'!$A$5,IF(O3062&lt;20,1,IF(O3062&gt;1000,10,MATCH(O3062,Cargas,1))),Coluna_fih,1,1))*(1+0.13*0.25)*(PI()*(fi_h/1000)^2/4)*SQRT(2*9.81*(O3062/100-fi_h/2/1000))*1000)),"",IF(O3062&lt;fi_h/20,0,(OFFSET('Base de dados'!$A$5,IF(O3062&lt;20,1,IF(O3062&gt;1000,10,MATCH(O3062,Cargas,1))),Coluna_fih,1,1))*(PI()*(fi_h/1000)^2/4)*SQRT(2*9.81*(O3062/100-fi_h/2/1000))*1000))</f>
        <v>74.296817560760942</v>
      </c>
      <c r="Q3062" s="19">
        <f ca="1">IF(O3062="","",IF(Tipo_Vertedor="Retangular",IF(O3062&lt;=cota_s*100,0,IF(Tipo_Vertedor="Retangular",Cd_sr*Lef_sr*((O3062/100-cota_s)^(3/2))*1000)),IF(O3062&lt;=cota_s*100+fi_s/20,0,(OFFSET('Base de dados'!$A$4,IF(O3062&lt;20,1,IF(O3062&gt;1000,10,MATCH(O3062,Cargas,1))),Coluna_fis,1,1))*(PI()*(fi_s/1000)^2/4)*(2*9.81*(O3062/100-cota_s-fi_s/2/1000))^0.5*1000)))</f>
        <v>20564.444490216396</v>
      </c>
      <c r="R3062" s="19">
        <f t="shared" ca="1" si="325"/>
        <v>20638.741307777156</v>
      </c>
      <c r="S3062" s="19">
        <f t="shared" ca="1" si="326"/>
        <v>19926.449457808172</v>
      </c>
    </row>
    <row r="3063" spans="13:19">
      <c r="M3063" s="81">
        <f t="shared" ca="1" si="323"/>
        <v>40583.459502315367</v>
      </c>
      <c r="N3063" s="19">
        <f t="shared" si="324"/>
        <v>598.01311030949125</v>
      </c>
      <c r="O3063" s="17">
        <f t="shared" si="322"/>
        <v>765.5</v>
      </c>
      <c r="P3063" s="19">
        <f ca="1">IF(ISERROR(IF(O3063&lt;fi_h/20,0,(OFFSET('Base de dados'!$A$5,IF(O3063&lt;20,1,IF(O3063&gt;1000,10,MATCH(O3063,Cargas,1))),Coluna_fih,1,1))*(1+0.13*0.25)*(PI()*(fi_h/1000)^2/4)*SQRT(2*9.81*(O3063/100-fi_h/2/1000))*1000)),"",IF(O3063&lt;fi_h/20,0,(OFFSET('Base de dados'!$A$5,IF(O3063&lt;20,1,IF(O3063&gt;1000,10,MATCH(O3063,Cargas,1))),Coluna_fih,1,1))*(PI()*(fi_h/1000)^2/4)*SQRT(2*9.81*(O3063/100-fi_h/2/1000))*1000))</f>
        <v>74.30904270022296</v>
      </c>
      <c r="Q3063" s="19">
        <f ca="1">IF(O3063="","",IF(Tipo_Vertedor="Retangular",IF(O3063&lt;=cota_s*100,0,IF(Tipo_Vertedor="Retangular",Cd_sr*Lef_sr*((O3063/100-cota_s)^(3/2))*1000)),IF(O3063&lt;=cota_s*100+fi_s/20,0,(OFFSET('Base de dados'!$A$4,IF(O3063&lt;20,1,IF(O3063&gt;1000,10,MATCH(O3063,Cargas,1))),Coluna_fis,1,1))*(PI()*(fi_s/1000)^2/4)*(2*9.81*(O3063/100-cota_s-fi_s/2/1000))^0.5*1000)))</f>
        <v>20575.380115965436</v>
      </c>
      <c r="R3063" s="19">
        <f t="shared" ca="1" si="325"/>
        <v>20649.68915866566</v>
      </c>
      <c r="S3063" s="19">
        <f t="shared" ca="1" si="326"/>
        <v>19933.77034364971</v>
      </c>
    </row>
    <row r="3064" spans="13:19">
      <c r="M3064" s="81">
        <f t="shared" ca="1" si="323"/>
        <v>40601.730472621784</v>
      </c>
      <c r="N3064" s="19">
        <f t="shared" si="324"/>
        <v>598.23274582020861</v>
      </c>
      <c r="O3064" s="17">
        <f t="shared" si="322"/>
        <v>765.75</v>
      </c>
      <c r="P3064" s="19">
        <f ca="1">IF(ISERROR(IF(O3064&lt;fi_h/20,0,(OFFSET('Base de dados'!$A$5,IF(O3064&lt;20,1,IF(O3064&gt;1000,10,MATCH(O3064,Cargas,1))),Coluna_fih,1,1))*(1+0.13*0.25)*(PI()*(fi_h/1000)^2/4)*SQRT(2*9.81*(O3064/100-fi_h/2/1000))*1000)),"",IF(O3064&lt;fi_h/20,0,(OFFSET('Base de dados'!$A$5,IF(O3064&lt;20,1,IF(O3064&gt;1000,10,MATCH(O3064,Cargas,1))),Coluna_fih,1,1))*(PI()*(fi_h/1000)^2/4)*SQRT(2*9.81*(O3064/100-fi_h/2/1000))*1000))</f>
        <v>74.321265828766116</v>
      </c>
      <c r="Q3064" s="19">
        <f ca="1">IF(O3064="","",IF(Tipo_Vertedor="Retangular",IF(O3064&lt;=cota_s*100,0,IF(Tipo_Vertedor="Retangular",Cd_sr*Lef_sr*((O3064/100-cota_s)^(3/2))*1000)),IF(O3064&lt;=cota_s*100+fi_s/20,0,(OFFSET('Base de dados'!$A$4,IF(O3064&lt;20,1,IF(O3064&gt;1000,10,MATCH(O3064,Cargas,1))),Coluna_fis,1,1))*(PI()*(fi_s/1000)^2/4)*(2*9.81*(O3064/100-cota_s-fi_s/2/1000))^0.5*1000)))</f>
        <v>20586.317679452728</v>
      </c>
      <c r="R3064" s="19">
        <f t="shared" ca="1" si="325"/>
        <v>20660.638945281495</v>
      </c>
      <c r="S3064" s="19">
        <f t="shared" ca="1" si="326"/>
        <v>19941.091527340286</v>
      </c>
    </row>
    <row r="3065" spans="13:19">
      <c r="M3065" s="81">
        <f t="shared" ca="1" si="323"/>
        <v>40620.003676077235</v>
      </c>
      <c r="N3065" s="19">
        <f t="shared" si="324"/>
        <v>598.45239026384377</v>
      </c>
      <c r="O3065" s="17">
        <f t="shared" si="322"/>
        <v>766</v>
      </c>
      <c r="P3065" s="19">
        <f ca="1">IF(ISERROR(IF(O3065&lt;fi_h/20,0,(OFFSET('Base de dados'!$A$5,IF(O3065&lt;20,1,IF(O3065&gt;1000,10,MATCH(O3065,Cargas,1))),Coluna_fih,1,1))*(1+0.13*0.25)*(PI()*(fi_h/1000)^2/4)*SQRT(2*9.81*(O3065/100-fi_h/2/1000))*1000)),"",IF(O3065&lt;fi_h/20,0,(OFFSET('Base de dados'!$A$5,IF(O3065&lt;20,1,IF(O3065&gt;1000,10,MATCH(O3065,Cargas,1))),Coluna_fih,1,1))*(PI()*(fi_h/1000)^2/4)*SQRT(2*9.81*(O3065/100-fi_h/2/1000))*1000))</f>
        <v>74.333486947382482</v>
      </c>
      <c r="Q3065" s="19">
        <f ca="1">IF(O3065="","",IF(Tipo_Vertedor="Retangular",IF(O3065&lt;=cota_s*100,0,IF(Tipo_Vertedor="Retangular",Cd_sr*Lef_sr*((O3065/100-cota_s)^(3/2))*1000)),IF(O3065&lt;=cota_s*100+fi_s/20,0,(OFFSET('Base de dados'!$A$4,IF(O3065&lt;20,1,IF(O3065&gt;1000,10,MATCH(O3065,Cargas,1))),Coluna_fis,1,1))*(PI()*(fi_s/1000)^2/4)*(2*9.81*(O3065/100-cota_s-fi_s/2/1000))^0.5*1000)))</f>
        <v>20597.257180335055</v>
      </c>
      <c r="R3065" s="19">
        <f t="shared" ca="1" si="325"/>
        <v>20671.590667282439</v>
      </c>
      <c r="S3065" s="19">
        <f t="shared" ca="1" si="326"/>
        <v>19948.413008794792</v>
      </c>
    </row>
    <row r="3066" spans="13:19">
      <c r="M3066" s="81">
        <f t="shared" ca="1" si="323"/>
        <v>40638.279112254546</v>
      </c>
      <c r="N3066" s="19">
        <f t="shared" si="324"/>
        <v>598.6720436378439</v>
      </c>
      <c r="O3066" s="17">
        <f t="shared" si="322"/>
        <v>766.25</v>
      </c>
      <c r="P3066" s="19">
        <f ca="1">IF(ISERROR(IF(O3066&lt;fi_h/20,0,(OFFSET('Base de dados'!$A$5,IF(O3066&lt;20,1,IF(O3066&gt;1000,10,MATCH(O3066,Cargas,1))),Coluna_fih,1,1))*(1+0.13*0.25)*(PI()*(fi_h/1000)^2/4)*SQRT(2*9.81*(O3066/100-fi_h/2/1000))*1000)),"",IF(O3066&lt;fi_h/20,0,(OFFSET('Base de dados'!$A$5,IF(O3066&lt;20,1,IF(O3066&gt;1000,10,MATCH(O3066,Cargas,1))),Coluna_fih,1,1))*(PI()*(fi_h/1000)^2/4)*SQRT(2*9.81*(O3066/100-fi_h/2/1000))*1000))</f>
        <v>74.345706057063197</v>
      </c>
      <c r="Q3066" s="19">
        <f ca="1">IF(O3066="","",IF(Tipo_Vertedor="Retangular",IF(O3066&lt;=cota_s*100,0,IF(Tipo_Vertedor="Retangular",Cd_sr*Lef_sr*((O3066/100-cota_s)^(3/2))*1000)),IF(O3066&lt;=cota_s*100+fi_s/20,0,(OFFSET('Base de dados'!$A$4,IF(O3066&lt;20,1,IF(O3066&gt;1000,10,MATCH(O3066,Cargas,1))),Coluna_fis,1,1))*(PI()*(fi_s/1000)^2/4)*(2*9.81*(O3066/100-cota_s-fi_s/2/1000))^0.5*1000)))</f>
        <v>20608.198618269358</v>
      </c>
      <c r="R3066" s="19">
        <f t="shared" ca="1" si="325"/>
        <v>20682.54432432642</v>
      </c>
      <c r="S3066" s="19">
        <f t="shared" ca="1" si="326"/>
        <v>19955.73478792813</v>
      </c>
    </row>
    <row r="3067" spans="13:19">
      <c r="M3067" s="81">
        <f t="shared" ca="1" si="323"/>
        <v>40656.556780726853</v>
      </c>
      <c r="N3067" s="19">
        <f t="shared" si="324"/>
        <v>598.89170593965878</v>
      </c>
      <c r="O3067" s="17">
        <f t="shared" si="322"/>
        <v>766.5</v>
      </c>
      <c r="P3067" s="19">
        <f ca="1">IF(ISERROR(IF(O3067&lt;fi_h/20,0,(OFFSET('Base de dados'!$A$5,IF(O3067&lt;20,1,IF(O3067&gt;1000,10,MATCH(O3067,Cargas,1))),Coluna_fih,1,1))*(1+0.13*0.25)*(PI()*(fi_h/1000)^2/4)*SQRT(2*9.81*(O3067/100-fi_h/2/1000))*1000)),"",IF(O3067&lt;fi_h/20,0,(OFFSET('Base de dados'!$A$5,IF(O3067&lt;20,1,IF(O3067&gt;1000,10,MATCH(O3067,Cargas,1))),Coluna_fih,1,1))*(PI()*(fi_h/1000)^2/4)*SQRT(2*9.81*(O3067/100-fi_h/2/1000))*1000))</f>
        <v>74.357923158798656</v>
      </c>
      <c r="Q3067" s="19">
        <f ca="1">IF(O3067="","",IF(Tipo_Vertedor="Retangular",IF(O3067&lt;=cota_s*100,0,IF(Tipo_Vertedor="Retangular",Cd_sr*Lef_sr*((O3067/100-cota_s)^(3/2))*1000)),IF(O3067&lt;=cota_s*100+fi_s/20,0,(OFFSET('Base de dados'!$A$4,IF(O3067&lt;20,1,IF(O3067&gt;1000,10,MATCH(O3067,Cargas,1))),Coluna_fis,1,1))*(PI()*(fi_s/1000)^2/4)*(2*9.81*(O3067/100-cota_s-fi_s/2/1000))^0.5*1000)))</f>
        <v>20619.141992912766</v>
      </c>
      <c r="R3067" s="19">
        <f t="shared" ca="1" si="325"/>
        <v>20693.499916071563</v>
      </c>
      <c r="S3067" s="19">
        <f t="shared" ca="1" si="326"/>
        <v>19963.056864655293</v>
      </c>
    </row>
    <row r="3068" spans="13:19">
      <c r="M3068" s="81">
        <f t="shared" ca="1" si="323"/>
        <v>40674.836681067449</v>
      </c>
      <c r="N3068" s="19">
        <f t="shared" si="324"/>
        <v>599.11137716673852</v>
      </c>
      <c r="O3068" s="17">
        <f t="shared" si="322"/>
        <v>766.75</v>
      </c>
      <c r="P3068" s="19">
        <f ca="1">IF(ISERROR(IF(O3068&lt;fi_h/20,0,(OFFSET('Base de dados'!$A$5,IF(O3068&lt;20,1,IF(O3068&gt;1000,10,MATCH(O3068,Cargas,1))),Coluna_fih,1,1))*(1+0.13*0.25)*(PI()*(fi_h/1000)^2/4)*SQRT(2*9.81*(O3068/100-fi_h/2/1000))*1000)),"",IF(O3068&lt;fi_h/20,0,(OFFSET('Base de dados'!$A$5,IF(O3068&lt;20,1,IF(O3068&gt;1000,10,MATCH(O3068,Cargas,1))),Coluna_fih,1,1))*(PI()*(fi_h/1000)^2/4)*SQRT(2*9.81*(O3068/100-fi_h/2/1000))*1000))</f>
        <v>74.370138253578418</v>
      </c>
      <c r="Q3068" s="19">
        <f ca="1">IF(O3068="","",IF(Tipo_Vertedor="Retangular",IF(O3068&lt;=cota_s*100,0,IF(Tipo_Vertedor="Retangular",Cd_sr*Lef_sr*((O3068/100-cota_s)^(3/2))*1000)),IF(O3068&lt;=cota_s*100+fi_s/20,0,(OFFSET('Base de dados'!$A$4,IF(O3068&lt;20,1,IF(O3068&gt;1000,10,MATCH(O3068,Cargas,1))),Coluna_fis,1,1))*(PI()*(fi_s/1000)^2/4)*(2*9.81*(O3068/100-cota_s-fi_s/2/1000))^0.5*1000)))</f>
        <v>20630.087303922588</v>
      </c>
      <c r="R3068" s="19">
        <f t="shared" ca="1" si="325"/>
        <v>20704.457442176168</v>
      </c>
      <c r="S3068" s="19">
        <f t="shared" ca="1" si="326"/>
        <v>19970.379238891284</v>
      </c>
    </row>
    <row r="3069" spans="13:19">
      <c r="M3069" s="81">
        <f t="shared" ca="1" si="323"/>
        <v>40693.118812849891</v>
      </c>
      <c r="N3069" s="19">
        <f t="shared" si="324"/>
        <v>599.33105731653586</v>
      </c>
      <c r="O3069" s="17">
        <f t="shared" si="322"/>
        <v>767</v>
      </c>
      <c r="P3069" s="19">
        <f ca="1">IF(ISERROR(IF(O3069&lt;fi_h/20,0,(OFFSET('Base de dados'!$A$5,IF(O3069&lt;20,1,IF(O3069&gt;1000,10,MATCH(O3069,Cargas,1))),Coluna_fih,1,1))*(1+0.13*0.25)*(PI()*(fi_h/1000)^2/4)*SQRT(2*9.81*(O3069/100-fi_h/2/1000))*1000)),"",IF(O3069&lt;fi_h/20,0,(OFFSET('Base de dados'!$A$5,IF(O3069&lt;20,1,IF(O3069&gt;1000,10,MATCH(O3069,Cargas,1))),Coluna_fih,1,1))*(PI()*(fi_h/1000)^2/4)*SQRT(2*9.81*(O3069/100-fi_h/2/1000))*1000))</f>
        <v>74.382351342391232</v>
      </c>
      <c r="Q3069" s="19">
        <f ca="1">IF(O3069="","",IF(Tipo_Vertedor="Retangular",IF(O3069&lt;=cota_s*100,0,IF(Tipo_Vertedor="Retangular",Cd_sr*Lef_sr*((O3069/100-cota_s)^(3/2))*1000)),IF(O3069&lt;=cota_s*100+fi_s/20,0,(OFFSET('Base de dados'!$A$4,IF(O3069&lt;20,1,IF(O3069&gt;1000,10,MATCH(O3069,Cargas,1))),Coluna_fis,1,1))*(PI()*(fi_s/1000)^2/4)*(2*9.81*(O3069/100-cota_s-fi_s/2/1000))^0.5*1000)))</f>
        <v>20641.034550956305</v>
      </c>
      <c r="R3069" s="19">
        <f t="shared" ca="1" si="325"/>
        <v>20715.416902298697</v>
      </c>
      <c r="S3069" s="19">
        <f t="shared" ca="1" si="326"/>
        <v>19977.701910551194</v>
      </c>
    </row>
    <row r="3070" spans="13:19">
      <c r="M3070" s="81">
        <f t="shared" ca="1" si="323"/>
        <v>40711.403175648004</v>
      </c>
      <c r="N3070" s="19">
        <f t="shared" si="324"/>
        <v>599.55074638650501</v>
      </c>
      <c r="O3070" s="17">
        <f t="shared" si="322"/>
        <v>767.25</v>
      </c>
      <c r="P3070" s="19">
        <f ca="1">IF(ISERROR(IF(O3070&lt;fi_h/20,0,(OFFSET('Base de dados'!$A$5,IF(O3070&lt;20,1,IF(O3070&gt;1000,10,MATCH(O3070,Cargas,1))),Coluna_fih,1,1))*(1+0.13*0.25)*(PI()*(fi_h/1000)^2/4)*SQRT(2*9.81*(O3070/100-fi_h/2/1000))*1000)),"",IF(O3070&lt;fi_h/20,0,(OFFSET('Base de dados'!$A$5,IF(O3070&lt;20,1,IF(O3070&gt;1000,10,MATCH(O3070,Cargas,1))),Coluna_fih,1,1))*(PI()*(fi_h/1000)^2/4)*SQRT(2*9.81*(O3070/100-fi_h/2/1000))*1000))</f>
        <v>74.394562426225022</v>
      </c>
      <c r="Q3070" s="19">
        <f ca="1">IF(O3070="","",IF(Tipo_Vertedor="Retangular",IF(O3070&lt;=cota_s*100,0,IF(Tipo_Vertedor="Retangular",Cd_sr*Lef_sr*((O3070/100-cota_s)^(3/2))*1000)),IF(O3070&lt;=cota_s*100+fi_s/20,0,(OFFSET('Base de dados'!$A$4,IF(O3070&lt;20,1,IF(O3070&gt;1000,10,MATCH(O3070,Cargas,1))),Coluna_fis,1,1))*(PI()*(fi_s/1000)^2/4)*(2*9.81*(O3070/100-cota_s-fi_s/2/1000))^0.5*1000)))</f>
        <v>20651.983733671615</v>
      </c>
      <c r="R3070" s="19">
        <f t="shared" ca="1" si="325"/>
        <v>20726.378296097839</v>
      </c>
      <c r="S3070" s="19">
        <f t="shared" ca="1" si="326"/>
        <v>19985.024879550165</v>
      </c>
    </row>
    <row r="3071" spans="13:19">
      <c r="M3071" s="81">
        <f t="shared" ca="1" si="323"/>
        <v>40729.689769035795</v>
      </c>
      <c r="N3071" s="19">
        <f t="shared" si="324"/>
        <v>599.7704443741012</v>
      </c>
      <c r="O3071" s="17">
        <f t="shared" si="322"/>
        <v>767.5</v>
      </c>
      <c r="P3071" s="19">
        <f ca="1">IF(ISERROR(IF(O3071&lt;fi_h/20,0,(OFFSET('Base de dados'!$A$5,IF(O3071&lt;20,1,IF(O3071&gt;1000,10,MATCH(O3071,Cargas,1))),Coluna_fih,1,1))*(1+0.13*0.25)*(PI()*(fi_h/1000)^2/4)*SQRT(2*9.81*(O3071/100-fi_h/2/1000))*1000)),"",IF(O3071&lt;fi_h/20,0,(OFFSET('Base de dados'!$A$5,IF(O3071&lt;20,1,IF(O3071&gt;1000,10,MATCH(O3071,Cargas,1))),Coluna_fih,1,1))*(PI()*(fi_h/1000)^2/4)*SQRT(2*9.81*(O3071/100-fi_h/2/1000))*1000))</f>
        <v>74.406771506066931</v>
      </c>
      <c r="Q3071" s="19">
        <f ca="1">IF(O3071="","",IF(Tipo_Vertedor="Retangular",IF(O3071&lt;=cota_s*100,0,IF(Tipo_Vertedor="Retangular",Cd_sr*Lef_sr*((O3071/100-cota_s)^(3/2))*1000)),IF(O3071&lt;=cota_s*100+fi_s/20,0,(OFFSET('Base de dados'!$A$4,IF(O3071&lt;20,1,IF(O3071&gt;1000,10,MATCH(O3071,Cargas,1))),Coluna_fis,1,1))*(PI()*(fi_s/1000)^2/4)*(2*9.81*(O3071/100-cota_s-fi_s/2/1000))^0.5*1000)))</f>
        <v>20662.934851726353</v>
      </c>
      <c r="R3071" s="19">
        <f t="shared" ca="1" si="325"/>
        <v>20737.34162323242</v>
      </c>
      <c r="S3071" s="19">
        <f t="shared" ca="1" si="326"/>
        <v>19992.348145803375</v>
      </c>
    </row>
    <row r="3072" spans="13:19">
      <c r="M3072" s="81">
        <f t="shared" ca="1" si="323"/>
        <v>40747.978592587519</v>
      </c>
      <c r="N3072" s="19">
        <f t="shared" si="324"/>
        <v>599.99015127678126</v>
      </c>
      <c r="O3072" s="17">
        <f t="shared" si="322"/>
        <v>767.75</v>
      </c>
      <c r="P3072" s="19">
        <f ca="1">IF(ISERROR(IF(O3072&lt;fi_h/20,0,(OFFSET('Base de dados'!$A$5,IF(O3072&lt;20,1,IF(O3072&gt;1000,10,MATCH(O3072,Cargas,1))),Coluna_fih,1,1))*(1+0.13*0.25)*(PI()*(fi_h/1000)^2/4)*SQRT(2*9.81*(O3072/100-fi_h/2/1000))*1000)),"",IF(O3072&lt;fi_h/20,0,(OFFSET('Base de dados'!$A$5,IF(O3072&lt;20,1,IF(O3072&gt;1000,10,MATCH(O3072,Cargas,1))),Coluna_fih,1,1))*(PI()*(fi_h/1000)^2/4)*SQRT(2*9.81*(O3072/100-fi_h/2/1000))*1000))</f>
        <v>74.418978582903279</v>
      </c>
      <c r="Q3072" s="19">
        <f ca="1">IF(O3072="","",IF(Tipo_Vertedor="Retangular",IF(O3072&lt;=cota_s*100,0,IF(Tipo_Vertedor="Retangular",Cd_sr*Lef_sr*((O3072/100-cota_s)^(3/2))*1000)),IF(O3072&lt;=cota_s*100+fi_s/20,0,(OFFSET('Base de dados'!$A$4,IF(O3072&lt;20,1,IF(O3072&gt;1000,10,MATCH(O3072,Cargas,1))),Coluna_fis,1,1))*(PI()*(fi_s/1000)^2/4)*(2*9.81*(O3072/100-cota_s-fi_s/2/1000))^0.5*1000)))</f>
        <v>20673.88790477857</v>
      </c>
      <c r="R3072" s="19">
        <f t="shared" ca="1" si="325"/>
        <v>20748.306883361474</v>
      </c>
      <c r="S3072" s="19">
        <f t="shared" ca="1" si="326"/>
        <v>19999.671709226041</v>
      </c>
    </row>
    <row r="3073" spans="13:19">
      <c r="M3073" s="81">
        <f t="shared" ca="1" si="323"/>
        <v>40766.269645877663</v>
      </c>
      <c r="N3073" s="19">
        <f t="shared" si="324"/>
        <v>600.20986709200417</v>
      </c>
      <c r="O3073" s="17">
        <f t="shared" si="322"/>
        <v>768</v>
      </c>
      <c r="P3073" s="19">
        <f ca="1">IF(ISERROR(IF(O3073&lt;fi_h/20,0,(OFFSET('Base de dados'!$A$5,IF(O3073&lt;20,1,IF(O3073&gt;1000,10,MATCH(O3073,Cargas,1))),Coluna_fih,1,1))*(1+0.13*0.25)*(PI()*(fi_h/1000)^2/4)*SQRT(2*9.81*(O3073/100-fi_h/2/1000))*1000)),"",IF(O3073&lt;fi_h/20,0,(OFFSET('Base de dados'!$A$5,IF(O3073&lt;20,1,IF(O3073&gt;1000,10,MATCH(O3073,Cargas,1))),Coluna_fih,1,1))*(PI()*(fi_h/1000)^2/4)*SQRT(2*9.81*(O3073/100-fi_h/2/1000))*1000))</f>
        <v>74.431183657719558</v>
      </c>
      <c r="Q3073" s="19">
        <f ca="1">IF(O3073="","",IF(Tipo_Vertedor="Retangular",IF(O3073&lt;=cota_s*100,0,IF(Tipo_Vertedor="Retangular",Cd_sr*Lef_sr*((O3073/100-cota_s)^(3/2))*1000)),IF(O3073&lt;=cota_s*100+fi_s/20,0,(OFFSET('Base de dados'!$A$4,IF(O3073&lt;20,1,IF(O3073&gt;1000,10,MATCH(O3073,Cargas,1))),Coluna_fis,1,1))*(PI()*(fi_s/1000)^2/4)*(2*9.81*(O3073/100-cota_s-fi_s/2/1000))^0.5*1000)))</f>
        <v>20684.842892486467</v>
      </c>
      <c r="R3073" s="19">
        <f t="shared" ca="1" si="325"/>
        <v>20759.274076144186</v>
      </c>
      <c r="S3073" s="19">
        <f t="shared" ca="1" si="326"/>
        <v>20006.995569733474</v>
      </c>
    </row>
    <row r="3074" spans="13:19">
      <c r="M3074" s="81">
        <f t="shared" ca="1" si="323"/>
        <v>40784.562928480969</v>
      </c>
      <c r="N3074" s="19">
        <f t="shared" si="324"/>
        <v>600.42959181722995</v>
      </c>
      <c r="O3074" s="17">
        <f t="shared" si="322"/>
        <v>768.25</v>
      </c>
      <c r="P3074" s="19">
        <f ca="1">IF(ISERROR(IF(O3074&lt;fi_h/20,0,(OFFSET('Base de dados'!$A$5,IF(O3074&lt;20,1,IF(O3074&gt;1000,10,MATCH(O3074,Cargas,1))),Coluna_fih,1,1))*(1+0.13*0.25)*(PI()*(fi_h/1000)^2/4)*SQRT(2*9.81*(O3074/100-fi_h/2/1000))*1000)),"",IF(O3074&lt;fi_h/20,0,(OFFSET('Base de dados'!$A$5,IF(O3074&lt;20,1,IF(O3074&gt;1000,10,MATCH(O3074,Cargas,1))),Coluna_fih,1,1))*(PI()*(fi_h/1000)^2/4)*SQRT(2*9.81*(O3074/100-fi_h/2/1000))*1000))</f>
        <v>74.443386731500468</v>
      </c>
      <c r="Q3074" s="19">
        <f ca="1">IF(O3074="","",IF(Tipo_Vertedor="Retangular",IF(O3074&lt;=cota_s*100,0,IF(Tipo_Vertedor="Retangular",Cd_sr*Lef_sr*((O3074/100-cota_s)^(3/2))*1000)),IF(O3074&lt;=cota_s*100+fi_s/20,0,(OFFSET('Base de dados'!$A$4,IF(O3074&lt;20,1,IF(O3074&gt;1000,10,MATCH(O3074,Cargas,1))),Coluna_fis,1,1))*(PI()*(fi_s/1000)^2/4)*(2*9.81*(O3074/100-cota_s-fi_s/2/1000))^0.5*1000)))</f>
        <v>20695.799814508468</v>
      </c>
      <c r="R3074" s="19">
        <f t="shared" ca="1" si="325"/>
        <v>20770.243201239969</v>
      </c>
      <c r="S3074" s="19">
        <f t="shared" ca="1" si="326"/>
        <v>20014.319727241</v>
      </c>
    </row>
    <row r="3075" spans="13:19">
      <c r="M3075" s="81">
        <f t="shared" ca="1" si="323"/>
        <v>40802.85843997237</v>
      </c>
      <c r="N3075" s="19">
        <f t="shared" si="324"/>
        <v>600.64932544992041</v>
      </c>
      <c r="O3075" s="17">
        <f t="shared" si="322"/>
        <v>768.5</v>
      </c>
      <c r="P3075" s="19">
        <f ca="1">IF(ISERROR(IF(O3075&lt;fi_h/20,0,(OFFSET('Base de dados'!$A$5,IF(O3075&lt;20,1,IF(O3075&gt;1000,10,MATCH(O3075,Cargas,1))),Coluna_fih,1,1))*(1+0.13*0.25)*(PI()*(fi_h/1000)^2/4)*SQRT(2*9.81*(O3075/100-fi_h/2/1000))*1000)),"",IF(O3075&lt;fi_h/20,0,(OFFSET('Base de dados'!$A$5,IF(O3075&lt;20,1,IF(O3075&gt;1000,10,MATCH(O3075,Cargas,1))),Coluna_fih,1,1))*(PI()*(fi_h/1000)^2/4)*SQRT(2*9.81*(O3075/100-fi_h/2/1000))*1000))</f>
        <v>74.455587805229925</v>
      </c>
      <c r="Q3075" s="19">
        <f ca="1">IF(O3075="","",IF(Tipo_Vertedor="Retangular",IF(O3075&lt;=cota_s*100,0,IF(Tipo_Vertedor="Retangular",Cd_sr*Lef_sr*((O3075/100-cota_s)^(3/2))*1000)),IF(O3075&lt;=cota_s*100+fi_s/20,0,(OFFSET('Base de dados'!$A$4,IF(O3075&lt;20,1,IF(O3075&gt;1000,10,MATCH(O3075,Cargas,1))),Coluna_fis,1,1))*(PI()*(fi_s/1000)^2/4)*(2*9.81*(O3075/100-cota_s-fi_s/2/1000))^0.5*1000)))</f>
        <v>20706.758670503128</v>
      </c>
      <c r="R3075" s="19">
        <f t="shared" ca="1" si="325"/>
        <v>20781.214258308359</v>
      </c>
      <c r="S3075" s="19">
        <f t="shared" ca="1" si="326"/>
        <v>20021.644181664011</v>
      </c>
    </row>
    <row r="3076" spans="13:19">
      <c r="M3076" s="81">
        <f t="shared" ca="1" si="323"/>
        <v>40821.156179927057</v>
      </c>
      <c r="N3076" s="19">
        <f t="shared" si="324"/>
        <v>600.86906798753807</v>
      </c>
      <c r="O3076" s="17">
        <f t="shared" si="322"/>
        <v>768.75</v>
      </c>
      <c r="P3076" s="19">
        <f ca="1">IF(ISERROR(IF(O3076&lt;fi_h/20,0,(OFFSET('Base de dados'!$A$5,IF(O3076&lt;20,1,IF(O3076&gt;1000,10,MATCH(O3076,Cargas,1))),Coluna_fih,1,1))*(1+0.13*0.25)*(PI()*(fi_h/1000)^2/4)*SQRT(2*9.81*(O3076/100-fi_h/2/1000))*1000)),"",IF(O3076&lt;fi_h/20,0,(OFFSET('Base de dados'!$A$5,IF(O3076&lt;20,1,IF(O3076&gt;1000,10,MATCH(O3076,Cargas,1))),Coluna_fih,1,1))*(PI()*(fi_h/1000)^2/4)*SQRT(2*9.81*(O3076/100-fi_h/2/1000))*1000))</f>
        <v>74.467786879890994</v>
      </c>
      <c r="Q3076" s="19">
        <f ca="1">IF(O3076="","",IF(Tipo_Vertedor="Retangular",IF(O3076&lt;=cota_s*100,0,IF(Tipo_Vertedor="Retangular",Cd_sr*Lef_sr*((O3076/100-cota_s)^(3/2))*1000)),IF(O3076&lt;=cota_s*100+fi_s/20,0,(OFFSET('Base de dados'!$A$4,IF(O3076&lt;20,1,IF(O3076&gt;1000,10,MATCH(O3076,Cargas,1))),Coluna_fis,1,1))*(PI()*(fi_s/1000)^2/4)*(2*9.81*(O3076/100-cota_s-fi_s/2/1000))^0.5*1000)))</f>
        <v>20717.719460129229</v>
      </c>
      <c r="R3076" s="19">
        <f t="shared" ca="1" si="325"/>
        <v>20792.187247009118</v>
      </c>
      <c r="S3076" s="19">
        <f t="shared" ca="1" si="326"/>
        <v>20028.968932917935</v>
      </c>
    </row>
    <row r="3077" spans="13:19">
      <c r="M3077" s="81">
        <f t="shared" ca="1" si="323"/>
        <v>40839.456147920457</v>
      </c>
      <c r="N3077" s="19">
        <f t="shared" si="324"/>
        <v>601.08881942754886</v>
      </c>
      <c r="O3077" s="17">
        <f t="shared" si="322"/>
        <v>769</v>
      </c>
      <c r="P3077" s="19">
        <f ca="1">IF(ISERROR(IF(O3077&lt;fi_h/20,0,(OFFSET('Base de dados'!$A$5,IF(O3077&lt;20,1,IF(O3077&gt;1000,10,MATCH(O3077,Cargas,1))),Coluna_fih,1,1))*(1+0.13*0.25)*(PI()*(fi_h/1000)^2/4)*SQRT(2*9.81*(O3077/100-fi_h/2/1000))*1000)),"",IF(O3077&lt;fi_h/20,0,(OFFSET('Base de dados'!$A$5,IF(O3077&lt;20,1,IF(O3077&gt;1000,10,MATCH(O3077,Cargas,1))),Coluna_fih,1,1))*(PI()*(fi_h/1000)^2/4)*SQRT(2*9.81*(O3077/100-fi_h/2/1000))*1000))</f>
        <v>74.479983956465958</v>
      </c>
      <c r="Q3077" s="19">
        <f ca="1">IF(O3077="","",IF(Tipo_Vertedor="Retangular",IF(O3077&lt;=cota_s*100,0,IF(Tipo_Vertedor="Retangular",Cd_sr*Lef_sr*((O3077/100-cota_s)^(3/2))*1000)),IF(O3077&lt;=cota_s*100+fi_s/20,0,(OFFSET('Base de dados'!$A$4,IF(O3077&lt;20,1,IF(O3077&gt;1000,10,MATCH(O3077,Cargas,1))),Coluna_fis,1,1))*(PI()*(fi_s/1000)^2/4)*(2*9.81*(O3077/100-cota_s-fi_s/2/1000))^0.5*1000)))</f>
        <v>20728.682183045697</v>
      </c>
      <c r="R3077" s="19">
        <f t="shared" ca="1" si="325"/>
        <v>20803.162167002163</v>
      </c>
      <c r="S3077" s="19">
        <f t="shared" ca="1" si="326"/>
        <v>20036.293980918297</v>
      </c>
    </row>
    <row r="3078" spans="13:19">
      <c r="M3078" s="81">
        <f t="shared" ca="1" si="323"/>
        <v>40857.758343528199</v>
      </c>
      <c r="N3078" s="19">
        <f t="shared" si="324"/>
        <v>601.30857976741822</v>
      </c>
      <c r="O3078" s="17">
        <f t="shared" si="322"/>
        <v>769.25</v>
      </c>
      <c r="P3078" s="19">
        <f ca="1">IF(ISERROR(IF(O3078&lt;fi_h/20,0,(OFFSET('Base de dados'!$A$5,IF(O3078&lt;20,1,IF(O3078&gt;1000,10,MATCH(O3078,Cargas,1))),Coluna_fih,1,1))*(1+0.13*0.25)*(PI()*(fi_h/1000)^2/4)*SQRT(2*9.81*(O3078/100-fi_h/2/1000))*1000)),"",IF(O3078&lt;fi_h/20,0,(OFFSET('Base de dados'!$A$5,IF(O3078&lt;20,1,IF(O3078&gt;1000,10,MATCH(O3078,Cargas,1))),Coluna_fih,1,1))*(PI()*(fi_h/1000)^2/4)*SQRT(2*9.81*(O3078/100-fi_h/2/1000))*1000))</f>
        <v>74.492179035936317</v>
      </c>
      <c r="Q3078" s="19">
        <f ca="1">IF(O3078="","",IF(Tipo_Vertedor="Retangular",IF(O3078&lt;=cota_s*100,0,IF(Tipo_Vertedor="Retangular",Cd_sr*Lef_sr*((O3078/100-cota_s)^(3/2))*1000)),IF(O3078&lt;=cota_s*100+fi_s/20,0,(OFFSET('Base de dados'!$A$4,IF(O3078&lt;20,1,IF(O3078&gt;1000,10,MATCH(O3078,Cargas,1))),Coluna_fis,1,1))*(PI()*(fi_s/1000)^2/4)*(2*9.81*(O3078/100-cota_s-fi_s/2/1000))^0.5*1000)))</f>
        <v>20739.646838911656</v>
      </c>
      <c r="R3078" s="19">
        <f t="shared" ca="1" si="325"/>
        <v>20814.139017947593</v>
      </c>
      <c r="S3078" s="19">
        <f t="shared" ca="1" si="326"/>
        <v>20043.619325580607</v>
      </c>
    </row>
    <row r="3079" spans="13:19">
      <c r="M3079" s="81">
        <f t="shared" ca="1" si="323"/>
        <v>40876.062766326191</v>
      </c>
      <c r="N3079" s="19">
        <f t="shared" si="324"/>
        <v>601.52834900461471</v>
      </c>
      <c r="O3079" s="17">
        <f t="shared" si="322"/>
        <v>769.5</v>
      </c>
      <c r="P3079" s="19">
        <f ca="1">IF(ISERROR(IF(O3079&lt;fi_h/20,0,(OFFSET('Base de dados'!$A$5,IF(O3079&lt;20,1,IF(O3079&gt;1000,10,MATCH(O3079,Cargas,1))),Coluna_fih,1,1))*(1+0.13*0.25)*(PI()*(fi_h/1000)^2/4)*SQRT(2*9.81*(O3079/100-fi_h/2/1000))*1000)),"",IF(O3079&lt;fi_h/20,0,(OFFSET('Base de dados'!$A$5,IF(O3079&lt;20,1,IF(O3079&gt;1000,10,MATCH(O3079,Cargas,1))),Coluna_fih,1,1))*(PI()*(fi_h/1000)^2/4)*SQRT(2*9.81*(O3079/100-fi_h/2/1000))*1000))</f>
        <v>74.504372119282721</v>
      </c>
      <c r="Q3079" s="19">
        <f ca="1">IF(O3079="","",IF(Tipo_Vertedor="Retangular",IF(O3079&lt;=cota_s*100,0,IF(Tipo_Vertedor="Retangular",Cd_sr*Lef_sr*((O3079/100-cota_s)^(3/2))*1000)),IF(O3079&lt;=cota_s*100+fi_s/20,0,(OFFSET('Base de dados'!$A$4,IF(O3079&lt;20,1,IF(O3079&gt;1000,10,MATCH(O3079,Cargas,1))),Coluna_fis,1,1))*(PI()*(fi_s/1000)^2/4)*(2*9.81*(O3079/100-cota_s-fi_s/2/1000))^0.5*1000)))</f>
        <v>20750.613427386419</v>
      </c>
      <c r="R3079" s="19">
        <f t="shared" ca="1" si="325"/>
        <v>20825.117799505701</v>
      </c>
      <c r="S3079" s="19">
        <f t="shared" ca="1" si="326"/>
        <v>20050.944966820491</v>
      </c>
    </row>
    <row r="3080" spans="13:19">
      <c r="M3080" s="81">
        <f t="shared" ca="1" si="323"/>
        <v>40894.369415890513</v>
      </c>
      <c r="N3080" s="19">
        <f t="shared" si="324"/>
        <v>601.74812713660708</v>
      </c>
      <c r="O3080" s="17">
        <f t="shared" si="322"/>
        <v>769.75</v>
      </c>
      <c r="P3080" s="19">
        <f ca="1">IF(ISERROR(IF(O3080&lt;fi_h/20,0,(OFFSET('Base de dados'!$A$5,IF(O3080&lt;20,1,IF(O3080&gt;1000,10,MATCH(O3080,Cargas,1))),Coluna_fih,1,1))*(1+0.13*0.25)*(PI()*(fi_h/1000)^2/4)*SQRT(2*9.81*(O3080/100-fi_h/2/1000))*1000)),"",IF(O3080&lt;fi_h/20,0,(OFFSET('Base de dados'!$A$5,IF(O3080&lt;20,1,IF(O3080&gt;1000,10,MATCH(O3080,Cargas,1))),Coluna_fih,1,1))*(PI()*(fi_h/1000)^2/4)*SQRT(2*9.81*(O3080/100-fi_h/2/1000))*1000))</f>
        <v>74.516563207485035</v>
      </c>
      <c r="Q3080" s="19">
        <f ca="1">IF(O3080="","",IF(Tipo_Vertedor="Retangular",IF(O3080&lt;=cota_s*100,0,IF(Tipo_Vertedor="Retangular",Cd_sr*Lef_sr*((O3080/100-cota_s)^(3/2))*1000)),IF(O3080&lt;=cota_s*100+fi_s/20,0,(OFFSET('Base de dados'!$A$4,IF(O3080&lt;20,1,IF(O3080&gt;1000,10,MATCH(O3080,Cargas,1))),Coluna_fis,1,1))*(PI()*(fi_s/1000)^2/4)*(2*9.81*(O3080/100-cota_s-fi_s/2/1000))^0.5*1000)))</f>
        <v>20761.58194812946</v>
      </c>
      <c r="R3080" s="19">
        <f t="shared" ca="1" si="325"/>
        <v>20836.098511336946</v>
      </c>
      <c r="S3080" s="19">
        <f t="shared" ca="1" si="326"/>
        <v>20058.27090455357</v>
      </c>
    </row>
    <row r="3081" spans="13:19">
      <c r="M3081" s="81">
        <f t="shared" ca="1" si="323"/>
        <v>40912.678291797536</v>
      </c>
      <c r="N3081" s="19">
        <f t="shared" si="324"/>
        <v>601.96791416086694</v>
      </c>
      <c r="O3081" s="17">
        <f t="shared" si="322"/>
        <v>770</v>
      </c>
      <c r="P3081" s="19">
        <f ca="1">IF(ISERROR(IF(O3081&lt;fi_h/20,0,(OFFSET('Base de dados'!$A$5,IF(O3081&lt;20,1,IF(O3081&gt;1000,10,MATCH(O3081,Cargas,1))),Coluna_fih,1,1))*(1+0.13*0.25)*(PI()*(fi_h/1000)^2/4)*SQRT(2*9.81*(O3081/100-fi_h/2/1000))*1000)),"",IF(O3081&lt;fi_h/20,0,(OFFSET('Base de dados'!$A$5,IF(O3081&lt;20,1,IF(O3081&gt;1000,10,MATCH(O3081,Cargas,1))),Coluna_fih,1,1))*(PI()*(fi_h/1000)^2/4)*SQRT(2*9.81*(O3081/100-fi_h/2/1000))*1000))</f>
        <v>74.52875230152236</v>
      </c>
      <c r="Q3081" s="19">
        <f ca="1">IF(O3081="","",IF(Tipo_Vertedor="Retangular",IF(O3081&lt;=cota_s*100,0,IF(Tipo_Vertedor="Retangular",Cd_sr*Lef_sr*((O3081/100-cota_s)^(3/2))*1000)),IF(O3081&lt;=cota_s*100+fi_s/20,0,(OFFSET('Base de dados'!$A$4,IF(O3081&lt;20,1,IF(O3081&gt;1000,10,MATCH(O3081,Cargas,1))),Coluna_fis,1,1))*(PI()*(fi_s/1000)^2/4)*(2*9.81*(O3081/100-cota_s-fi_s/2/1000))^0.5*1000)))</f>
        <v>20772.552400800443</v>
      </c>
      <c r="R3081" s="19">
        <f t="shared" ca="1" si="325"/>
        <v>20847.081153101964</v>
      </c>
      <c r="S3081" s="19">
        <f t="shared" ca="1" si="326"/>
        <v>20065.597138695568</v>
      </c>
    </row>
    <row r="3082" spans="13:19">
      <c r="M3082" s="81">
        <f t="shared" ca="1" si="323"/>
        <v>40930.989393623779</v>
      </c>
      <c r="N3082" s="19">
        <f t="shared" si="324"/>
        <v>602.18771007486623</v>
      </c>
      <c r="O3082" s="17">
        <f t="shared" si="322"/>
        <v>770.25</v>
      </c>
      <c r="P3082" s="19">
        <f ca="1">IF(ISERROR(IF(O3082&lt;fi_h/20,0,(OFFSET('Base de dados'!$A$5,IF(O3082&lt;20,1,IF(O3082&gt;1000,10,MATCH(O3082,Cargas,1))),Coluna_fih,1,1))*(1+0.13*0.25)*(PI()*(fi_h/1000)^2/4)*SQRT(2*9.81*(O3082/100-fi_h/2/1000))*1000)),"",IF(O3082&lt;fi_h/20,0,(OFFSET('Base de dados'!$A$5,IF(O3082&lt;20,1,IF(O3082&gt;1000,10,MATCH(O3082,Cargas,1))),Coluna_fih,1,1))*(PI()*(fi_h/1000)^2/4)*SQRT(2*9.81*(O3082/100-fi_h/2/1000))*1000))</f>
        <v>74.54093940237297</v>
      </c>
      <c r="Q3082" s="19">
        <f ca="1">IF(O3082="","",IF(Tipo_Vertedor="Retangular",IF(O3082&lt;=cota_s*100,0,IF(Tipo_Vertedor="Retangular",Cd_sr*Lef_sr*((O3082/100-cota_s)^(3/2))*1000)),IF(O3082&lt;=cota_s*100+fi_s/20,0,(OFFSET('Base de dados'!$A$4,IF(O3082&lt;20,1,IF(O3082&gt;1000,10,MATCH(O3082,Cargas,1))),Coluna_fis,1,1))*(PI()*(fi_s/1000)^2/4)*(2*9.81*(O3082/100-cota_s-fi_s/2/1000))^0.5*1000)))</f>
        <v>20783.524785059202</v>
      </c>
      <c r="R3082" s="19">
        <f t="shared" ca="1" si="325"/>
        <v>20858.065724461576</v>
      </c>
      <c r="S3082" s="19">
        <f t="shared" ca="1" si="326"/>
        <v>20072.923669162206</v>
      </c>
    </row>
    <row r="3083" spans="13:19">
      <c r="M3083" s="81">
        <f t="shared" ca="1" si="323"/>
        <v>40949.3027209461</v>
      </c>
      <c r="N3083" s="19">
        <f t="shared" si="324"/>
        <v>602.4075148760794</v>
      </c>
      <c r="O3083" s="17">
        <f t="shared" si="322"/>
        <v>770.5</v>
      </c>
      <c r="P3083" s="19">
        <f ca="1">IF(ISERROR(IF(O3083&lt;fi_h/20,0,(OFFSET('Base de dados'!$A$5,IF(O3083&lt;20,1,IF(O3083&gt;1000,10,MATCH(O3083,Cargas,1))),Coluna_fih,1,1))*(1+0.13*0.25)*(PI()*(fi_h/1000)^2/4)*SQRT(2*9.81*(O3083/100-fi_h/2/1000))*1000)),"",IF(O3083&lt;fi_h/20,0,(OFFSET('Base de dados'!$A$5,IF(O3083&lt;20,1,IF(O3083&gt;1000,10,MATCH(O3083,Cargas,1))),Coluna_fih,1,1))*(PI()*(fi_h/1000)^2/4)*SQRT(2*9.81*(O3083/100-fi_h/2/1000))*1000))</f>
        <v>74.553124511014303</v>
      </c>
      <c r="Q3083" s="19">
        <f ca="1">IF(O3083="","",IF(Tipo_Vertedor="Retangular",IF(O3083&lt;=cota_s*100,0,IF(Tipo_Vertedor="Retangular",Cd_sr*Lef_sr*((O3083/100-cota_s)^(3/2))*1000)),IF(O3083&lt;=cota_s*100+fi_s/20,0,(OFFSET('Base de dados'!$A$4,IF(O3083&lt;20,1,IF(O3083&gt;1000,10,MATCH(O3083,Cargas,1))),Coluna_fis,1,1))*(PI()*(fi_s/1000)^2/4)*(2*9.81*(O3083/100-cota_s-fi_s/2/1000))^0.5*1000)))</f>
        <v>20794.499100565768</v>
      </c>
      <c r="R3083" s="19">
        <f t="shared" ca="1" si="325"/>
        <v>20869.052225076783</v>
      </c>
      <c r="S3083" s="19">
        <f t="shared" ca="1" si="326"/>
        <v>20080.250495869313</v>
      </c>
    </row>
    <row r="3084" spans="13:19">
      <c r="M3084" s="81">
        <f t="shared" ca="1" si="323"/>
        <v>40967.61827334149</v>
      </c>
      <c r="N3084" s="19">
        <f t="shared" si="324"/>
        <v>602.6273285619817</v>
      </c>
      <c r="O3084" s="17">
        <f t="shared" si="322"/>
        <v>770.75</v>
      </c>
      <c r="P3084" s="19">
        <f ca="1">IF(ISERROR(IF(O3084&lt;fi_h/20,0,(OFFSET('Base de dados'!$A$5,IF(O3084&lt;20,1,IF(O3084&gt;1000,10,MATCH(O3084,Cargas,1))),Coluna_fih,1,1))*(1+0.13*0.25)*(PI()*(fi_h/1000)^2/4)*SQRT(2*9.81*(O3084/100-fi_h/2/1000))*1000)),"",IF(O3084&lt;fi_h/20,0,(OFFSET('Base de dados'!$A$5,IF(O3084&lt;20,1,IF(O3084&gt;1000,10,MATCH(O3084,Cargas,1))),Coluna_fih,1,1))*(PI()*(fi_h/1000)^2/4)*SQRT(2*9.81*(O3084/100-fi_h/2/1000))*1000))</f>
        <v>74.565307628423028</v>
      </c>
      <c r="Q3084" s="19">
        <f ca="1">IF(O3084="","",IF(Tipo_Vertedor="Retangular",IF(O3084&lt;=cota_s*100,0,IF(Tipo_Vertedor="Retangular",Cd_sr*Lef_sr*((O3084/100-cota_s)^(3/2))*1000)),IF(O3084&lt;=cota_s*100+fi_s/20,0,(OFFSET('Base de dados'!$A$4,IF(O3084&lt;20,1,IF(O3084&gt;1000,10,MATCH(O3084,Cargas,1))),Coluna_fis,1,1))*(PI()*(fi_s/1000)^2/4)*(2*9.81*(O3084/100-cota_s-fi_s/2/1000))^0.5*1000)))</f>
        <v>20805.475346980344</v>
      </c>
      <c r="R3084" s="19">
        <f t="shared" ca="1" si="325"/>
        <v>20880.040654608765</v>
      </c>
      <c r="S3084" s="19">
        <f t="shared" ca="1" si="326"/>
        <v>20087.577618732721</v>
      </c>
    </row>
    <row r="3085" spans="13:19">
      <c r="M3085" s="81">
        <f t="shared" ca="1" si="323"/>
        <v>40985.93605038723</v>
      </c>
      <c r="N3085" s="19">
        <f t="shared" si="324"/>
        <v>602.84715113005086</v>
      </c>
      <c r="O3085" s="17">
        <f t="shared" si="322"/>
        <v>771</v>
      </c>
      <c r="P3085" s="19">
        <f ca="1">IF(ISERROR(IF(O3085&lt;fi_h/20,0,(OFFSET('Base de dados'!$A$5,IF(O3085&lt;20,1,IF(O3085&gt;1000,10,MATCH(O3085,Cargas,1))),Coluna_fih,1,1))*(1+0.13*0.25)*(PI()*(fi_h/1000)^2/4)*SQRT(2*9.81*(O3085/100-fi_h/2/1000))*1000)),"",IF(O3085&lt;fi_h/20,0,(OFFSET('Base de dados'!$A$5,IF(O3085&lt;20,1,IF(O3085&gt;1000,10,MATCH(O3085,Cargas,1))),Coluna_fih,1,1))*(PI()*(fi_h/1000)^2/4)*SQRT(2*9.81*(O3085/100-fi_h/2/1000))*1000))</f>
        <v>74.577488755575061</v>
      </c>
      <c r="Q3085" s="19">
        <f ca="1">IF(O3085="","",IF(Tipo_Vertedor="Retangular",IF(O3085&lt;=cota_s*100,0,IF(Tipo_Vertedor="Retangular",Cd_sr*Lef_sr*((O3085/100-cota_s)^(3/2))*1000)),IF(O3085&lt;=cota_s*100+fi_s/20,0,(OFFSET('Base de dados'!$A$4,IF(O3085&lt;20,1,IF(O3085&gt;1000,10,MATCH(O3085,Cargas,1))),Coluna_fis,1,1))*(PI()*(fi_s/1000)^2/4)*(2*9.81*(O3085/100-cota_s-fi_s/2/1000))^0.5*1000)))</f>
        <v>20816.453523963297</v>
      </c>
      <c r="R3085" s="19">
        <f t="shared" ca="1" si="325"/>
        <v>20891.031012718871</v>
      </c>
      <c r="S3085" s="19">
        <f t="shared" ca="1" si="326"/>
        <v>20094.905037668363</v>
      </c>
    </row>
    <row r="3086" spans="13:19">
      <c r="M3086" s="81">
        <f t="shared" ca="1" si="323"/>
        <v>41004.256051660806</v>
      </c>
      <c r="N3086" s="19">
        <f t="shared" si="324"/>
        <v>603.06698257776475</v>
      </c>
      <c r="O3086" s="17">
        <f t="shared" si="322"/>
        <v>771.25</v>
      </c>
      <c r="P3086" s="19">
        <f ca="1">IF(ISERROR(IF(O3086&lt;fi_h/20,0,(OFFSET('Base de dados'!$A$5,IF(O3086&lt;20,1,IF(O3086&gt;1000,10,MATCH(O3086,Cargas,1))),Coluna_fih,1,1))*(1+0.13*0.25)*(PI()*(fi_h/1000)^2/4)*SQRT(2*9.81*(O3086/100-fi_h/2/1000))*1000)),"",IF(O3086&lt;fi_h/20,0,(OFFSET('Base de dados'!$A$5,IF(O3086&lt;20,1,IF(O3086&gt;1000,10,MATCH(O3086,Cargas,1))),Coluna_fih,1,1))*(PI()*(fi_h/1000)^2/4)*SQRT(2*9.81*(O3086/100-fi_h/2/1000))*1000))</f>
        <v>74.589667893445437</v>
      </c>
      <c r="Q3086" s="19">
        <f ca="1">IF(O3086="","",IF(Tipo_Vertedor="Retangular",IF(O3086&lt;=cota_s*100,0,IF(Tipo_Vertedor="Retangular",Cd_sr*Lef_sr*((O3086/100-cota_s)^(3/2))*1000)),IF(O3086&lt;=cota_s*100+fi_s/20,0,(OFFSET('Base de dados'!$A$4,IF(O3086&lt;20,1,IF(O3086&gt;1000,10,MATCH(O3086,Cargas,1))),Coluna_fis,1,1))*(PI()*(fi_s/1000)^2/4)*(2*9.81*(O3086/100-cota_s-fi_s/2/1000))^0.5*1000)))</f>
        <v>20827.433631175205</v>
      </c>
      <c r="R3086" s="19">
        <f t="shared" ca="1" si="325"/>
        <v>20902.023299068649</v>
      </c>
      <c r="S3086" s="19">
        <f t="shared" ca="1" si="326"/>
        <v>20102.232752592161</v>
      </c>
    </row>
    <row r="3087" spans="13:19">
      <c r="M3087" s="81">
        <f t="shared" ca="1" si="323"/>
        <v>41022.578276739929</v>
      </c>
      <c r="N3087" s="19">
        <f t="shared" si="324"/>
        <v>603.28682290260394</v>
      </c>
      <c r="O3087" s="17">
        <f t="shared" si="322"/>
        <v>771.5</v>
      </c>
      <c r="P3087" s="19">
        <f ca="1">IF(ISERROR(IF(O3087&lt;fi_h/20,0,(OFFSET('Base de dados'!$A$5,IF(O3087&lt;20,1,IF(O3087&gt;1000,10,MATCH(O3087,Cargas,1))),Coluna_fih,1,1))*(1+0.13*0.25)*(PI()*(fi_h/1000)^2/4)*SQRT(2*9.81*(O3087/100-fi_h/2/1000))*1000)),"",IF(O3087&lt;fi_h/20,0,(OFFSET('Base de dados'!$A$5,IF(O3087&lt;20,1,IF(O3087&gt;1000,10,MATCH(O3087,Cargas,1))),Coluna_fih,1,1))*(PI()*(fi_h/1000)^2/4)*SQRT(2*9.81*(O3087/100-fi_h/2/1000))*1000))</f>
        <v>74.601845043008467</v>
      </c>
      <c r="Q3087" s="19">
        <f ca="1">IF(O3087="","",IF(Tipo_Vertedor="Retangular",IF(O3087&lt;=cota_s*100,0,IF(Tipo_Vertedor="Retangular",Cd_sr*Lef_sr*((O3087/100-cota_s)^(3/2))*1000)),IF(O3087&lt;=cota_s*100+fi_s/20,0,(OFFSET('Base de dados'!$A$4,IF(O3087&lt;20,1,IF(O3087&gt;1000,10,MATCH(O3087,Cargas,1))),Coluna_fis,1,1))*(PI()*(fi_s/1000)^2/4)*(2*9.81*(O3087/100-cota_s-fi_s/2/1000))^0.5*1000)))</f>
        <v>20838.41566827679</v>
      </c>
      <c r="R3087" s="19">
        <f t="shared" ca="1" si="325"/>
        <v>20913.017513319799</v>
      </c>
      <c r="S3087" s="19">
        <f t="shared" ca="1" si="326"/>
        <v>20109.56076342013</v>
      </c>
    </row>
    <row r="3088" spans="13:19">
      <c r="M3088" s="81">
        <f t="shared" ca="1" si="323"/>
        <v>41040.90272520257</v>
      </c>
      <c r="N3088" s="19">
        <f t="shared" si="324"/>
        <v>603.50667210205029</v>
      </c>
      <c r="O3088" s="17">
        <f t="shared" si="322"/>
        <v>771.75</v>
      </c>
      <c r="P3088" s="19">
        <f ca="1">IF(ISERROR(IF(O3088&lt;fi_h/20,0,(OFFSET('Base de dados'!$A$5,IF(O3088&lt;20,1,IF(O3088&gt;1000,10,MATCH(O3088,Cargas,1))),Coluna_fih,1,1))*(1+0.13*0.25)*(PI()*(fi_h/1000)^2/4)*SQRT(2*9.81*(O3088/100-fi_h/2/1000))*1000)),"",IF(O3088&lt;fi_h/20,0,(OFFSET('Base de dados'!$A$5,IF(O3088&lt;20,1,IF(O3088&gt;1000,10,MATCH(O3088,Cargas,1))),Coluna_fih,1,1))*(PI()*(fi_h/1000)^2/4)*SQRT(2*9.81*(O3088/100-fi_h/2/1000))*1000))</f>
        <v>74.614020205237637</v>
      </c>
      <c r="Q3088" s="19">
        <f ca="1">IF(O3088="","",IF(Tipo_Vertedor="Retangular",IF(O3088&lt;=cota_s*100,0,IF(Tipo_Vertedor="Retangular",Cd_sr*Lef_sr*((O3088/100-cota_s)^(3/2))*1000)),IF(O3088&lt;=cota_s*100+fi_s/20,0,(OFFSET('Base de dados'!$A$4,IF(O3088&lt;20,1,IF(O3088&gt;1000,10,MATCH(O3088,Cargas,1))),Coluna_fis,1,1))*(PI()*(fi_s/1000)^2/4)*(2*9.81*(O3088/100-cota_s-fi_s/2/1000))^0.5*1000)))</f>
        <v>20849.399634928985</v>
      </c>
      <c r="R3088" s="19">
        <f t="shared" ca="1" si="325"/>
        <v>20924.013655134222</v>
      </c>
      <c r="S3088" s="19">
        <f t="shared" ca="1" si="326"/>
        <v>20116.889070068344</v>
      </c>
    </row>
    <row r="3089" spans="13:19">
      <c r="M3089" s="81">
        <f t="shared" ca="1" si="323"/>
        <v>41059.229396626863</v>
      </c>
      <c r="N3089" s="19">
        <f t="shared" si="324"/>
        <v>603.72653017358675</v>
      </c>
      <c r="O3089" s="17">
        <f t="shared" si="322"/>
        <v>772</v>
      </c>
      <c r="P3089" s="19">
        <f ca="1">IF(ISERROR(IF(O3089&lt;fi_h/20,0,(OFFSET('Base de dados'!$A$5,IF(O3089&lt;20,1,IF(O3089&gt;1000,10,MATCH(O3089,Cargas,1))),Coluna_fih,1,1))*(1+0.13*0.25)*(PI()*(fi_h/1000)^2/4)*SQRT(2*9.81*(O3089/100-fi_h/2/1000))*1000)),"",IF(O3089&lt;fi_h/20,0,(OFFSET('Base de dados'!$A$5,IF(O3089&lt;20,1,IF(O3089&gt;1000,10,MATCH(O3089,Cargas,1))),Coluna_fih,1,1))*(PI()*(fi_h/1000)^2/4)*SQRT(2*9.81*(O3089/100-fi_h/2/1000))*1000))</f>
        <v>74.626193381105622</v>
      </c>
      <c r="Q3089" s="19">
        <f ca="1">IF(O3089="","",IF(Tipo_Vertedor="Retangular",IF(O3089&lt;=cota_s*100,0,IF(Tipo_Vertedor="Retangular",Cd_sr*Lef_sr*((O3089/100-cota_s)^(3/2))*1000)),IF(O3089&lt;=cota_s*100+fi_s/20,0,(OFFSET('Base de dados'!$A$4,IF(O3089&lt;20,1,IF(O3089&gt;1000,10,MATCH(O3089,Cargas,1))),Coluna_fis,1,1))*(PI()*(fi_s/1000)^2/4)*(2*9.81*(O3089/100-cota_s-fi_s/2/1000))^0.5*1000)))</f>
        <v>20860.385530792868</v>
      </c>
      <c r="R3089" s="19">
        <f t="shared" ca="1" si="325"/>
        <v>20935.011724173972</v>
      </c>
      <c r="S3089" s="19">
        <f t="shared" ca="1" si="326"/>
        <v>20124.217672452894</v>
      </c>
    </row>
    <row r="3090" spans="13:19">
      <c r="M3090" s="81">
        <f t="shared" ca="1" si="323"/>
        <v>41077.558290591245</v>
      </c>
      <c r="N3090" s="19">
        <f t="shared" si="324"/>
        <v>603.94639711469858</v>
      </c>
      <c r="O3090" s="17">
        <f t="shared" si="322"/>
        <v>772.25</v>
      </c>
      <c r="P3090" s="19">
        <f ca="1">IF(ISERROR(IF(O3090&lt;fi_h/20,0,(OFFSET('Base de dados'!$A$5,IF(O3090&lt;20,1,IF(O3090&gt;1000,10,MATCH(O3090,Cargas,1))),Coluna_fih,1,1))*(1+0.13*0.25)*(PI()*(fi_h/1000)^2/4)*SQRT(2*9.81*(O3090/100-fi_h/2/1000))*1000)),"",IF(O3090&lt;fi_h/20,0,(OFFSET('Base de dados'!$A$5,IF(O3090&lt;20,1,IF(O3090&gt;1000,10,MATCH(O3090,Cargas,1))),Coluna_fih,1,1))*(PI()*(fi_h/1000)^2/4)*SQRT(2*9.81*(O3090/100-fi_h/2/1000))*1000))</f>
        <v>74.638364571584333</v>
      </c>
      <c r="Q3090" s="19">
        <f ca="1">IF(O3090="","",IF(Tipo_Vertedor="Retangular",IF(O3090&lt;=cota_s*100,0,IF(Tipo_Vertedor="Retangular",Cd_sr*Lef_sr*((O3090/100-cota_s)^(3/2))*1000)),IF(O3090&lt;=cota_s*100+fi_s/20,0,(OFFSET('Base de dados'!$A$4,IF(O3090&lt;20,1,IF(O3090&gt;1000,10,MATCH(O3090,Cargas,1))),Coluna_fis,1,1))*(PI()*(fi_s/1000)^2/4)*(2*9.81*(O3090/100-cota_s-fi_s/2/1000))^0.5*1000)))</f>
        <v>20871.373355529711</v>
      </c>
      <c r="R3090" s="19">
        <f t="shared" ca="1" si="325"/>
        <v>20946.011720101294</v>
      </c>
      <c r="S3090" s="19">
        <f t="shared" ca="1" si="326"/>
        <v>20131.546570489951</v>
      </c>
    </row>
    <row r="3091" spans="13:19">
      <c r="M3091" s="81">
        <f t="shared" ca="1" si="323"/>
        <v>41095.889406674352</v>
      </c>
      <c r="N3091" s="19">
        <f t="shared" si="324"/>
        <v>604.16627292287137</v>
      </c>
      <c r="O3091" s="17">
        <f t="shared" ref="O3091:O3154" si="327">IF(ISERROR(IF(O3090+passo_altura&gt;h_max_puls*100,"",O3090+passo_altura)),"",IF(O3090+passo_altura&gt;h_max_puls*100,"",O3090+passo_altura))</f>
        <v>772.5</v>
      </c>
      <c r="P3091" s="19">
        <f ca="1">IF(ISERROR(IF(O3091&lt;fi_h/20,0,(OFFSET('Base de dados'!$A$5,IF(O3091&lt;20,1,IF(O3091&gt;1000,10,MATCH(O3091,Cargas,1))),Coluna_fih,1,1))*(1+0.13*0.25)*(PI()*(fi_h/1000)^2/4)*SQRT(2*9.81*(O3091/100-fi_h/2/1000))*1000)),"",IF(O3091&lt;fi_h/20,0,(OFFSET('Base de dados'!$A$5,IF(O3091&lt;20,1,IF(O3091&gt;1000,10,MATCH(O3091,Cargas,1))),Coluna_fih,1,1))*(PI()*(fi_h/1000)^2/4)*SQRT(2*9.81*(O3091/100-fi_h/2/1000))*1000))</f>
        <v>74.650533777644853</v>
      </c>
      <c r="Q3091" s="19">
        <f ca="1">IF(O3091="","",IF(Tipo_Vertedor="Retangular",IF(O3091&lt;=cota_s*100,0,IF(Tipo_Vertedor="Retangular",Cd_sr*Lef_sr*((O3091/100-cota_s)^(3/2))*1000)),IF(O3091&lt;=cota_s*100+fi_s/20,0,(OFFSET('Base de dados'!$A$4,IF(O3091&lt;20,1,IF(O3091&gt;1000,10,MATCH(O3091,Cargas,1))),Coluna_fis,1,1))*(PI()*(fi_s/1000)^2/4)*(2*9.81*(O3091/100-cota_s-fi_s/2/1000))^0.5*1000)))</f>
        <v>20882.363108800993</v>
      </c>
      <c r="R3091" s="19">
        <f t="shared" ca="1" si="325"/>
        <v>20957.013642578637</v>
      </c>
      <c r="S3091" s="19">
        <f t="shared" ca="1" si="326"/>
        <v>20138.875764095712</v>
      </c>
    </row>
    <row r="3092" spans="13:19">
      <c r="M3092" s="81">
        <f t="shared" ca="1" si="323"/>
        <v>41114.22274445503</v>
      </c>
      <c r="N3092" s="19">
        <f t="shared" si="324"/>
        <v>604.38615759559332</v>
      </c>
      <c r="O3092" s="17">
        <f t="shared" si="327"/>
        <v>772.75</v>
      </c>
      <c r="P3092" s="19">
        <f ca="1">IF(ISERROR(IF(O3092&lt;fi_h/20,0,(OFFSET('Base de dados'!$A$5,IF(O3092&lt;20,1,IF(O3092&gt;1000,10,MATCH(O3092,Cargas,1))),Coluna_fih,1,1))*(1+0.13*0.25)*(PI()*(fi_h/1000)^2/4)*SQRT(2*9.81*(O3092/100-fi_h/2/1000))*1000)),"",IF(O3092&lt;fi_h/20,0,(OFFSET('Base de dados'!$A$5,IF(O3092&lt;20,1,IF(O3092&gt;1000,10,MATCH(O3092,Cargas,1))),Coluna_fih,1,1))*(PI()*(fi_h/1000)^2/4)*SQRT(2*9.81*(O3092/100-fi_h/2/1000))*1000))</f>
        <v>74.662701000257542</v>
      </c>
      <c r="Q3092" s="19">
        <f ca="1">IF(O3092="","",IF(Tipo_Vertedor="Retangular",IF(O3092&lt;=cota_s*100,0,IF(Tipo_Vertedor="Retangular",Cd_sr*Lef_sr*((O3092/100-cota_s)^(3/2))*1000)),IF(O3092&lt;=cota_s*100+fi_s/20,0,(OFFSET('Base de dados'!$A$4,IF(O3092&lt;20,1,IF(O3092&gt;1000,10,MATCH(O3092,Cargas,1))),Coluna_fis,1,1))*(PI()*(fi_s/1000)^2/4)*(2*9.81*(O3092/100-cota_s-fi_s/2/1000))^0.5*1000)))</f>
        <v>20893.354790268328</v>
      </c>
      <c r="R3092" s="19">
        <f t="shared" ca="1" si="325"/>
        <v>20968.017491268583</v>
      </c>
      <c r="S3092" s="19">
        <f t="shared" ca="1" si="326"/>
        <v>20146.205253186446</v>
      </c>
    </row>
    <row r="3093" spans="13:19">
      <c r="M3093" s="81">
        <f t="shared" ca="1" si="323"/>
        <v>41132.558303512371</v>
      </c>
      <c r="N3093" s="19">
        <f t="shared" si="324"/>
        <v>604.60605113035388</v>
      </c>
      <c r="O3093" s="17">
        <f t="shared" si="327"/>
        <v>773</v>
      </c>
      <c r="P3093" s="19">
        <f ca="1">IF(ISERROR(IF(O3093&lt;fi_h/20,0,(OFFSET('Base de dados'!$A$5,IF(O3093&lt;20,1,IF(O3093&gt;1000,10,MATCH(O3093,Cargas,1))),Coluna_fih,1,1))*(1+0.13*0.25)*(PI()*(fi_h/1000)^2/4)*SQRT(2*9.81*(O3093/100-fi_h/2/1000))*1000)),"",IF(O3093&lt;fi_h/20,0,(OFFSET('Base de dados'!$A$5,IF(O3093&lt;20,1,IF(O3093&gt;1000,10,MATCH(O3093,Cargas,1))),Coluna_fih,1,1))*(PI()*(fi_h/1000)^2/4)*SQRT(2*9.81*(O3093/100-fi_h/2/1000))*1000))</f>
        <v>74.674866240391907</v>
      </c>
      <c r="Q3093" s="19">
        <f ca="1">IF(O3093="","",IF(Tipo_Vertedor="Retangular",IF(O3093&lt;=cota_s*100,0,IF(Tipo_Vertedor="Retangular",Cd_sr*Lef_sr*((O3093/100-cota_s)^(3/2))*1000)),IF(O3093&lt;=cota_s*100+fi_s/20,0,(OFFSET('Base de dados'!$A$4,IF(O3093&lt;20,1,IF(O3093&gt;1000,10,MATCH(O3093,Cargas,1))),Coluna_fis,1,1))*(PI()*(fi_s/1000)^2/4)*(2*9.81*(O3093/100-cota_s-fi_s/2/1000))^0.5*1000)))</f>
        <v>20904.348399593517</v>
      </c>
      <c r="R3093" s="19">
        <f t="shared" ca="1" si="325"/>
        <v>20979.023265833908</v>
      </c>
      <c r="S3093" s="19">
        <f t="shared" ca="1" si="326"/>
        <v>20153.535037678459</v>
      </c>
    </row>
    <row r="3094" spans="13:19">
      <c r="M3094" s="81">
        <f t="shared" ca="1" si="323"/>
        <v>41150.896083425701</v>
      </c>
      <c r="N3094" s="19">
        <f t="shared" si="324"/>
        <v>604.82595352464375</v>
      </c>
      <c r="O3094" s="17">
        <f t="shared" si="327"/>
        <v>773.25</v>
      </c>
      <c r="P3094" s="19">
        <f ca="1">IF(ISERROR(IF(O3094&lt;fi_h/20,0,(OFFSET('Base de dados'!$A$5,IF(O3094&lt;20,1,IF(O3094&gt;1000,10,MATCH(O3094,Cargas,1))),Coluna_fih,1,1))*(1+0.13*0.25)*(PI()*(fi_h/1000)^2/4)*SQRT(2*9.81*(O3094/100-fi_h/2/1000))*1000)),"",IF(O3094&lt;fi_h/20,0,(OFFSET('Base de dados'!$A$5,IF(O3094&lt;20,1,IF(O3094&gt;1000,10,MATCH(O3094,Cargas,1))),Coluna_fih,1,1))*(PI()*(fi_h/1000)^2/4)*SQRT(2*9.81*(O3094/100-fi_h/2/1000))*1000))</f>
        <v>74.687029499016646</v>
      </c>
      <c r="Q3094" s="19">
        <f ca="1">IF(O3094="","",IF(Tipo_Vertedor="Retangular",IF(O3094&lt;=cota_s*100,0,IF(Tipo_Vertedor="Retangular",Cd_sr*Lef_sr*((O3094/100-cota_s)^(3/2))*1000)),IF(O3094&lt;=cota_s*100+fi_s/20,0,(OFFSET('Base de dados'!$A$4,IF(O3094&lt;20,1,IF(O3094&gt;1000,10,MATCH(O3094,Cargas,1))),Coluna_fis,1,1))*(PI()*(fi_s/1000)^2/4)*(2*9.81*(O3094/100-cota_s-fi_s/2/1000))^0.5*1000)))</f>
        <v>20915.343936438563</v>
      </c>
      <c r="R3094" s="19">
        <f t="shared" ca="1" si="325"/>
        <v>20990.030965937578</v>
      </c>
      <c r="S3094" s="19">
        <f t="shared" ca="1" si="326"/>
        <v>20160.865117488127</v>
      </c>
    </row>
    <row r="3095" spans="13:19">
      <c r="M3095" s="81">
        <f t="shared" ref="M3095:M3158" ca="1" si="328">IF(O3095="","",2*N3095*1000/(Passo*60)+R3095)</f>
        <v>41169.23608377458</v>
      </c>
      <c r="N3095" s="19">
        <f t="shared" ref="N3095:N3158" si="329">IF(O3095="","",b_0*(O3095/100)^c_0)</f>
        <v>605.04586477595558</v>
      </c>
      <c r="O3095" s="17">
        <f t="shared" si="327"/>
        <v>773.5</v>
      </c>
      <c r="P3095" s="19">
        <f ca="1">IF(ISERROR(IF(O3095&lt;fi_h/20,0,(OFFSET('Base de dados'!$A$5,IF(O3095&lt;20,1,IF(O3095&gt;1000,10,MATCH(O3095,Cargas,1))),Coluna_fih,1,1))*(1+0.13*0.25)*(PI()*(fi_h/1000)^2/4)*SQRT(2*9.81*(O3095/100-fi_h/2/1000))*1000)),"",IF(O3095&lt;fi_h/20,0,(OFFSET('Base de dados'!$A$5,IF(O3095&lt;20,1,IF(O3095&gt;1000,10,MATCH(O3095,Cargas,1))),Coluna_fih,1,1))*(PI()*(fi_h/1000)^2/4)*SQRT(2*9.81*(O3095/100-fi_h/2/1000))*1000))</f>
        <v>74.699190777099759</v>
      </c>
      <c r="Q3095" s="19">
        <f ca="1">IF(O3095="","",IF(Tipo_Vertedor="Retangular",IF(O3095&lt;=cota_s*100,0,IF(Tipo_Vertedor="Retangular",Cd_sr*Lef_sr*((O3095/100-cota_s)^(3/2))*1000)),IF(O3095&lt;=cota_s*100+fi_s/20,0,(OFFSET('Base de dados'!$A$4,IF(O3095&lt;20,1,IF(O3095&gt;1000,10,MATCH(O3095,Cargas,1))),Coluna_fis,1,1))*(PI()*(fi_s/1000)^2/4)*(2*9.81*(O3095/100-cota_s-fi_s/2/1000))^0.5*1000)))</f>
        <v>20926.341400465626</v>
      </c>
      <c r="R3095" s="19">
        <f t="shared" ref="R3095:R3158" ca="1" si="330">IF(O3095="","",Q3095+P3095)</f>
        <v>21001.040591242727</v>
      </c>
      <c r="S3095" s="19">
        <f t="shared" ref="S3095:S3158" ca="1" si="331">IF(M3095="","",2*N3095*1000/(Passo*60))</f>
        <v>20168.195492531853</v>
      </c>
    </row>
    <row r="3096" spans="13:19">
      <c r="M3096" s="81">
        <f t="shared" ca="1" si="328"/>
        <v>41187.578304138762</v>
      </c>
      <c r="N3096" s="19">
        <f t="shared" si="329"/>
        <v>605.26578488178313</v>
      </c>
      <c r="O3096" s="17">
        <f t="shared" si="327"/>
        <v>773.75</v>
      </c>
      <c r="P3096" s="19">
        <f ca="1">IF(ISERROR(IF(O3096&lt;fi_h/20,0,(OFFSET('Base de dados'!$A$5,IF(O3096&lt;20,1,IF(O3096&gt;1000,10,MATCH(O3096,Cargas,1))),Coluna_fih,1,1))*(1+0.13*0.25)*(PI()*(fi_h/1000)^2/4)*SQRT(2*9.81*(O3096/100-fi_h/2/1000))*1000)),"",IF(O3096&lt;fi_h/20,0,(OFFSET('Base de dados'!$A$5,IF(O3096&lt;20,1,IF(O3096&gt;1000,10,MATCH(O3096,Cargas,1))),Coluna_fih,1,1))*(PI()*(fi_h/1000)^2/4)*SQRT(2*9.81*(O3096/100-fi_h/2/1000))*1000))</f>
        <v>74.711350075608379</v>
      </c>
      <c r="Q3096" s="19">
        <f ca="1">IF(O3096="","",IF(Tipo_Vertedor="Retangular",IF(O3096&lt;=cota_s*100,0,IF(Tipo_Vertedor="Retangular",Cd_sr*Lef_sr*((O3096/100-cota_s)^(3/2))*1000)),IF(O3096&lt;=cota_s*100+fi_s/20,0,(OFFSET('Base de dados'!$A$4,IF(O3096&lt;20,1,IF(O3096&gt;1000,10,MATCH(O3096,Cargas,1))),Coluna_fis,1,1))*(PI()*(fi_s/1000)^2/4)*(2*9.81*(O3096/100-cota_s-fi_s/2/1000))^0.5*1000)))</f>
        <v>20937.340791337043</v>
      </c>
      <c r="R3096" s="19">
        <f t="shared" ca="1" si="330"/>
        <v>21012.052141412652</v>
      </c>
      <c r="S3096" s="19">
        <f t="shared" ca="1" si="331"/>
        <v>20175.526162726106</v>
      </c>
    </row>
    <row r="3097" spans="13:19">
      <c r="M3097" s="81">
        <f t="shared" ca="1" si="328"/>
        <v>41205.922744098229</v>
      </c>
      <c r="N3097" s="19">
        <f t="shared" si="329"/>
        <v>605.48571383962167</v>
      </c>
      <c r="O3097" s="17">
        <f t="shared" si="327"/>
        <v>774</v>
      </c>
      <c r="P3097" s="19">
        <f ca="1">IF(ISERROR(IF(O3097&lt;fi_h/20,0,(OFFSET('Base de dados'!$A$5,IF(O3097&lt;20,1,IF(O3097&gt;1000,10,MATCH(O3097,Cargas,1))),Coluna_fih,1,1))*(1+0.13*0.25)*(PI()*(fi_h/1000)^2/4)*SQRT(2*9.81*(O3097/100-fi_h/2/1000))*1000)),"",IF(O3097&lt;fi_h/20,0,(OFFSET('Base de dados'!$A$5,IF(O3097&lt;20,1,IF(O3097&gt;1000,10,MATCH(O3097,Cargas,1))),Coluna_fih,1,1))*(PI()*(fi_h/1000)^2/4)*SQRT(2*9.81*(O3097/100-fi_h/2/1000))*1000))</f>
        <v>74.723507395508875</v>
      </c>
      <c r="Q3097" s="19">
        <f ca="1">IF(O3097="","",IF(Tipo_Vertedor="Retangular",IF(O3097&lt;=cota_s*100,0,IF(Tipo_Vertedor="Retangular",Cd_sr*Lef_sr*((O3097/100-cota_s)^(3/2))*1000)),IF(O3097&lt;=cota_s*100+fi_s/20,0,(OFFSET('Base de dados'!$A$4,IF(O3097&lt;20,1,IF(O3097&gt;1000,10,MATCH(O3097,Cargas,1))),Coluna_fis,1,1))*(PI()*(fi_s/1000)^2/4)*(2*9.81*(O3097/100-cota_s-fi_s/2/1000))^0.5*1000)))</f>
        <v>20948.342108715333</v>
      </c>
      <c r="R3097" s="19">
        <f t="shared" ca="1" si="330"/>
        <v>21023.065616110842</v>
      </c>
      <c r="S3097" s="19">
        <f t="shared" ca="1" si="331"/>
        <v>20182.857127987387</v>
      </c>
    </row>
    <row r="3098" spans="13:19">
      <c r="M3098" s="81">
        <f t="shared" ca="1" si="328"/>
        <v>41224.269403233237</v>
      </c>
      <c r="N3098" s="19">
        <f t="shared" si="329"/>
        <v>605.70565164696836</v>
      </c>
      <c r="O3098" s="17">
        <f t="shared" si="327"/>
        <v>774.25</v>
      </c>
      <c r="P3098" s="19">
        <f ca="1">IF(ISERROR(IF(O3098&lt;fi_h/20,0,(OFFSET('Base de dados'!$A$5,IF(O3098&lt;20,1,IF(O3098&gt;1000,10,MATCH(O3098,Cargas,1))),Coluna_fih,1,1))*(1+0.13*0.25)*(PI()*(fi_h/1000)^2/4)*SQRT(2*9.81*(O3098/100-fi_h/2/1000))*1000)),"",IF(O3098&lt;fi_h/20,0,(OFFSET('Base de dados'!$A$5,IF(O3098&lt;20,1,IF(O3098&gt;1000,10,MATCH(O3098,Cargas,1))),Coluna_fih,1,1))*(PI()*(fi_h/1000)^2/4)*SQRT(2*9.81*(O3098/100-fi_h/2/1000))*1000))</f>
        <v>74.735662737766859</v>
      </c>
      <c r="Q3098" s="19">
        <f ca="1">IF(O3098="","",IF(Tipo_Vertedor="Retangular",IF(O3098&lt;=cota_s*100,0,IF(Tipo_Vertedor="Retangular",Cd_sr*Lef_sr*((O3098/100-cota_s)^(3/2))*1000)),IF(O3098&lt;=cota_s*100+fi_s/20,0,(OFFSET('Base de dados'!$A$4,IF(O3098&lt;20,1,IF(O3098&gt;1000,10,MATCH(O3098,Cargas,1))),Coluna_fis,1,1))*(PI()*(fi_s/1000)^2/4)*(2*9.81*(O3098/100-cota_s-fi_s/2/1000))^0.5*1000)))</f>
        <v>20959.345352263197</v>
      </c>
      <c r="R3098" s="19">
        <f t="shared" ca="1" si="330"/>
        <v>21034.081015000964</v>
      </c>
      <c r="S3098" s="19">
        <f t="shared" ca="1" si="331"/>
        <v>20190.188388232276</v>
      </c>
    </row>
    <row r="3099" spans="13:19">
      <c r="M3099" s="81">
        <f t="shared" ca="1" si="328"/>
        <v>41242.618281124247</v>
      </c>
      <c r="N3099" s="19">
        <f t="shared" si="329"/>
        <v>605.92559830132143</v>
      </c>
      <c r="O3099" s="17">
        <f t="shared" si="327"/>
        <v>774.5</v>
      </c>
      <c r="P3099" s="19">
        <f ca="1">IF(ISERROR(IF(O3099&lt;fi_h/20,0,(OFFSET('Base de dados'!$A$5,IF(O3099&lt;20,1,IF(O3099&gt;1000,10,MATCH(O3099,Cargas,1))),Coluna_fih,1,1))*(1+0.13*0.25)*(PI()*(fi_h/1000)^2/4)*SQRT(2*9.81*(O3099/100-fi_h/2/1000))*1000)),"",IF(O3099&lt;fi_h/20,0,(OFFSET('Base de dados'!$A$5,IF(O3099&lt;20,1,IF(O3099&gt;1000,10,MATCH(O3099,Cargas,1))),Coluna_fih,1,1))*(PI()*(fi_h/1000)^2/4)*SQRT(2*9.81*(O3099/100-fi_h/2/1000))*1000))</f>
        <v>74.747816103347091</v>
      </c>
      <c r="Q3099" s="19">
        <f ca="1">IF(O3099="","",IF(Tipo_Vertedor="Retangular",IF(O3099&lt;=cota_s*100,0,IF(Tipo_Vertedor="Retangular",Cd_sr*Lef_sr*((O3099/100-cota_s)^(3/2))*1000)),IF(O3099&lt;=cota_s*100+fi_s/20,0,(OFFSET('Base de dados'!$A$4,IF(O3099&lt;20,1,IF(O3099&gt;1000,10,MATCH(O3099,Cargas,1))),Coluna_fis,1,1))*(PI()*(fi_s/1000)^2/4)*(2*9.81*(O3099/100-cota_s-fi_s/2/1000))^0.5*1000)))</f>
        <v>20970.350521643522</v>
      </c>
      <c r="R3099" s="19">
        <f t="shared" ca="1" si="330"/>
        <v>21045.098337746869</v>
      </c>
      <c r="S3099" s="19">
        <f t="shared" ca="1" si="331"/>
        <v>20197.519943377378</v>
      </c>
    </row>
    <row r="3100" spans="13:19">
      <c r="M3100" s="81">
        <f t="shared" ca="1" si="328"/>
        <v>41260.96937735191</v>
      </c>
      <c r="N3100" s="19">
        <f t="shared" si="329"/>
        <v>606.14555380018101</v>
      </c>
      <c r="O3100" s="17">
        <f t="shared" si="327"/>
        <v>774.75</v>
      </c>
      <c r="P3100" s="19">
        <f ca="1">IF(ISERROR(IF(O3100&lt;fi_h/20,0,(OFFSET('Base de dados'!$A$5,IF(O3100&lt;20,1,IF(O3100&gt;1000,10,MATCH(O3100,Cargas,1))),Coluna_fih,1,1))*(1+0.13*0.25)*(PI()*(fi_h/1000)^2/4)*SQRT(2*9.81*(O3100/100-fi_h/2/1000))*1000)),"",IF(O3100&lt;fi_h/20,0,(OFFSET('Base de dados'!$A$5,IF(O3100&lt;20,1,IF(O3100&gt;1000,10,MATCH(O3100,Cargas,1))),Coluna_fih,1,1))*(PI()*(fi_h/1000)^2/4)*SQRT(2*9.81*(O3100/100-fi_h/2/1000))*1000))</f>
        <v>74.759967493213608</v>
      </c>
      <c r="Q3100" s="19">
        <f ca="1">IF(O3100="","",IF(Tipo_Vertedor="Retangular",IF(O3100&lt;=cota_s*100,0,IF(Tipo_Vertedor="Retangular",Cd_sr*Lef_sr*((O3100/100-cota_s)^(3/2))*1000)),IF(O3100&lt;=cota_s*100+fi_s/20,0,(OFFSET('Base de dados'!$A$4,IF(O3100&lt;20,1,IF(O3100&gt;1000,10,MATCH(O3100,Cargas,1))),Coluna_fis,1,1))*(PI()*(fi_s/1000)^2/4)*(2*9.81*(O3100/100-cota_s-fi_s/2/1000))^0.5*1000)))</f>
        <v>20981.357616519334</v>
      </c>
      <c r="R3100" s="19">
        <f t="shared" ca="1" si="330"/>
        <v>21056.117584012547</v>
      </c>
      <c r="S3100" s="19">
        <f t="shared" ca="1" si="331"/>
        <v>20204.851793339367</v>
      </c>
    </row>
    <row r="3101" spans="13:19">
      <c r="M3101" s="81">
        <f t="shared" ca="1" si="328"/>
        <v>41279.32269149716</v>
      </c>
      <c r="N3101" s="19">
        <f t="shared" si="329"/>
        <v>606.36551814104894</v>
      </c>
      <c r="O3101" s="17">
        <f t="shared" si="327"/>
        <v>775</v>
      </c>
      <c r="P3101" s="19">
        <f ca="1">IF(ISERROR(IF(O3101&lt;fi_h/20,0,(OFFSET('Base de dados'!$A$5,IF(O3101&lt;20,1,IF(O3101&gt;1000,10,MATCH(O3101,Cargas,1))),Coluna_fih,1,1))*(1+0.13*0.25)*(PI()*(fi_h/1000)^2/4)*SQRT(2*9.81*(O3101/100-fi_h/2/1000))*1000)),"",IF(O3101&lt;fi_h/20,0,(OFFSET('Base de dados'!$A$5,IF(O3101&lt;20,1,IF(O3101&gt;1000,10,MATCH(O3101,Cargas,1))),Coluna_fih,1,1))*(PI()*(fi_h/1000)^2/4)*SQRT(2*9.81*(O3101/100-fi_h/2/1000))*1000))</f>
        <v>74.77211690832965</v>
      </c>
      <c r="Q3101" s="19">
        <f ca="1">IF(O3101="","",IF(Tipo_Vertedor="Retangular",IF(O3101&lt;=cota_s*100,0,IF(Tipo_Vertedor="Retangular",Cd_sr*Lef_sr*((O3101/100-cota_s)^(3/2))*1000)),IF(O3101&lt;=cota_s*100+fi_s/20,0,(OFFSET('Base de dados'!$A$4,IF(O3101&lt;20,1,IF(O3101&gt;1000,10,MATCH(O3101,Cargas,1))),Coluna_fis,1,1))*(PI()*(fi_s/1000)^2/4)*(2*9.81*(O3101/100-cota_s-fi_s/2/1000))^0.5*1000)))</f>
        <v>20992.366636553867</v>
      </c>
      <c r="R3101" s="19">
        <f t="shared" ca="1" si="330"/>
        <v>21067.138753462197</v>
      </c>
      <c r="S3101" s="19">
        <f t="shared" ca="1" si="331"/>
        <v>20212.183938034967</v>
      </c>
    </row>
    <row r="3102" spans="13:19">
      <c r="M3102" s="81">
        <f t="shared" ca="1" si="328"/>
        <v>41297.678223141134</v>
      </c>
      <c r="N3102" s="19">
        <f t="shared" si="329"/>
        <v>606.58549132142798</v>
      </c>
      <c r="O3102" s="17">
        <f t="shared" si="327"/>
        <v>775.25</v>
      </c>
      <c r="P3102" s="19">
        <f ca="1">IF(ISERROR(IF(O3102&lt;fi_h/20,0,(OFFSET('Base de dados'!$A$5,IF(O3102&lt;20,1,IF(O3102&gt;1000,10,MATCH(O3102,Cargas,1))),Coluna_fih,1,1))*(1+0.13*0.25)*(PI()*(fi_h/1000)^2/4)*SQRT(2*9.81*(O3102/100-fi_h/2/1000))*1000)),"",IF(O3102&lt;fi_h/20,0,(OFFSET('Base de dados'!$A$5,IF(O3102&lt;20,1,IF(O3102&gt;1000,10,MATCH(O3102,Cargas,1))),Coluna_fih,1,1))*(PI()*(fi_h/1000)^2/4)*SQRT(2*9.81*(O3102/100-fi_h/2/1000))*1000))</f>
        <v>74.784264349657676</v>
      </c>
      <c r="Q3102" s="19">
        <f ca="1">IF(O3102="","",IF(Tipo_Vertedor="Retangular",IF(O3102&lt;=cota_s*100,0,IF(Tipo_Vertedor="Retangular",Cd_sr*Lef_sr*((O3102/100-cota_s)^(3/2))*1000)),IF(O3102&lt;=cota_s*100+fi_s/20,0,(OFFSET('Base de dados'!$A$4,IF(O3102&lt;20,1,IF(O3102&gt;1000,10,MATCH(O3102,Cargas,1))),Coluna_fis,1,1))*(PI()*(fi_s/1000)^2/4)*(2*9.81*(O3102/100-cota_s-fi_s/2/1000))^0.5*1000)))</f>
        <v>21003.377581410539</v>
      </c>
      <c r="R3102" s="19">
        <f t="shared" ca="1" si="330"/>
        <v>21078.161845760198</v>
      </c>
      <c r="S3102" s="19">
        <f t="shared" ca="1" si="331"/>
        <v>20219.516377380933</v>
      </c>
    </row>
    <row r="3103" spans="13:19">
      <c r="M3103" s="81">
        <f t="shared" ca="1" si="328"/>
        <v>41316.03597186516</v>
      </c>
      <c r="N3103" s="19">
        <f t="shared" si="329"/>
        <v>606.80547333882237</v>
      </c>
      <c r="O3103" s="17">
        <f t="shared" si="327"/>
        <v>775.5</v>
      </c>
      <c r="P3103" s="19">
        <f ca="1">IF(ISERROR(IF(O3103&lt;fi_h/20,0,(OFFSET('Base de dados'!$A$5,IF(O3103&lt;20,1,IF(O3103&gt;1000,10,MATCH(O3103,Cargas,1))),Coluna_fih,1,1))*(1+0.13*0.25)*(PI()*(fi_h/1000)^2/4)*SQRT(2*9.81*(O3103/100-fi_h/2/1000))*1000)),"",IF(O3103&lt;fi_h/20,0,(OFFSET('Base de dados'!$A$5,IF(O3103&lt;20,1,IF(O3103&gt;1000,10,MATCH(O3103,Cargas,1))),Coluna_fih,1,1))*(PI()*(fi_h/1000)^2/4)*SQRT(2*9.81*(O3103/100-fi_h/2/1000))*1000))</f>
        <v>74.796409818159333</v>
      </c>
      <c r="Q3103" s="19">
        <f ca="1">IF(O3103="","",IF(Tipo_Vertedor="Retangular",IF(O3103&lt;=cota_s*100,0,IF(Tipo_Vertedor="Retangular",Cd_sr*Lef_sr*((O3103/100-cota_s)^(3/2))*1000)),IF(O3103&lt;=cota_s*100+fi_s/20,0,(OFFSET('Base de dados'!$A$4,IF(O3103&lt;20,1,IF(O3103&gt;1000,10,MATCH(O3103,Cargas,1))),Coluna_fis,1,1))*(PI()*(fi_s/1000)^2/4)*(2*9.81*(O3103/100-cota_s-fi_s/2/1000))^0.5*1000)))</f>
        <v>21014.390450752922</v>
      </c>
      <c r="R3103" s="19">
        <f t="shared" ca="1" si="330"/>
        <v>21089.186860571081</v>
      </c>
      <c r="S3103" s="19">
        <f t="shared" ca="1" si="331"/>
        <v>20226.849111294079</v>
      </c>
    </row>
    <row r="3104" spans="13:19">
      <c r="M3104" s="81">
        <f t="shared" ca="1" si="328"/>
        <v>41334.395937250854</v>
      </c>
      <c r="N3104" s="19">
        <f t="shared" si="329"/>
        <v>607.02546419073826</v>
      </c>
      <c r="O3104" s="17">
        <f t="shared" si="327"/>
        <v>775.75</v>
      </c>
      <c r="P3104" s="19">
        <f ca="1">IF(ISERROR(IF(O3104&lt;fi_h/20,0,(OFFSET('Base de dados'!$A$5,IF(O3104&lt;20,1,IF(O3104&gt;1000,10,MATCH(O3104,Cargas,1))),Coluna_fih,1,1))*(1+0.13*0.25)*(PI()*(fi_h/1000)^2/4)*SQRT(2*9.81*(O3104/100-fi_h/2/1000))*1000)),"",IF(O3104&lt;fi_h/20,0,(OFFSET('Base de dados'!$A$5,IF(O3104&lt;20,1,IF(O3104&gt;1000,10,MATCH(O3104,Cargas,1))),Coluna_fih,1,1))*(PI()*(fi_h/1000)^2/4)*SQRT(2*9.81*(O3104/100-fi_h/2/1000))*1000))</f>
        <v>74.808553314795518</v>
      </c>
      <c r="Q3104" s="19">
        <f ca="1">IF(O3104="","",IF(Tipo_Vertedor="Retangular",IF(O3104&lt;=cota_s*100,0,IF(Tipo_Vertedor="Retangular",Cd_sr*Lef_sr*((O3104/100-cota_s)^(3/2))*1000)),IF(O3104&lt;=cota_s*100+fi_s/20,0,(OFFSET('Base de dados'!$A$4,IF(O3104&lt;20,1,IF(O3104&gt;1000,10,MATCH(O3104,Cargas,1))),Coluna_fis,1,1))*(PI()*(fi_s/1000)^2/4)*(2*9.81*(O3104/100-cota_s-fi_s/2/1000))^0.5*1000)))</f>
        <v>21025.405244244779</v>
      </c>
      <c r="R3104" s="19">
        <f t="shared" ca="1" si="330"/>
        <v>21100.213797559576</v>
      </c>
      <c r="S3104" s="19">
        <f t="shared" ca="1" si="331"/>
        <v>20234.182139691275</v>
      </c>
    </row>
    <row r="3105" spans="13:19">
      <c r="M3105" s="81">
        <f t="shared" ca="1" si="328"/>
        <v>41352.758118880003</v>
      </c>
      <c r="N3105" s="19">
        <f t="shared" si="329"/>
        <v>607.24546387468331</v>
      </c>
      <c r="O3105" s="17">
        <f t="shared" si="327"/>
        <v>776</v>
      </c>
      <c r="P3105" s="19">
        <f ca="1">IF(ISERROR(IF(O3105&lt;fi_h/20,0,(OFFSET('Base de dados'!$A$5,IF(O3105&lt;20,1,IF(O3105&gt;1000,10,MATCH(O3105,Cargas,1))),Coluna_fih,1,1))*(1+0.13*0.25)*(PI()*(fi_h/1000)^2/4)*SQRT(2*9.81*(O3105/100-fi_h/2/1000))*1000)),"",IF(O3105&lt;fi_h/20,0,(OFFSET('Base de dados'!$A$5,IF(O3105&lt;20,1,IF(O3105&gt;1000,10,MATCH(O3105,Cargas,1))),Coluna_fih,1,1))*(PI()*(fi_h/1000)^2/4)*SQRT(2*9.81*(O3105/100-fi_h/2/1000))*1000))</f>
        <v>74.820694840526343</v>
      </c>
      <c r="Q3105" s="19">
        <f ca="1">IF(O3105="","",IF(Tipo_Vertedor="Retangular",IF(O3105&lt;=cota_s*100,0,IF(Tipo_Vertedor="Retangular",Cd_sr*Lef_sr*((O3105/100-cota_s)^(3/2))*1000)),IF(O3105&lt;=cota_s*100+fi_s/20,0,(OFFSET('Base de dados'!$A$4,IF(O3105&lt;20,1,IF(O3105&gt;1000,10,MATCH(O3105,Cargas,1))),Coluna_fis,1,1))*(PI()*(fi_s/1000)^2/4)*(2*9.81*(O3105/100-cota_s-fi_s/2/1000))^0.5*1000)))</f>
        <v>21036.42196155003</v>
      </c>
      <c r="R3105" s="19">
        <f t="shared" ca="1" si="330"/>
        <v>21111.242656390557</v>
      </c>
      <c r="S3105" s="19">
        <f t="shared" ca="1" si="331"/>
        <v>20241.515462489446</v>
      </c>
    </row>
    <row r="3106" spans="13:19">
      <c r="M3106" s="81">
        <f t="shared" ca="1" si="328"/>
        <v>41371.122516334653</v>
      </c>
      <c r="N3106" s="19">
        <f t="shared" si="329"/>
        <v>607.46547238816675</v>
      </c>
      <c r="O3106" s="17">
        <f t="shared" si="327"/>
        <v>776.25</v>
      </c>
      <c r="P3106" s="19">
        <f ca="1">IF(ISERROR(IF(O3106&lt;fi_h/20,0,(OFFSET('Base de dados'!$A$5,IF(O3106&lt;20,1,IF(O3106&gt;1000,10,MATCH(O3106,Cargas,1))),Coluna_fih,1,1))*(1+0.13*0.25)*(PI()*(fi_h/1000)^2/4)*SQRT(2*9.81*(O3106/100-fi_h/2/1000))*1000)),"",IF(O3106&lt;fi_h/20,0,(OFFSET('Base de dados'!$A$5,IF(O3106&lt;20,1,IF(O3106&gt;1000,10,MATCH(O3106,Cargas,1))),Coluna_fih,1,1))*(PI()*(fi_h/1000)^2/4)*SQRT(2*9.81*(O3106/100-fi_h/2/1000))*1000))</f>
        <v>74.832834396311156</v>
      </c>
      <c r="Q3106" s="19">
        <f ca="1">IF(O3106="","",IF(Tipo_Vertedor="Retangular",IF(O3106&lt;=cota_s*100,0,IF(Tipo_Vertedor="Retangular",Cd_sr*Lef_sr*((O3106/100-cota_s)^(3/2))*1000)),IF(O3106&lt;=cota_s*100+fi_s/20,0,(OFFSET('Base de dados'!$A$4,IF(O3106&lt;20,1,IF(O3106&gt;1000,10,MATCH(O3106,Cargas,1))),Coluna_fis,1,1))*(PI()*(fi_s/1000)^2/4)*(2*9.81*(O3106/100-cota_s-fi_s/2/1000))^0.5*1000)))</f>
        <v>21047.440602332787</v>
      </c>
      <c r="R3106" s="19">
        <f t="shared" ca="1" si="330"/>
        <v>21122.273436729098</v>
      </c>
      <c r="S3106" s="19">
        <f t="shared" ca="1" si="331"/>
        <v>20248.849079605556</v>
      </c>
    </row>
    <row r="3107" spans="13:19">
      <c r="M3107" s="81">
        <f t="shared" ca="1" si="328"/>
        <v>41389.489129197085</v>
      </c>
      <c r="N3107" s="19">
        <f t="shared" si="329"/>
        <v>607.68548972869883</v>
      </c>
      <c r="O3107" s="17">
        <f t="shared" si="327"/>
        <v>776.5</v>
      </c>
      <c r="P3107" s="19">
        <f ca="1">IF(ISERROR(IF(O3107&lt;fi_h/20,0,(OFFSET('Base de dados'!$A$5,IF(O3107&lt;20,1,IF(O3107&gt;1000,10,MATCH(O3107,Cargas,1))),Coluna_fih,1,1))*(1+0.13*0.25)*(PI()*(fi_h/1000)^2/4)*SQRT(2*9.81*(O3107/100-fi_h/2/1000))*1000)),"",IF(O3107&lt;fi_h/20,0,(OFFSET('Base de dados'!$A$5,IF(O3107&lt;20,1,IF(O3107&gt;1000,10,MATCH(O3107,Cargas,1))),Coluna_fih,1,1))*(PI()*(fi_h/1000)^2/4)*SQRT(2*9.81*(O3107/100-fi_h/2/1000))*1000))</f>
        <v>74.844971983108451</v>
      </c>
      <c r="Q3107" s="19">
        <f ca="1">IF(O3107="","",IF(Tipo_Vertedor="Retangular",IF(O3107&lt;=cota_s*100,0,IF(Tipo_Vertedor="Retangular",Cd_sr*Lef_sr*((O3107/100-cota_s)^(3/2))*1000)),IF(O3107&lt;=cota_s*100+fi_s/20,0,(OFFSET('Base de dados'!$A$4,IF(O3107&lt;20,1,IF(O3107&gt;1000,10,MATCH(O3107,Cargas,1))),Coluna_fis,1,1))*(PI()*(fi_s/1000)^2/4)*(2*9.81*(O3107/100-cota_s-fi_s/2/1000))^0.5*1000)))</f>
        <v>21058.461166257352</v>
      </c>
      <c r="R3107" s="19">
        <f t="shared" ca="1" si="330"/>
        <v>21133.306138240459</v>
      </c>
      <c r="S3107" s="19">
        <f t="shared" ca="1" si="331"/>
        <v>20256.18299095663</v>
      </c>
    </row>
    <row r="3108" spans="13:19">
      <c r="M3108" s="81">
        <f t="shared" ca="1" si="328"/>
        <v>41407.857957049753</v>
      </c>
      <c r="N3108" s="19">
        <f t="shared" si="329"/>
        <v>607.90551589379163</v>
      </c>
      <c r="O3108" s="17">
        <f t="shared" si="327"/>
        <v>776.75</v>
      </c>
      <c r="P3108" s="19">
        <f ca="1">IF(ISERROR(IF(O3108&lt;fi_h/20,0,(OFFSET('Base de dados'!$A$5,IF(O3108&lt;20,1,IF(O3108&gt;1000,10,MATCH(O3108,Cargas,1))),Coluna_fih,1,1))*(1+0.13*0.25)*(PI()*(fi_h/1000)^2/4)*SQRT(2*9.81*(O3108/100-fi_h/2/1000))*1000)),"",IF(O3108&lt;fi_h/20,0,(OFFSET('Base de dados'!$A$5,IF(O3108&lt;20,1,IF(O3108&gt;1000,10,MATCH(O3108,Cargas,1))),Coluna_fih,1,1))*(PI()*(fi_h/1000)^2/4)*SQRT(2*9.81*(O3108/100-fi_h/2/1000))*1000))</f>
        <v>74.857107601876066</v>
      </c>
      <c r="Q3108" s="19">
        <f ca="1">IF(O3108="","",IF(Tipo_Vertedor="Retangular",IF(O3108&lt;=cota_s*100,0,IF(Tipo_Vertedor="Retangular",Cd_sr*Lef_sr*((O3108/100-cota_s)^(3/2))*1000)),IF(O3108&lt;=cota_s*100+fi_s/20,0,(OFFSET('Base de dados'!$A$4,IF(O3108&lt;20,1,IF(O3108&gt;1000,10,MATCH(O3108,Cargas,1))),Coluna_fis,1,1))*(PI()*(fi_s/1000)^2/4)*(2*9.81*(O3108/100-cota_s-fi_s/2/1000))^0.5*1000)))</f>
        <v>21069.483652988158</v>
      </c>
      <c r="R3108" s="19">
        <f t="shared" ca="1" si="330"/>
        <v>21144.340760590032</v>
      </c>
      <c r="S3108" s="19">
        <f t="shared" ca="1" si="331"/>
        <v>20263.517196459721</v>
      </c>
    </row>
    <row r="3109" spans="13:19">
      <c r="M3109" s="81">
        <f t="shared" ca="1" si="328"/>
        <v>41426.228999475388</v>
      </c>
      <c r="N3109" s="19">
        <f t="shared" si="329"/>
        <v>608.1255508809586</v>
      </c>
      <c r="O3109" s="17">
        <f t="shared" si="327"/>
        <v>777</v>
      </c>
      <c r="P3109" s="19">
        <f ca="1">IF(ISERROR(IF(O3109&lt;fi_h/20,0,(OFFSET('Base de dados'!$A$5,IF(O3109&lt;20,1,IF(O3109&gt;1000,10,MATCH(O3109,Cargas,1))),Coluna_fih,1,1))*(1+0.13*0.25)*(PI()*(fi_h/1000)^2/4)*SQRT(2*9.81*(O3109/100-fi_h/2/1000))*1000)),"",IF(O3109&lt;fi_h/20,0,(OFFSET('Base de dados'!$A$5,IF(O3109&lt;20,1,IF(O3109&gt;1000,10,MATCH(O3109,Cargas,1))),Coluna_fih,1,1))*(PI()*(fi_h/1000)^2/4)*SQRT(2*9.81*(O3109/100-fi_h/2/1000))*1000))</f>
        <v>74.869241253570991</v>
      </c>
      <c r="Q3109" s="19">
        <f ca="1">IF(O3109="","",IF(Tipo_Vertedor="Retangular",IF(O3109&lt;=cota_s*100,0,IF(Tipo_Vertedor="Retangular",Cd_sr*Lef_sr*((O3109/100-cota_s)^(3/2))*1000)),IF(O3109&lt;=cota_s*100+fi_s/20,0,(OFFSET('Base de dados'!$A$4,IF(O3109&lt;20,1,IF(O3109&gt;1000,10,MATCH(O3109,Cargas,1))),Coluna_fis,1,1))*(PI()*(fi_s/1000)^2/4)*(2*9.81*(O3109/100-cota_s-fi_s/2/1000))^0.5*1000)))</f>
        <v>21080.508062189867</v>
      </c>
      <c r="R3109" s="19">
        <f t="shared" ca="1" si="330"/>
        <v>21155.377303443438</v>
      </c>
      <c r="S3109" s="19">
        <f t="shared" ca="1" si="331"/>
        <v>20270.85169603195</v>
      </c>
    </row>
    <row r="3110" spans="13:19">
      <c r="M3110" s="81">
        <f t="shared" ca="1" si="328"/>
        <v>41444.60225605694</v>
      </c>
      <c r="N3110" s="19">
        <f t="shared" si="329"/>
        <v>608.34559468771511</v>
      </c>
      <c r="O3110" s="17">
        <f t="shared" si="327"/>
        <v>777.25</v>
      </c>
      <c r="P3110" s="19">
        <f ca="1">IF(ISERROR(IF(O3110&lt;fi_h/20,0,(OFFSET('Base de dados'!$A$5,IF(O3110&lt;20,1,IF(O3110&gt;1000,10,MATCH(O3110,Cargas,1))),Coluna_fih,1,1))*(1+0.13*0.25)*(PI()*(fi_h/1000)^2/4)*SQRT(2*9.81*(O3110/100-fi_h/2/1000))*1000)),"",IF(O3110&lt;fi_h/20,0,(OFFSET('Base de dados'!$A$5,IF(O3110&lt;20,1,IF(O3110&gt;1000,10,MATCH(O3110,Cargas,1))),Coluna_fih,1,1))*(PI()*(fi_h/1000)^2/4)*SQRT(2*9.81*(O3110/100-fi_h/2/1000))*1000))</f>
        <v>74.881372939149401</v>
      </c>
      <c r="Q3110" s="19">
        <f ca="1">IF(O3110="","",IF(Tipo_Vertedor="Retangular",IF(O3110&lt;=cota_s*100,0,IF(Tipo_Vertedor="Retangular",Cd_sr*Lef_sr*((O3110/100-cota_s)^(3/2))*1000)),IF(O3110&lt;=cota_s*100+fi_s/20,0,(OFFSET('Base de dados'!$A$4,IF(O3110&lt;20,1,IF(O3110&gt;1000,10,MATCH(O3110,Cargas,1))),Coluna_fis,1,1))*(PI()*(fi_s/1000)^2/4)*(2*9.81*(O3110/100-cota_s-fi_s/2/1000))^0.5*1000)))</f>
        <v>21091.534393527287</v>
      </c>
      <c r="R3110" s="19">
        <f t="shared" ca="1" si="330"/>
        <v>21166.415766466434</v>
      </c>
      <c r="S3110" s="19">
        <f t="shared" ca="1" si="331"/>
        <v>20278.186489590502</v>
      </c>
    </row>
    <row r="3111" spans="13:19">
      <c r="M3111" s="81">
        <f t="shared" ca="1" si="328"/>
        <v>41462.977726377547</v>
      </c>
      <c r="N3111" s="19">
        <f t="shared" si="329"/>
        <v>608.56564731157732</v>
      </c>
      <c r="O3111" s="17">
        <f t="shared" si="327"/>
        <v>777.5</v>
      </c>
      <c r="P3111" s="19">
        <f ca="1">IF(ISERROR(IF(O3111&lt;fi_h/20,0,(OFFSET('Base de dados'!$A$5,IF(O3111&lt;20,1,IF(O3111&gt;1000,10,MATCH(O3111,Cargas,1))),Coluna_fih,1,1))*(1+0.13*0.25)*(PI()*(fi_h/1000)^2/4)*SQRT(2*9.81*(O3111/100-fi_h/2/1000))*1000)),"",IF(O3111&lt;fi_h/20,0,(OFFSET('Base de dados'!$A$5,IF(O3111&lt;20,1,IF(O3111&gt;1000,10,MATCH(O3111,Cargas,1))),Coluna_fih,1,1))*(PI()*(fi_h/1000)^2/4)*SQRT(2*9.81*(O3111/100-fi_h/2/1000))*1000))</f>
        <v>74.893502659566806</v>
      </c>
      <c r="Q3111" s="19">
        <f ca="1">IF(O3111="","",IF(Tipo_Vertedor="Retangular",IF(O3111&lt;=cota_s*100,0,IF(Tipo_Vertedor="Retangular",Cd_sr*Lef_sr*((O3111/100-cota_s)^(3/2))*1000)),IF(O3111&lt;=cota_s*100+fi_s/20,0,(OFFSET('Base de dados'!$A$4,IF(O3111&lt;20,1,IF(O3111&gt;1000,10,MATCH(O3111,Cargas,1))),Coluna_fis,1,1))*(PI()*(fi_s/1000)^2/4)*(2*9.81*(O3111/100-cota_s-fi_s/2/1000))^0.5*1000)))</f>
        <v>21102.562646665399</v>
      </c>
      <c r="R3111" s="19">
        <f t="shared" ca="1" si="330"/>
        <v>21177.456149324968</v>
      </c>
      <c r="S3111" s="19">
        <f t="shared" ca="1" si="331"/>
        <v>20285.521577052579</v>
      </c>
    </row>
    <row r="3112" spans="13:19">
      <c r="M3112" s="81">
        <f t="shared" ca="1" si="328"/>
        <v>41481.355410020595</v>
      </c>
      <c r="N3112" s="19">
        <f t="shared" si="329"/>
        <v>608.78570875006346</v>
      </c>
      <c r="O3112" s="17">
        <f t="shared" si="327"/>
        <v>777.75</v>
      </c>
      <c r="P3112" s="19">
        <f ca="1">IF(ISERROR(IF(O3112&lt;fi_h/20,0,(OFFSET('Base de dados'!$A$5,IF(O3112&lt;20,1,IF(O3112&gt;1000,10,MATCH(O3112,Cargas,1))),Coluna_fih,1,1))*(1+0.13*0.25)*(PI()*(fi_h/1000)^2/4)*SQRT(2*9.81*(O3112/100-fi_h/2/1000))*1000)),"",IF(O3112&lt;fi_h/20,0,(OFFSET('Base de dados'!$A$5,IF(O3112&lt;20,1,IF(O3112&gt;1000,10,MATCH(O3112,Cargas,1))),Coluna_fih,1,1))*(PI()*(fi_h/1000)^2/4)*SQRT(2*9.81*(O3112/100-fi_h/2/1000))*1000))</f>
        <v>74.90563041577785</v>
      </c>
      <c r="Q3112" s="19">
        <f ca="1">IF(O3112="","",IF(Tipo_Vertedor="Retangular",IF(O3112&lt;=cota_s*100,0,IF(Tipo_Vertedor="Retangular",Cd_sr*Lef_sr*((O3112/100-cota_s)^(3/2))*1000)),IF(O3112&lt;=cota_s*100+fi_s/20,0,(OFFSET('Base de dados'!$A$4,IF(O3112&lt;20,1,IF(O3112&gt;1000,10,MATCH(O3112,Cargas,1))),Coluna_fis,1,1))*(PI()*(fi_s/1000)^2/4)*(2*9.81*(O3112/100-cota_s-fi_s/2/1000))^0.5*1000)))</f>
        <v>21113.592821269365</v>
      </c>
      <c r="R3112" s="19">
        <f t="shared" ca="1" si="330"/>
        <v>21188.498451685144</v>
      </c>
      <c r="S3112" s="19">
        <f t="shared" ca="1" si="331"/>
        <v>20292.856958335447</v>
      </c>
    </row>
    <row r="3113" spans="13:19">
      <c r="M3113" s="81">
        <f t="shared" ca="1" si="328"/>
        <v>41499.735306569695</v>
      </c>
      <c r="N3113" s="19">
        <f t="shared" si="329"/>
        <v>609.00577900069345</v>
      </c>
      <c r="O3113" s="17">
        <f t="shared" si="327"/>
        <v>778</v>
      </c>
      <c r="P3113" s="19">
        <f ca="1">IF(ISERROR(IF(O3113&lt;fi_h/20,0,(OFFSET('Base de dados'!$A$5,IF(O3113&lt;20,1,IF(O3113&gt;1000,10,MATCH(O3113,Cargas,1))),Coluna_fih,1,1))*(1+0.13*0.25)*(PI()*(fi_h/1000)^2/4)*SQRT(2*9.81*(O3113/100-fi_h/2/1000))*1000)),"",IF(O3113&lt;fi_h/20,0,(OFFSET('Base de dados'!$A$5,IF(O3113&lt;20,1,IF(O3113&gt;1000,10,MATCH(O3113,Cargas,1))),Coluna_fih,1,1))*(PI()*(fi_h/1000)^2/4)*SQRT(2*9.81*(O3113/100-fi_h/2/1000))*1000))</f>
        <v>74.917756208736421</v>
      </c>
      <c r="Q3113" s="19">
        <f ca="1">IF(O3113="","",IF(Tipo_Vertedor="Retangular",IF(O3113&lt;=cota_s*100,0,IF(Tipo_Vertedor="Retangular",Cd_sr*Lef_sr*((O3113/100-cota_s)^(3/2))*1000)),IF(O3113&lt;=cota_s*100+fi_s/20,0,(OFFSET('Base de dados'!$A$4,IF(O3113&lt;20,1,IF(O3113&gt;1000,10,MATCH(O3113,Cargas,1))),Coluna_fis,1,1))*(PI()*(fi_s/1000)^2/4)*(2*9.81*(O3113/100-cota_s-fi_s/2/1000))^0.5*1000)))</f>
        <v>21124.624917004516</v>
      </c>
      <c r="R3113" s="19">
        <f t="shared" ca="1" si="330"/>
        <v>21199.542673213251</v>
      </c>
      <c r="S3113" s="19">
        <f t="shared" ca="1" si="331"/>
        <v>20300.192633356448</v>
      </c>
    </row>
    <row r="3114" spans="13:19">
      <c r="M3114" s="81">
        <f t="shared" ca="1" si="328"/>
        <v>41518.117415608693</v>
      </c>
      <c r="N3114" s="19">
        <f t="shared" si="329"/>
        <v>609.22585806098766</v>
      </c>
      <c r="O3114" s="17">
        <f t="shared" si="327"/>
        <v>778.25</v>
      </c>
      <c r="P3114" s="19">
        <f ca="1">IF(ISERROR(IF(O3114&lt;fi_h/20,0,(OFFSET('Base de dados'!$A$5,IF(O3114&lt;20,1,IF(O3114&gt;1000,10,MATCH(O3114,Cargas,1))),Coluna_fih,1,1))*(1+0.13*0.25)*(PI()*(fi_h/1000)^2/4)*SQRT(2*9.81*(O3114/100-fi_h/2/1000))*1000)),"",IF(O3114&lt;fi_h/20,0,(OFFSET('Base de dados'!$A$5,IF(O3114&lt;20,1,IF(O3114&gt;1000,10,MATCH(O3114,Cargas,1))),Coluna_fih,1,1))*(PI()*(fi_h/1000)^2/4)*SQRT(2*9.81*(O3114/100-fi_h/2/1000))*1000))</f>
        <v>74.92988003939567</v>
      </c>
      <c r="Q3114" s="19">
        <f ca="1">IF(O3114="","",IF(Tipo_Vertedor="Retangular",IF(O3114&lt;=cota_s*100,0,IF(Tipo_Vertedor="Retangular",Cd_sr*Lef_sr*((O3114/100-cota_s)^(3/2))*1000)),IF(O3114&lt;=cota_s*100+fi_s/20,0,(OFFSET('Base de dados'!$A$4,IF(O3114&lt;20,1,IF(O3114&gt;1000,10,MATCH(O3114,Cargas,1))),Coluna_fis,1,1))*(PI()*(fi_s/1000)^2/4)*(2*9.81*(O3114/100-cota_s-fi_s/2/1000))^0.5*1000)))</f>
        <v>21135.658933536379</v>
      </c>
      <c r="R3114" s="19">
        <f t="shared" ca="1" si="330"/>
        <v>21210.588813575774</v>
      </c>
      <c r="S3114" s="19">
        <f t="shared" ca="1" si="331"/>
        <v>20307.528602032922</v>
      </c>
    </row>
    <row r="3115" spans="13:19">
      <c r="M3115" s="81">
        <f t="shared" ca="1" si="328"/>
        <v>41536.50173672165</v>
      </c>
      <c r="N3115" s="19">
        <f t="shared" si="329"/>
        <v>609.44594592846909</v>
      </c>
      <c r="O3115" s="17">
        <f t="shared" si="327"/>
        <v>778.5</v>
      </c>
      <c r="P3115" s="19">
        <f ca="1">IF(ISERROR(IF(O3115&lt;fi_h/20,0,(OFFSET('Base de dados'!$A$5,IF(O3115&lt;20,1,IF(O3115&gt;1000,10,MATCH(O3115,Cargas,1))),Coluna_fih,1,1))*(1+0.13*0.25)*(PI()*(fi_h/1000)^2/4)*SQRT(2*9.81*(O3115/100-fi_h/2/1000))*1000)),"",IF(O3115&lt;fi_h/20,0,(OFFSET('Base de dados'!$A$5,IF(O3115&lt;20,1,IF(O3115&gt;1000,10,MATCH(O3115,Cargas,1))),Coluna_fih,1,1))*(PI()*(fi_h/1000)^2/4)*SQRT(2*9.81*(O3115/100-fi_h/2/1000))*1000))</f>
        <v>74.942001908707965</v>
      </c>
      <c r="Q3115" s="19">
        <f ca="1">IF(O3115="","",IF(Tipo_Vertedor="Retangular",IF(O3115&lt;=cota_s*100,0,IF(Tipo_Vertedor="Retangular",Cd_sr*Lef_sr*((O3115/100-cota_s)^(3/2))*1000)),IF(O3115&lt;=cota_s*100+fi_s/20,0,(OFFSET('Base de dados'!$A$4,IF(O3115&lt;20,1,IF(O3115&gt;1000,10,MATCH(O3115,Cargas,1))),Coluna_fis,1,1))*(PI()*(fi_s/1000)^2/4)*(2*9.81*(O3115/100-cota_s-fi_s/2/1000))^0.5*1000)))</f>
        <v>21146.694870530635</v>
      </c>
      <c r="R3115" s="19">
        <f t="shared" ca="1" si="330"/>
        <v>21221.636872439343</v>
      </c>
      <c r="S3115" s="19">
        <f t="shared" ca="1" si="331"/>
        <v>20314.864864282303</v>
      </c>
    </row>
    <row r="3116" spans="13:19">
      <c r="M3116" s="81">
        <f t="shared" ca="1" si="328"/>
        <v>41554.888269492818</v>
      </c>
      <c r="N3116" s="19">
        <f t="shared" si="329"/>
        <v>609.66604260066151</v>
      </c>
      <c r="O3116" s="17">
        <f t="shared" si="327"/>
        <v>778.75</v>
      </c>
      <c r="P3116" s="19">
        <f ca="1">IF(ISERROR(IF(O3116&lt;fi_h/20,0,(OFFSET('Base de dados'!$A$5,IF(O3116&lt;20,1,IF(O3116&gt;1000,10,MATCH(O3116,Cargas,1))),Coluna_fih,1,1))*(1+0.13*0.25)*(PI()*(fi_h/1000)^2/4)*SQRT(2*9.81*(O3116/100-fi_h/2/1000))*1000)),"",IF(O3116&lt;fi_h/20,0,(OFFSET('Base de dados'!$A$5,IF(O3116&lt;20,1,IF(O3116&gt;1000,10,MATCH(O3116,Cargas,1))),Coluna_fih,1,1))*(PI()*(fi_h/1000)^2/4)*SQRT(2*9.81*(O3116/100-fi_h/2/1000))*1000))</f>
        <v>74.95412181762488</v>
      </c>
      <c r="Q3116" s="19">
        <f ca="1">IF(O3116="","",IF(Tipo_Vertedor="Retangular",IF(O3116&lt;=cota_s*100,0,IF(Tipo_Vertedor="Retangular",Cd_sr*Lef_sr*((O3116/100-cota_s)^(3/2))*1000)),IF(O3116&lt;=cota_s*100+fi_s/20,0,(OFFSET('Base de dados'!$A$4,IF(O3116&lt;20,1,IF(O3116&gt;1000,10,MATCH(O3116,Cargas,1))),Coluna_fis,1,1))*(PI()*(fi_s/1000)^2/4)*(2*9.81*(O3116/100-cota_s-fi_s/2/1000))^0.5*1000)))</f>
        <v>21157.73272765314</v>
      </c>
      <c r="R3116" s="19">
        <f t="shared" ca="1" si="330"/>
        <v>21232.686849470763</v>
      </c>
      <c r="S3116" s="19">
        <f t="shared" ca="1" si="331"/>
        <v>20322.201420022051</v>
      </c>
    </row>
    <row r="3117" spans="13:19">
      <c r="M3117" s="81">
        <f t="shared" ca="1" si="328"/>
        <v>41573.277013506726</v>
      </c>
      <c r="N3117" s="19">
        <f t="shared" si="329"/>
        <v>609.88614807509066</v>
      </c>
      <c r="O3117" s="17">
        <f t="shared" si="327"/>
        <v>779</v>
      </c>
      <c r="P3117" s="19">
        <f ca="1">IF(ISERROR(IF(O3117&lt;fi_h/20,0,(OFFSET('Base de dados'!$A$5,IF(O3117&lt;20,1,IF(O3117&gt;1000,10,MATCH(O3117,Cargas,1))),Coluna_fih,1,1))*(1+0.13*0.25)*(PI()*(fi_h/1000)^2/4)*SQRT(2*9.81*(O3117/100-fi_h/2/1000))*1000)),"",IF(O3117&lt;fi_h/20,0,(OFFSET('Base de dados'!$A$5,IF(O3117&lt;20,1,IF(O3117&gt;1000,10,MATCH(O3117,Cargas,1))),Coluna_fih,1,1))*(PI()*(fi_h/1000)^2/4)*SQRT(2*9.81*(O3117/100-fi_h/2/1000))*1000))</f>
        <v>74.96623976709725</v>
      </c>
      <c r="Q3117" s="19">
        <f ca="1">IF(O3117="","",IF(Tipo_Vertedor="Retangular",IF(O3117&lt;=cota_s*100,0,IF(Tipo_Vertedor="Retangular",Cd_sr*Lef_sr*((O3117/100-cota_s)^(3/2))*1000)),IF(O3117&lt;=cota_s*100+fi_s/20,0,(OFFSET('Base de dados'!$A$4,IF(O3117&lt;20,1,IF(O3117&gt;1000,10,MATCH(O3117,Cargas,1))),Coluna_fis,1,1))*(PI()*(fi_s/1000)^2/4)*(2*9.81*(O3117/100-cota_s-fi_s/2/1000))^0.5*1000)))</f>
        <v>21168.772504569941</v>
      </c>
      <c r="R3117" s="19">
        <f t="shared" ca="1" si="330"/>
        <v>21243.738744337039</v>
      </c>
      <c r="S3117" s="19">
        <f t="shared" ca="1" si="331"/>
        <v>20329.538269169687</v>
      </c>
    </row>
    <row r="3118" spans="13:19">
      <c r="M3118" s="81">
        <f t="shared" ca="1" si="328"/>
        <v>41591.667968348091</v>
      </c>
      <c r="N3118" s="19">
        <f t="shared" si="329"/>
        <v>610.10626234928338</v>
      </c>
      <c r="O3118" s="17">
        <f t="shared" si="327"/>
        <v>779.25</v>
      </c>
      <c r="P3118" s="19">
        <f ca="1">IF(ISERROR(IF(O3118&lt;fi_h/20,0,(OFFSET('Base de dados'!$A$5,IF(O3118&lt;20,1,IF(O3118&gt;1000,10,MATCH(O3118,Cargas,1))),Coluna_fih,1,1))*(1+0.13*0.25)*(PI()*(fi_h/1000)^2/4)*SQRT(2*9.81*(O3118/100-fi_h/2/1000))*1000)),"",IF(O3118&lt;fi_h/20,0,(OFFSET('Base de dados'!$A$5,IF(O3118&lt;20,1,IF(O3118&gt;1000,10,MATCH(O3118,Cargas,1))),Coluna_fih,1,1))*(PI()*(fi_h/1000)^2/4)*SQRT(2*9.81*(O3118/100-fi_h/2/1000))*1000))</f>
        <v>74.978355758075097</v>
      </c>
      <c r="Q3118" s="19">
        <f ca="1">IF(O3118="","",IF(Tipo_Vertedor="Retangular",IF(O3118&lt;=cota_s*100,0,IF(Tipo_Vertedor="Retangular",Cd_sr*Lef_sr*((O3118/100-cota_s)^(3/2))*1000)),IF(O3118&lt;=cota_s*100+fi_s/20,0,(OFFSET('Base de dados'!$A$4,IF(O3118&lt;20,1,IF(O3118&gt;1000,10,MATCH(O3118,Cargas,1))),Coluna_fis,1,1))*(PI()*(fi_s/1000)^2/4)*(2*9.81*(O3118/100-cota_s-fi_s/2/1000))^0.5*1000)))</f>
        <v>21179.814200947232</v>
      </c>
      <c r="R3118" s="19">
        <f t="shared" ca="1" si="330"/>
        <v>21254.792556705306</v>
      </c>
      <c r="S3118" s="19">
        <f t="shared" ca="1" si="331"/>
        <v>20336.875411642781</v>
      </c>
    </row>
    <row r="3119" spans="13:19">
      <c r="M3119" s="81">
        <f t="shared" ca="1" si="328"/>
        <v>41610.061133601848</v>
      </c>
      <c r="N3119" s="19">
        <f t="shared" si="329"/>
        <v>610.32638542076802</v>
      </c>
      <c r="O3119" s="17">
        <f t="shared" si="327"/>
        <v>779.5</v>
      </c>
      <c r="P3119" s="19">
        <f ca="1">IF(ISERROR(IF(O3119&lt;fi_h/20,0,(OFFSET('Base de dados'!$A$5,IF(O3119&lt;20,1,IF(O3119&gt;1000,10,MATCH(O3119,Cargas,1))),Coluna_fih,1,1))*(1+0.13*0.25)*(PI()*(fi_h/1000)^2/4)*SQRT(2*9.81*(O3119/100-fi_h/2/1000))*1000)),"",IF(O3119&lt;fi_h/20,0,(OFFSET('Base de dados'!$A$5,IF(O3119&lt;20,1,IF(O3119&gt;1000,10,MATCH(O3119,Cargas,1))),Coluna_fih,1,1))*(PI()*(fi_h/1000)^2/4)*SQRT(2*9.81*(O3119/100-fi_h/2/1000))*1000))</f>
        <v>74.990469791507749</v>
      </c>
      <c r="Q3119" s="19">
        <f ca="1">IF(O3119="","",IF(Tipo_Vertedor="Retangular",IF(O3119&lt;=cota_s*100,0,IF(Tipo_Vertedor="Retangular",Cd_sr*Lef_sr*((O3119/100-cota_s)^(3/2))*1000)),IF(O3119&lt;=cota_s*100+fi_s/20,0,(OFFSET('Base de dados'!$A$4,IF(O3119&lt;20,1,IF(O3119&gt;1000,10,MATCH(O3119,Cargas,1))),Coluna_fis,1,1))*(PI()*(fi_s/1000)^2/4)*(2*9.81*(O3119/100-cota_s-fi_s/2/1000))^0.5*1000)))</f>
        <v>21190.857816451404</v>
      </c>
      <c r="R3119" s="19">
        <f t="shared" ca="1" si="330"/>
        <v>21265.848286242912</v>
      </c>
      <c r="S3119" s="19">
        <f t="shared" ca="1" si="331"/>
        <v>20344.212847358936</v>
      </c>
    </row>
    <row r="3120" spans="13:19">
      <c r="M3120" s="81">
        <f t="shared" ca="1" si="328"/>
        <v>41628.456508853189</v>
      </c>
      <c r="N3120" s="19">
        <f t="shared" si="329"/>
        <v>610.54651728707495</v>
      </c>
      <c r="O3120" s="17">
        <f t="shared" si="327"/>
        <v>779.75</v>
      </c>
      <c r="P3120" s="19">
        <f ca="1">IF(ISERROR(IF(O3120&lt;fi_h/20,0,(OFFSET('Base de dados'!$A$5,IF(O3120&lt;20,1,IF(O3120&gt;1000,10,MATCH(O3120,Cargas,1))),Coluna_fih,1,1))*(1+0.13*0.25)*(PI()*(fi_h/1000)^2/4)*SQRT(2*9.81*(O3120/100-fi_h/2/1000))*1000)),"",IF(O3120&lt;fi_h/20,0,(OFFSET('Base de dados'!$A$5,IF(O3120&lt;20,1,IF(O3120&gt;1000,10,MATCH(O3120,Cargas,1))),Coluna_fih,1,1))*(PI()*(fi_h/1000)^2/4)*SQRT(2*9.81*(O3120/100-fi_h/2/1000))*1000))</f>
        <v>75.002581868343697</v>
      </c>
      <c r="Q3120" s="19">
        <f ca="1">IF(O3120="","",IF(Tipo_Vertedor="Retangular",IF(O3120&lt;=cota_s*100,0,IF(Tipo_Vertedor="Retangular",Cd_sr*Lef_sr*((O3120/100-cota_s)^(3/2))*1000)),IF(O3120&lt;=cota_s*100+fi_s/20,0,(OFFSET('Base de dados'!$A$4,IF(O3120&lt;20,1,IF(O3120&gt;1000,10,MATCH(O3120,Cargas,1))),Coluna_fis,1,1))*(PI()*(fi_s/1000)^2/4)*(2*9.81*(O3120/100-cota_s-fi_s/2/1000))^0.5*1000)))</f>
        <v>21201.903350749017</v>
      </c>
      <c r="R3120" s="19">
        <f t="shared" ca="1" si="330"/>
        <v>21276.905932617359</v>
      </c>
      <c r="S3120" s="19">
        <f t="shared" ca="1" si="331"/>
        <v>20351.55057623583</v>
      </c>
    </row>
    <row r="3121" spans="13:19">
      <c r="M3121" s="81">
        <f t="shared" ca="1" si="328"/>
        <v>41646.854093687522</v>
      </c>
      <c r="N3121" s="19">
        <f t="shared" si="329"/>
        <v>610.76665794573546</v>
      </c>
      <c r="O3121" s="17">
        <f t="shared" si="327"/>
        <v>780</v>
      </c>
      <c r="P3121" s="19">
        <f ca="1">IF(ISERROR(IF(O3121&lt;fi_h/20,0,(OFFSET('Base de dados'!$A$5,IF(O3121&lt;20,1,IF(O3121&gt;1000,10,MATCH(O3121,Cargas,1))),Coluna_fih,1,1))*(1+0.13*0.25)*(PI()*(fi_h/1000)^2/4)*SQRT(2*9.81*(O3121/100-fi_h/2/1000))*1000)),"",IF(O3121&lt;fi_h/20,0,(OFFSET('Base de dados'!$A$5,IF(O3121&lt;20,1,IF(O3121&gt;1000,10,MATCH(O3121,Cargas,1))),Coluna_fih,1,1))*(PI()*(fi_h/1000)^2/4)*SQRT(2*9.81*(O3121/100-fi_h/2/1000))*1000))</f>
        <v>75.014691989530689</v>
      </c>
      <c r="Q3121" s="19">
        <f ca="1">IF(O3121="","",IF(Tipo_Vertedor="Retangular",IF(O3121&lt;=cota_s*100,0,IF(Tipo_Vertedor="Retangular",Cd_sr*Lef_sr*((O3121/100-cota_s)^(3/2))*1000)),IF(O3121&lt;=cota_s*100+fi_s/20,0,(OFFSET('Base de dados'!$A$4,IF(O3121&lt;20,1,IF(O3121&gt;1000,10,MATCH(O3121,Cargas,1))),Coluna_fis,1,1))*(PI()*(fi_s/1000)^2/4)*(2*9.81*(O3121/100-cota_s-fi_s/2/1000))^0.5*1000)))</f>
        <v>21212.950803506807</v>
      </c>
      <c r="R3121" s="19">
        <f t="shared" ca="1" si="330"/>
        <v>21287.965495496337</v>
      </c>
      <c r="S3121" s="19">
        <f t="shared" ca="1" si="331"/>
        <v>20358.888598191184</v>
      </c>
    </row>
    <row r="3122" spans="13:19">
      <c r="M3122" s="81">
        <f t="shared" ca="1" si="328"/>
        <v>41665.253887690429</v>
      </c>
      <c r="N3122" s="19">
        <f t="shared" si="329"/>
        <v>610.98680739428232</v>
      </c>
      <c r="O3122" s="17">
        <f t="shared" si="327"/>
        <v>780.25</v>
      </c>
      <c r="P3122" s="19">
        <f ca="1">IF(ISERROR(IF(O3122&lt;fi_h/20,0,(OFFSET('Base de dados'!$A$5,IF(O3122&lt;20,1,IF(O3122&gt;1000,10,MATCH(O3122,Cargas,1))),Coluna_fih,1,1))*(1+0.13*0.25)*(PI()*(fi_h/1000)^2/4)*SQRT(2*9.81*(O3122/100-fi_h/2/1000))*1000)),"",IF(O3122&lt;fi_h/20,0,(OFFSET('Base de dados'!$A$5,IF(O3122&lt;20,1,IF(O3122&gt;1000,10,MATCH(O3122,Cargas,1))),Coluna_fih,1,1))*(PI()*(fi_h/1000)^2/4)*SQRT(2*9.81*(O3122/100-fi_h/2/1000))*1000))</f>
        <v>75.026800156015739</v>
      </c>
      <c r="Q3122" s="19">
        <f ca="1">IF(O3122="","",IF(Tipo_Vertedor="Retangular",IF(O3122&lt;=cota_s*100,0,IF(Tipo_Vertedor="Retangular",Cd_sr*Lef_sr*((O3122/100-cota_s)^(3/2))*1000)),IF(O3122&lt;=cota_s*100+fi_s/20,0,(OFFSET('Base de dados'!$A$4,IF(O3122&lt;20,1,IF(O3122&gt;1000,10,MATCH(O3122,Cargas,1))),Coluna_fis,1,1))*(PI()*(fi_s/1000)^2/4)*(2*9.81*(O3122/100-cota_s-fi_s/2/1000))^0.5*1000)))</f>
        <v>21224.000174391669</v>
      </c>
      <c r="R3122" s="19">
        <f t="shared" ca="1" si="330"/>
        <v>21299.026974547683</v>
      </c>
      <c r="S3122" s="19">
        <f t="shared" ca="1" si="331"/>
        <v>20366.226913142742</v>
      </c>
    </row>
    <row r="3123" spans="13:19">
      <c r="M3123" s="81">
        <f t="shared" ca="1" si="328"/>
        <v>41683.655890447764</v>
      </c>
      <c r="N3123" s="19">
        <f t="shared" si="329"/>
        <v>611.20696563025012</v>
      </c>
      <c r="O3123" s="17">
        <f t="shared" si="327"/>
        <v>780.5</v>
      </c>
      <c r="P3123" s="19">
        <f ca="1">IF(ISERROR(IF(O3123&lt;fi_h/20,0,(OFFSET('Base de dados'!$A$5,IF(O3123&lt;20,1,IF(O3123&gt;1000,10,MATCH(O3123,Cargas,1))),Coluna_fih,1,1))*(1+0.13*0.25)*(PI()*(fi_h/1000)^2/4)*SQRT(2*9.81*(O3123/100-fi_h/2/1000))*1000)),"",IF(O3123&lt;fi_h/20,0,(OFFSET('Base de dados'!$A$5,IF(O3123&lt;20,1,IF(O3123&gt;1000,10,MATCH(O3123,Cargas,1))),Coluna_fih,1,1))*(PI()*(fi_h/1000)^2/4)*SQRT(2*9.81*(O3123/100-fi_h/2/1000))*1000))</f>
        <v>75.038906368745032</v>
      </c>
      <c r="Q3123" s="19">
        <f ca="1">IF(O3123="","",IF(Tipo_Vertedor="Retangular",IF(O3123&lt;=cota_s*100,0,IF(Tipo_Vertedor="Retangular",Cd_sr*Lef_sr*((O3123/100-cota_s)^(3/2))*1000)),IF(O3123&lt;=cota_s*100+fi_s/20,0,(OFFSET('Base de dados'!$A$4,IF(O3123&lt;20,1,IF(O3123&gt;1000,10,MATCH(O3123,Cargas,1))),Coluna_fis,1,1))*(PI()*(fi_s/1000)^2/4)*(2*9.81*(O3123/100-cota_s-fi_s/2/1000))^0.5*1000)))</f>
        <v>21235.051463070682</v>
      </c>
      <c r="R3123" s="19">
        <f t="shared" ca="1" si="330"/>
        <v>21310.090369439426</v>
      </c>
      <c r="S3123" s="19">
        <f t="shared" ca="1" si="331"/>
        <v>20373.565521008339</v>
      </c>
    </row>
    <row r="3124" spans="13:19">
      <c r="M3124" s="81">
        <f t="shared" ca="1" si="328"/>
        <v>41702.060101545605</v>
      </c>
      <c r="N3124" s="19">
        <f t="shared" si="329"/>
        <v>611.42713265117482</v>
      </c>
      <c r="O3124" s="17">
        <f t="shared" si="327"/>
        <v>780.75</v>
      </c>
      <c r="P3124" s="19">
        <f ca="1">IF(ISERROR(IF(O3124&lt;fi_h/20,0,(OFFSET('Base de dados'!$A$5,IF(O3124&lt;20,1,IF(O3124&gt;1000,10,MATCH(O3124,Cargas,1))),Coluna_fih,1,1))*(1+0.13*0.25)*(PI()*(fi_h/1000)^2/4)*SQRT(2*9.81*(O3124/100-fi_h/2/1000))*1000)),"",IF(O3124&lt;fi_h/20,0,(OFFSET('Base de dados'!$A$5,IF(O3124&lt;20,1,IF(O3124&gt;1000,10,MATCH(O3124,Cargas,1))),Coluna_fih,1,1))*(PI()*(fi_h/1000)^2/4)*SQRT(2*9.81*(O3124/100-fi_h/2/1000))*1000))</f>
        <v>75.051010628664073</v>
      </c>
      <c r="Q3124" s="19">
        <f ca="1">IF(O3124="","",IF(Tipo_Vertedor="Retangular",IF(O3124&lt;=cota_s*100,0,IF(Tipo_Vertedor="Retangular",Cd_sr*Lef_sr*((O3124/100-cota_s)^(3/2))*1000)),IF(O3124&lt;=cota_s*100+fi_s/20,0,(OFFSET('Base de dados'!$A$4,IF(O3124&lt;20,1,IF(O3124&gt;1000,10,MATCH(O3124,Cargas,1))),Coluna_fis,1,1))*(PI()*(fi_s/1000)^2/4)*(2*9.81*(O3124/100-cota_s-fi_s/2/1000))^0.5*1000)))</f>
        <v>21246.104669211112</v>
      </c>
      <c r="R3124" s="19">
        <f t="shared" ca="1" si="330"/>
        <v>21321.155679839776</v>
      </c>
      <c r="S3124" s="19">
        <f t="shared" ca="1" si="331"/>
        <v>20380.904421705825</v>
      </c>
    </row>
    <row r="3125" spans="13:19">
      <c r="M3125" s="81">
        <f t="shared" ca="1" si="328"/>
        <v>41720.466520570219</v>
      </c>
      <c r="N3125" s="19">
        <f t="shared" si="329"/>
        <v>611.64730845459371</v>
      </c>
      <c r="O3125" s="17">
        <f t="shared" si="327"/>
        <v>781</v>
      </c>
      <c r="P3125" s="19">
        <f ca="1">IF(ISERROR(IF(O3125&lt;fi_h/20,0,(OFFSET('Base de dados'!$A$5,IF(O3125&lt;20,1,IF(O3125&gt;1000,10,MATCH(O3125,Cargas,1))),Coluna_fih,1,1))*(1+0.13*0.25)*(PI()*(fi_h/1000)^2/4)*SQRT(2*9.81*(O3125/100-fi_h/2/1000))*1000)),"",IF(O3125&lt;fi_h/20,0,(OFFSET('Base de dados'!$A$5,IF(O3125&lt;20,1,IF(O3125&gt;1000,10,MATCH(O3125,Cargas,1))),Coluna_fih,1,1))*(PI()*(fi_h/1000)^2/4)*SQRT(2*9.81*(O3125/100-fi_h/2/1000))*1000))</f>
        <v>75.063112936717516</v>
      </c>
      <c r="Q3125" s="19">
        <f ca="1">IF(O3125="","",IF(Tipo_Vertedor="Retangular",IF(O3125&lt;=cota_s*100,0,IF(Tipo_Vertedor="Retangular",Cd_sr*Lef_sr*((O3125/100-cota_s)^(3/2))*1000)),IF(O3125&lt;=cota_s*100+fi_s/20,0,(OFFSET('Base de dados'!$A$4,IF(O3125&lt;20,1,IF(O3125&gt;1000,10,MATCH(O3125,Cargas,1))),Coluna_fis,1,1))*(PI()*(fi_s/1000)^2/4)*(2*9.81*(O3125/100-cota_s-fi_s/2/1000))^0.5*1000)))</f>
        <v>21257.159792480372</v>
      </c>
      <c r="R3125" s="19">
        <f t="shared" ca="1" si="330"/>
        <v>21332.222905417089</v>
      </c>
      <c r="S3125" s="19">
        <f t="shared" ca="1" si="331"/>
        <v>20388.243615153126</v>
      </c>
    </row>
    <row r="3126" spans="13:19">
      <c r="M3126" s="81">
        <f t="shared" ca="1" si="328"/>
        <v>41738.87514710809</v>
      </c>
      <c r="N3126" s="19">
        <f t="shared" si="329"/>
        <v>611.8674930380455</v>
      </c>
      <c r="O3126" s="17">
        <f t="shared" si="327"/>
        <v>781.25</v>
      </c>
      <c r="P3126" s="19">
        <f ca="1">IF(ISERROR(IF(O3126&lt;fi_h/20,0,(OFFSET('Base de dados'!$A$5,IF(O3126&lt;20,1,IF(O3126&gt;1000,10,MATCH(O3126,Cargas,1))),Coluna_fih,1,1))*(1+0.13*0.25)*(PI()*(fi_h/1000)^2/4)*SQRT(2*9.81*(O3126/100-fi_h/2/1000))*1000)),"",IF(O3126&lt;fi_h/20,0,(OFFSET('Base de dados'!$A$5,IF(O3126&lt;20,1,IF(O3126&gt;1000,10,MATCH(O3126,Cargas,1))),Coluna_fih,1,1))*(PI()*(fi_h/1000)^2/4)*SQRT(2*9.81*(O3126/100-fi_h/2/1000))*1000))</f>
        <v>75.07521329384933</v>
      </c>
      <c r="Q3126" s="19">
        <f ca="1">IF(O3126="","",IF(Tipo_Vertedor="Retangular",IF(O3126&lt;=cota_s*100,0,IF(Tipo_Vertedor="Retangular",Cd_sr*Lef_sr*((O3126/100-cota_s)^(3/2))*1000)),IF(O3126&lt;=cota_s*100+fi_s/20,0,(OFFSET('Base de dados'!$A$4,IF(O3126&lt;20,1,IF(O3126&gt;1000,10,MATCH(O3126,Cargas,1))),Coluna_fis,1,1))*(PI()*(fi_s/1000)^2/4)*(2*9.81*(O3126/100-cota_s-fi_s/2/1000))^0.5*1000)))</f>
        <v>21268.216832546055</v>
      </c>
      <c r="R3126" s="19">
        <f t="shared" ca="1" si="330"/>
        <v>21343.292045839906</v>
      </c>
      <c r="S3126" s="19">
        <f t="shared" ca="1" si="331"/>
        <v>20395.583101268181</v>
      </c>
    </row>
    <row r="3127" spans="13:19">
      <c r="M3127" s="81">
        <f t="shared" ca="1" si="328"/>
        <v>41757.28598074599</v>
      </c>
      <c r="N3127" s="19">
        <f t="shared" si="329"/>
        <v>612.087686399071</v>
      </c>
      <c r="O3127" s="17">
        <f t="shared" si="327"/>
        <v>781.5</v>
      </c>
      <c r="P3127" s="19">
        <f ca="1">IF(ISERROR(IF(O3127&lt;fi_h/20,0,(OFFSET('Base de dados'!$A$5,IF(O3127&lt;20,1,IF(O3127&gt;1000,10,MATCH(O3127,Cargas,1))),Coluna_fih,1,1))*(1+0.13*0.25)*(PI()*(fi_h/1000)^2/4)*SQRT(2*9.81*(O3127/100-fi_h/2/1000))*1000)),"",IF(O3127&lt;fi_h/20,0,(OFFSET('Base de dados'!$A$5,IF(O3127&lt;20,1,IF(O3127&gt;1000,10,MATCH(O3127,Cargas,1))),Coluna_fih,1,1))*(PI()*(fi_h/1000)^2/4)*SQRT(2*9.81*(O3127/100-fi_h/2/1000))*1000))</f>
        <v>75.087311701002676</v>
      </c>
      <c r="Q3127" s="19">
        <f ca="1">IF(O3127="","",IF(Tipo_Vertedor="Retangular",IF(O3127&lt;=cota_s*100,0,IF(Tipo_Vertedor="Retangular",Cd_sr*Lef_sr*((O3127/100-cota_s)^(3/2))*1000)),IF(O3127&lt;=cota_s*100+fi_s/20,0,(OFFSET('Base de dados'!$A$4,IF(O3127&lt;20,1,IF(O3127&gt;1000,10,MATCH(O3127,Cargas,1))),Coluna_fis,1,1))*(PI()*(fi_s/1000)^2/4)*(2*9.81*(O3127/100-cota_s-fi_s/2/1000))^0.5*1000)))</f>
        <v>21279.275789075953</v>
      </c>
      <c r="R3127" s="19">
        <f t="shared" ca="1" si="330"/>
        <v>21354.363100776955</v>
      </c>
      <c r="S3127" s="19">
        <f t="shared" ca="1" si="331"/>
        <v>20402.922879969035</v>
      </c>
    </row>
    <row r="3128" spans="13:19">
      <c r="M3128" s="81">
        <f t="shared" ca="1" si="328"/>
        <v>41775.699021070803</v>
      </c>
      <c r="N3128" s="19">
        <f t="shared" si="329"/>
        <v>612.30788853521119</v>
      </c>
      <c r="O3128" s="17">
        <f t="shared" si="327"/>
        <v>781.75</v>
      </c>
      <c r="P3128" s="19">
        <f ca="1">IF(ISERROR(IF(O3128&lt;fi_h/20,0,(OFFSET('Base de dados'!$A$5,IF(O3128&lt;20,1,IF(O3128&gt;1000,10,MATCH(O3128,Cargas,1))),Coluna_fih,1,1))*(1+0.13*0.25)*(PI()*(fi_h/1000)^2/4)*SQRT(2*9.81*(O3128/100-fi_h/2/1000))*1000)),"",IF(O3128&lt;fi_h/20,0,(OFFSET('Base de dados'!$A$5,IF(O3128&lt;20,1,IF(O3128&gt;1000,10,MATCH(O3128,Cargas,1))),Coluna_fih,1,1))*(PI()*(fi_h/1000)^2/4)*SQRT(2*9.81*(O3128/100-fi_h/2/1000))*1000))</f>
        <v>75.099408159119974</v>
      </c>
      <c r="Q3128" s="19">
        <f ca="1">IF(O3128="","",IF(Tipo_Vertedor="Retangular",IF(O3128&lt;=cota_s*100,0,IF(Tipo_Vertedor="Retangular",Cd_sr*Lef_sr*((O3128/100-cota_s)^(3/2))*1000)),IF(O3128&lt;=cota_s*100+fi_s/20,0,(OFFSET('Base de dados'!$A$4,IF(O3128&lt;20,1,IF(O3128&gt;1000,10,MATCH(O3128,Cargas,1))),Coluna_fis,1,1))*(PI()*(fi_s/1000)^2/4)*(2*9.81*(O3128/100-cota_s-fi_s/2/1000))^0.5*1000)))</f>
        <v>21290.336661737976</v>
      </c>
      <c r="R3128" s="19">
        <f t="shared" ca="1" si="330"/>
        <v>21365.436069897096</v>
      </c>
      <c r="S3128" s="19">
        <f t="shared" ca="1" si="331"/>
        <v>20410.262951173707</v>
      </c>
    </row>
    <row r="3129" spans="13:19">
      <c r="M3129" s="81">
        <f t="shared" ca="1" si="328"/>
        <v>41794.114267669764</v>
      </c>
      <c r="N3129" s="19">
        <f t="shared" si="329"/>
        <v>612.52809944401065</v>
      </c>
      <c r="O3129" s="17">
        <f t="shared" si="327"/>
        <v>782</v>
      </c>
      <c r="P3129" s="19">
        <f ca="1">IF(ISERROR(IF(O3129&lt;fi_h/20,0,(OFFSET('Base de dados'!$A$5,IF(O3129&lt;20,1,IF(O3129&gt;1000,10,MATCH(O3129,Cargas,1))),Coluna_fih,1,1))*(1+0.13*0.25)*(PI()*(fi_h/1000)^2/4)*SQRT(2*9.81*(O3129/100-fi_h/2/1000))*1000)),"",IF(O3129&lt;fi_h/20,0,(OFFSET('Base de dados'!$A$5,IF(O3129&lt;20,1,IF(O3129&gt;1000,10,MATCH(O3129,Cargas,1))),Coluna_fih,1,1))*(PI()*(fi_h/1000)^2/4)*SQRT(2*9.81*(O3129/100-fi_h/2/1000))*1000))</f>
        <v>75.111502669142865</v>
      </c>
      <c r="Q3129" s="19">
        <f ca="1">IF(O3129="","",IF(Tipo_Vertedor="Retangular",IF(O3129&lt;=cota_s*100,0,IF(Tipo_Vertedor="Retangular",Cd_sr*Lef_sr*((O3129/100-cota_s)^(3/2))*1000)),IF(O3129&lt;=cota_s*100+fi_s/20,0,(OFFSET('Base de dados'!$A$4,IF(O3129&lt;20,1,IF(O3129&gt;1000,10,MATCH(O3129,Cargas,1))),Coluna_fis,1,1))*(PI()*(fi_s/1000)^2/4)*(2*9.81*(O3129/100-cota_s-fi_s/2/1000))^0.5*1000)))</f>
        <v>21301.399450200264</v>
      </c>
      <c r="R3129" s="19">
        <f t="shared" ca="1" si="330"/>
        <v>21376.510952869408</v>
      </c>
      <c r="S3129" s="19">
        <f t="shared" ca="1" si="331"/>
        <v>20417.603314800355</v>
      </c>
    </row>
    <row r="3130" spans="13:19">
      <c r="M3130" s="81">
        <f t="shared" ca="1" si="328"/>
        <v>41812.53172013021</v>
      </c>
      <c r="N3130" s="19">
        <f t="shared" si="329"/>
        <v>612.74831912301295</v>
      </c>
      <c r="O3130" s="17">
        <f t="shared" si="327"/>
        <v>782.25</v>
      </c>
      <c r="P3130" s="19">
        <f ca="1">IF(ISERROR(IF(O3130&lt;fi_h/20,0,(OFFSET('Base de dados'!$A$5,IF(O3130&lt;20,1,IF(O3130&gt;1000,10,MATCH(O3130,Cargas,1))),Coluna_fih,1,1))*(1+0.13*0.25)*(PI()*(fi_h/1000)^2/4)*SQRT(2*9.81*(O3130/100-fi_h/2/1000))*1000)),"",IF(O3130&lt;fi_h/20,0,(OFFSET('Base de dados'!$A$5,IF(O3130&lt;20,1,IF(O3130&gt;1000,10,MATCH(O3130,Cargas,1))),Coluna_fih,1,1))*(PI()*(fi_h/1000)^2/4)*SQRT(2*9.81*(O3130/100-fi_h/2/1000))*1000))</f>
        <v>75.123595232012292</v>
      </c>
      <c r="Q3130" s="19">
        <f ca="1">IF(O3130="","",IF(Tipo_Vertedor="Retangular",IF(O3130&lt;=cota_s*100,0,IF(Tipo_Vertedor="Retangular",Cd_sr*Lef_sr*((O3130/100-cota_s)^(3/2))*1000)),IF(O3130&lt;=cota_s*100+fi_s/20,0,(OFFSET('Base de dados'!$A$4,IF(O3130&lt;20,1,IF(O3130&gt;1000,10,MATCH(O3130,Cargas,1))),Coluna_fis,1,1))*(PI()*(fi_s/1000)^2/4)*(2*9.81*(O3130/100-cota_s-fi_s/2/1000))^0.5*1000)))</f>
        <v>21312.464154131099</v>
      </c>
      <c r="R3130" s="19">
        <f t="shared" ca="1" si="330"/>
        <v>21387.587749363112</v>
      </c>
      <c r="S3130" s="19">
        <f t="shared" ca="1" si="331"/>
        <v>20424.943970767097</v>
      </c>
    </row>
    <row r="3131" spans="13:19">
      <c r="M3131" s="81">
        <f t="shared" ca="1" si="328"/>
        <v>41830.951378039783</v>
      </c>
      <c r="N3131" s="19">
        <f t="shared" si="329"/>
        <v>612.96854756976506</v>
      </c>
      <c r="O3131" s="17">
        <f t="shared" si="327"/>
        <v>782.5</v>
      </c>
      <c r="P3131" s="19">
        <f ca="1">IF(ISERROR(IF(O3131&lt;fi_h/20,0,(OFFSET('Base de dados'!$A$5,IF(O3131&lt;20,1,IF(O3131&gt;1000,10,MATCH(O3131,Cargas,1))),Coluna_fih,1,1))*(1+0.13*0.25)*(PI()*(fi_h/1000)^2/4)*SQRT(2*9.81*(O3131/100-fi_h/2/1000))*1000)),"",IF(O3131&lt;fi_h/20,0,(OFFSET('Base de dados'!$A$5,IF(O3131&lt;20,1,IF(O3131&gt;1000,10,MATCH(O3131,Cargas,1))),Coluna_fih,1,1))*(PI()*(fi_h/1000)^2/4)*SQRT(2*9.81*(O3131/100-fi_h/2/1000))*1000))</f>
        <v>75.135685848668345</v>
      </c>
      <c r="Q3131" s="19">
        <f ca="1">IF(O3131="","",IF(Tipo_Vertedor="Retangular",IF(O3131&lt;=cota_s*100,0,IF(Tipo_Vertedor="Retangular",Cd_sr*Lef_sr*((O3131/100-cota_s)^(3/2))*1000)),IF(O3131&lt;=cota_s*100+fi_s/20,0,(OFFSET('Base de dados'!$A$4,IF(O3131&lt;20,1,IF(O3131&gt;1000,10,MATCH(O3131,Cargas,1))),Coluna_fis,1,1))*(PI()*(fi_s/1000)^2/4)*(2*9.81*(O3131/100-cota_s-fi_s/2/1000))^0.5*1000)))</f>
        <v>21323.530773198949</v>
      </c>
      <c r="R3131" s="19">
        <f t="shared" ca="1" si="330"/>
        <v>21398.666459047618</v>
      </c>
      <c r="S3131" s="19">
        <f t="shared" ca="1" si="331"/>
        <v>20432.284918992165</v>
      </c>
    </row>
    <row r="3132" spans="13:19">
      <c r="M3132" s="81">
        <f t="shared" ca="1" si="328"/>
        <v>41849.373240986301</v>
      </c>
      <c r="N3132" s="19">
        <f t="shared" si="329"/>
        <v>613.18878478181443</v>
      </c>
      <c r="O3132" s="17">
        <f t="shared" si="327"/>
        <v>782.75</v>
      </c>
      <c r="P3132" s="19">
        <f ca="1">IF(ISERROR(IF(O3132&lt;fi_h/20,0,(OFFSET('Base de dados'!$A$5,IF(O3132&lt;20,1,IF(O3132&gt;1000,10,MATCH(O3132,Cargas,1))),Coluna_fih,1,1))*(1+0.13*0.25)*(PI()*(fi_h/1000)^2/4)*SQRT(2*9.81*(O3132/100-fi_h/2/1000))*1000)),"",IF(O3132&lt;fi_h/20,0,(OFFSET('Base de dados'!$A$5,IF(O3132&lt;20,1,IF(O3132&gt;1000,10,MATCH(O3132,Cargas,1))),Coluna_fih,1,1))*(PI()*(fi_h/1000)^2/4)*SQRT(2*9.81*(O3132/100-fi_h/2/1000))*1000))</f>
        <v>75.147774520050461</v>
      </c>
      <c r="Q3132" s="19">
        <f ca="1">IF(O3132="","",IF(Tipo_Vertedor="Retangular",IF(O3132&lt;=cota_s*100,0,IF(Tipo_Vertedor="Retangular",Cd_sr*Lef_sr*((O3132/100-cota_s)^(3/2))*1000)),IF(O3132&lt;=cota_s*100+fi_s/20,0,(OFFSET('Base de dados'!$A$4,IF(O3132&lt;20,1,IF(O3132&gt;1000,10,MATCH(O3132,Cargas,1))),Coluna_fis,1,1))*(PI()*(fi_s/1000)^2/4)*(2*9.81*(O3132/100-cota_s-fi_s/2/1000))^0.5*1000)))</f>
        <v>21334.599307072436</v>
      </c>
      <c r="R3132" s="19">
        <f t="shared" ca="1" si="330"/>
        <v>21409.747081592486</v>
      </c>
      <c r="S3132" s="19">
        <f t="shared" ca="1" si="331"/>
        <v>20439.626159393814</v>
      </c>
    </row>
    <row r="3133" spans="13:19">
      <c r="M3133" s="81">
        <f t="shared" ca="1" si="328"/>
        <v>41867.797308557812</v>
      </c>
      <c r="N3133" s="19">
        <f t="shared" si="329"/>
        <v>613.40903075671019</v>
      </c>
      <c r="O3133" s="17">
        <f t="shared" si="327"/>
        <v>783</v>
      </c>
      <c r="P3133" s="19">
        <f ca="1">IF(ISERROR(IF(O3133&lt;fi_h/20,0,(OFFSET('Base de dados'!$A$5,IF(O3133&lt;20,1,IF(O3133&gt;1000,10,MATCH(O3133,Cargas,1))),Coluna_fih,1,1))*(1+0.13*0.25)*(PI()*(fi_h/1000)^2/4)*SQRT(2*9.81*(O3133/100-fi_h/2/1000))*1000)),"",IF(O3133&lt;fi_h/20,0,(OFFSET('Base de dados'!$A$5,IF(O3133&lt;20,1,IF(O3133&gt;1000,10,MATCH(O3133,Cargas,1))),Coluna_fih,1,1))*(PI()*(fi_h/1000)^2/4)*SQRT(2*9.81*(O3133/100-fi_h/2/1000))*1000))</f>
        <v>75.159861247097211</v>
      </c>
      <c r="Q3133" s="19">
        <f ca="1">IF(O3133="","",IF(Tipo_Vertedor="Retangular",IF(O3133&lt;=cota_s*100,0,IF(Tipo_Vertedor="Retangular",Cd_sr*Lef_sr*((O3133/100-cota_s)^(3/2))*1000)),IF(O3133&lt;=cota_s*100+fi_s/20,0,(OFFSET('Base de dados'!$A$4,IF(O3133&lt;20,1,IF(O3133&gt;1000,10,MATCH(O3133,Cargas,1))),Coluna_fis,1,1))*(PI()*(fi_s/1000)^2/4)*(2*9.81*(O3133/100-cota_s-fi_s/2/1000))^0.5*1000)))</f>
        <v>21345.669755420375</v>
      </c>
      <c r="R3133" s="19">
        <f t="shared" ca="1" si="330"/>
        <v>21420.829616667474</v>
      </c>
      <c r="S3133" s="19">
        <f t="shared" ca="1" si="331"/>
        <v>20446.967691890339</v>
      </c>
    </row>
    <row r="3134" spans="13:19">
      <c r="M3134" s="81">
        <f t="shared" ca="1" si="328"/>
        <v>41886.223580342587</v>
      </c>
      <c r="N3134" s="19">
        <f t="shared" si="329"/>
        <v>613.62928549200319</v>
      </c>
      <c r="O3134" s="17">
        <f t="shared" si="327"/>
        <v>783.25</v>
      </c>
      <c r="P3134" s="19">
        <f ca="1">IF(ISERROR(IF(O3134&lt;fi_h/20,0,(OFFSET('Base de dados'!$A$5,IF(O3134&lt;20,1,IF(O3134&gt;1000,10,MATCH(O3134,Cargas,1))),Coluna_fih,1,1))*(1+0.13*0.25)*(PI()*(fi_h/1000)^2/4)*SQRT(2*9.81*(O3134/100-fi_h/2/1000))*1000)),"",IF(O3134&lt;fi_h/20,0,(OFFSET('Base de dados'!$A$5,IF(O3134&lt;20,1,IF(O3134&gt;1000,10,MATCH(O3134,Cargas,1))),Coluna_fih,1,1))*(PI()*(fi_h/1000)^2/4)*SQRT(2*9.81*(O3134/100-fi_h/2/1000))*1000))</f>
        <v>75.171946030746525</v>
      </c>
      <c r="Q3134" s="19">
        <f ca="1">IF(O3134="","",IF(Tipo_Vertedor="Retangular",IF(O3134&lt;=cota_s*100,0,IF(Tipo_Vertedor="Retangular",Cd_sr*Lef_sr*((O3134/100-cota_s)^(3/2))*1000)),IF(O3134&lt;=cota_s*100+fi_s/20,0,(OFFSET('Base de dados'!$A$4,IF(O3134&lt;20,1,IF(O3134&gt;1000,10,MATCH(O3134,Cargas,1))),Coluna_fis,1,1))*(PI()*(fi_s/1000)^2/4)*(2*9.81*(O3134/100-cota_s-fi_s/2/1000))^0.5*1000)))</f>
        <v>21356.742117911734</v>
      </c>
      <c r="R3134" s="19">
        <f t="shared" ca="1" si="330"/>
        <v>21431.91406394248</v>
      </c>
      <c r="S3134" s="19">
        <f t="shared" ca="1" si="331"/>
        <v>20454.309516400106</v>
      </c>
    </row>
    <row r="3135" spans="13:19">
      <c r="M3135" s="81">
        <f t="shared" ca="1" si="328"/>
        <v>41904.652055929095</v>
      </c>
      <c r="N3135" s="19">
        <f t="shared" si="329"/>
        <v>613.84954898524506</v>
      </c>
      <c r="O3135" s="17">
        <f t="shared" si="327"/>
        <v>783.5</v>
      </c>
      <c r="P3135" s="19">
        <f ca="1">IF(ISERROR(IF(O3135&lt;fi_h/20,0,(OFFSET('Base de dados'!$A$5,IF(O3135&lt;20,1,IF(O3135&gt;1000,10,MATCH(O3135,Cargas,1))),Coluna_fih,1,1))*(1+0.13*0.25)*(PI()*(fi_h/1000)^2/4)*SQRT(2*9.81*(O3135/100-fi_h/2/1000))*1000)),"",IF(O3135&lt;fi_h/20,0,(OFFSET('Base de dados'!$A$5,IF(O3135&lt;20,1,IF(O3135&gt;1000,10,MATCH(O3135,Cargas,1))),Coluna_fih,1,1))*(PI()*(fi_h/1000)^2/4)*SQRT(2*9.81*(O3135/100-fi_h/2/1000))*1000))</f>
        <v>75.184028871935496</v>
      </c>
      <c r="Q3135" s="19">
        <f ca="1">IF(O3135="","",IF(Tipo_Vertedor="Retangular",IF(O3135&lt;=cota_s*100,0,IF(Tipo_Vertedor="Retangular",Cd_sr*Lef_sr*((O3135/100-cota_s)^(3/2))*1000)),IF(O3135&lt;=cota_s*100+fi_s/20,0,(OFFSET('Base de dados'!$A$4,IF(O3135&lt;20,1,IF(O3135&gt;1000,10,MATCH(O3135,Cargas,1))),Coluna_fis,1,1))*(PI()*(fi_s/1000)^2/4)*(2*9.81*(O3135/100-cota_s-fi_s/2/1000))^0.5*1000)))</f>
        <v>21367.816394215653</v>
      </c>
      <c r="R3135" s="19">
        <f t="shared" ca="1" si="330"/>
        <v>21443.000423087589</v>
      </c>
      <c r="S3135" s="19">
        <f t="shared" ca="1" si="331"/>
        <v>20461.651632841502</v>
      </c>
    </row>
    <row r="3136" spans="13:19">
      <c r="M3136" s="81">
        <f t="shared" ca="1" si="328"/>
        <v>41923.082734906086</v>
      </c>
      <c r="N3136" s="19">
        <f t="shared" si="329"/>
        <v>614.06982123398996</v>
      </c>
      <c r="O3136" s="17">
        <f t="shared" si="327"/>
        <v>783.75</v>
      </c>
      <c r="P3136" s="19">
        <f ca="1">IF(ISERROR(IF(O3136&lt;fi_h/20,0,(OFFSET('Base de dados'!$A$5,IF(O3136&lt;20,1,IF(O3136&gt;1000,10,MATCH(O3136,Cargas,1))),Coluna_fih,1,1))*(1+0.13*0.25)*(PI()*(fi_h/1000)^2/4)*SQRT(2*9.81*(O3136/100-fi_h/2/1000))*1000)),"",IF(O3136&lt;fi_h/20,0,(OFFSET('Base de dados'!$A$5,IF(O3136&lt;20,1,IF(O3136&gt;1000,10,MATCH(O3136,Cargas,1))),Coluna_fih,1,1))*(PI()*(fi_h/1000)^2/4)*SQRT(2*9.81*(O3136/100-fi_h/2/1000))*1000))</f>
        <v>75.196109771600504</v>
      </c>
      <c r="Q3136" s="19">
        <f ca="1">IF(O3136="","",IF(Tipo_Vertedor="Retangular",IF(O3136&lt;=cota_s*100,0,IF(Tipo_Vertedor="Retangular",Cd_sr*Lef_sr*((O3136/100-cota_s)^(3/2))*1000)),IF(O3136&lt;=cota_s*100+fi_s/20,0,(OFFSET('Base de dados'!$A$4,IF(O3136&lt;20,1,IF(O3136&gt;1000,10,MATCH(O3136,Cargas,1))),Coluna_fis,1,1))*(PI()*(fi_s/1000)^2/4)*(2*9.81*(O3136/100-cota_s-fi_s/2/1000))^0.5*1000)))</f>
        <v>21378.892584001489</v>
      </c>
      <c r="R3136" s="19">
        <f t="shared" ca="1" si="330"/>
        <v>21454.08869377309</v>
      </c>
      <c r="S3136" s="19">
        <f t="shared" ca="1" si="331"/>
        <v>20468.994041132995</v>
      </c>
    </row>
    <row r="3137" spans="13:19">
      <c r="M3137" s="81">
        <f t="shared" ca="1" si="328"/>
        <v>41941.515616862438</v>
      </c>
      <c r="N3137" s="19">
        <f t="shared" si="329"/>
        <v>614.29010223579235</v>
      </c>
      <c r="O3137" s="17">
        <f t="shared" si="327"/>
        <v>784</v>
      </c>
      <c r="P3137" s="19">
        <f ca="1">IF(ISERROR(IF(O3137&lt;fi_h/20,0,(OFFSET('Base de dados'!$A$5,IF(O3137&lt;20,1,IF(O3137&gt;1000,10,MATCH(O3137,Cargas,1))),Coluna_fih,1,1))*(1+0.13*0.25)*(PI()*(fi_h/1000)^2/4)*SQRT(2*9.81*(O3137/100-fi_h/2/1000))*1000)),"",IF(O3137&lt;fi_h/20,0,(OFFSET('Base de dados'!$A$5,IF(O3137&lt;20,1,IF(O3137&gt;1000,10,MATCH(O3137,Cargas,1))),Coluna_fih,1,1))*(PI()*(fi_h/1000)^2/4)*SQRT(2*9.81*(O3137/100-fi_h/2/1000))*1000))</f>
        <v>75.208188730677165</v>
      </c>
      <c r="Q3137" s="19">
        <f ca="1">IF(O3137="","",IF(Tipo_Vertedor="Retangular",IF(O3137&lt;=cota_s*100,0,IF(Tipo_Vertedor="Retangular",Cd_sr*Lef_sr*((O3137/100-cota_s)^(3/2))*1000)),IF(O3137&lt;=cota_s*100+fi_s/20,0,(OFFSET('Base de dados'!$A$4,IF(O3137&lt;20,1,IF(O3137&gt;1000,10,MATCH(O3137,Cargas,1))),Coluna_fis,1,1))*(PI()*(fi_s/1000)^2/4)*(2*9.81*(O3137/100-cota_s-fi_s/2/1000))^0.5*1000)))</f>
        <v>21389.970686938686</v>
      </c>
      <c r="R3137" s="19">
        <f t="shared" ca="1" si="330"/>
        <v>21465.178875669364</v>
      </c>
      <c r="S3137" s="19">
        <f t="shared" ca="1" si="331"/>
        <v>20476.336741193078</v>
      </c>
    </row>
    <row r="3138" spans="13:19">
      <c r="M3138" s="81">
        <f t="shared" ca="1" si="328"/>
        <v>41959.950701387352</v>
      </c>
      <c r="N3138" s="19">
        <f t="shared" si="329"/>
        <v>614.51039198820968</v>
      </c>
      <c r="O3138" s="17">
        <f t="shared" si="327"/>
        <v>784.25</v>
      </c>
      <c r="P3138" s="19">
        <f ca="1">IF(ISERROR(IF(O3138&lt;fi_h/20,0,(OFFSET('Base de dados'!$A$5,IF(O3138&lt;20,1,IF(O3138&gt;1000,10,MATCH(O3138,Cargas,1))),Coluna_fih,1,1))*(1+0.13*0.25)*(PI()*(fi_h/1000)^2/4)*SQRT(2*9.81*(O3138/100-fi_h/2/1000))*1000)),"",IF(O3138&lt;fi_h/20,0,(OFFSET('Base de dados'!$A$5,IF(O3138&lt;20,1,IF(O3138&gt;1000,10,MATCH(O3138,Cargas,1))),Coluna_fih,1,1))*(PI()*(fi_h/1000)^2/4)*SQRT(2*9.81*(O3138/100-fi_h/2/1000))*1000))</f>
        <v>75.220265750100324</v>
      </c>
      <c r="Q3138" s="19">
        <f ca="1">IF(O3138="","",IF(Tipo_Vertedor="Retangular",IF(O3138&lt;=cota_s*100,0,IF(Tipo_Vertedor="Retangular",Cd_sr*Lef_sr*((O3138/100-cota_s)^(3/2))*1000)),IF(O3138&lt;=cota_s*100+fi_s/20,0,(OFFSET('Base de dados'!$A$4,IF(O3138&lt;20,1,IF(O3138&gt;1000,10,MATCH(O3138,Cargas,1))),Coluna_fis,1,1))*(PI()*(fi_s/1000)^2/4)*(2*9.81*(O3138/100-cota_s-fi_s/2/1000))^0.5*1000)))</f>
        <v>21401.050702696932</v>
      </c>
      <c r="R3138" s="19">
        <f t="shared" ca="1" si="330"/>
        <v>21476.270968447032</v>
      </c>
      <c r="S3138" s="19">
        <f t="shared" ca="1" si="331"/>
        <v>20483.679732940323</v>
      </c>
    </row>
    <row r="3139" spans="13:19">
      <c r="M3139" s="81">
        <f t="shared" ca="1" si="328"/>
        <v>41978.38798807015</v>
      </c>
      <c r="N3139" s="19">
        <f t="shared" si="329"/>
        <v>614.73069048879904</v>
      </c>
      <c r="O3139" s="17">
        <f t="shared" si="327"/>
        <v>784.5</v>
      </c>
      <c r="P3139" s="19">
        <f ca="1">IF(ISERROR(IF(O3139&lt;fi_h/20,0,(OFFSET('Base de dados'!$A$5,IF(O3139&lt;20,1,IF(O3139&gt;1000,10,MATCH(O3139,Cargas,1))),Coluna_fih,1,1))*(1+0.13*0.25)*(PI()*(fi_h/1000)^2/4)*SQRT(2*9.81*(O3139/100-fi_h/2/1000))*1000)),"",IF(O3139&lt;fi_h/20,0,(OFFSET('Base de dados'!$A$5,IF(O3139&lt;20,1,IF(O3139&gt;1000,10,MATCH(O3139,Cargas,1))),Coluna_fih,1,1))*(PI()*(fi_h/1000)^2/4)*SQRT(2*9.81*(O3139/100-fi_h/2/1000))*1000))</f>
        <v>75.232340830804134</v>
      </c>
      <c r="Q3139" s="19">
        <f ca="1">IF(O3139="","",IF(Tipo_Vertedor="Retangular",IF(O3139&lt;=cota_s*100,0,IF(Tipo_Vertedor="Retangular",Cd_sr*Lef_sr*((O3139/100-cota_s)^(3/2))*1000)),IF(O3139&lt;=cota_s*100+fi_s/20,0,(OFFSET('Base de dados'!$A$4,IF(O3139&lt;20,1,IF(O3139&gt;1000,10,MATCH(O3139,Cargas,1))),Coluna_fis,1,1))*(PI()*(fi_s/1000)^2/4)*(2*9.81*(O3139/100-cota_s-fi_s/2/1000))^0.5*1000)))</f>
        <v>21412.132630946046</v>
      </c>
      <c r="R3139" s="19">
        <f t="shared" ca="1" si="330"/>
        <v>21487.364971776849</v>
      </c>
      <c r="S3139" s="19">
        <f t="shared" ca="1" si="331"/>
        <v>20491.0230162933</v>
      </c>
    </row>
    <row r="3140" spans="13:19">
      <c r="M3140" s="81">
        <f t="shared" ca="1" si="328"/>
        <v>41996.827476500446</v>
      </c>
      <c r="N3140" s="19">
        <f t="shared" si="329"/>
        <v>614.95099773512004</v>
      </c>
      <c r="O3140" s="17">
        <f t="shared" si="327"/>
        <v>784.75</v>
      </c>
      <c r="P3140" s="19">
        <f ca="1">IF(ISERROR(IF(O3140&lt;fi_h/20,0,(OFFSET('Base de dados'!$A$5,IF(O3140&lt;20,1,IF(O3140&gt;1000,10,MATCH(O3140,Cargas,1))),Coluna_fih,1,1))*(1+0.13*0.25)*(PI()*(fi_h/1000)^2/4)*SQRT(2*9.81*(O3140/100-fi_h/2/1000))*1000)),"",IF(O3140&lt;fi_h/20,0,(OFFSET('Base de dados'!$A$5,IF(O3140&lt;20,1,IF(O3140&gt;1000,10,MATCH(O3140,Cargas,1))),Coluna_fih,1,1))*(PI()*(fi_h/1000)^2/4)*SQRT(2*9.81*(O3140/100-fi_h/2/1000))*1000))</f>
        <v>75.244413973721947</v>
      </c>
      <c r="Q3140" s="19">
        <f ca="1">IF(O3140="","",IF(Tipo_Vertedor="Retangular",IF(O3140&lt;=cota_s*100,0,IF(Tipo_Vertedor="Retangular",Cd_sr*Lef_sr*((O3140/100-cota_s)^(3/2))*1000)),IF(O3140&lt;=cota_s*100+fi_s/20,0,(OFFSET('Base de dados'!$A$4,IF(O3140&lt;20,1,IF(O3140&gt;1000,10,MATCH(O3140,Cargas,1))),Coluna_fis,1,1))*(PI()*(fi_s/1000)^2/4)*(2*9.81*(O3140/100-cota_s-fi_s/2/1000))^0.5*1000)))</f>
        <v>21423.21647135606</v>
      </c>
      <c r="R3140" s="19">
        <f t="shared" ca="1" si="330"/>
        <v>21498.460885329783</v>
      </c>
      <c r="S3140" s="19">
        <f t="shared" ca="1" si="331"/>
        <v>20498.366591170667</v>
      </c>
    </row>
    <row r="3141" spans="13:19">
      <c r="M3141" s="81">
        <f t="shared" ca="1" si="328"/>
        <v>42015.269166268008</v>
      </c>
      <c r="N3141" s="19">
        <f t="shared" si="329"/>
        <v>615.17131372473352</v>
      </c>
      <c r="O3141" s="17">
        <f t="shared" si="327"/>
        <v>785</v>
      </c>
      <c r="P3141" s="19">
        <f ca="1">IF(ISERROR(IF(O3141&lt;fi_h/20,0,(OFFSET('Base de dados'!$A$5,IF(O3141&lt;20,1,IF(O3141&gt;1000,10,MATCH(O3141,Cargas,1))),Coluna_fih,1,1))*(1+0.13*0.25)*(PI()*(fi_h/1000)^2/4)*SQRT(2*9.81*(O3141/100-fi_h/2/1000))*1000)),"",IF(O3141&lt;fi_h/20,0,(OFFSET('Base de dados'!$A$5,IF(O3141&lt;20,1,IF(O3141&gt;1000,10,MATCH(O3141,Cargas,1))),Coluna_fih,1,1))*(PI()*(fi_h/1000)^2/4)*SQRT(2*9.81*(O3141/100-fi_h/2/1000))*1000))</f>
        <v>75.256485179786353</v>
      </c>
      <c r="Q3141" s="19">
        <f ca="1">IF(O3141="","",IF(Tipo_Vertedor="Retangular",IF(O3141&lt;=cota_s*100,0,IF(Tipo_Vertedor="Retangular",Cd_sr*Lef_sr*((O3141/100-cota_s)^(3/2))*1000)),IF(O3141&lt;=cota_s*100+fi_s/20,0,(OFFSET('Base de dados'!$A$4,IF(O3141&lt;20,1,IF(O3141&gt;1000,10,MATCH(O3141,Cargas,1))),Coluna_fis,1,1))*(PI()*(fi_s/1000)^2/4)*(2*9.81*(O3141/100-cota_s-fi_s/2/1000))^0.5*1000)))</f>
        <v>21434.302223597104</v>
      </c>
      <c r="R3141" s="19">
        <f t="shared" ca="1" si="330"/>
        <v>21509.558708776891</v>
      </c>
      <c r="S3141" s="19">
        <f t="shared" ca="1" si="331"/>
        <v>20505.710457491117</v>
      </c>
    </row>
    <row r="3142" spans="13:19">
      <c r="M3142" s="81">
        <f t="shared" ca="1" si="328"/>
        <v>42033.713056962893</v>
      </c>
      <c r="N3142" s="19">
        <f t="shared" si="329"/>
        <v>615.39163845520204</v>
      </c>
      <c r="O3142" s="17">
        <f t="shared" si="327"/>
        <v>785.25</v>
      </c>
      <c r="P3142" s="19">
        <f ca="1">IF(ISERROR(IF(O3142&lt;fi_h/20,0,(OFFSET('Base de dados'!$A$5,IF(O3142&lt;20,1,IF(O3142&gt;1000,10,MATCH(O3142,Cargas,1))),Coluna_fih,1,1))*(1+0.13*0.25)*(PI()*(fi_h/1000)^2/4)*SQRT(2*9.81*(O3142/100-fi_h/2/1000))*1000)),"",IF(O3142&lt;fi_h/20,0,(OFFSET('Base de dados'!$A$5,IF(O3142&lt;20,1,IF(O3142&gt;1000,10,MATCH(O3142,Cargas,1))),Coluna_fih,1,1))*(PI()*(fi_h/1000)^2/4)*SQRT(2*9.81*(O3142/100-fi_h/2/1000))*1000))</f>
        <v>75.268554449929255</v>
      </c>
      <c r="Q3142" s="19">
        <f ca="1">IF(O3142="","",IF(Tipo_Vertedor="Retangular",IF(O3142&lt;=cota_s*100,0,IF(Tipo_Vertedor="Retangular",Cd_sr*Lef_sr*((O3142/100-cota_s)^(3/2))*1000)),IF(O3142&lt;=cota_s*100+fi_s/20,0,(OFFSET('Base de dados'!$A$4,IF(O3142&lt;20,1,IF(O3142&gt;1000,10,MATCH(O3142,Cargas,1))),Coluna_fis,1,1))*(PI()*(fi_s/1000)^2/4)*(2*9.81*(O3142/100-cota_s-fi_s/2/1000))^0.5*1000)))</f>
        <v>21445.389887339566</v>
      </c>
      <c r="R3142" s="19">
        <f t="shared" ca="1" si="330"/>
        <v>21520.658441789496</v>
      </c>
      <c r="S3142" s="19">
        <f t="shared" ca="1" si="331"/>
        <v>20513.054615173398</v>
      </c>
    </row>
    <row r="3143" spans="13:19">
      <c r="M3143" s="81">
        <f t="shared" ca="1" si="328"/>
        <v>42052.159148175357</v>
      </c>
      <c r="N3143" s="19">
        <f t="shared" si="329"/>
        <v>615.61197192408963</v>
      </c>
      <c r="O3143" s="17">
        <f t="shared" si="327"/>
        <v>785.5</v>
      </c>
      <c r="P3143" s="19">
        <f ca="1">IF(ISERROR(IF(O3143&lt;fi_h/20,0,(OFFSET('Base de dados'!$A$5,IF(O3143&lt;20,1,IF(O3143&gt;1000,10,MATCH(O3143,Cargas,1))),Coluna_fih,1,1))*(1+0.13*0.25)*(PI()*(fi_h/1000)^2/4)*SQRT(2*9.81*(O3143/100-fi_h/2/1000))*1000)),"",IF(O3143&lt;fi_h/20,0,(OFFSET('Base de dados'!$A$5,IF(O3143&lt;20,1,IF(O3143&gt;1000,10,MATCH(O3143,Cargas,1))),Coluna_fih,1,1))*(PI()*(fi_h/1000)^2/4)*SQRT(2*9.81*(O3143/100-fi_h/2/1000))*1000))</f>
        <v>75.280621785081763</v>
      </c>
      <c r="Q3143" s="19">
        <f ca="1">IF(O3143="","",IF(Tipo_Vertedor="Retangular",IF(O3143&lt;=cota_s*100,0,IF(Tipo_Vertedor="Retangular",Cd_sr*Lef_sr*((O3143/100-cota_s)^(3/2))*1000)),IF(O3143&lt;=cota_s*100+fi_s/20,0,(OFFSET('Base de dados'!$A$4,IF(O3143&lt;20,1,IF(O3143&gt;1000,10,MATCH(O3143,Cargas,1))),Coluna_fis,1,1))*(PI()*(fi_s/1000)^2/4)*(2*9.81*(O3143/100-cota_s-fi_s/2/1000))^0.5*1000)))</f>
        <v>21456.479462253956</v>
      </c>
      <c r="R3143" s="19">
        <f t="shared" ca="1" si="330"/>
        <v>21531.760084039037</v>
      </c>
      <c r="S3143" s="19">
        <f t="shared" ca="1" si="331"/>
        <v>20520.39906413632</v>
      </c>
    </row>
    <row r="3144" spans="13:19">
      <c r="M3144" s="81">
        <f t="shared" ca="1" si="328"/>
        <v>42070.607439495798</v>
      </c>
      <c r="N3144" s="19">
        <f t="shared" si="329"/>
        <v>615.83231412896077</v>
      </c>
      <c r="O3144" s="17">
        <f t="shared" si="327"/>
        <v>785.75</v>
      </c>
      <c r="P3144" s="19">
        <f ca="1">IF(ISERROR(IF(O3144&lt;fi_h/20,0,(OFFSET('Base de dados'!$A$5,IF(O3144&lt;20,1,IF(O3144&gt;1000,10,MATCH(O3144,Cargas,1))),Coluna_fih,1,1))*(1+0.13*0.25)*(PI()*(fi_h/1000)^2/4)*SQRT(2*9.81*(O3144/100-fi_h/2/1000))*1000)),"",IF(O3144&lt;fi_h/20,0,(OFFSET('Base de dados'!$A$5,IF(O3144&lt;20,1,IF(O3144&gt;1000,10,MATCH(O3144,Cargas,1))),Coluna_fih,1,1))*(PI()*(fi_h/1000)^2/4)*SQRT(2*9.81*(O3144/100-fi_h/2/1000))*1000))</f>
        <v>75.292687186174248</v>
      </c>
      <c r="Q3144" s="19">
        <f ca="1">IF(O3144="","",IF(Tipo_Vertedor="Retangular",IF(O3144&lt;=cota_s*100,0,IF(Tipo_Vertedor="Retangular",Cd_sr*Lef_sr*((O3144/100-cota_s)^(3/2))*1000)),IF(O3144&lt;=cota_s*100+fi_s/20,0,(OFFSET('Base de dados'!$A$4,IF(O3144&lt;20,1,IF(O3144&gt;1000,10,MATCH(O3144,Cargas,1))),Coluna_fis,1,1))*(PI()*(fi_s/1000)^2/4)*(2*9.81*(O3144/100-cota_s-fi_s/2/1000))^0.5*1000)))</f>
        <v>21467.570948010933</v>
      </c>
      <c r="R3144" s="19">
        <f t="shared" ca="1" si="330"/>
        <v>21542.863635197107</v>
      </c>
      <c r="S3144" s="19">
        <f t="shared" ca="1" si="331"/>
        <v>20527.743804298694</v>
      </c>
    </row>
    <row r="3145" spans="13:19">
      <c r="M3145" s="81">
        <f t="shared" ca="1" si="328"/>
        <v>42089.057930514944</v>
      </c>
      <c r="N3145" s="19">
        <f t="shared" si="329"/>
        <v>616.05266506738303</v>
      </c>
      <c r="O3145" s="17">
        <f t="shared" si="327"/>
        <v>786</v>
      </c>
      <c r="P3145" s="19">
        <f ca="1">IF(ISERROR(IF(O3145&lt;fi_h/20,0,(OFFSET('Base de dados'!$A$5,IF(O3145&lt;20,1,IF(O3145&gt;1000,10,MATCH(O3145,Cargas,1))),Coluna_fih,1,1))*(1+0.13*0.25)*(PI()*(fi_h/1000)^2/4)*SQRT(2*9.81*(O3145/100-fi_h/2/1000))*1000)),"",IF(O3145&lt;fi_h/20,0,(OFFSET('Base de dados'!$A$5,IF(O3145&lt;20,1,IF(O3145&gt;1000,10,MATCH(O3145,Cargas,1))),Coluna_fih,1,1))*(PI()*(fi_h/1000)^2/4)*SQRT(2*9.81*(O3145/100-fi_h/2/1000))*1000))</f>
        <v>75.304750654136356</v>
      </c>
      <c r="Q3145" s="19">
        <f ca="1">IF(O3145="","",IF(Tipo_Vertedor="Retangular",IF(O3145&lt;=cota_s*100,0,IF(Tipo_Vertedor="Retangular",Cd_sr*Lef_sr*((O3145/100-cota_s)^(3/2))*1000)),IF(O3145&lt;=cota_s*100+fi_s/20,0,(OFFSET('Base de dados'!$A$4,IF(O3145&lt;20,1,IF(O3145&gt;1000,10,MATCH(O3145,Cargas,1))),Coluna_fis,1,1))*(PI()*(fi_s/1000)^2/4)*(2*9.81*(O3145/100-cota_s-fi_s/2/1000))^0.5*1000)))</f>
        <v>21478.664344281369</v>
      </c>
      <c r="R3145" s="19">
        <f t="shared" ca="1" si="330"/>
        <v>21553.969094935506</v>
      </c>
      <c r="S3145" s="19">
        <f t="shared" ca="1" si="331"/>
        <v>20535.088835579438</v>
      </c>
    </row>
    <row r="3146" spans="13:19">
      <c r="M3146" s="81">
        <f t="shared" ca="1" si="328"/>
        <v>42107.510620823654</v>
      </c>
      <c r="N3146" s="19">
        <f t="shared" si="329"/>
        <v>616.27302473692362</v>
      </c>
      <c r="O3146" s="17">
        <f t="shared" si="327"/>
        <v>786.25</v>
      </c>
      <c r="P3146" s="19">
        <f ca="1">IF(ISERROR(IF(O3146&lt;fi_h/20,0,(OFFSET('Base de dados'!$A$5,IF(O3146&lt;20,1,IF(O3146&gt;1000,10,MATCH(O3146,Cargas,1))),Coluna_fih,1,1))*(1+0.13*0.25)*(PI()*(fi_h/1000)^2/4)*SQRT(2*9.81*(O3146/100-fi_h/2/1000))*1000)),"",IF(O3146&lt;fi_h/20,0,(OFFSET('Base de dados'!$A$5,IF(O3146&lt;20,1,IF(O3146&gt;1000,10,MATCH(O3146,Cargas,1))),Coluna_fih,1,1))*(PI()*(fi_h/1000)^2/4)*SQRT(2*9.81*(O3146/100-fi_h/2/1000))*1000))</f>
        <v>75.316812189896979</v>
      </c>
      <c r="Q3146" s="19">
        <f ca="1">IF(O3146="","",IF(Tipo_Vertedor="Retangular",IF(O3146&lt;=cota_s*100,0,IF(Tipo_Vertedor="Retangular",Cd_sr*Lef_sr*((O3146/100-cota_s)^(3/2))*1000)),IF(O3146&lt;=cota_s*100+fi_s/20,0,(OFFSET('Base de dados'!$A$4,IF(O3146&lt;20,1,IF(O3146&gt;1000,10,MATCH(O3146,Cargas,1))),Coluna_fis,1,1))*(PI()*(fi_s/1000)^2/4)*(2*9.81*(O3146/100-cota_s-fi_s/2/1000))^0.5*1000)))</f>
        <v>21489.759650736309</v>
      </c>
      <c r="R3146" s="19">
        <f t="shared" ca="1" si="330"/>
        <v>21565.076462926205</v>
      </c>
      <c r="S3146" s="19">
        <f t="shared" ca="1" si="331"/>
        <v>20542.434157897453</v>
      </c>
    </row>
    <row r="3147" spans="13:19">
      <c r="M3147" s="81">
        <f t="shared" ca="1" si="328"/>
        <v>42125.965510013077</v>
      </c>
      <c r="N3147" s="19">
        <f t="shared" si="329"/>
        <v>616.49339313515316</v>
      </c>
      <c r="O3147" s="17">
        <f t="shared" si="327"/>
        <v>786.5</v>
      </c>
      <c r="P3147" s="19">
        <f ca="1">IF(ISERROR(IF(O3147&lt;fi_h/20,0,(OFFSET('Base de dados'!$A$5,IF(O3147&lt;20,1,IF(O3147&gt;1000,10,MATCH(O3147,Cargas,1))),Coluna_fih,1,1))*(1+0.13*0.25)*(PI()*(fi_h/1000)^2/4)*SQRT(2*9.81*(O3147/100-fi_h/2/1000))*1000)),"",IF(O3147&lt;fi_h/20,0,(OFFSET('Base de dados'!$A$5,IF(O3147&lt;20,1,IF(O3147&gt;1000,10,MATCH(O3147,Cargas,1))),Coluna_fih,1,1))*(PI()*(fi_h/1000)^2/4)*SQRT(2*9.81*(O3147/100-fi_h/2/1000))*1000))</f>
        <v>75.328871794384227</v>
      </c>
      <c r="Q3147" s="19">
        <f ca="1">IF(O3147="","",IF(Tipo_Vertedor="Retangular",IF(O3147&lt;=cota_s*100,0,IF(Tipo_Vertedor="Retangular",Cd_sr*Lef_sr*((O3147/100-cota_s)^(3/2))*1000)),IF(O3147&lt;=cota_s*100+fi_s/20,0,(OFFSET('Base de dados'!$A$4,IF(O3147&lt;20,1,IF(O3147&gt;1000,10,MATCH(O3147,Cargas,1))),Coluna_fis,1,1))*(PI()*(fi_s/1000)^2/4)*(2*9.81*(O3147/100-cota_s-fi_s/2/1000))^0.5*1000)))</f>
        <v>21500.856867046925</v>
      </c>
      <c r="R3147" s="19">
        <f t="shared" ca="1" si="330"/>
        <v>21576.185738841308</v>
      </c>
      <c r="S3147" s="19">
        <f t="shared" ca="1" si="331"/>
        <v>20549.779771171769</v>
      </c>
    </row>
    <row r="3148" spans="13:19">
      <c r="M3148" s="81">
        <f t="shared" ca="1" si="328"/>
        <v>42144.422597674493</v>
      </c>
      <c r="N3148" s="19">
        <f t="shared" si="329"/>
        <v>616.71377025964193</v>
      </c>
      <c r="O3148" s="17">
        <f t="shared" si="327"/>
        <v>786.75</v>
      </c>
      <c r="P3148" s="19">
        <f ca="1">IF(ISERROR(IF(O3148&lt;fi_h/20,0,(OFFSET('Base de dados'!$A$5,IF(O3148&lt;20,1,IF(O3148&gt;1000,10,MATCH(O3148,Cargas,1))),Coluna_fih,1,1))*(1+0.13*0.25)*(PI()*(fi_h/1000)^2/4)*SQRT(2*9.81*(O3148/100-fi_h/2/1000))*1000)),"",IF(O3148&lt;fi_h/20,0,(OFFSET('Base de dados'!$A$5,IF(O3148&lt;20,1,IF(O3148&gt;1000,10,MATCH(O3148,Cargas,1))),Coluna_fih,1,1))*(PI()*(fi_h/1000)^2/4)*SQRT(2*9.81*(O3148/100-fi_h/2/1000))*1000))</f>
        <v>75.34092946852553</v>
      </c>
      <c r="Q3148" s="19">
        <f ca="1">IF(O3148="","",IF(Tipo_Vertedor="Retangular",IF(O3148&lt;=cota_s*100,0,IF(Tipo_Vertedor="Retangular",Cd_sr*Lef_sr*((O3148/100-cota_s)^(3/2))*1000)),IF(O3148&lt;=cota_s*100+fi_s/20,0,(OFFSET('Base de dados'!$A$4,IF(O3148&lt;20,1,IF(O3148&gt;1000,10,MATCH(O3148,Cargas,1))),Coluna_fis,1,1))*(PI()*(fi_s/1000)^2/4)*(2*9.81*(O3148/100-cota_s-fi_s/2/1000))^0.5*1000)))</f>
        <v>21511.955992884574</v>
      </c>
      <c r="R3148" s="19">
        <f t="shared" ca="1" si="330"/>
        <v>21587.2969223531</v>
      </c>
      <c r="S3148" s="19">
        <f t="shared" ca="1" si="331"/>
        <v>20557.125675321397</v>
      </c>
    </row>
    <row r="3149" spans="13:19">
      <c r="M3149" s="81">
        <f t="shared" ca="1" si="328"/>
        <v>42162.881883399503</v>
      </c>
      <c r="N3149" s="19">
        <f t="shared" si="329"/>
        <v>616.93415610796262</v>
      </c>
      <c r="O3149" s="17">
        <f t="shared" si="327"/>
        <v>787</v>
      </c>
      <c r="P3149" s="19">
        <f ca="1">IF(ISERROR(IF(O3149&lt;fi_h/20,0,(OFFSET('Base de dados'!$A$5,IF(O3149&lt;20,1,IF(O3149&gt;1000,10,MATCH(O3149,Cargas,1))),Coluna_fih,1,1))*(1+0.13*0.25)*(PI()*(fi_h/1000)^2/4)*SQRT(2*9.81*(O3149/100-fi_h/2/1000))*1000)),"",IF(O3149&lt;fi_h/20,0,(OFFSET('Base de dados'!$A$5,IF(O3149&lt;20,1,IF(O3149&gt;1000,10,MATCH(O3149,Cargas,1))),Coluna_fih,1,1))*(PI()*(fi_h/1000)^2/4)*SQRT(2*9.81*(O3149/100-fi_h/2/1000))*1000))</f>
        <v>75.352985213247521</v>
      </c>
      <c r="Q3149" s="19">
        <f ca="1">IF(O3149="","",IF(Tipo_Vertedor="Retangular",IF(O3149&lt;=cota_s*100,0,IF(Tipo_Vertedor="Retangular",Cd_sr*Lef_sr*((O3149/100-cota_s)^(3/2))*1000)),IF(O3149&lt;=cota_s*100+fi_s/20,0,(OFFSET('Base de dados'!$A$4,IF(O3149&lt;20,1,IF(O3149&gt;1000,10,MATCH(O3149,Cargas,1))),Coluna_fis,1,1))*(PI()*(fi_s/1000)^2/4)*(2*9.81*(O3149/100-cota_s-fi_s/2/1000))^0.5*1000)))</f>
        <v>21523.05702792083</v>
      </c>
      <c r="R3149" s="19">
        <f t="shared" ca="1" si="330"/>
        <v>21598.410013134078</v>
      </c>
      <c r="S3149" s="19">
        <f t="shared" ca="1" si="331"/>
        <v>20564.471870265421</v>
      </c>
    </row>
    <row r="3150" spans="13:19">
      <c r="M3150" s="81">
        <f t="shared" ca="1" si="328"/>
        <v>42181.343366779831</v>
      </c>
      <c r="N3150" s="19">
        <f t="shared" si="329"/>
        <v>617.15455067768949</v>
      </c>
      <c r="O3150" s="17">
        <f t="shared" si="327"/>
        <v>787.25</v>
      </c>
      <c r="P3150" s="19">
        <f ca="1">IF(ISERROR(IF(O3150&lt;fi_h/20,0,(OFFSET('Base de dados'!$A$5,IF(O3150&lt;20,1,IF(O3150&gt;1000,10,MATCH(O3150,Cargas,1))),Coluna_fih,1,1))*(1+0.13*0.25)*(PI()*(fi_h/1000)^2/4)*SQRT(2*9.81*(O3150/100-fi_h/2/1000))*1000)),"",IF(O3150&lt;fi_h/20,0,(OFFSET('Base de dados'!$A$5,IF(O3150&lt;20,1,IF(O3150&gt;1000,10,MATCH(O3150,Cargas,1))),Coluna_fih,1,1))*(PI()*(fi_h/1000)^2/4)*SQRT(2*9.81*(O3150/100-fi_h/2/1000))*1000))</f>
        <v>75.365039029476137</v>
      </c>
      <c r="Q3150" s="19">
        <f ca="1">IF(O3150="","",IF(Tipo_Vertedor="Retangular",IF(O3150&lt;=cota_s*100,0,IF(Tipo_Vertedor="Retangular",Cd_sr*Lef_sr*((O3150/100-cota_s)^(3/2))*1000)),IF(O3150&lt;=cota_s*100+fi_s/20,0,(OFFSET('Base de dados'!$A$4,IF(O3150&lt;20,1,IF(O3150&gt;1000,10,MATCH(O3150,Cargas,1))),Coluna_fis,1,1))*(PI()*(fi_s/1000)^2/4)*(2*9.81*(O3150/100-cota_s-fi_s/2/1000))^0.5*1000)))</f>
        <v>21534.159971827372</v>
      </c>
      <c r="R3150" s="19">
        <f t="shared" ca="1" si="330"/>
        <v>21609.525010856847</v>
      </c>
      <c r="S3150" s="19">
        <f t="shared" ca="1" si="331"/>
        <v>20571.818355922984</v>
      </c>
    </row>
    <row r="3151" spans="13:19">
      <c r="M3151" s="81">
        <f t="shared" ca="1" si="328"/>
        <v>42199.807047407456</v>
      </c>
      <c r="N3151" s="19">
        <f t="shared" si="329"/>
        <v>617.37495396639747</v>
      </c>
      <c r="O3151" s="17">
        <f t="shared" si="327"/>
        <v>787.5</v>
      </c>
      <c r="P3151" s="19">
        <f ca="1">IF(ISERROR(IF(O3151&lt;fi_h/20,0,(OFFSET('Base de dados'!$A$5,IF(O3151&lt;20,1,IF(O3151&gt;1000,10,MATCH(O3151,Cargas,1))),Coluna_fih,1,1))*(1+0.13*0.25)*(PI()*(fi_h/1000)^2/4)*SQRT(2*9.81*(O3151/100-fi_h/2/1000))*1000)),"",IF(O3151&lt;fi_h/20,0,(OFFSET('Base de dados'!$A$5,IF(O3151&lt;20,1,IF(O3151&gt;1000,10,MATCH(O3151,Cargas,1))),Coluna_fih,1,1))*(PI()*(fi_h/1000)^2/4)*SQRT(2*9.81*(O3151/100-fi_h/2/1000))*1000))</f>
        <v>75.37709091813656</v>
      </c>
      <c r="Q3151" s="19">
        <f ca="1">IF(O3151="","",IF(Tipo_Vertedor="Retangular",IF(O3151&lt;=cota_s*100,0,IF(Tipo_Vertedor="Retangular",Cd_sr*Lef_sr*((O3151/100-cota_s)^(3/2))*1000)),IF(O3151&lt;=cota_s*100+fi_s/20,0,(OFFSET('Base de dados'!$A$4,IF(O3151&lt;20,1,IF(O3151&gt;1000,10,MATCH(O3151,Cargas,1))),Coluna_fis,1,1))*(PI()*(fi_s/1000)^2/4)*(2*9.81*(O3151/100-cota_s-fi_s/2/1000))^0.5*1000)))</f>
        <v>21545.26482427607</v>
      </c>
      <c r="R3151" s="19">
        <f t="shared" ca="1" si="330"/>
        <v>21620.641915194206</v>
      </c>
      <c r="S3151" s="19">
        <f t="shared" ca="1" si="331"/>
        <v>20579.165132213249</v>
      </c>
    </row>
    <row r="3152" spans="13:19">
      <c r="M3152" s="81">
        <f t="shared" ca="1" si="328"/>
        <v>42218.272924874604</v>
      </c>
      <c r="N3152" s="19">
        <f t="shared" si="329"/>
        <v>617.5953659716638</v>
      </c>
      <c r="O3152" s="17">
        <f t="shared" si="327"/>
        <v>787.75</v>
      </c>
      <c r="P3152" s="19">
        <f ca="1">IF(ISERROR(IF(O3152&lt;fi_h/20,0,(OFFSET('Base de dados'!$A$5,IF(O3152&lt;20,1,IF(O3152&gt;1000,10,MATCH(O3152,Cargas,1))),Coluna_fih,1,1))*(1+0.13*0.25)*(PI()*(fi_h/1000)^2/4)*SQRT(2*9.81*(O3152/100-fi_h/2/1000))*1000)),"",IF(O3152&lt;fi_h/20,0,(OFFSET('Base de dados'!$A$5,IF(O3152&lt;20,1,IF(O3152&gt;1000,10,MATCH(O3152,Cargas,1))),Coluna_fih,1,1))*(PI()*(fi_h/1000)^2/4)*SQRT(2*9.81*(O3152/100-fi_h/2/1000))*1000))</f>
        <v>75.389140880153207</v>
      </c>
      <c r="Q3152" s="19">
        <f ca="1">IF(O3152="","",IF(Tipo_Vertedor="Retangular",IF(O3152&lt;=cota_s*100,0,IF(Tipo_Vertedor="Retangular",Cd_sr*Lef_sr*((O3152/100-cota_s)^(3/2))*1000)),IF(O3152&lt;=cota_s*100+fi_s/20,0,(OFFSET('Base de dados'!$A$4,IF(O3152&lt;20,1,IF(O3152&gt;1000,10,MATCH(O3152,Cargas,1))),Coluna_fis,1,1))*(PI()*(fi_s/1000)^2/4)*(2*9.81*(O3152/100-cota_s-fi_s/2/1000))^0.5*1000)))</f>
        <v>21556.371584938985</v>
      </c>
      <c r="R3152" s="19">
        <f t="shared" ca="1" si="330"/>
        <v>21631.760725819138</v>
      </c>
      <c r="S3152" s="19">
        <f t="shared" ca="1" si="331"/>
        <v>20586.512199055462</v>
      </c>
    </row>
    <row r="3153" spans="13:19">
      <c r="M3153" s="81">
        <f t="shared" ca="1" si="328"/>
        <v>42236.740998773654</v>
      </c>
      <c r="N3153" s="19">
        <f t="shared" si="329"/>
        <v>617.81578669106671</v>
      </c>
      <c r="O3153" s="17">
        <f t="shared" si="327"/>
        <v>788</v>
      </c>
      <c r="P3153" s="19">
        <f ca="1">IF(ISERROR(IF(O3153&lt;fi_h/20,0,(OFFSET('Base de dados'!$A$5,IF(O3153&lt;20,1,IF(O3153&gt;1000,10,MATCH(O3153,Cargas,1))),Coluna_fih,1,1))*(1+0.13*0.25)*(PI()*(fi_h/1000)^2/4)*SQRT(2*9.81*(O3153/100-fi_h/2/1000))*1000)),"",IF(O3153&lt;fi_h/20,0,(OFFSET('Base de dados'!$A$5,IF(O3153&lt;20,1,IF(O3153&gt;1000,10,MATCH(O3153,Cargas,1))),Coluna_fih,1,1))*(PI()*(fi_h/1000)^2/4)*SQRT(2*9.81*(O3153/100-fi_h/2/1000))*1000))</f>
        <v>75.401188916449769</v>
      </c>
      <c r="Q3153" s="19">
        <f ca="1">IF(O3153="","",IF(Tipo_Vertedor="Retangular",IF(O3153&lt;=cota_s*100,0,IF(Tipo_Vertedor="Retangular",Cd_sr*Lef_sr*((O3153/100-cota_s)^(3/2))*1000)),IF(O3153&lt;=cota_s*100+fi_s/20,0,(OFFSET('Base de dados'!$A$4,IF(O3153&lt;20,1,IF(O3153&gt;1000,10,MATCH(O3153,Cargas,1))),Coluna_fis,1,1))*(PI()*(fi_s/1000)^2/4)*(2*9.81*(O3153/100-cota_s-fi_s/2/1000))^0.5*1000)))</f>
        <v>21567.480253488313</v>
      </c>
      <c r="R3153" s="19">
        <f t="shared" ca="1" si="330"/>
        <v>21642.881442404763</v>
      </c>
      <c r="S3153" s="19">
        <f t="shared" ca="1" si="331"/>
        <v>20593.85955636889</v>
      </c>
    </row>
    <row r="3154" spans="13:19">
      <c r="M3154" s="81">
        <f t="shared" ca="1" si="328"/>
        <v>42255.21126869724</v>
      </c>
      <c r="N3154" s="19">
        <f t="shared" si="329"/>
        <v>618.03621612218546</v>
      </c>
      <c r="O3154" s="17">
        <f t="shared" si="327"/>
        <v>788.25</v>
      </c>
      <c r="P3154" s="19">
        <f ca="1">IF(ISERROR(IF(O3154&lt;fi_h/20,0,(OFFSET('Base de dados'!$A$5,IF(O3154&lt;20,1,IF(O3154&gt;1000,10,MATCH(O3154,Cargas,1))),Coluna_fih,1,1))*(1+0.13*0.25)*(PI()*(fi_h/1000)^2/4)*SQRT(2*9.81*(O3154/100-fi_h/2/1000))*1000)),"",IF(O3154&lt;fi_h/20,0,(OFFSET('Base de dados'!$A$5,IF(O3154&lt;20,1,IF(O3154&gt;1000,10,MATCH(O3154,Cargas,1))),Coluna_fih,1,1))*(PI()*(fi_h/1000)^2/4)*SQRT(2*9.81*(O3154/100-fi_h/2/1000))*1000))</f>
        <v>75.413235027949256</v>
      </c>
      <c r="Q3154" s="19">
        <f ca="1">IF(O3154="","",IF(Tipo_Vertedor="Retangular",IF(O3154&lt;=cota_s*100,0,IF(Tipo_Vertedor="Retangular",Cd_sr*Lef_sr*((O3154/100-cota_s)^(3/2))*1000)),IF(O3154&lt;=cota_s*100+fi_s/20,0,(OFFSET('Base de dados'!$A$4,IF(O3154&lt;20,1,IF(O3154&gt;1000,10,MATCH(O3154,Cargas,1))),Coluna_fis,1,1))*(PI()*(fi_s/1000)^2/4)*(2*9.81*(O3154/100-cota_s-fi_s/2/1000))^0.5*1000)))</f>
        <v>21578.590829596444</v>
      </c>
      <c r="R3154" s="19">
        <f t="shared" ca="1" si="330"/>
        <v>21654.004064624394</v>
      </c>
      <c r="S3154" s="19">
        <f t="shared" ca="1" si="331"/>
        <v>20601.207204072849</v>
      </c>
    </row>
    <row r="3155" spans="13:19">
      <c r="M3155" s="81">
        <f t="shared" ca="1" si="328"/>
        <v>42273.683734238228</v>
      </c>
      <c r="N3155" s="19">
        <f t="shared" si="329"/>
        <v>618.25665426260173</v>
      </c>
      <c r="O3155" s="17">
        <f t="shared" ref="O3155:O3218" si="332">IF(ISERROR(IF(O3154+passo_altura&gt;h_max_puls*100,"",O3154+passo_altura)),"",IF(O3154+passo_altura&gt;h_max_puls*100,"",O3154+passo_altura))</f>
        <v>788.5</v>
      </c>
      <c r="P3155" s="19">
        <f ca="1">IF(ISERROR(IF(O3155&lt;fi_h/20,0,(OFFSET('Base de dados'!$A$5,IF(O3155&lt;20,1,IF(O3155&gt;1000,10,MATCH(O3155,Cargas,1))),Coluna_fih,1,1))*(1+0.13*0.25)*(PI()*(fi_h/1000)^2/4)*SQRT(2*9.81*(O3155/100-fi_h/2/1000))*1000)),"",IF(O3155&lt;fi_h/20,0,(OFFSET('Base de dados'!$A$5,IF(O3155&lt;20,1,IF(O3155&gt;1000,10,MATCH(O3155,Cargas,1))),Coluna_fih,1,1))*(PI()*(fi_h/1000)^2/4)*SQRT(2*9.81*(O3155/100-fi_h/2/1000))*1000))</f>
        <v>75.425279215573823</v>
      </c>
      <c r="Q3155" s="19">
        <f ca="1">IF(O3155="","",IF(Tipo_Vertedor="Retangular",IF(O3155&lt;=cota_s*100,0,IF(Tipo_Vertedor="Retangular",Cd_sr*Lef_sr*((O3155/100-cota_s)^(3/2))*1000)),IF(O3155&lt;=cota_s*100+fi_s/20,0,(OFFSET('Base de dados'!$A$4,IF(O3155&lt;20,1,IF(O3155&gt;1000,10,MATCH(O3155,Cargas,1))),Coluna_fis,1,1))*(PI()*(fi_s/1000)^2/4)*(2*9.81*(O3155/100-cota_s-fi_s/2/1000))^0.5*1000)))</f>
        <v>21589.70331293593</v>
      </c>
      <c r="R3155" s="19">
        <f t="shared" ca="1" si="330"/>
        <v>21665.128592151505</v>
      </c>
      <c r="S3155" s="19">
        <f t="shared" ca="1" si="331"/>
        <v>20608.555142086723</v>
      </c>
    </row>
    <row r="3156" spans="13:19">
      <c r="M3156" s="81">
        <f t="shared" ca="1" si="328"/>
        <v>42292.158394989659</v>
      </c>
      <c r="N3156" s="19">
        <f t="shared" si="329"/>
        <v>618.47710110989794</v>
      </c>
      <c r="O3156" s="17">
        <f t="shared" si="332"/>
        <v>788.75</v>
      </c>
      <c r="P3156" s="19">
        <f ca="1">IF(ISERROR(IF(O3156&lt;fi_h/20,0,(OFFSET('Base de dados'!$A$5,IF(O3156&lt;20,1,IF(O3156&gt;1000,10,MATCH(O3156,Cargas,1))),Coluna_fih,1,1))*(1+0.13*0.25)*(PI()*(fi_h/1000)^2/4)*SQRT(2*9.81*(O3156/100-fi_h/2/1000))*1000)),"",IF(O3156&lt;fi_h/20,0,(OFFSET('Base de dados'!$A$5,IF(O3156&lt;20,1,IF(O3156&gt;1000,10,MATCH(O3156,Cargas,1))),Coluna_fih,1,1))*(PI()*(fi_h/1000)^2/4)*SQRT(2*9.81*(O3156/100-fi_h/2/1000))*1000))</f>
        <v>75.437321480245018</v>
      </c>
      <c r="Q3156" s="19">
        <f ca="1">IF(O3156="","",IF(Tipo_Vertedor="Retangular",IF(O3156&lt;=cota_s*100,0,IF(Tipo_Vertedor="Retangular",Cd_sr*Lef_sr*((O3156/100-cota_s)^(3/2))*1000)),IF(O3156&lt;=cota_s*100+fi_s/20,0,(OFFSET('Base de dados'!$A$4,IF(O3156&lt;20,1,IF(O3156&gt;1000,10,MATCH(O3156,Cargas,1))),Coluna_fis,1,1))*(PI()*(fi_s/1000)^2/4)*(2*9.81*(O3156/100-cota_s-fi_s/2/1000))^0.5*1000)))</f>
        <v>21600.81770317948</v>
      </c>
      <c r="R3156" s="19">
        <f t="shared" ca="1" si="330"/>
        <v>21676.255024659724</v>
      </c>
      <c r="S3156" s="19">
        <f t="shared" ca="1" si="331"/>
        <v>20615.903370329932</v>
      </c>
    </row>
    <row r="3157" spans="13:19">
      <c r="M3157" s="81">
        <f t="shared" ca="1" si="328"/>
        <v>42310.63525054483</v>
      </c>
      <c r="N3157" s="19">
        <f t="shared" si="329"/>
        <v>618.69755666165804</v>
      </c>
      <c r="O3157" s="17">
        <f t="shared" si="332"/>
        <v>789</v>
      </c>
      <c r="P3157" s="19">
        <f ca="1">IF(ISERROR(IF(O3157&lt;fi_h/20,0,(OFFSET('Base de dados'!$A$5,IF(O3157&lt;20,1,IF(O3157&gt;1000,10,MATCH(O3157,Cargas,1))),Coluna_fih,1,1))*(1+0.13*0.25)*(PI()*(fi_h/1000)^2/4)*SQRT(2*9.81*(O3157/100-fi_h/2/1000))*1000)),"",IF(O3157&lt;fi_h/20,0,(OFFSET('Base de dados'!$A$5,IF(O3157&lt;20,1,IF(O3157&gt;1000,10,MATCH(O3157,Cargas,1))),Coluna_fih,1,1))*(PI()*(fi_h/1000)^2/4)*SQRT(2*9.81*(O3157/100-fi_h/2/1000))*1000))</f>
        <v>75.449361822883546</v>
      </c>
      <c r="Q3157" s="19">
        <f ca="1">IF(O3157="","",IF(Tipo_Vertedor="Retangular",IF(O3157&lt;=cota_s*100,0,IF(Tipo_Vertedor="Retangular",Cd_sr*Lef_sr*((O3157/100-cota_s)^(3/2))*1000)),IF(O3157&lt;=cota_s*100+fi_s/20,0,(OFFSET('Base de dados'!$A$4,IF(O3157&lt;20,1,IF(O3157&gt;1000,10,MATCH(O3157,Cargas,1))),Coluna_fis,1,1))*(PI()*(fi_s/1000)^2/4)*(2*9.81*(O3157/100-cota_s-fi_s/2/1000))^0.5*1000)))</f>
        <v>21611.934000000008</v>
      </c>
      <c r="R3157" s="19">
        <f t="shared" ca="1" si="330"/>
        <v>21687.383361822893</v>
      </c>
      <c r="S3157" s="19">
        <f t="shared" ca="1" si="331"/>
        <v>20623.251888721934</v>
      </c>
    </row>
    <row r="3158" spans="13:19">
      <c r="M3158" s="81">
        <f t="shared" ca="1" si="328"/>
        <v>42329.114300497182</v>
      </c>
      <c r="N3158" s="19">
        <f t="shared" si="329"/>
        <v>618.91802091546731</v>
      </c>
      <c r="O3158" s="17">
        <f t="shared" si="332"/>
        <v>789.25</v>
      </c>
      <c r="P3158" s="19">
        <f ca="1">IF(ISERROR(IF(O3158&lt;fi_h/20,0,(OFFSET('Base de dados'!$A$5,IF(O3158&lt;20,1,IF(O3158&gt;1000,10,MATCH(O3158,Cargas,1))),Coluna_fih,1,1))*(1+0.13*0.25)*(PI()*(fi_h/1000)^2/4)*SQRT(2*9.81*(O3158/100-fi_h/2/1000))*1000)),"",IF(O3158&lt;fi_h/20,0,(OFFSET('Base de dados'!$A$5,IF(O3158&lt;20,1,IF(O3158&gt;1000,10,MATCH(O3158,Cargas,1))),Coluna_fih,1,1))*(PI()*(fi_h/1000)^2/4)*SQRT(2*9.81*(O3158/100-fi_h/2/1000))*1000))</f>
        <v>75.461400244409447</v>
      </c>
      <c r="Q3158" s="19">
        <f ca="1">IF(O3158="","",IF(Tipo_Vertedor="Retangular",IF(O3158&lt;=cota_s*100,0,IF(Tipo_Vertedor="Retangular",Cd_sr*Lef_sr*((O3158/100-cota_s)^(3/2))*1000)),IF(O3158&lt;=cota_s*100+fi_s/20,0,(OFFSET('Base de dados'!$A$4,IF(O3158&lt;20,1,IF(O3158&gt;1000,10,MATCH(O3158,Cargas,1))),Coluna_fis,1,1))*(PI()*(fi_s/1000)^2/4)*(2*9.81*(O3158/100-cota_s-fi_s/2/1000))^0.5*1000)))</f>
        <v>21623.052203070532</v>
      </c>
      <c r="R3158" s="19">
        <f t="shared" ca="1" si="330"/>
        <v>21698.513603314943</v>
      </c>
      <c r="S3158" s="19">
        <f t="shared" ca="1" si="331"/>
        <v>20630.600697182243</v>
      </c>
    </row>
    <row r="3159" spans="13:19">
      <c r="M3159" s="81">
        <f t="shared" ref="M3159:M3222" ca="1" si="333">IF(O3159="","",2*N3159*1000/(Passo*60)+R3159)</f>
        <v>42347.595544440475</v>
      </c>
      <c r="N3159" s="19">
        <f t="shared" ref="N3159:N3222" si="334">IF(O3159="","",b_0*(O3159/100)^c_0)</f>
        <v>619.1384938689132</v>
      </c>
      <c r="O3159" s="17">
        <f t="shared" si="332"/>
        <v>789.5</v>
      </c>
      <c r="P3159" s="19">
        <f ca="1">IF(ISERROR(IF(O3159&lt;fi_h/20,0,(OFFSET('Base de dados'!$A$5,IF(O3159&lt;20,1,IF(O3159&gt;1000,10,MATCH(O3159,Cargas,1))),Coluna_fih,1,1))*(1+0.13*0.25)*(PI()*(fi_h/1000)^2/4)*SQRT(2*9.81*(O3159/100-fi_h/2/1000))*1000)),"",IF(O3159&lt;fi_h/20,0,(OFFSET('Base de dados'!$A$5,IF(O3159&lt;20,1,IF(O3159&gt;1000,10,MATCH(O3159,Cargas,1))),Coluna_fih,1,1))*(PI()*(fi_h/1000)^2/4)*SQRT(2*9.81*(O3159/100-fi_h/2/1000))*1000))</f>
        <v>75.473436745742021</v>
      </c>
      <c r="Q3159" s="19">
        <f ca="1">IF(O3159="","",IF(Tipo_Vertedor="Retangular",IF(O3159&lt;=cota_s*100,0,IF(Tipo_Vertedor="Retangular",Cd_sr*Lef_sr*((O3159/100-cota_s)^(3/2))*1000)),IF(O3159&lt;=cota_s*100+fi_s/20,0,(OFFSET('Base de dados'!$A$4,IF(O3159&lt;20,1,IF(O3159&gt;1000,10,MATCH(O3159,Cargas,1))),Coluna_fis,1,1))*(PI()*(fi_s/1000)^2/4)*(2*9.81*(O3159/100-cota_s-fi_s/2/1000))^0.5*1000)))</f>
        <v>21634.172312064296</v>
      </c>
      <c r="R3159" s="19">
        <f t="shared" ref="R3159:R3222" ca="1" si="335">IF(O3159="","",Q3159+P3159)</f>
        <v>21709.645748810039</v>
      </c>
      <c r="S3159" s="19">
        <f t="shared" ref="S3159:S3222" ca="1" si="336">IF(M3159="","",2*N3159*1000/(Passo*60))</f>
        <v>20637.949795630437</v>
      </c>
    </row>
    <row r="3160" spans="13:19">
      <c r="M3160" s="81">
        <f t="shared" ca="1" si="333"/>
        <v>42366.078981968632</v>
      </c>
      <c r="N3160" s="19">
        <f t="shared" si="334"/>
        <v>619.35897551958408</v>
      </c>
      <c r="O3160" s="17">
        <f t="shared" si="332"/>
        <v>789.75</v>
      </c>
      <c r="P3160" s="19">
        <f ca="1">IF(ISERROR(IF(O3160&lt;fi_h/20,0,(OFFSET('Base de dados'!$A$5,IF(O3160&lt;20,1,IF(O3160&gt;1000,10,MATCH(O3160,Cargas,1))),Coluna_fih,1,1))*(1+0.13*0.25)*(PI()*(fi_h/1000)^2/4)*SQRT(2*9.81*(O3160/100-fi_h/2/1000))*1000)),"",IF(O3160&lt;fi_h/20,0,(OFFSET('Base de dados'!$A$5,IF(O3160&lt;20,1,IF(O3160&gt;1000,10,MATCH(O3160,Cargas,1))),Coluna_fih,1,1))*(PI()*(fi_h/1000)^2/4)*SQRT(2*9.81*(O3160/100-fi_h/2/1000))*1000))</f>
        <v>75.485471327799786</v>
      </c>
      <c r="Q3160" s="19">
        <f ca="1">IF(O3160="","",IF(Tipo_Vertedor="Retangular",IF(O3160&lt;=cota_s*100,0,IF(Tipo_Vertedor="Retangular",Cd_sr*Lef_sr*((O3160/100-cota_s)^(3/2))*1000)),IF(O3160&lt;=cota_s*100+fi_s/20,0,(OFFSET('Base de dados'!$A$4,IF(O3160&lt;20,1,IF(O3160&gt;1000,10,MATCH(O3160,Cargas,1))),Coluna_fis,1,1))*(PI()*(fi_s/1000)^2/4)*(2*9.81*(O3160/100-cota_s-fi_s/2/1000))^0.5*1000)))</f>
        <v>21645.294326654697</v>
      </c>
      <c r="R3160" s="19">
        <f t="shared" ca="1" si="335"/>
        <v>21720.779797982497</v>
      </c>
      <c r="S3160" s="19">
        <f t="shared" ca="1" si="336"/>
        <v>20645.299183986135</v>
      </c>
    </row>
    <row r="3161" spans="13:19">
      <c r="M3161" s="81">
        <f t="shared" ca="1" si="333"/>
        <v>42384.564612675749</v>
      </c>
      <c r="N3161" s="19">
        <f t="shared" si="334"/>
        <v>619.57946586506921</v>
      </c>
      <c r="O3161" s="17">
        <f t="shared" si="332"/>
        <v>790</v>
      </c>
      <c r="P3161" s="19">
        <f ca="1">IF(ISERROR(IF(O3161&lt;fi_h/20,0,(OFFSET('Base de dados'!$A$5,IF(O3161&lt;20,1,IF(O3161&gt;1000,10,MATCH(O3161,Cargas,1))),Coluna_fih,1,1))*(1+0.13*0.25)*(PI()*(fi_h/1000)^2/4)*SQRT(2*9.81*(O3161/100-fi_h/2/1000))*1000)),"",IF(O3161&lt;fi_h/20,0,(OFFSET('Base de dados'!$A$5,IF(O3161&lt;20,1,IF(O3161&gt;1000,10,MATCH(O3161,Cargas,1))),Coluna_fih,1,1))*(PI()*(fi_h/1000)^2/4)*SQRT(2*9.81*(O3161/100-fi_h/2/1000))*1000))</f>
        <v>75.497503991500579</v>
      </c>
      <c r="Q3161" s="19">
        <f ca="1">IF(O3161="","",IF(Tipo_Vertedor="Retangular",IF(O3161&lt;=cota_s*100,0,IF(Tipo_Vertedor="Retangular",Cd_sr*Lef_sr*((O3161/100-cota_s)^(3/2))*1000)),IF(O3161&lt;=cota_s*100+fi_s/20,0,(OFFSET('Base de dados'!$A$4,IF(O3161&lt;20,1,IF(O3161&gt;1000,10,MATCH(O3161,Cargas,1))),Coluna_fis,1,1))*(PI()*(fi_s/1000)^2/4)*(2*9.81*(O3161/100-cota_s-fi_s/2/1000))^0.5*1000)))</f>
        <v>21656.418246515281</v>
      </c>
      <c r="R3161" s="19">
        <f t="shared" ca="1" si="335"/>
        <v>21731.915750506781</v>
      </c>
      <c r="S3161" s="19">
        <f t="shared" ca="1" si="336"/>
        <v>20652.648862168971</v>
      </c>
    </row>
    <row r="3162" spans="13:19">
      <c r="M3162" s="81">
        <f t="shared" ca="1" si="333"/>
        <v>42403.052436156198</v>
      </c>
      <c r="N3162" s="19">
        <f t="shared" si="334"/>
        <v>619.7999649029598</v>
      </c>
      <c r="O3162" s="17">
        <f t="shared" si="332"/>
        <v>790.25</v>
      </c>
      <c r="P3162" s="19">
        <f ca="1">IF(ISERROR(IF(O3162&lt;fi_h/20,0,(OFFSET('Base de dados'!$A$5,IF(O3162&lt;20,1,IF(O3162&gt;1000,10,MATCH(O3162,Cargas,1))),Coluna_fih,1,1))*(1+0.13*0.25)*(PI()*(fi_h/1000)^2/4)*SQRT(2*9.81*(O3162/100-fi_h/2/1000))*1000)),"",IF(O3162&lt;fi_h/20,0,(OFFSET('Base de dados'!$A$5,IF(O3162&lt;20,1,IF(O3162&gt;1000,10,MATCH(O3162,Cargas,1))),Coluna_fih,1,1))*(PI()*(fi_h/1000)^2/4)*SQRT(2*9.81*(O3162/100-fi_h/2/1000))*1000))</f>
        <v>75.50953473776147</v>
      </c>
      <c r="Q3162" s="19">
        <f ca="1">IF(O3162="","",IF(Tipo_Vertedor="Retangular",IF(O3162&lt;=cota_s*100,0,IF(Tipo_Vertedor="Retangular",Cd_sr*Lef_sr*((O3162/100-cota_s)^(3/2))*1000)),IF(O3162&lt;=cota_s*100+fi_s/20,0,(OFFSET('Base de dados'!$A$4,IF(O3162&lt;20,1,IF(O3162&gt;1000,10,MATCH(O3162,Cargas,1))),Coluna_fis,1,1))*(PI()*(fi_s/1000)^2/4)*(2*9.81*(O3162/100-cota_s-fi_s/2/1000))^0.5*1000)))</f>
        <v>21667.544071319782</v>
      </c>
      <c r="R3162" s="19">
        <f t="shared" ca="1" si="335"/>
        <v>21743.053606057543</v>
      </c>
      <c r="S3162" s="19">
        <f t="shared" ca="1" si="336"/>
        <v>20659.998830098659</v>
      </c>
    </row>
    <row r="3163" spans="13:19">
      <c r="M3163" s="81">
        <f t="shared" ca="1" si="333"/>
        <v>42421.542452004534</v>
      </c>
      <c r="N3163" s="19">
        <f t="shared" si="334"/>
        <v>620.0204726308483</v>
      </c>
      <c r="O3163" s="17">
        <f t="shared" si="332"/>
        <v>790.5</v>
      </c>
      <c r="P3163" s="19">
        <f ca="1">IF(ISERROR(IF(O3163&lt;fi_h/20,0,(OFFSET('Base de dados'!$A$5,IF(O3163&lt;20,1,IF(O3163&gt;1000,10,MATCH(O3163,Cargas,1))),Coluna_fih,1,1))*(1+0.13*0.25)*(PI()*(fi_h/1000)^2/4)*SQRT(2*9.81*(O3163/100-fi_h/2/1000))*1000)),"",IF(O3163&lt;fi_h/20,0,(OFFSET('Base de dados'!$A$5,IF(O3163&lt;20,1,IF(O3163&gt;1000,10,MATCH(O3163,Cargas,1))),Coluna_fih,1,1))*(PI()*(fi_h/1000)^2/4)*SQRT(2*9.81*(O3163/100-fi_h/2/1000))*1000))</f>
        <v>75.521563567498859</v>
      </c>
      <c r="Q3163" s="19">
        <f ca="1">IF(O3163="","",IF(Tipo_Vertedor="Retangular",IF(O3163&lt;=cota_s*100,0,IF(Tipo_Vertedor="Retangular",Cd_sr*Lef_sr*((O3163/100-cota_s)^(3/2))*1000)),IF(O3163&lt;=cota_s*100+fi_s/20,0,(OFFSET('Base de dados'!$A$4,IF(O3163&lt;20,1,IF(O3163&gt;1000,10,MATCH(O3163,Cargas,1))),Coluna_fis,1,1))*(PI()*(fi_s/1000)^2/4)*(2*9.81*(O3163/100-cota_s-fi_s/2/1000))^0.5*1000)))</f>
        <v>21678.671800742097</v>
      </c>
      <c r="R3163" s="19">
        <f t="shared" ca="1" si="335"/>
        <v>21754.193364309594</v>
      </c>
      <c r="S3163" s="19">
        <f t="shared" ca="1" si="336"/>
        <v>20667.349087694944</v>
      </c>
    </row>
    <row r="3164" spans="13:19">
      <c r="M3164" s="81">
        <f t="shared" ca="1" si="333"/>
        <v>42440.034659815574</v>
      </c>
      <c r="N3164" s="19">
        <f t="shared" si="334"/>
        <v>620.24098904632979</v>
      </c>
      <c r="O3164" s="17">
        <f t="shared" si="332"/>
        <v>790.75</v>
      </c>
      <c r="P3164" s="19">
        <f ca="1">IF(ISERROR(IF(O3164&lt;fi_h/20,0,(OFFSET('Base de dados'!$A$5,IF(O3164&lt;20,1,IF(O3164&gt;1000,10,MATCH(O3164,Cargas,1))),Coluna_fih,1,1))*(1+0.13*0.25)*(PI()*(fi_h/1000)^2/4)*SQRT(2*9.81*(O3164/100-fi_h/2/1000))*1000)),"",IF(O3164&lt;fi_h/20,0,(OFFSET('Base de dados'!$A$5,IF(O3164&lt;20,1,IF(O3164&gt;1000,10,MATCH(O3164,Cargas,1))),Coluna_fih,1,1))*(PI()*(fi_h/1000)^2/4)*SQRT(2*9.81*(O3164/100-fi_h/2/1000))*1000))</f>
        <v>75.533590481628323</v>
      </c>
      <c r="Q3164" s="19">
        <f ca="1">IF(O3164="","",IF(Tipo_Vertedor="Retangular",IF(O3164&lt;=cota_s*100,0,IF(Tipo_Vertedor="Retangular",Cd_sr*Lef_sr*((O3164/100-cota_s)^(3/2))*1000)),IF(O3164&lt;=cota_s*100+fi_s/20,0,(OFFSET('Base de dados'!$A$4,IF(O3164&lt;20,1,IF(O3164&gt;1000,10,MATCH(O3164,Cargas,1))),Coluna_fis,1,1))*(PI()*(fi_s/1000)^2/4)*(2*9.81*(O3164/100-cota_s-fi_s/2/1000))^0.5*1000)))</f>
        <v>21689.801434456283</v>
      </c>
      <c r="R3164" s="19">
        <f t="shared" ca="1" si="335"/>
        <v>21765.335024937911</v>
      </c>
      <c r="S3164" s="19">
        <f t="shared" ca="1" si="336"/>
        <v>20674.699634877659</v>
      </c>
    </row>
    <row r="3165" spans="13:19">
      <c r="M3165" s="81">
        <f t="shared" ca="1" si="333"/>
        <v>42458.529059184264</v>
      </c>
      <c r="N3165" s="19">
        <f t="shared" si="334"/>
        <v>620.46151414699875</v>
      </c>
      <c r="O3165" s="17">
        <f t="shared" si="332"/>
        <v>791</v>
      </c>
      <c r="P3165" s="19">
        <f ca="1">IF(ISERROR(IF(O3165&lt;fi_h/20,0,(OFFSET('Base de dados'!$A$5,IF(O3165&lt;20,1,IF(O3165&gt;1000,10,MATCH(O3165,Cargas,1))),Coluna_fih,1,1))*(1+0.13*0.25)*(PI()*(fi_h/1000)^2/4)*SQRT(2*9.81*(O3165/100-fi_h/2/1000))*1000)),"",IF(O3165&lt;fi_h/20,0,(OFFSET('Base de dados'!$A$5,IF(O3165&lt;20,1,IF(O3165&gt;1000,10,MATCH(O3165,Cargas,1))),Coluna_fih,1,1))*(PI()*(fi_h/1000)^2/4)*SQRT(2*9.81*(O3165/100-fi_h/2/1000))*1000))</f>
        <v>75.545615481064786</v>
      </c>
      <c r="Q3165" s="19">
        <f ca="1">IF(O3165="","",IF(Tipo_Vertedor="Retangular",IF(O3165&lt;=cota_s*100,0,IF(Tipo_Vertedor="Retangular",Cd_sr*Lef_sr*((O3165/100-cota_s)^(3/2))*1000)),IF(O3165&lt;=cota_s*100+fi_s/20,0,(OFFSET('Base de dados'!$A$4,IF(O3165&lt;20,1,IF(O3165&gt;1000,10,MATCH(O3165,Cargas,1))),Coluna_fis,1,1))*(PI()*(fi_s/1000)^2/4)*(2*9.81*(O3165/100-cota_s-fi_s/2/1000))^0.5*1000)))</f>
        <v>21700.932972136572</v>
      </c>
      <c r="R3165" s="19">
        <f t="shared" ca="1" si="335"/>
        <v>21776.478587617636</v>
      </c>
      <c r="S3165" s="19">
        <f t="shared" ca="1" si="336"/>
        <v>20682.050471566625</v>
      </c>
    </row>
    <row r="3166" spans="13:19">
      <c r="M3166" s="81">
        <f t="shared" ca="1" si="333"/>
        <v>42477.025649705814</v>
      </c>
      <c r="N3166" s="19">
        <f t="shared" si="334"/>
        <v>620.6820479304522</v>
      </c>
      <c r="O3166" s="17">
        <f t="shared" si="332"/>
        <v>791.25</v>
      </c>
      <c r="P3166" s="19">
        <f ca="1">IF(ISERROR(IF(O3166&lt;fi_h/20,0,(OFFSET('Base de dados'!$A$5,IF(O3166&lt;20,1,IF(O3166&gt;1000,10,MATCH(O3166,Cargas,1))),Coluna_fih,1,1))*(1+0.13*0.25)*(PI()*(fi_h/1000)^2/4)*SQRT(2*9.81*(O3166/100-fi_h/2/1000))*1000)),"",IF(O3166&lt;fi_h/20,0,(OFFSET('Base de dados'!$A$5,IF(O3166&lt;20,1,IF(O3166&gt;1000,10,MATCH(O3166,Cargas,1))),Coluna_fih,1,1))*(PI()*(fi_h/1000)^2/4)*SQRT(2*9.81*(O3166/100-fi_h/2/1000))*1000))</f>
        <v>75.557638566722403</v>
      </c>
      <c r="Q3166" s="19">
        <f ca="1">IF(O3166="","",IF(Tipo_Vertedor="Retangular",IF(O3166&lt;=cota_s*100,0,IF(Tipo_Vertedor="Retangular",Cd_sr*Lef_sr*((O3166/100-cota_s)^(3/2))*1000)),IF(O3166&lt;=cota_s*100+fi_s/20,0,(OFFSET('Base de dados'!$A$4,IF(O3166&lt;20,1,IF(O3166&gt;1000,10,MATCH(O3166,Cargas,1))),Coluna_fis,1,1))*(PI()*(fi_s/1000)^2/4)*(2*9.81*(O3166/100-cota_s-fi_s/2/1000))^0.5*1000)))</f>
        <v>21712.066413457356</v>
      </c>
      <c r="R3166" s="19">
        <f t="shared" ca="1" si="335"/>
        <v>21787.624052024079</v>
      </c>
      <c r="S3166" s="19">
        <f t="shared" ca="1" si="336"/>
        <v>20689.401597681739</v>
      </c>
    </row>
    <row r="3167" spans="13:19">
      <c r="M3167" s="81">
        <f t="shared" ca="1" si="333"/>
        <v>42495.524430975689</v>
      </c>
      <c r="N3167" s="19">
        <f t="shared" si="334"/>
        <v>620.90259039428895</v>
      </c>
      <c r="O3167" s="17">
        <f t="shared" si="332"/>
        <v>791.5</v>
      </c>
      <c r="P3167" s="19">
        <f ca="1">IF(ISERROR(IF(O3167&lt;fi_h/20,0,(OFFSET('Base de dados'!$A$5,IF(O3167&lt;20,1,IF(O3167&gt;1000,10,MATCH(O3167,Cargas,1))),Coluna_fih,1,1))*(1+0.13*0.25)*(PI()*(fi_h/1000)^2/4)*SQRT(2*9.81*(O3167/100-fi_h/2/1000))*1000)),"",IF(O3167&lt;fi_h/20,0,(OFFSET('Base de dados'!$A$5,IF(O3167&lt;20,1,IF(O3167&gt;1000,10,MATCH(O3167,Cargas,1))),Coluna_fih,1,1))*(PI()*(fi_h/1000)^2/4)*SQRT(2*9.81*(O3167/100-fi_h/2/1000))*1000))</f>
        <v>75.569659739514634</v>
      </c>
      <c r="Q3167" s="19">
        <f ca="1">IF(O3167="","",IF(Tipo_Vertedor="Retangular",IF(O3167&lt;=cota_s*100,0,IF(Tipo_Vertedor="Retangular",Cd_sr*Lef_sr*((O3167/100-cota_s)^(3/2))*1000)),IF(O3167&lt;=cota_s*100+fi_s/20,0,(OFFSET('Base de dados'!$A$4,IF(O3167&lt;20,1,IF(O3167&gt;1000,10,MATCH(O3167,Cargas,1))),Coluna_fis,1,1))*(PI()*(fi_s/1000)^2/4)*(2*9.81*(O3167/100-cota_s-fi_s/2/1000))^0.5*1000)))</f>
        <v>21723.201758093208</v>
      </c>
      <c r="R3167" s="19">
        <f t="shared" ca="1" si="335"/>
        <v>21798.771417832722</v>
      </c>
      <c r="S3167" s="19">
        <f t="shared" ca="1" si="336"/>
        <v>20696.753013142967</v>
      </c>
    </row>
    <row r="3168" spans="13:19">
      <c r="M3168" s="81">
        <f t="shared" ca="1" si="333"/>
        <v>42514.02540258949</v>
      </c>
      <c r="N3168" s="19">
        <f t="shared" si="334"/>
        <v>621.12314153610862</v>
      </c>
      <c r="O3168" s="17">
        <f t="shared" si="332"/>
        <v>791.75</v>
      </c>
      <c r="P3168" s="19">
        <f ca="1">IF(ISERROR(IF(O3168&lt;fi_h/20,0,(OFFSET('Base de dados'!$A$5,IF(O3168&lt;20,1,IF(O3168&gt;1000,10,MATCH(O3168,Cargas,1))),Coluna_fih,1,1))*(1+0.13*0.25)*(PI()*(fi_h/1000)^2/4)*SQRT(2*9.81*(O3168/100-fi_h/2/1000))*1000)),"",IF(O3168&lt;fi_h/20,0,(OFFSET('Base de dados'!$A$5,IF(O3168&lt;20,1,IF(O3168&gt;1000,10,MATCH(O3168,Cargas,1))),Coluna_fih,1,1))*(PI()*(fi_h/1000)^2/4)*SQRT(2*9.81*(O3168/100-fi_h/2/1000))*1000))</f>
        <v>75.581679000354171</v>
      </c>
      <c r="Q3168" s="19">
        <f ca="1">IF(O3168="","",IF(Tipo_Vertedor="Retangular",IF(O3168&lt;=cota_s*100,0,IF(Tipo_Vertedor="Retangular",Cd_sr*Lef_sr*((O3168/100-cota_s)^(3/2))*1000)),IF(O3168&lt;=cota_s*100+fi_s/20,0,(OFFSET('Base de dados'!$A$4,IF(O3168&lt;20,1,IF(O3168&gt;1000,10,MATCH(O3168,Cargas,1))),Coluna_fis,1,1))*(PI()*(fi_s/1000)^2/4)*(2*9.81*(O3168/100-cota_s-fi_s/2/1000))^0.5*1000)))</f>
        <v>21734.339005718848</v>
      </c>
      <c r="R3168" s="19">
        <f t="shared" ca="1" si="335"/>
        <v>21809.920684719204</v>
      </c>
      <c r="S3168" s="19">
        <f t="shared" ca="1" si="336"/>
        <v>20704.104717870287</v>
      </c>
    </row>
    <row r="3169" spans="13:19">
      <c r="M3169" s="81">
        <f t="shared" ca="1" si="333"/>
        <v>42532.528564143053</v>
      </c>
      <c r="N3169" s="19">
        <f t="shared" si="334"/>
        <v>621.34370135351207</v>
      </c>
      <c r="O3169" s="17">
        <f t="shared" si="332"/>
        <v>792</v>
      </c>
      <c r="P3169" s="19">
        <f ca="1">IF(ISERROR(IF(O3169&lt;fi_h/20,0,(OFFSET('Base de dados'!$A$5,IF(O3169&lt;20,1,IF(O3169&gt;1000,10,MATCH(O3169,Cargas,1))),Coluna_fih,1,1))*(1+0.13*0.25)*(PI()*(fi_h/1000)^2/4)*SQRT(2*9.81*(O3169/100-fi_h/2/1000))*1000)),"",IF(O3169&lt;fi_h/20,0,(OFFSET('Base de dados'!$A$5,IF(O3169&lt;20,1,IF(O3169&gt;1000,10,MATCH(O3169,Cargas,1))),Coluna_fih,1,1))*(PI()*(fi_h/1000)^2/4)*SQRT(2*9.81*(O3169/100-fi_h/2/1000))*1000))</f>
        <v>75.593696350153053</v>
      </c>
      <c r="Q3169" s="19">
        <f ca="1">IF(O3169="","",IF(Tipo_Vertedor="Retangular",IF(O3169&lt;=cota_s*100,0,IF(Tipo_Vertedor="Retangular",Cd_sr*Lef_sr*((O3169/100-cota_s)^(3/2))*1000)),IF(O3169&lt;=cota_s*100+fi_s/20,0,(OFFSET('Base de dados'!$A$4,IF(O3169&lt;20,1,IF(O3169&gt;1000,10,MATCH(O3169,Cargas,1))),Coluna_fis,1,1))*(PI()*(fi_s/1000)^2/4)*(2*9.81*(O3169/100-cota_s-fi_s/2/1000))^0.5*1000)))</f>
        <v>21745.478156009165</v>
      </c>
      <c r="R3169" s="19">
        <f t="shared" ca="1" si="335"/>
        <v>21821.071852359317</v>
      </c>
      <c r="S3169" s="19">
        <f t="shared" ca="1" si="336"/>
        <v>20711.456711783736</v>
      </c>
    </row>
    <row r="3170" spans="13:19">
      <c r="M3170" s="81">
        <f t="shared" ca="1" si="333"/>
        <v>42551.033915232474</v>
      </c>
      <c r="N3170" s="19">
        <f t="shared" si="334"/>
        <v>621.56426984410177</v>
      </c>
      <c r="O3170" s="17">
        <f t="shared" si="332"/>
        <v>792.25</v>
      </c>
      <c r="P3170" s="19">
        <f ca="1">IF(ISERROR(IF(O3170&lt;fi_h/20,0,(OFFSET('Base de dados'!$A$5,IF(O3170&lt;20,1,IF(O3170&gt;1000,10,MATCH(O3170,Cargas,1))),Coluna_fih,1,1))*(1+0.13*0.25)*(PI()*(fi_h/1000)^2/4)*SQRT(2*9.81*(O3170/100-fi_h/2/1000))*1000)),"",IF(O3170&lt;fi_h/20,0,(OFFSET('Base de dados'!$A$5,IF(O3170&lt;20,1,IF(O3170&gt;1000,10,MATCH(O3170,Cargas,1))),Coluna_fih,1,1))*(PI()*(fi_h/1000)^2/4)*SQRT(2*9.81*(O3170/100-fi_h/2/1000))*1000))</f>
        <v>75.605711789822507</v>
      </c>
      <c r="Q3170" s="19">
        <f ca="1">IF(O3170="","",IF(Tipo_Vertedor="Retangular",IF(O3170&lt;=cota_s*100,0,IF(Tipo_Vertedor="Retangular",Cd_sr*Lef_sr*((O3170/100-cota_s)^(3/2))*1000)),IF(O3170&lt;=cota_s*100+fi_s/20,0,(OFFSET('Base de dados'!$A$4,IF(O3170&lt;20,1,IF(O3170&gt;1000,10,MATCH(O3170,Cargas,1))),Coluna_fis,1,1))*(PI()*(fi_s/1000)^2/4)*(2*9.81*(O3170/100-cota_s-fi_s/2/1000))^0.5*1000)))</f>
        <v>21756.619208639262</v>
      </c>
      <c r="R3170" s="19">
        <f t="shared" ca="1" si="335"/>
        <v>21832.224920429086</v>
      </c>
      <c r="S3170" s="19">
        <f t="shared" ca="1" si="336"/>
        <v>20718.808994803392</v>
      </c>
    </row>
    <row r="3171" spans="13:19">
      <c r="M3171" s="81">
        <f t="shared" ca="1" si="333"/>
        <v>42569.541455454026</v>
      </c>
      <c r="N3171" s="19">
        <f t="shared" si="334"/>
        <v>621.78484700548279</v>
      </c>
      <c r="O3171" s="17">
        <f t="shared" si="332"/>
        <v>792.5</v>
      </c>
      <c r="P3171" s="19">
        <f ca="1">IF(ISERROR(IF(O3171&lt;fi_h/20,0,(OFFSET('Base de dados'!$A$5,IF(O3171&lt;20,1,IF(O3171&gt;1000,10,MATCH(O3171,Cargas,1))),Coluna_fih,1,1))*(1+0.13*0.25)*(PI()*(fi_h/1000)^2/4)*SQRT(2*9.81*(O3171/100-fi_h/2/1000))*1000)),"",IF(O3171&lt;fi_h/20,0,(OFFSET('Base de dados'!$A$5,IF(O3171&lt;20,1,IF(O3171&gt;1000,10,MATCH(O3171,Cargas,1))),Coluna_fih,1,1))*(PI()*(fi_h/1000)^2/4)*SQRT(2*9.81*(O3171/100-fi_h/2/1000))*1000))</f>
        <v>75.617725320273067</v>
      </c>
      <c r="Q3171" s="19">
        <f ca="1">IF(O3171="","",IF(Tipo_Vertedor="Retangular",IF(O3171&lt;=cota_s*100,0,IF(Tipo_Vertedor="Retangular",Cd_sr*Lef_sr*((O3171/100-cota_s)^(3/2))*1000)),IF(O3171&lt;=cota_s*100+fi_s/20,0,(OFFSET('Base de dados'!$A$4,IF(O3171&lt;20,1,IF(O3171&gt;1000,10,MATCH(O3171,Cargas,1))),Coluna_fis,1,1))*(PI()*(fi_s/1000)^2/4)*(2*9.81*(O3171/100-cota_s-fi_s/2/1000))^0.5*1000)))</f>
        <v>21767.762163284326</v>
      </c>
      <c r="R3171" s="19">
        <f t="shared" ca="1" si="335"/>
        <v>21843.379888604599</v>
      </c>
      <c r="S3171" s="19">
        <f t="shared" ca="1" si="336"/>
        <v>20726.161566849427</v>
      </c>
    </row>
    <row r="3172" spans="13:19">
      <c r="M3172" s="81">
        <f t="shared" ca="1" si="333"/>
        <v>42588.051184404154</v>
      </c>
      <c r="N3172" s="19">
        <f t="shared" si="334"/>
        <v>622.00543283525906</v>
      </c>
      <c r="O3172" s="17">
        <f t="shared" si="332"/>
        <v>792.75</v>
      </c>
      <c r="P3172" s="19">
        <f ca="1">IF(ISERROR(IF(O3172&lt;fi_h/20,0,(OFFSET('Base de dados'!$A$5,IF(O3172&lt;20,1,IF(O3172&gt;1000,10,MATCH(O3172,Cargas,1))),Coluna_fih,1,1))*(1+0.13*0.25)*(PI()*(fi_h/1000)^2/4)*SQRT(2*9.81*(O3172/100-fi_h/2/1000))*1000)),"",IF(O3172&lt;fi_h/20,0,(OFFSET('Base de dados'!$A$5,IF(O3172&lt;20,1,IF(O3172&gt;1000,10,MATCH(O3172,Cargas,1))),Coluna_fih,1,1))*(PI()*(fi_h/1000)^2/4)*SQRT(2*9.81*(O3172/100-fi_h/2/1000))*1000))</f>
        <v>75.629736942414581</v>
      </c>
      <c r="Q3172" s="19">
        <f ca="1">IF(O3172="","",IF(Tipo_Vertedor="Retangular",IF(O3172&lt;=cota_s*100,0,IF(Tipo_Vertedor="Retangular",Cd_sr*Lef_sr*((O3172/100-cota_s)^(3/2))*1000)),IF(O3172&lt;=cota_s*100+fi_s/20,0,(OFFSET('Base de dados'!$A$4,IF(O3172&lt;20,1,IF(O3172&gt;1000,10,MATCH(O3172,Cargas,1))),Coluna_fis,1,1))*(PI()*(fi_s/1000)^2/4)*(2*9.81*(O3172/100-cota_s-fi_s/2/1000))^0.5*1000)))</f>
        <v>21778.907019619772</v>
      </c>
      <c r="R3172" s="19">
        <f t="shared" ca="1" si="335"/>
        <v>21854.536756562185</v>
      </c>
      <c r="S3172" s="19">
        <f t="shared" ca="1" si="336"/>
        <v>20733.514427841968</v>
      </c>
    </row>
    <row r="3173" spans="13:19">
      <c r="M3173" s="81">
        <f t="shared" ca="1" si="333"/>
        <v>42606.563101679596</v>
      </c>
      <c r="N3173" s="19">
        <f t="shared" si="334"/>
        <v>622.22602733103861</v>
      </c>
      <c r="O3173" s="17">
        <f t="shared" si="332"/>
        <v>793</v>
      </c>
      <c r="P3173" s="19">
        <f ca="1">IF(ISERROR(IF(O3173&lt;fi_h/20,0,(OFFSET('Base de dados'!$A$5,IF(O3173&lt;20,1,IF(O3173&gt;1000,10,MATCH(O3173,Cargas,1))),Coluna_fih,1,1))*(1+0.13*0.25)*(PI()*(fi_h/1000)^2/4)*SQRT(2*9.81*(O3173/100-fi_h/2/1000))*1000)),"",IF(O3173&lt;fi_h/20,0,(OFFSET('Base de dados'!$A$5,IF(O3173&lt;20,1,IF(O3173&gt;1000,10,MATCH(O3173,Cargas,1))),Coluna_fih,1,1))*(PI()*(fi_h/1000)^2/4)*SQRT(2*9.81*(O3173/100-fi_h/2/1000))*1000))</f>
        <v>75.641746657156133</v>
      </c>
      <c r="Q3173" s="19">
        <f ca="1">IF(O3173="","",IF(Tipo_Vertedor="Retangular",IF(O3173&lt;=cota_s*100,0,IF(Tipo_Vertedor="Retangular",Cd_sr*Lef_sr*((O3173/100-cota_s)^(3/2))*1000)),IF(O3173&lt;=cota_s*100+fi_s/20,0,(OFFSET('Base de dados'!$A$4,IF(O3173&lt;20,1,IF(O3173&gt;1000,10,MATCH(O3173,Cargas,1))),Coluna_fis,1,1))*(PI()*(fi_s/1000)^2/4)*(2*9.81*(O3173/100-cota_s-fi_s/2/1000))^0.5*1000)))</f>
        <v>21790.053777321154</v>
      </c>
      <c r="R3173" s="19">
        <f t="shared" ca="1" si="335"/>
        <v>21865.695523978309</v>
      </c>
      <c r="S3173" s="19">
        <f t="shared" ca="1" si="336"/>
        <v>20740.867577701287</v>
      </c>
    </row>
    <row r="3174" spans="13:19">
      <c r="M3174" s="81">
        <f t="shared" ca="1" si="333"/>
        <v>42625.077206877264</v>
      </c>
      <c r="N3174" s="19">
        <f t="shared" si="334"/>
        <v>622.44663049042902</v>
      </c>
      <c r="O3174" s="17">
        <f t="shared" si="332"/>
        <v>793.25</v>
      </c>
      <c r="P3174" s="19">
        <f ca="1">IF(ISERROR(IF(O3174&lt;fi_h/20,0,(OFFSET('Base de dados'!$A$5,IF(O3174&lt;20,1,IF(O3174&gt;1000,10,MATCH(O3174,Cargas,1))),Coluna_fih,1,1))*(1+0.13*0.25)*(PI()*(fi_h/1000)^2/4)*SQRT(2*9.81*(O3174/100-fi_h/2/1000))*1000)),"",IF(O3174&lt;fi_h/20,0,(OFFSET('Base de dados'!$A$5,IF(O3174&lt;20,1,IF(O3174&gt;1000,10,MATCH(O3174,Cargas,1))),Coluna_fih,1,1))*(PI()*(fi_h/1000)^2/4)*SQRT(2*9.81*(O3174/100-fi_h/2/1000))*1000))</f>
        <v>75.653754465406109</v>
      </c>
      <c r="Q3174" s="19">
        <f ca="1">IF(O3174="","",IF(Tipo_Vertedor="Retangular",IF(O3174&lt;=cota_s*100,0,IF(Tipo_Vertedor="Retangular",Cd_sr*Lef_sr*((O3174/100-cota_s)^(3/2))*1000)),IF(O3174&lt;=cota_s*100+fi_s/20,0,(OFFSET('Base de dados'!$A$4,IF(O3174&lt;20,1,IF(O3174&gt;1000,10,MATCH(O3174,Cargas,1))),Coluna_fis,1,1))*(PI()*(fi_s/1000)^2/4)*(2*9.81*(O3174/100-cota_s-fi_s/2/1000))^0.5*1000)))</f>
        <v>21801.202436064224</v>
      </c>
      <c r="R3174" s="19">
        <f t="shared" ca="1" si="335"/>
        <v>21876.85619052963</v>
      </c>
      <c r="S3174" s="19">
        <f t="shared" ca="1" si="336"/>
        <v>20748.221016347634</v>
      </c>
    </row>
    <row r="3175" spans="13:19">
      <c r="M3175" s="81">
        <f t="shared" ca="1" si="333"/>
        <v>42643.593499594266</v>
      </c>
      <c r="N3175" s="19">
        <f t="shared" si="334"/>
        <v>622.66724231104035</v>
      </c>
      <c r="O3175" s="17">
        <f t="shared" si="332"/>
        <v>793.5</v>
      </c>
      <c r="P3175" s="19">
        <f ca="1">IF(ISERROR(IF(O3175&lt;fi_h/20,0,(OFFSET('Base de dados'!$A$5,IF(O3175&lt;20,1,IF(O3175&gt;1000,10,MATCH(O3175,Cargas,1))),Coluna_fih,1,1))*(1+0.13*0.25)*(PI()*(fi_h/1000)^2/4)*SQRT(2*9.81*(O3175/100-fi_h/2/1000))*1000)),"",IF(O3175&lt;fi_h/20,0,(OFFSET('Base de dados'!$A$5,IF(O3175&lt;20,1,IF(O3175&gt;1000,10,MATCH(O3175,Cargas,1))),Coluna_fih,1,1))*(PI()*(fi_h/1000)^2/4)*SQRT(2*9.81*(O3175/100-fi_h/2/1000))*1000))</f>
        <v>75.665760368072128</v>
      </c>
      <c r="Q3175" s="19">
        <f ca="1">IF(O3175="","",IF(Tipo_Vertedor="Retangular",IF(O3175&lt;=cota_s*100,0,IF(Tipo_Vertedor="Retangular",Cd_sr*Lef_sr*((O3175/100-cota_s)^(3/2))*1000)),IF(O3175&lt;=cota_s*100+fi_s/20,0,(OFFSET('Base de dados'!$A$4,IF(O3175&lt;20,1,IF(O3175&gt;1000,10,MATCH(O3175,Cargas,1))),Coluna_fis,1,1))*(PI()*(fi_s/1000)^2/4)*(2*9.81*(O3175/100-cota_s-fi_s/2/1000))^0.5*1000)))</f>
        <v>21812.352995524849</v>
      </c>
      <c r="R3175" s="19">
        <f t="shared" ca="1" si="335"/>
        <v>21888.018755892921</v>
      </c>
      <c r="S3175" s="19">
        <f t="shared" ca="1" si="336"/>
        <v>20755.574743701345</v>
      </c>
    </row>
    <row r="3176" spans="13:19">
      <c r="M3176" s="81">
        <f t="shared" ca="1" si="333"/>
        <v>42662.111979427951</v>
      </c>
      <c r="N3176" s="19">
        <f t="shared" si="334"/>
        <v>622.88786279048372</v>
      </c>
      <c r="O3176" s="17">
        <f t="shared" si="332"/>
        <v>793.75</v>
      </c>
      <c r="P3176" s="19">
        <f ca="1">IF(ISERROR(IF(O3176&lt;fi_h/20,0,(OFFSET('Base de dados'!$A$5,IF(O3176&lt;20,1,IF(O3176&gt;1000,10,MATCH(O3176,Cargas,1))),Coluna_fih,1,1))*(1+0.13*0.25)*(PI()*(fi_h/1000)^2/4)*SQRT(2*9.81*(O3176/100-fi_h/2/1000))*1000)),"",IF(O3176&lt;fi_h/20,0,(OFFSET('Base de dados'!$A$5,IF(O3176&lt;20,1,IF(O3176&gt;1000,10,MATCH(O3176,Cargas,1))),Coluna_fih,1,1))*(PI()*(fi_h/1000)^2/4)*SQRT(2*9.81*(O3176/100-fi_h/2/1000))*1000))</f>
        <v>75.677764366061169</v>
      </c>
      <c r="Q3176" s="19">
        <f ca="1">IF(O3176="","",IF(Tipo_Vertedor="Retangular",IF(O3176&lt;=cota_s*100,0,IF(Tipo_Vertedor="Retangular",Cd_sr*Lef_sr*((O3176/100-cota_s)^(3/2))*1000)),IF(O3176&lt;=cota_s*100+fi_s/20,0,(OFFSET('Base de dados'!$A$4,IF(O3176&lt;20,1,IF(O3176&gt;1000,10,MATCH(O3176,Cargas,1))),Coluna_fis,1,1))*(PI()*(fi_s/1000)^2/4)*(2*9.81*(O3176/100-cota_s-fi_s/2/1000))^0.5*1000)))</f>
        <v>21823.505455379094</v>
      </c>
      <c r="R3176" s="19">
        <f t="shared" ca="1" si="335"/>
        <v>21899.183219745155</v>
      </c>
      <c r="S3176" s="19">
        <f t="shared" ca="1" si="336"/>
        <v>20762.928759682793</v>
      </c>
    </row>
    <row r="3177" spans="13:19">
      <c r="M3177" s="81">
        <f t="shared" ca="1" si="333"/>
        <v>42680.632645975842</v>
      </c>
      <c r="N3177" s="19">
        <f t="shared" si="334"/>
        <v>623.10849192637113</v>
      </c>
      <c r="O3177" s="17">
        <f t="shared" si="332"/>
        <v>794</v>
      </c>
      <c r="P3177" s="19">
        <f ca="1">IF(ISERROR(IF(O3177&lt;fi_h/20,0,(OFFSET('Base de dados'!$A$5,IF(O3177&lt;20,1,IF(O3177&gt;1000,10,MATCH(O3177,Cargas,1))),Coluna_fih,1,1))*(1+0.13*0.25)*(PI()*(fi_h/1000)^2/4)*SQRT(2*9.81*(O3177/100-fi_h/2/1000))*1000)),"",IF(O3177&lt;fi_h/20,0,(OFFSET('Base de dados'!$A$5,IF(O3177&lt;20,1,IF(O3177&gt;1000,10,MATCH(O3177,Cargas,1))),Coluna_fih,1,1))*(PI()*(fi_h/1000)^2/4)*SQRT(2*9.81*(O3177/100-fi_h/2/1000))*1000))</f>
        <v>75.689766460279415</v>
      </c>
      <c r="Q3177" s="19">
        <f ca="1">IF(O3177="","",IF(Tipo_Vertedor="Retangular",IF(O3177&lt;=cota_s*100,0,IF(Tipo_Vertedor="Retangular",Cd_sr*Lef_sr*((O3177/100-cota_s)^(3/2))*1000)),IF(O3177&lt;=cota_s*100+fi_s/20,0,(OFFSET('Base de dados'!$A$4,IF(O3177&lt;20,1,IF(O3177&gt;1000,10,MATCH(O3177,Cargas,1))),Coluna_fis,1,1))*(PI()*(fi_s/1000)^2/4)*(2*9.81*(O3177/100-cota_s-fi_s/2/1000))^0.5*1000)))</f>
        <v>21834.659815303196</v>
      </c>
      <c r="R3177" s="19">
        <f t="shared" ca="1" si="335"/>
        <v>21910.349581763476</v>
      </c>
      <c r="S3177" s="19">
        <f t="shared" ca="1" si="336"/>
        <v>20770.28306421237</v>
      </c>
    </row>
    <row r="3178" spans="13:19">
      <c r="M3178" s="81">
        <f t="shared" ca="1" si="333"/>
        <v>42699.155498835724</v>
      </c>
      <c r="N3178" s="19">
        <f t="shared" si="334"/>
        <v>623.32912971631686</v>
      </c>
      <c r="O3178" s="17">
        <f t="shared" si="332"/>
        <v>794.25</v>
      </c>
      <c r="P3178" s="19">
        <f ca="1">IF(ISERROR(IF(O3178&lt;fi_h/20,0,(OFFSET('Base de dados'!$A$5,IF(O3178&lt;20,1,IF(O3178&gt;1000,10,MATCH(O3178,Cargas,1))),Coluna_fih,1,1))*(1+0.13*0.25)*(PI()*(fi_h/1000)^2/4)*SQRT(2*9.81*(O3178/100-fi_h/2/1000))*1000)),"",IF(O3178&lt;fi_h/20,0,(OFFSET('Base de dados'!$A$5,IF(O3178&lt;20,1,IF(O3178&gt;1000,10,MATCH(O3178,Cargas,1))),Coluna_fih,1,1))*(PI()*(fi_h/1000)^2/4)*SQRT(2*9.81*(O3178/100-fi_h/2/1000))*1000))</f>
        <v>75.701766651632383</v>
      </c>
      <c r="Q3178" s="19">
        <f ca="1">IF(O3178="","",IF(Tipo_Vertedor="Retangular",IF(O3178&lt;=cota_s*100,0,IF(Tipo_Vertedor="Retangular",Cd_sr*Lef_sr*((O3178/100-cota_s)^(3/2))*1000)),IF(O3178&lt;=cota_s*100+fi_s/20,0,(OFFSET('Base de dados'!$A$4,IF(O3178&lt;20,1,IF(O3178&gt;1000,10,MATCH(O3178,Cargas,1))),Coluna_fis,1,1))*(PI()*(fi_s/1000)^2/4)*(2*9.81*(O3178/100-cota_s-fi_s/2/1000))^0.5*1000)))</f>
        <v>21845.816074973533</v>
      </c>
      <c r="R3178" s="19">
        <f t="shared" ca="1" si="335"/>
        <v>21921.517841625166</v>
      </c>
      <c r="S3178" s="19">
        <f t="shared" ca="1" si="336"/>
        <v>20777.637657210562</v>
      </c>
    </row>
    <row r="3179" spans="13:19">
      <c r="M3179" s="81">
        <f t="shared" ca="1" si="333"/>
        <v>42717.6805376056</v>
      </c>
      <c r="N3179" s="19">
        <f t="shared" si="334"/>
        <v>623.54977615793666</v>
      </c>
      <c r="O3179" s="17">
        <f t="shared" si="332"/>
        <v>794.5</v>
      </c>
      <c r="P3179" s="19">
        <f ca="1">IF(ISERROR(IF(O3179&lt;fi_h/20,0,(OFFSET('Base de dados'!$A$5,IF(O3179&lt;20,1,IF(O3179&gt;1000,10,MATCH(O3179,Cargas,1))),Coluna_fih,1,1))*(1+0.13*0.25)*(PI()*(fi_h/1000)^2/4)*SQRT(2*9.81*(O3179/100-fi_h/2/1000))*1000)),"",IF(O3179&lt;fi_h/20,0,(OFFSET('Base de dados'!$A$5,IF(O3179&lt;20,1,IF(O3179&gt;1000,10,MATCH(O3179,Cargas,1))),Coluna_fih,1,1))*(PI()*(fi_h/1000)^2/4)*SQRT(2*9.81*(O3179/100-fi_h/2/1000))*1000))</f>
        <v>75.713764941024863</v>
      </c>
      <c r="Q3179" s="19">
        <f ca="1">IF(O3179="","",IF(Tipo_Vertedor="Retangular",IF(O3179&lt;=cota_s*100,0,IF(Tipo_Vertedor="Retangular",Cd_sr*Lef_sr*((O3179/100-cota_s)^(3/2))*1000)),IF(O3179&lt;=cota_s*100+fi_s/20,0,(OFFSET('Base de dados'!$A$4,IF(O3179&lt;20,1,IF(O3179&gt;1000,10,MATCH(O3179,Cargas,1))),Coluna_fis,1,1))*(PI()*(fi_s/1000)^2/4)*(2*9.81*(O3179/100-cota_s-fi_s/2/1000))^0.5*1000)))</f>
        <v>21856.974234066682</v>
      </c>
      <c r="R3179" s="19">
        <f t="shared" ca="1" si="335"/>
        <v>21932.687999007707</v>
      </c>
      <c r="S3179" s="19">
        <f t="shared" ca="1" si="336"/>
        <v>20784.99253859789</v>
      </c>
    </row>
    <row r="3180" spans="13:19">
      <c r="M3180" s="81">
        <f t="shared" ca="1" si="333"/>
        <v>42736.20776188359</v>
      </c>
      <c r="N3180" s="19">
        <f t="shared" si="334"/>
        <v>623.77043124884676</v>
      </c>
      <c r="O3180" s="17">
        <f t="shared" si="332"/>
        <v>794.75</v>
      </c>
      <c r="P3180" s="19">
        <f ca="1">IF(ISERROR(IF(O3180&lt;fi_h/20,0,(OFFSET('Base de dados'!$A$5,IF(O3180&lt;20,1,IF(O3180&gt;1000,10,MATCH(O3180,Cargas,1))),Coluna_fih,1,1))*(1+0.13*0.25)*(PI()*(fi_h/1000)^2/4)*SQRT(2*9.81*(O3180/100-fi_h/2/1000))*1000)),"",IF(O3180&lt;fi_h/20,0,(OFFSET('Base de dados'!$A$5,IF(O3180&lt;20,1,IF(O3180&gt;1000,10,MATCH(O3180,Cargas,1))),Coluna_fih,1,1))*(PI()*(fi_h/1000)^2/4)*SQRT(2*9.81*(O3180/100-fi_h/2/1000))*1000))</f>
        <v>75.725761329360878</v>
      </c>
      <c r="Q3180" s="19">
        <f ca="1">IF(O3180="","",IF(Tipo_Vertedor="Retangular",IF(O3180&lt;=cota_s*100,0,IF(Tipo_Vertedor="Retangular",Cd_sr*Lef_sr*((O3180/100-cota_s)^(3/2))*1000)),IF(O3180&lt;=cota_s*100+fi_s/20,0,(OFFSET('Base de dados'!$A$4,IF(O3180&lt;20,1,IF(O3180&gt;1000,10,MATCH(O3180,Cargas,1))),Coluna_fis,1,1))*(PI()*(fi_s/1000)^2/4)*(2*9.81*(O3180/100-cota_s-fi_s/2/1000))^0.5*1000)))</f>
        <v>21868.134292259339</v>
      </c>
      <c r="R3180" s="19">
        <f t="shared" ca="1" si="335"/>
        <v>21943.860053588702</v>
      </c>
      <c r="S3180" s="19">
        <f t="shared" ca="1" si="336"/>
        <v>20792.347708294892</v>
      </c>
    </row>
    <row r="3181" spans="13:19">
      <c r="M3181" s="81">
        <f t="shared" ca="1" si="333"/>
        <v>42754.737171268105</v>
      </c>
      <c r="N3181" s="19">
        <f t="shared" si="334"/>
        <v>623.99109498666496</v>
      </c>
      <c r="O3181" s="17">
        <f t="shared" si="332"/>
        <v>795</v>
      </c>
      <c r="P3181" s="19">
        <f ca="1">IF(ISERROR(IF(O3181&lt;fi_h/20,0,(OFFSET('Base de dados'!$A$5,IF(O3181&lt;20,1,IF(O3181&gt;1000,10,MATCH(O3181,Cargas,1))),Coluna_fih,1,1))*(1+0.13*0.25)*(PI()*(fi_h/1000)^2/4)*SQRT(2*9.81*(O3181/100-fi_h/2/1000))*1000)),"",IF(O3181&lt;fi_h/20,0,(OFFSET('Base de dados'!$A$5,IF(O3181&lt;20,1,IF(O3181&gt;1000,10,MATCH(O3181,Cargas,1))),Coluna_fih,1,1))*(PI()*(fi_h/1000)^2/4)*SQRT(2*9.81*(O3181/100-fi_h/2/1000))*1000))</f>
        <v>75.737755817543785</v>
      </c>
      <c r="Q3181" s="19">
        <f ca="1">IF(O3181="","",IF(Tipo_Vertedor="Retangular",IF(O3181&lt;=cota_s*100,0,IF(Tipo_Vertedor="Retangular",Cd_sr*Lef_sr*((O3181/100-cota_s)^(3/2))*1000)),IF(O3181&lt;=cota_s*100+fi_s/20,0,(OFFSET('Base de dados'!$A$4,IF(O3181&lt;20,1,IF(O3181&gt;1000,10,MATCH(O3181,Cargas,1))),Coluna_fis,1,1))*(PI()*(fi_s/1000)^2/4)*(2*9.81*(O3181/100-cota_s-fi_s/2/1000))^0.5*1000)))</f>
        <v>21879.296249228402</v>
      </c>
      <c r="R3181" s="19">
        <f t="shared" ca="1" si="335"/>
        <v>21955.034005045945</v>
      </c>
      <c r="S3181" s="19">
        <f t="shared" ca="1" si="336"/>
        <v>20799.703166222163</v>
      </c>
    </row>
    <row r="3182" spans="13:19">
      <c r="M3182" s="81">
        <f t="shared" ca="1" si="333"/>
        <v>42773.268765357789</v>
      </c>
      <c r="N3182" s="19">
        <f t="shared" si="334"/>
        <v>624.21176736901123</v>
      </c>
      <c r="O3182" s="17">
        <f t="shared" si="332"/>
        <v>795.25</v>
      </c>
      <c r="P3182" s="19">
        <f ca="1">IF(ISERROR(IF(O3182&lt;fi_h/20,0,(OFFSET('Base de dados'!$A$5,IF(O3182&lt;20,1,IF(O3182&gt;1000,10,MATCH(O3182,Cargas,1))),Coluna_fih,1,1))*(1+0.13*0.25)*(PI()*(fi_h/1000)^2/4)*SQRT(2*9.81*(O3182/100-fi_h/2/1000))*1000)),"",IF(O3182&lt;fi_h/20,0,(OFFSET('Base de dados'!$A$5,IF(O3182&lt;20,1,IF(O3182&gt;1000,10,MATCH(O3182,Cargas,1))),Coluna_fih,1,1))*(PI()*(fi_h/1000)^2/4)*SQRT(2*9.81*(O3182/100-fi_h/2/1000))*1000))</f>
        <v>75.749748406476229</v>
      </c>
      <c r="Q3182" s="19">
        <f ca="1">IF(O3182="","",IF(Tipo_Vertedor="Retangular",IF(O3182&lt;=cota_s*100,0,IF(Tipo_Vertedor="Retangular",Cd_sr*Lef_sr*((O3182/100-cota_s)^(3/2))*1000)),IF(O3182&lt;=cota_s*100+fi_s/20,0,(OFFSET('Base de dados'!$A$4,IF(O3182&lt;20,1,IF(O3182&gt;1000,10,MATCH(O3182,Cargas,1))),Coluna_fis,1,1))*(PI()*(fi_s/1000)^2/4)*(2*9.81*(O3182/100-cota_s-fi_s/2/1000))^0.5*1000)))</f>
        <v>21890.460104650934</v>
      </c>
      <c r="R3182" s="19">
        <f t="shared" ca="1" si="335"/>
        <v>21966.209853057411</v>
      </c>
      <c r="S3182" s="19">
        <f t="shared" ca="1" si="336"/>
        <v>20807.058912300374</v>
      </c>
    </row>
    <row r="3183" spans="13:19">
      <c r="M3183" s="81">
        <f t="shared" ca="1" si="333"/>
        <v>42791.802543751408</v>
      </c>
      <c r="N3183" s="19">
        <f t="shared" si="334"/>
        <v>624.43244839350655</v>
      </c>
      <c r="O3183" s="17">
        <f t="shared" si="332"/>
        <v>795.5</v>
      </c>
      <c r="P3183" s="19">
        <f ca="1">IF(ISERROR(IF(O3183&lt;fi_h/20,0,(OFFSET('Base de dados'!$A$5,IF(O3183&lt;20,1,IF(O3183&gt;1000,10,MATCH(O3183,Cargas,1))),Coluna_fih,1,1))*(1+0.13*0.25)*(PI()*(fi_h/1000)^2/4)*SQRT(2*9.81*(O3183/100-fi_h/2/1000))*1000)),"",IF(O3183&lt;fi_h/20,0,(OFFSET('Base de dados'!$A$5,IF(O3183&lt;20,1,IF(O3183&gt;1000,10,MATCH(O3183,Cargas,1))),Coluna_fih,1,1))*(PI()*(fi_h/1000)^2/4)*SQRT(2*9.81*(O3183/100-fi_h/2/1000))*1000))</f>
        <v>75.761739097060143</v>
      </c>
      <c r="Q3183" s="19">
        <f ca="1">IF(O3183="","",IF(Tipo_Vertedor="Retangular",IF(O3183&lt;=cota_s*100,0,IF(Tipo_Vertedor="Retangular",Cd_sr*Lef_sr*((O3183/100-cota_s)^(3/2))*1000)),IF(O3183&lt;=cota_s*100+fi_s/20,0,(OFFSET('Base de dados'!$A$4,IF(O3183&lt;20,1,IF(O3183&gt;1000,10,MATCH(O3183,Cargas,1))),Coluna_fis,1,1))*(PI()*(fi_s/1000)^2/4)*(2*9.81*(O3183/100-cota_s-fi_s/2/1000))^0.5*1000)))</f>
        <v>21901.62585820413</v>
      </c>
      <c r="R3183" s="19">
        <f t="shared" ca="1" si="335"/>
        <v>21977.387597301189</v>
      </c>
      <c r="S3183" s="19">
        <f t="shared" ca="1" si="336"/>
        <v>20814.414946450219</v>
      </c>
    </row>
    <row r="3184" spans="13:19">
      <c r="M3184" s="81">
        <f t="shared" ca="1" si="333"/>
        <v>42810.338506048007</v>
      </c>
      <c r="N3184" s="19">
        <f t="shared" si="334"/>
        <v>624.65313805777305</v>
      </c>
      <c r="O3184" s="17">
        <f t="shared" si="332"/>
        <v>795.75</v>
      </c>
      <c r="P3184" s="19">
        <f ca="1">IF(ISERROR(IF(O3184&lt;fi_h/20,0,(OFFSET('Base de dados'!$A$5,IF(O3184&lt;20,1,IF(O3184&gt;1000,10,MATCH(O3184,Cargas,1))),Coluna_fih,1,1))*(1+0.13*0.25)*(PI()*(fi_h/1000)^2/4)*SQRT(2*9.81*(O3184/100-fi_h/2/1000))*1000)),"",IF(O3184&lt;fi_h/20,0,(OFFSET('Base de dados'!$A$5,IF(O3184&lt;20,1,IF(O3184&gt;1000,10,MATCH(O3184,Cargas,1))),Coluna_fih,1,1))*(PI()*(fi_h/1000)^2/4)*SQRT(2*9.81*(O3184/100-fi_h/2/1000))*1000))</f>
        <v>75.773727890196696</v>
      </c>
      <c r="Q3184" s="19">
        <f ca="1">IF(O3184="","",IF(Tipo_Vertedor="Retangular",IF(O3184&lt;=cota_s*100,0,IF(Tipo_Vertedor="Retangular",Cd_sr*Lef_sr*((O3184/100-cota_s)^(3/2))*1000)),IF(O3184&lt;=cota_s*100+fi_s/20,0,(OFFSET('Base de dados'!$A$4,IF(O3184&lt;20,1,IF(O3184&gt;1000,10,MATCH(O3184,Cargas,1))),Coluna_fis,1,1))*(PI()*(fi_s/1000)^2/4)*(2*9.81*(O3184/100-cota_s-fi_s/2/1000))^0.5*1000)))</f>
        <v>21912.793509565377</v>
      </c>
      <c r="R3184" s="19">
        <f t="shared" ca="1" si="335"/>
        <v>21988.567237455572</v>
      </c>
      <c r="S3184" s="19">
        <f t="shared" ca="1" si="336"/>
        <v>20821.771268592434</v>
      </c>
    </row>
    <row r="3185" spans="13:19">
      <c r="M3185" s="81">
        <f t="shared" ca="1" si="333"/>
        <v>42828.87665184684</v>
      </c>
      <c r="N3185" s="19">
        <f t="shared" si="334"/>
        <v>624.87383635943468</v>
      </c>
      <c r="O3185" s="17">
        <f t="shared" si="332"/>
        <v>796</v>
      </c>
      <c r="P3185" s="19">
        <f ca="1">IF(ISERROR(IF(O3185&lt;fi_h/20,0,(OFFSET('Base de dados'!$A$5,IF(O3185&lt;20,1,IF(O3185&gt;1000,10,MATCH(O3185,Cargas,1))),Coluna_fih,1,1))*(1+0.13*0.25)*(PI()*(fi_h/1000)^2/4)*SQRT(2*9.81*(O3185/100-fi_h/2/1000))*1000)),"",IF(O3185&lt;fi_h/20,0,(OFFSET('Base de dados'!$A$5,IF(O3185&lt;20,1,IF(O3185&gt;1000,10,MATCH(O3185,Cargas,1))),Coluna_fih,1,1))*(PI()*(fi_h/1000)^2/4)*SQRT(2*9.81*(O3185/100-fi_h/2/1000))*1000))</f>
        <v>75.7857147867864</v>
      </c>
      <c r="Q3185" s="19">
        <f ca="1">IF(O3185="","",IF(Tipo_Vertedor="Retangular",IF(O3185&lt;=cota_s*100,0,IF(Tipo_Vertedor="Retangular",Cd_sr*Lef_sr*((O3185/100-cota_s)^(3/2))*1000)),IF(O3185&lt;=cota_s*100+fi_s/20,0,(OFFSET('Base de dados'!$A$4,IF(O3185&lt;20,1,IF(O3185&gt;1000,10,MATCH(O3185,Cargas,1))),Coluna_fis,1,1))*(PI()*(fi_s/1000)^2/4)*(2*9.81*(O3185/100-cota_s-fi_s/2/1000))^0.5*1000)))</f>
        <v>21923.963058412231</v>
      </c>
      <c r="R3185" s="19">
        <f t="shared" ca="1" si="335"/>
        <v>21999.748773199019</v>
      </c>
      <c r="S3185" s="19">
        <f t="shared" ca="1" si="336"/>
        <v>20829.127878647821</v>
      </c>
    </row>
    <row r="3186" spans="13:19">
      <c r="M3186" s="81">
        <f t="shared" ca="1" si="333"/>
        <v>42847.416980747337</v>
      </c>
      <c r="N3186" s="19">
        <f t="shared" si="334"/>
        <v>625.09454329611663</v>
      </c>
      <c r="O3186" s="17">
        <f t="shared" si="332"/>
        <v>796.25</v>
      </c>
      <c r="P3186" s="19">
        <f ca="1">IF(ISERROR(IF(O3186&lt;fi_h/20,0,(OFFSET('Base de dados'!$A$5,IF(O3186&lt;20,1,IF(O3186&gt;1000,10,MATCH(O3186,Cargas,1))),Coluna_fih,1,1))*(1+0.13*0.25)*(PI()*(fi_h/1000)^2/4)*SQRT(2*9.81*(O3186/100-fi_h/2/1000))*1000)),"",IF(O3186&lt;fi_h/20,0,(OFFSET('Base de dados'!$A$5,IF(O3186&lt;20,1,IF(O3186&gt;1000,10,MATCH(O3186,Cargas,1))),Coluna_fih,1,1))*(PI()*(fi_h/1000)^2/4)*SQRT(2*9.81*(O3186/100-fi_h/2/1000))*1000))</f>
        <v>75.79769978772903</v>
      </c>
      <c r="Q3186" s="19">
        <f ca="1">IF(O3186="","",IF(Tipo_Vertedor="Retangular",IF(O3186&lt;=cota_s*100,0,IF(Tipo_Vertedor="Retangular",Cd_sr*Lef_sr*((O3186/100-cota_s)^(3/2))*1000)),IF(O3186&lt;=cota_s*100+fi_s/20,0,(OFFSET('Base de dados'!$A$4,IF(O3186&lt;20,1,IF(O3186&gt;1000,10,MATCH(O3186,Cargas,1))),Coluna_fis,1,1))*(PI()*(fi_s/1000)^2/4)*(2*9.81*(O3186/100-cota_s-fi_s/2/1000))^0.5*1000)))</f>
        <v>21935.134504422389</v>
      </c>
      <c r="R3186" s="19">
        <f t="shared" ca="1" si="335"/>
        <v>22010.932204210119</v>
      </c>
      <c r="S3186" s="19">
        <f t="shared" ca="1" si="336"/>
        <v>20836.484776537221</v>
      </c>
    </row>
    <row r="3187" spans="13:19">
      <c r="M3187" s="81">
        <f t="shared" ca="1" si="333"/>
        <v>42865.959492349153</v>
      </c>
      <c r="N3187" s="19">
        <f t="shared" si="334"/>
        <v>625.31525886544478</v>
      </c>
      <c r="O3187" s="17">
        <f t="shared" si="332"/>
        <v>796.5</v>
      </c>
      <c r="P3187" s="19">
        <f ca="1">IF(ISERROR(IF(O3187&lt;fi_h/20,0,(OFFSET('Base de dados'!$A$5,IF(O3187&lt;20,1,IF(O3187&gt;1000,10,MATCH(O3187,Cargas,1))),Coluna_fih,1,1))*(1+0.13*0.25)*(PI()*(fi_h/1000)^2/4)*SQRT(2*9.81*(O3187/100-fi_h/2/1000))*1000)),"",IF(O3187&lt;fi_h/20,0,(OFFSET('Base de dados'!$A$5,IF(O3187&lt;20,1,IF(O3187&gt;1000,10,MATCH(O3187,Cargas,1))),Coluna_fih,1,1))*(PI()*(fi_h/1000)^2/4)*SQRT(2*9.81*(O3187/100-fi_h/2/1000))*1000))</f>
        <v>75.80968289392365</v>
      </c>
      <c r="Q3187" s="19">
        <f ca="1">IF(O3187="","",IF(Tipo_Vertedor="Retangular",IF(O3187&lt;=cota_s*100,0,IF(Tipo_Vertedor="Retangular",Cd_sr*Lef_sr*((O3187/100-cota_s)^(3/2))*1000)),IF(O3187&lt;=cota_s*100+fi_s/20,0,(OFFSET('Base de dados'!$A$4,IF(O3187&lt;20,1,IF(O3187&gt;1000,10,MATCH(O3187,Cargas,1))),Coluna_fis,1,1))*(PI()*(fi_s/1000)^2/4)*(2*9.81*(O3187/100-cota_s-fi_s/2/1000))^0.5*1000)))</f>
        <v>21946.307847273736</v>
      </c>
      <c r="R3187" s="19">
        <f t="shared" ca="1" si="335"/>
        <v>22022.117530167659</v>
      </c>
      <c r="S3187" s="19">
        <f t="shared" ca="1" si="336"/>
        <v>20843.841962181494</v>
      </c>
    </row>
    <row r="3188" spans="13:19">
      <c r="M3188" s="81">
        <f t="shared" ca="1" si="333"/>
        <v>42884.504186252176</v>
      </c>
      <c r="N3188" s="19">
        <f t="shared" si="334"/>
        <v>625.5359830650483</v>
      </c>
      <c r="O3188" s="17">
        <f t="shared" si="332"/>
        <v>796.75</v>
      </c>
      <c r="P3188" s="19">
        <f ca="1">IF(ISERROR(IF(O3188&lt;fi_h/20,0,(OFFSET('Base de dados'!$A$5,IF(O3188&lt;20,1,IF(O3188&gt;1000,10,MATCH(O3188,Cargas,1))),Coluna_fih,1,1))*(1+0.13*0.25)*(PI()*(fi_h/1000)^2/4)*SQRT(2*9.81*(O3188/100-fi_h/2/1000))*1000)),"",IF(O3188&lt;fi_h/20,0,(OFFSET('Base de dados'!$A$5,IF(O3188&lt;20,1,IF(O3188&gt;1000,10,MATCH(O3188,Cargas,1))),Coluna_fih,1,1))*(PI()*(fi_h/1000)^2/4)*SQRT(2*9.81*(O3188/100-fi_h/2/1000))*1000))</f>
        <v>75.821664106268614</v>
      </c>
      <c r="Q3188" s="19">
        <f ca="1">IF(O3188="","",IF(Tipo_Vertedor="Retangular",IF(O3188&lt;=cota_s*100,0,IF(Tipo_Vertedor="Retangular",Cd_sr*Lef_sr*((O3188/100-cota_s)^(3/2))*1000)),IF(O3188&lt;=cota_s*100+fi_s/20,0,(OFFSET('Base de dados'!$A$4,IF(O3188&lt;20,1,IF(O3188&gt;1000,10,MATCH(O3188,Cargas,1))),Coluna_fis,1,1))*(PI()*(fi_s/1000)^2/4)*(2*9.81*(O3188/100-cota_s-fi_s/2/1000))^0.5*1000)))</f>
        <v>21957.483086644297</v>
      </c>
      <c r="R3188" s="19">
        <f t="shared" ca="1" si="335"/>
        <v>22033.304750750565</v>
      </c>
      <c r="S3188" s="19">
        <f t="shared" ca="1" si="336"/>
        <v>20851.19943550161</v>
      </c>
    </row>
    <row r="3189" spans="13:19">
      <c r="M3189" s="81">
        <f t="shared" ca="1" si="333"/>
        <v>42903.051062056446</v>
      </c>
      <c r="N3189" s="19">
        <f t="shared" si="334"/>
        <v>625.75671589255523</v>
      </c>
      <c r="O3189" s="17">
        <f t="shared" si="332"/>
        <v>797</v>
      </c>
      <c r="P3189" s="19">
        <f ca="1">IF(ISERROR(IF(O3189&lt;fi_h/20,0,(OFFSET('Base de dados'!$A$5,IF(O3189&lt;20,1,IF(O3189&gt;1000,10,MATCH(O3189,Cargas,1))),Coluna_fih,1,1))*(1+0.13*0.25)*(PI()*(fi_h/1000)^2/4)*SQRT(2*9.81*(O3189/100-fi_h/2/1000))*1000)),"",IF(O3189&lt;fi_h/20,0,(OFFSET('Base de dados'!$A$5,IF(O3189&lt;20,1,IF(O3189&gt;1000,10,MATCH(O3189,Cargas,1))),Coluna_fih,1,1))*(PI()*(fi_h/1000)^2/4)*SQRT(2*9.81*(O3189/100-fi_h/2/1000))*1000))</f>
        <v>75.833643425661563</v>
      </c>
      <c r="Q3189" s="19">
        <f ca="1">IF(O3189="","",IF(Tipo_Vertedor="Retangular",IF(O3189&lt;=cota_s*100,0,IF(Tipo_Vertedor="Retangular",Cd_sr*Lef_sr*((O3189/100-cota_s)^(3/2))*1000)),IF(O3189&lt;=cota_s*100+fi_s/20,0,(OFFSET('Base de dados'!$A$4,IF(O3189&lt;20,1,IF(O3189&gt;1000,10,MATCH(O3189,Cargas,1))),Coluna_fis,1,1))*(PI()*(fi_s/1000)^2/4)*(2*9.81*(O3189/100-cota_s-fi_s/2/1000))^0.5*1000)))</f>
        <v>21968.660222212278</v>
      </c>
      <c r="R3189" s="19">
        <f t="shared" ca="1" si="335"/>
        <v>22044.493865637938</v>
      </c>
      <c r="S3189" s="19">
        <f t="shared" ca="1" si="336"/>
        <v>20858.557196418507</v>
      </c>
    </row>
    <row r="3190" spans="13:19">
      <c r="M3190" s="81">
        <f t="shared" ca="1" si="333"/>
        <v>42921.600119362287</v>
      </c>
      <c r="N3190" s="19">
        <f t="shared" si="334"/>
        <v>625.97745734559714</v>
      </c>
      <c r="O3190" s="17">
        <f t="shared" si="332"/>
        <v>797.25</v>
      </c>
      <c r="P3190" s="19">
        <f ca="1">IF(ISERROR(IF(O3190&lt;fi_h/20,0,(OFFSET('Base de dados'!$A$5,IF(O3190&lt;20,1,IF(O3190&gt;1000,10,MATCH(O3190,Cargas,1))),Coluna_fih,1,1))*(1+0.13*0.25)*(PI()*(fi_h/1000)^2/4)*SQRT(2*9.81*(O3190/100-fi_h/2/1000))*1000)),"",IF(O3190&lt;fi_h/20,0,(OFFSET('Base de dados'!$A$5,IF(O3190&lt;20,1,IF(O3190&gt;1000,10,MATCH(O3190,Cargas,1))),Coluna_fih,1,1))*(PI()*(fi_h/1000)^2/4)*SQRT(2*9.81*(O3190/100-fi_h/2/1000))*1000))</f>
        <v>75.84562085299946</v>
      </c>
      <c r="Q3190" s="19">
        <f ca="1">IF(O3190="","",IF(Tipo_Vertedor="Retangular",IF(O3190&lt;=cota_s*100,0,IF(Tipo_Vertedor="Retangular",Cd_sr*Lef_sr*((O3190/100-cota_s)^(3/2))*1000)),IF(O3190&lt;=cota_s*100+fi_s/20,0,(OFFSET('Base de dados'!$A$4,IF(O3190&lt;20,1,IF(O3190&gt;1000,10,MATCH(O3190,Cargas,1))),Coluna_fis,1,1))*(PI()*(fi_s/1000)^2/4)*(2*9.81*(O3190/100-cota_s-fi_s/2/1000))^0.5*1000)))</f>
        <v>21979.83925365605</v>
      </c>
      <c r="R3190" s="19">
        <f t="shared" ca="1" si="335"/>
        <v>22055.68487450905</v>
      </c>
      <c r="S3190" s="19">
        <f t="shared" ca="1" si="336"/>
        <v>20865.915244853237</v>
      </c>
    </row>
    <row r="3191" spans="13:19">
      <c r="M3191" s="81">
        <f t="shared" ca="1" si="333"/>
        <v>42940.151357770177</v>
      </c>
      <c r="N3191" s="19">
        <f t="shared" si="334"/>
        <v>626.19820742180571</v>
      </c>
      <c r="O3191" s="17">
        <f t="shared" si="332"/>
        <v>797.5</v>
      </c>
      <c r="P3191" s="19">
        <f ca="1">IF(ISERROR(IF(O3191&lt;fi_h/20,0,(OFFSET('Base de dados'!$A$5,IF(O3191&lt;20,1,IF(O3191&gt;1000,10,MATCH(O3191,Cargas,1))),Coluna_fih,1,1))*(1+0.13*0.25)*(PI()*(fi_h/1000)^2/4)*SQRT(2*9.81*(O3191/100-fi_h/2/1000))*1000)),"",IF(O3191&lt;fi_h/20,0,(OFFSET('Base de dados'!$A$5,IF(O3191&lt;20,1,IF(O3191&gt;1000,10,MATCH(O3191,Cargas,1))),Coluna_fih,1,1))*(PI()*(fi_h/1000)^2/4)*SQRT(2*9.81*(O3191/100-fi_h/2/1000))*1000))</f>
        <v>75.857596389178511</v>
      </c>
      <c r="Q3191" s="19">
        <f ca="1">IF(O3191="","",IF(Tipo_Vertedor="Retangular",IF(O3191&lt;=cota_s*100,0,IF(Tipo_Vertedor="Retangular",Cd_sr*Lef_sr*((O3191/100-cota_s)^(3/2))*1000)),IF(O3191&lt;=cota_s*100+fi_s/20,0,(OFFSET('Base de dados'!$A$4,IF(O3191&lt;20,1,IF(O3191&gt;1000,10,MATCH(O3191,Cargas,1))),Coluna_fis,1,1))*(PI()*(fi_s/1000)^2/4)*(2*9.81*(O3191/100-cota_s-fi_s/2/1000))^0.5*1000)))</f>
        <v>21991.020180654141</v>
      </c>
      <c r="R3191" s="19">
        <f t="shared" ca="1" si="335"/>
        <v>22066.877777043319</v>
      </c>
      <c r="S3191" s="19">
        <f t="shared" ca="1" si="336"/>
        <v>20873.273580726858</v>
      </c>
    </row>
    <row r="3192" spans="13:19">
      <c r="M3192" s="81">
        <f t="shared" ca="1" si="333"/>
        <v>42958.704776880826</v>
      </c>
      <c r="N3192" s="19">
        <f t="shared" si="334"/>
        <v>626.41896611881475</v>
      </c>
      <c r="O3192" s="17">
        <f t="shared" si="332"/>
        <v>797.75</v>
      </c>
      <c r="P3192" s="19">
        <f ca="1">IF(ISERROR(IF(O3192&lt;fi_h/20,0,(OFFSET('Base de dados'!$A$5,IF(O3192&lt;20,1,IF(O3192&gt;1000,10,MATCH(O3192,Cargas,1))),Coluna_fih,1,1))*(1+0.13*0.25)*(PI()*(fi_h/1000)^2/4)*SQRT(2*9.81*(O3192/100-fi_h/2/1000))*1000)),"",IF(O3192&lt;fi_h/20,0,(OFFSET('Base de dados'!$A$5,IF(O3192&lt;20,1,IF(O3192&gt;1000,10,MATCH(O3192,Cargas,1))),Coluna_fih,1,1))*(PI()*(fi_h/1000)^2/4)*SQRT(2*9.81*(O3192/100-fi_h/2/1000))*1000))</f>
        <v>75.869570035094242</v>
      </c>
      <c r="Q3192" s="19">
        <f ca="1">IF(O3192="","",IF(Tipo_Vertedor="Retangular",IF(O3192&lt;=cota_s*100,0,IF(Tipo_Vertedor="Retangular",Cd_sr*Lef_sr*((O3192/100-cota_s)^(3/2))*1000)),IF(O3192&lt;=cota_s*100+fi_s/20,0,(OFFSET('Base de dados'!$A$4,IF(O3192&lt;20,1,IF(O3192&gt;1000,10,MATCH(O3192,Cargas,1))),Coluna_fis,1,1))*(PI()*(fi_s/1000)^2/4)*(2*9.81*(O3192/100-cota_s-fi_s/2/1000))^0.5*1000)))</f>
        <v>22002.203002885239</v>
      </c>
      <c r="R3192" s="19">
        <f t="shared" ca="1" si="335"/>
        <v>22078.072572920333</v>
      </c>
      <c r="S3192" s="19">
        <f t="shared" ca="1" si="336"/>
        <v>20880.632203960493</v>
      </c>
    </row>
    <row r="3193" spans="13:19">
      <c r="M3193" s="81">
        <f t="shared" ca="1" si="333"/>
        <v>42977.260376295148</v>
      </c>
      <c r="N3193" s="19">
        <f t="shared" si="334"/>
        <v>626.63973343425903</v>
      </c>
      <c r="O3193" s="17">
        <f t="shared" si="332"/>
        <v>798</v>
      </c>
      <c r="P3193" s="19">
        <f ca="1">IF(ISERROR(IF(O3193&lt;fi_h/20,0,(OFFSET('Base de dados'!$A$5,IF(O3193&lt;20,1,IF(O3193&gt;1000,10,MATCH(O3193,Cargas,1))),Coluna_fih,1,1))*(1+0.13*0.25)*(PI()*(fi_h/1000)^2/4)*SQRT(2*9.81*(O3193/100-fi_h/2/1000))*1000)),"",IF(O3193&lt;fi_h/20,0,(OFFSET('Base de dados'!$A$5,IF(O3193&lt;20,1,IF(O3193&gt;1000,10,MATCH(O3193,Cargas,1))),Coluna_fih,1,1))*(PI()*(fi_h/1000)^2/4)*SQRT(2*9.81*(O3193/100-fi_h/2/1000))*1000))</f>
        <v>75.881541791641482</v>
      </c>
      <c r="Q3193" s="19">
        <f ca="1">IF(O3193="","",IF(Tipo_Vertedor="Retangular",IF(O3193&lt;=cota_s*100,0,IF(Tipo_Vertedor="Retangular",Cd_sr*Lef_sr*((O3193/100-cota_s)^(3/2))*1000)),IF(O3193&lt;=cota_s*100+fi_s/20,0,(OFFSET('Base de dados'!$A$4,IF(O3193&lt;20,1,IF(O3193&gt;1000,10,MATCH(O3193,Cargas,1))),Coluna_fis,1,1))*(PI()*(fi_s/1000)^2/4)*(2*9.81*(O3193/100-cota_s-fi_s/2/1000))^0.5*1000)))</f>
        <v>22013.3877200282</v>
      </c>
      <c r="R3193" s="19">
        <f t="shared" ca="1" si="335"/>
        <v>22089.269261819842</v>
      </c>
      <c r="S3193" s="19">
        <f t="shared" ca="1" si="336"/>
        <v>20887.991114475302</v>
      </c>
    </row>
    <row r="3194" spans="13:19">
      <c r="M3194" s="81">
        <f t="shared" ca="1" si="333"/>
        <v>42995.818155614252</v>
      </c>
      <c r="N3194" s="19">
        <f t="shared" si="334"/>
        <v>626.86050936577476</v>
      </c>
      <c r="O3194" s="17">
        <f t="shared" si="332"/>
        <v>798.25</v>
      </c>
      <c r="P3194" s="19">
        <f ca="1">IF(ISERROR(IF(O3194&lt;fi_h/20,0,(OFFSET('Base de dados'!$A$5,IF(O3194&lt;20,1,IF(O3194&gt;1000,10,MATCH(O3194,Cargas,1))),Coluna_fih,1,1))*(1+0.13*0.25)*(PI()*(fi_h/1000)^2/4)*SQRT(2*9.81*(O3194/100-fi_h/2/1000))*1000)),"",IF(O3194&lt;fi_h/20,0,(OFFSET('Base de dados'!$A$5,IF(O3194&lt;20,1,IF(O3194&gt;1000,10,MATCH(O3194,Cargas,1))),Coluna_fih,1,1))*(PI()*(fi_h/1000)^2/4)*SQRT(2*9.81*(O3194/100-fi_h/2/1000))*1000))</f>
        <v>75.893511659714321</v>
      </c>
      <c r="Q3194" s="19">
        <f ca="1">IF(O3194="","",IF(Tipo_Vertedor="Retangular",IF(O3194&lt;=cota_s*100,0,IF(Tipo_Vertedor="Retangular",Cd_sr*Lef_sr*((O3194/100-cota_s)^(3/2))*1000)),IF(O3194&lt;=cota_s*100+fi_s/20,0,(OFFSET('Base de dados'!$A$4,IF(O3194&lt;20,1,IF(O3194&gt;1000,10,MATCH(O3194,Cargas,1))),Coluna_fis,1,1))*(PI()*(fi_s/1000)^2/4)*(2*9.81*(O3194/100-cota_s-fi_s/2/1000))^0.5*1000)))</f>
        <v>22024.57433176204</v>
      </c>
      <c r="R3194" s="19">
        <f t="shared" ca="1" si="335"/>
        <v>22100.467843421753</v>
      </c>
      <c r="S3194" s="19">
        <f t="shared" ca="1" si="336"/>
        <v>20895.350312192495</v>
      </c>
    </row>
    <row r="3195" spans="13:19">
      <c r="M3195" s="81">
        <f t="shared" ca="1" si="333"/>
        <v>43014.378114439482</v>
      </c>
      <c r="N3195" s="19">
        <f t="shared" si="334"/>
        <v>627.08129391099999</v>
      </c>
      <c r="O3195" s="17">
        <f t="shared" si="332"/>
        <v>798.5</v>
      </c>
      <c r="P3195" s="19">
        <f ca="1">IF(ISERROR(IF(O3195&lt;fi_h/20,0,(OFFSET('Base de dados'!$A$5,IF(O3195&lt;20,1,IF(O3195&gt;1000,10,MATCH(O3195,Cargas,1))),Coluna_fih,1,1))*(1+0.13*0.25)*(PI()*(fi_h/1000)^2/4)*SQRT(2*9.81*(O3195/100-fi_h/2/1000))*1000)),"",IF(O3195&lt;fi_h/20,0,(OFFSET('Base de dados'!$A$5,IF(O3195&lt;20,1,IF(O3195&gt;1000,10,MATCH(O3195,Cargas,1))),Coluna_fih,1,1))*(PI()*(fi_h/1000)^2/4)*SQRT(2*9.81*(O3195/100-fi_h/2/1000))*1000))</f>
        <v>75.905479640206195</v>
      </c>
      <c r="Q3195" s="19">
        <f ca="1">IF(O3195="","",IF(Tipo_Vertedor="Retangular",IF(O3195&lt;=cota_s*100,0,IF(Tipo_Vertedor="Retangular",Cd_sr*Lef_sr*((O3195/100-cota_s)^(3/2))*1000)),IF(O3195&lt;=cota_s*100+fi_s/20,0,(OFFSET('Base de dados'!$A$4,IF(O3195&lt;20,1,IF(O3195&gt;1000,10,MATCH(O3195,Cargas,1))),Coluna_fis,1,1))*(PI()*(fi_s/1000)^2/4)*(2*9.81*(O3195/100-cota_s-fi_s/2/1000))^0.5*1000)))</f>
        <v>22035.762837765942</v>
      </c>
      <c r="R3195" s="19">
        <f t="shared" ca="1" si="335"/>
        <v>22111.668317406147</v>
      </c>
      <c r="S3195" s="19">
        <f t="shared" ca="1" si="336"/>
        <v>20902.709797033334</v>
      </c>
    </row>
    <row r="3196" spans="13:19">
      <c r="M3196" s="81">
        <f t="shared" ca="1" si="333"/>
        <v>43032.940252372398</v>
      </c>
      <c r="N3196" s="19">
        <f t="shared" si="334"/>
        <v>627.30208706757367</v>
      </c>
      <c r="O3196" s="17">
        <f t="shared" si="332"/>
        <v>798.75</v>
      </c>
      <c r="P3196" s="19">
        <f ca="1">IF(ISERROR(IF(O3196&lt;fi_h/20,0,(OFFSET('Base de dados'!$A$5,IF(O3196&lt;20,1,IF(O3196&gt;1000,10,MATCH(O3196,Cargas,1))),Coluna_fih,1,1))*(1+0.13*0.25)*(PI()*(fi_h/1000)^2/4)*SQRT(2*9.81*(O3196/100-fi_h/2/1000))*1000)),"",IF(O3196&lt;fi_h/20,0,(OFFSET('Base de dados'!$A$5,IF(O3196&lt;20,1,IF(O3196&gt;1000,10,MATCH(O3196,Cargas,1))),Coluna_fih,1,1))*(PI()*(fi_h/1000)^2/4)*SQRT(2*9.81*(O3196/100-fi_h/2/1000))*1000))</f>
        <v>75.917445734009789</v>
      </c>
      <c r="Q3196" s="19">
        <f ca="1">IF(O3196="","",IF(Tipo_Vertedor="Retangular",IF(O3196&lt;=cota_s*100,0,IF(Tipo_Vertedor="Retangular",Cd_sr*Lef_sr*((O3196/100-cota_s)^(3/2))*1000)),IF(O3196&lt;=cota_s*100+fi_s/20,0,(OFFSET('Base de dados'!$A$4,IF(O3196&lt;20,1,IF(O3196&gt;1000,10,MATCH(O3196,Cargas,1))),Coluna_fis,1,1))*(PI()*(fi_s/1000)^2/4)*(2*9.81*(O3196/100-cota_s-fi_s/2/1000))^0.5*1000)))</f>
        <v>22046.953237719263</v>
      </c>
      <c r="R3196" s="19">
        <f t="shared" ca="1" si="335"/>
        <v>22122.870683453271</v>
      </c>
      <c r="S3196" s="19">
        <f t="shared" ca="1" si="336"/>
        <v>20910.069568919123</v>
      </c>
    </row>
    <row r="3197" spans="13:19">
      <c r="M3197" s="81">
        <f t="shared" ca="1" si="333"/>
        <v>43051.504569014709</v>
      </c>
      <c r="N3197" s="19">
        <f t="shared" si="334"/>
        <v>627.52288883313565</v>
      </c>
      <c r="O3197" s="17">
        <f t="shared" si="332"/>
        <v>799</v>
      </c>
      <c r="P3197" s="19">
        <f ca="1">IF(ISERROR(IF(O3197&lt;fi_h/20,0,(OFFSET('Base de dados'!$A$5,IF(O3197&lt;20,1,IF(O3197&gt;1000,10,MATCH(O3197,Cargas,1))),Coluna_fih,1,1))*(1+0.13*0.25)*(PI()*(fi_h/1000)^2/4)*SQRT(2*9.81*(O3197/100-fi_h/2/1000))*1000)),"",IF(O3197&lt;fi_h/20,0,(OFFSET('Base de dados'!$A$5,IF(O3197&lt;20,1,IF(O3197&gt;1000,10,MATCH(O3197,Cargas,1))),Coluna_fih,1,1))*(PI()*(fi_h/1000)^2/4)*SQRT(2*9.81*(O3197/100-fi_h/2/1000))*1000))</f>
        <v>75.929409942017074</v>
      </c>
      <c r="Q3197" s="19">
        <f ca="1">IF(O3197="","",IF(Tipo_Vertedor="Retangular",IF(O3197&lt;=cota_s*100,0,IF(Tipo_Vertedor="Retangular",Cd_sr*Lef_sr*((O3197/100-cota_s)^(3/2))*1000)),IF(O3197&lt;=cota_s*100+fi_s/20,0,(OFFSET('Base de dados'!$A$4,IF(O3197&lt;20,1,IF(O3197&gt;1000,10,MATCH(O3197,Cargas,1))),Coluna_fis,1,1))*(PI()*(fi_s/1000)^2/4)*(2*9.81*(O3197/100-cota_s-fi_s/2/1000))^0.5*1000)))</f>
        <v>22058.145531301499</v>
      </c>
      <c r="R3197" s="19">
        <f t="shared" ca="1" si="335"/>
        <v>22134.074941243518</v>
      </c>
      <c r="S3197" s="19">
        <f t="shared" ca="1" si="336"/>
        <v>20917.429627771187</v>
      </c>
    </row>
    <row r="3198" spans="13:19">
      <c r="M3198" s="81">
        <f t="shared" ca="1" si="333"/>
        <v>43070.071063968389</v>
      </c>
      <c r="N3198" s="19">
        <f t="shared" si="334"/>
        <v>627.74369920532831</v>
      </c>
      <c r="O3198" s="17">
        <f t="shared" si="332"/>
        <v>799.25</v>
      </c>
      <c r="P3198" s="19">
        <f ca="1">IF(ISERROR(IF(O3198&lt;fi_h/20,0,(OFFSET('Base de dados'!$A$5,IF(O3198&lt;20,1,IF(O3198&gt;1000,10,MATCH(O3198,Cargas,1))),Coluna_fih,1,1))*(1+0.13*0.25)*(PI()*(fi_h/1000)^2/4)*SQRT(2*9.81*(O3198/100-fi_h/2/1000))*1000)),"",IF(O3198&lt;fi_h/20,0,(OFFSET('Base de dados'!$A$5,IF(O3198&lt;20,1,IF(O3198&gt;1000,10,MATCH(O3198,Cargas,1))),Coluna_fih,1,1))*(PI()*(fi_h/1000)^2/4)*SQRT(2*9.81*(O3198/100-fi_h/2/1000))*1000))</f>
        <v>75.941372265119384</v>
      </c>
      <c r="Q3198" s="19">
        <f ca="1">IF(O3198="","",IF(Tipo_Vertedor="Retangular",IF(O3198&lt;=cota_s*100,0,IF(Tipo_Vertedor="Retangular",Cd_sr*Lef_sr*((O3198/100-cota_s)^(3/2))*1000)),IF(O3198&lt;=cota_s*100+fi_s/20,0,(OFFSET('Base de dados'!$A$4,IF(O3198&lt;20,1,IF(O3198&gt;1000,10,MATCH(O3198,Cargas,1))),Coluna_fis,1,1))*(PI()*(fi_s/1000)^2/4)*(2*9.81*(O3198/100-cota_s-fi_s/2/1000))^0.5*1000)))</f>
        <v>22069.339718192325</v>
      </c>
      <c r="R3198" s="19">
        <f t="shared" ca="1" si="335"/>
        <v>22145.281090457443</v>
      </c>
      <c r="S3198" s="19">
        <f t="shared" ca="1" si="336"/>
        <v>20924.789973510946</v>
      </c>
    </row>
    <row r="3199" spans="13:19">
      <c r="M3199" s="81">
        <f t="shared" ca="1" si="333"/>
        <v>43088.63973683559</v>
      </c>
      <c r="N3199" s="19">
        <f t="shared" si="334"/>
        <v>627.96451818179492</v>
      </c>
      <c r="O3199" s="17">
        <f t="shared" si="332"/>
        <v>799.5</v>
      </c>
      <c r="P3199" s="19">
        <f ca="1">IF(ISERROR(IF(O3199&lt;fi_h/20,0,(OFFSET('Base de dados'!$A$5,IF(O3199&lt;20,1,IF(O3199&gt;1000,10,MATCH(O3199,Cargas,1))),Coluna_fih,1,1))*(1+0.13*0.25)*(PI()*(fi_h/1000)^2/4)*SQRT(2*9.81*(O3199/100-fi_h/2/1000))*1000)),"",IF(O3199&lt;fi_h/20,0,(OFFSET('Base de dados'!$A$5,IF(O3199&lt;20,1,IF(O3199&gt;1000,10,MATCH(O3199,Cargas,1))),Coluna_fih,1,1))*(PI()*(fi_h/1000)^2/4)*SQRT(2*9.81*(O3199/100-fi_h/2/1000))*1000))</f>
        <v>75.953332704207298</v>
      </c>
      <c r="Q3199" s="19">
        <f ca="1">IF(O3199="","",IF(Tipo_Vertedor="Retangular",IF(O3199&lt;=cota_s*100,0,IF(Tipo_Vertedor="Retangular",Cd_sr*Lef_sr*((O3199/100-cota_s)^(3/2))*1000)),IF(O3199&lt;=cota_s*100+fi_s/20,0,(OFFSET('Base de dados'!$A$4,IF(O3199&lt;20,1,IF(O3199&gt;1000,10,MATCH(O3199,Cargas,1))),Coluna_fis,1,1))*(PI()*(fi_s/1000)^2/4)*(2*9.81*(O3199/100-cota_s-fi_s/2/1000))^0.5*1000)))</f>
        <v>22080.535798071553</v>
      </c>
      <c r="R3199" s="19">
        <f t="shared" ca="1" si="335"/>
        <v>22156.489130775761</v>
      </c>
      <c r="S3199" s="19">
        <f t="shared" ca="1" si="336"/>
        <v>20932.150606059829</v>
      </c>
    </row>
    <row r="3200" spans="13:19">
      <c r="M3200" s="81">
        <f t="shared" ca="1" si="333"/>
        <v>43107.210587218709</v>
      </c>
      <c r="N3200" s="19">
        <f t="shared" si="334"/>
        <v>628.18534576017998</v>
      </c>
      <c r="O3200" s="17">
        <f t="shared" si="332"/>
        <v>799.75</v>
      </c>
      <c r="P3200" s="19">
        <f ca="1">IF(ISERROR(IF(O3200&lt;fi_h/20,0,(OFFSET('Base de dados'!$A$5,IF(O3200&lt;20,1,IF(O3200&gt;1000,10,MATCH(O3200,Cargas,1))),Coluna_fih,1,1))*(1+0.13*0.25)*(PI()*(fi_h/1000)^2/4)*SQRT(2*9.81*(O3200/100-fi_h/2/1000))*1000)),"",IF(O3200&lt;fi_h/20,0,(OFFSET('Base de dados'!$A$5,IF(O3200&lt;20,1,IF(O3200&gt;1000,10,MATCH(O3200,Cargas,1))),Coluna_fih,1,1))*(PI()*(fi_h/1000)^2/4)*SQRT(2*9.81*(O3200/100-fi_h/2/1000))*1000))</f>
        <v>75.965291260170716</v>
      </c>
      <c r="Q3200" s="19">
        <f ca="1">IF(O3200="","",IF(Tipo_Vertedor="Retangular",IF(O3200&lt;=cota_s*100,0,IF(Tipo_Vertedor="Retangular",Cd_sr*Lef_sr*((O3200/100-cota_s)^(3/2))*1000)),IF(O3200&lt;=cota_s*100+fi_s/20,0,(OFFSET('Base de dados'!$A$4,IF(O3200&lt;20,1,IF(O3200&gt;1000,10,MATCH(O3200,Cargas,1))),Coluna_fis,1,1))*(PI()*(fi_s/1000)^2/4)*(2*9.81*(O3200/100-cota_s-fi_s/2/1000))^0.5*1000)))</f>
        <v>22091.733770619208</v>
      </c>
      <c r="R3200" s="19">
        <f t="shared" ca="1" si="335"/>
        <v>22167.699061879379</v>
      </c>
      <c r="S3200" s="19">
        <f t="shared" ca="1" si="336"/>
        <v>20939.511525339334</v>
      </c>
    </row>
    <row r="3201" spans="13:19">
      <c r="M3201" s="81">
        <f t="shared" ca="1" si="333"/>
        <v>43125.783614720334</v>
      </c>
      <c r="N3201" s="19">
        <f t="shared" si="334"/>
        <v>628.40618193812952</v>
      </c>
      <c r="O3201" s="17">
        <f t="shared" si="332"/>
        <v>800</v>
      </c>
      <c r="P3201" s="19">
        <f ca="1">IF(ISERROR(IF(O3201&lt;fi_h/20,0,(OFFSET('Base de dados'!$A$5,IF(O3201&lt;20,1,IF(O3201&gt;1000,10,MATCH(O3201,Cargas,1))),Coluna_fih,1,1))*(1+0.13*0.25)*(PI()*(fi_h/1000)^2/4)*SQRT(2*9.81*(O3201/100-fi_h/2/1000))*1000)),"",IF(O3201&lt;fi_h/20,0,(OFFSET('Base de dados'!$A$5,IF(O3201&lt;20,1,IF(O3201&gt;1000,10,MATCH(O3201,Cargas,1))),Coluna_fih,1,1))*(PI()*(fi_h/1000)^2/4)*SQRT(2*9.81*(O3201/100-fi_h/2/1000))*1000))</f>
        <v>75.977247933898809</v>
      </c>
      <c r="Q3201" s="19">
        <f ca="1">IF(O3201="","",IF(Tipo_Vertedor="Retangular",IF(O3201&lt;=cota_s*100,0,IF(Tipo_Vertedor="Retangular",Cd_sr*Lef_sr*((O3201/100-cota_s)^(3/2))*1000)),IF(O3201&lt;=cota_s*100+fi_s/20,0,(OFFSET('Base de dados'!$A$4,IF(O3201&lt;20,1,IF(O3201&gt;1000,10,MATCH(O3201,Cargas,1))),Coluna_fis,1,1))*(PI()*(fi_s/1000)^2/4)*(2*9.81*(O3201/100-cota_s-fi_s/2/1000))^0.5*1000)))</f>
        <v>22102.933635515452</v>
      </c>
      <c r="R3201" s="19">
        <f t="shared" ca="1" si="335"/>
        <v>22178.910883449349</v>
      </c>
      <c r="S3201" s="19">
        <f t="shared" ca="1" si="336"/>
        <v>20946.872731270982</v>
      </c>
    </row>
    <row r="3202" spans="13:19">
      <c r="M3202" s="81">
        <f t="shared" ca="1" si="333"/>
        <v>43144.358818943205</v>
      </c>
      <c r="N3202" s="19">
        <f t="shared" si="334"/>
        <v>628.62702671329066</v>
      </c>
      <c r="O3202" s="17">
        <f t="shared" si="332"/>
        <v>800.25</v>
      </c>
      <c r="P3202" s="19">
        <f ca="1">IF(ISERROR(IF(O3202&lt;fi_h/20,0,(OFFSET('Base de dados'!$A$5,IF(O3202&lt;20,1,IF(O3202&gt;1000,10,MATCH(O3202,Cargas,1))),Coluna_fih,1,1))*(1+0.13*0.25)*(PI()*(fi_h/1000)^2/4)*SQRT(2*9.81*(O3202/100-fi_h/2/1000))*1000)),"",IF(O3202&lt;fi_h/20,0,(OFFSET('Base de dados'!$A$5,IF(O3202&lt;20,1,IF(O3202&gt;1000,10,MATCH(O3202,Cargas,1))),Coluna_fih,1,1))*(PI()*(fi_h/1000)^2/4)*SQRT(2*9.81*(O3202/100-fi_h/2/1000))*1000))</f>
        <v>75.989202726280084</v>
      </c>
      <c r="Q3202" s="19">
        <f ca="1">IF(O3202="","",IF(Tipo_Vertedor="Retangular",IF(O3202&lt;=cota_s*100,0,IF(Tipo_Vertedor="Retangular",Cd_sr*Lef_sr*((O3202/100-cota_s)^(3/2))*1000)),IF(O3202&lt;=cota_s*100+fi_s/20,0,(OFFSET('Base de dados'!$A$4,IF(O3202&lt;20,1,IF(O3202&gt;1000,10,MATCH(O3202,Cargas,1))),Coluna_fis,1,1))*(PI()*(fi_s/1000)^2/4)*(2*9.81*(O3202/100-cota_s-fi_s/2/1000))^0.5*1000)))</f>
        <v>22114.13539244057</v>
      </c>
      <c r="R3202" s="19">
        <f t="shared" ca="1" si="335"/>
        <v>22190.12459516685</v>
      </c>
      <c r="S3202" s="19">
        <f t="shared" ca="1" si="336"/>
        <v>20954.234223776359</v>
      </c>
    </row>
    <row r="3203" spans="13:19">
      <c r="M3203" s="81">
        <f t="shared" ca="1" si="333"/>
        <v>43162.936199490374</v>
      </c>
      <c r="N3203" s="19">
        <f t="shared" si="334"/>
        <v>628.84788008331282</v>
      </c>
      <c r="O3203" s="17">
        <f t="shared" si="332"/>
        <v>800.5</v>
      </c>
      <c r="P3203" s="19">
        <f ca="1">IF(ISERROR(IF(O3203&lt;fi_h/20,0,(OFFSET('Base de dados'!$A$5,IF(O3203&lt;20,1,IF(O3203&gt;1000,10,MATCH(O3203,Cargas,1))),Coluna_fih,1,1))*(1+0.13*0.25)*(PI()*(fi_h/1000)^2/4)*SQRT(2*9.81*(O3203/100-fi_h/2/1000))*1000)),"",IF(O3203&lt;fi_h/20,0,(OFFSET('Base de dados'!$A$5,IF(O3203&lt;20,1,IF(O3203&gt;1000,10,MATCH(O3203,Cargas,1))),Coluna_fih,1,1))*(PI()*(fi_h/1000)^2/4)*SQRT(2*9.81*(O3203/100-fi_h/2/1000))*1000))</f>
        <v>76.001155638202334</v>
      </c>
      <c r="Q3203" s="19">
        <f ca="1">IF(O3203="","",IF(Tipo_Vertedor="Retangular",IF(O3203&lt;=cota_s*100,0,IF(Tipo_Vertedor="Retangular",Cd_sr*Lef_sr*((O3203/100-cota_s)^(3/2))*1000)),IF(O3203&lt;=cota_s*100+fi_s/20,0,(OFFSET('Base de dados'!$A$4,IF(O3203&lt;20,1,IF(O3203&gt;1000,10,MATCH(O3203,Cargas,1))),Coluna_fis,1,1))*(PI()*(fi_s/1000)^2/4)*(2*9.81*(O3203/100-cota_s-fi_s/2/1000))^0.5*1000)))</f>
        <v>22125.339041075076</v>
      </c>
      <c r="R3203" s="19">
        <f t="shared" ca="1" si="335"/>
        <v>22201.340196713278</v>
      </c>
      <c r="S3203" s="19">
        <f t="shared" ca="1" si="336"/>
        <v>20961.596002777096</v>
      </c>
    </row>
    <row r="3204" spans="13:19">
      <c r="M3204" s="81">
        <f t="shared" ca="1" si="333"/>
        <v>43181.515755964982</v>
      </c>
      <c r="N3204" s="19">
        <f t="shared" si="334"/>
        <v>629.06874204584517</v>
      </c>
      <c r="O3204" s="17">
        <f t="shared" si="332"/>
        <v>800.75</v>
      </c>
      <c r="P3204" s="19">
        <f ca="1">IF(ISERROR(IF(O3204&lt;fi_h/20,0,(OFFSET('Base de dados'!$A$5,IF(O3204&lt;20,1,IF(O3204&gt;1000,10,MATCH(O3204,Cargas,1))),Coluna_fih,1,1))*(1+0.13*0.25)*(PI()*(fi_h/1000)^2/4)*SQRT(2*9.81*(O3204/100-fi_h/2/1000))*1000)),"",IF(O3204&lt;fi_h/20,0,(OFFSET('Base de dados'!$A$5,IF(O3204&lt;20,1,IF(O3204&gt;1000,10,MATCH(O3204,Cargas,1))),Coluna_fih,1,1))*(PI()*(fi_h/1000)^2/4)*SQRT(2*9.81*(O3204/100-fi_h/2/1000))*1000))</f>
        <v>76.013106670552645</v>
      </c>
      <c r="Q3204" s="19">
        <f ca="1">IF(O3204="","",IF(Tipo_Vertedor="Retangular",IF(O3204&lt;=cota_s*100,0,IF(Tipo_Vertedor="Retangular",Cd_sr*Lef_sr*((O3204/100-cota_s)^(3/2))*1000)),IF(O3204&lt;=cota_s*100+fi_s/20,0,(OFFSET('Base de dados'!$A$4,IF(O3204&lt;20,1,IF(O3204&gt;1000,10,MATCH(O3204,Cargas,1))),Coluna_fis,1,1))*(PI()*(fi_s/1000)^2/4)*(2*9.81*(O3204/100-cota_s-fi_s/2/1000))^0.5*1000)))</f>
        <v>22136.544581099588</v>
      </c>
      <c r="R3204" s="19">
        <f t="shared" ca="1" si="335"/>
        <v>22212.557687770142</v>
      </c>
      <c r="S3204" s="19">
        <f t="shared" ca="1" si="336"/>
        <v>20968.958068194839</v>
      </c>
    </row>
    <row r="3205" spans="13:19">
      <c r="M3205" s="81">
        <f t="shared" ca="1" si="333"/>
        <v>43200.097487970466</v>
      </c>
      <c r="N3205" s="19">
        <f t="shared" si="334"/>
        <v>629.28961259853975</v>
      </c>
      <c r="O3205" s="17">
        <f t="shared" si="332"/>
        <v>801</v>
      </c>
      <c r="P3205" s="19">
        <f ca="1">IF(ISERROR(IF(O3205&lt;fi_h/20,0,(OFFSET('Base de dados'!$A$5,IF(O3205&lt;20,1,IF(O3205&gt;1000,10,MATCH(O3205,Cargas,1))),Coluna_fih,1,1))*(1+0.13*0.25)*(PI()*(fi_h/1000)^2/4)*SQRT(2*9.81*(O3205/100-fi_h/2/1000))*1000)),"",IF(O3205&lt;fi_h/20,0,(OFFSET('Base de dados'!$A$5,IF(O3205&lt;20,1,IF(O3205&gt;1000,10,MATCH(O3205,Cargas,1))),Coluna_fih,1,1))*(PI()*(fi_h/1000)^2/4)*SQRT(2*9.81*(O3205/100-fi_h/2/1000))*1000))</f>
        <v>76.025055824217432</v>
      </c>
      <c r="Q3205" s="19">
        <f ca="1">IF(O3205="","",IF(Tipo_Vertedor="Retangular",IF(O3205&lt;=cota_s*100,0,IF(Tipo_Vertedor="Retangular",Cd_sr*Lef_sr*((O3205/100-cota_s)^(3/2))*1000)),IF(O3205&lt;=cota_s*100+fi_s/20,0,(OFFSET('Base de dados'!$A$4,IF(O3205&lt;20,1,IF(O3205&gt;1000,10,MATCH(O3205,Cargas,1))),Coluna_fis,1,1))*(PI()*(fi_s/1000)^2/4)*(2*9.81*(O3205/100-cota_s-fi_s/2/1000))^0.5*1000)))</f>
        <v>22147.75201219492</v>
      </c>
      <c r="R3205" s="19">
        <f t="shared" ca="1" si="335"/>
        <v>22223.777068019139</v>
      </c>
      <c r="S3205" s="19">
        <f t="shared" ca="1" si="336"/>
        <v>20976.320419951327</v>
      </c>
    </row>
    <row r="3206" spans="13:19">
      <c r="M3206" s="81">
        <f t="shared" ca="1" si="333"/>
        <v>43218.681395110434</v>
      </c>
      <c r="N3206" s="19">
        <f t="shared" si="334"/>
        <v>629.51049173904937</v>
      </c>
      <c r="O3206" s="17">
        <f t="shared" si="332"/>
        <v>801.25</v>
      </c>
      <c r="P3206" s="19">
        <f ca="1">IF(ISERROR(IF(O3206&lt;fi_h/20,0,(OFFSET('Base de dados'!$A$5,IF(O3206&lt;20,1,IF(O3206&gt;1000,10,MATCH(O3206,Cargas,1))),Coluna_fih,1,1))*(1+0.13*0.25)*(PI()*(fi_h/1000)^2/4)*SQRT(2*9.81*(O3206/100-fi_h/2/1000))*1000)),"",IF(O3206&lt;fi_h/20,0,(OFFSET('Base de dados'!$A$5,IF(O3206&lt;20,1,IF(O3206&gt;1000,10,MATCH(O3206,Cargas,1))),Coluna_fih,1,1))*(PI()*(fi_h/1000)^2/4)*SQRT(2*9.81*(O3206/100-fi_h/2/1000))*1000))</f>
        <v>76.037003100082401</v>
      </c>
      <c r="Q3206" s="19">
        <f ca="1">IF(O3206="","",IF(Tipo_Vertedor="Retangular",IF(O3206&lt;=cota_s*100,0,IF(Tipo_Vertedor="Retangular",Cd_sr*Lef_sr*((O3206/100-cota_s)^(3/2))*1000)),IF(O3206&lt;=cota_s*100+fi_s/20,0,(OFFSET('Base de dados'!$A$4,IF(O3206&lt;20,1,IF(O3206&gt;1000,10,MATCH(O3206,Cargas,1))),Coluna_fis,1,1))*(PI()*(fi_s/1000)^2/4)*(2*9.81*(O3206/100-cota_s-fi_s/2/1000))^0.5*1000)))</f>
        <v>22158.96133404204</v>
      </c>
      <c r="R3206" s="19">
        <f t="shared" ca="1" si="335"/>
        <v>22234.998337142122</v>
      </c>
      <c r="S3206" s="19">
        <f t="shared" ca="1" si="336"/>
        <v>20983.683057968312</v>
      </c>
    </row>
    <row r="3207" spans="13:19">
      <c r="M3207" s="81">
        <f t="shared" ca="1" si="333"/>
        <v>43237.267476988731</v>
      </c>
      <c r="N3207" s="19">
        <f t="shared" si="334"/>
        <v>629.73137946502834</v>
      </c>
      <c r="O3207" s="17">
        <f t="shared" si="332"/>
        <v>801.5</v>
      </c>
      <c r="P3207" s="19">
        <f ca="1">IF(ISERROR(IF(O3207&lt;fi_h/20,0,(OFFSET('Base de dados'!$A$5,IF(O3207&lt;20,1,IF(O3207&gt;1000,10,MATCH(O3207,Cargas,1))),Coluna_fih,1,1))*(1+0.13*0.25)*(PI()*(fi_h/1000)^2/4)*SQRT(2*9.81*(O3207/100-fi_h/2/1000))*1000)),"",IF(O3207&lt;fi_h/20,0,(OFFSET('Base de dados'!$A$5,IF(O3207&lt;20,1,IF(O3207&gt;1000,10,MATCH(O3207,Cargas,1))),Coluna_fih,1,1))*(PI()*(fi_h/1000)^2/4)*SQRT(2*9.81*(O3207/100-fi_h/2/1000))*1000))</f>
        <v>76.048948499032534</v>
      </c>
      <c r="Q3207" s="19">
        <f ca="1">IF(O3207="","",IF(Tipo_Vertedor="Retangular",IF(O3207&lt;=cota_s*100,0,IF(Tipo_Vertedor="Retangular",Cd_sr*Lef_sr*((O3207/100-cota_s)^(3/2))*1000)),IF(O3207&lt;=cota_s*100+fi_s/20,0,(OFFSET('Base de dados'!$A$4,IF(O3207&lt;20,1,IF(O3207&gt;1000,10,MATCH(O3207,Cargas,1))),Coluna_fis,1,1))*(PI()*(fi_s/1000)^2/4)*(2*9.81*(O3207/100-cota_s-fi_s/2/1000))^0.5*1000)))</f>
        <v>22170.17254632209</v>
      </c>
      <c r="R3207" s="19">
        <f t="shared" ca="1" si="335"/>
        <v>22246.221494821122</v>
      </c>
      <c r="S3207" s="19">
        <f t="shared" ca="1" si="336"/>
        <v>20991.045982167609</v>
      </c>
    </row>
    <row r="3208" spans="13:19">
      <c r="M3208" s="81">
        <f t="shared" ca="1" si="333"/>
        <v>43255.855733209377</v>
      </c>
      <c r="N3208" s="19">
        <f t="shared" si="334"/>
        <v>629.95227577413243</v>
      </c>
      <c r="O3208" s="17">
        <f t="shared" si="332"/>
        <v>801.75</v>
      </c>
      <c r="P3208" s="19">
        <f ca="1">IF(ISERROR(IF(O3208&lt;fi_h/20,0,(OFFSET('Base de dados'!$A$5,IF(O3208&lt;20,1,IF(O3208&gt;1000,10,MATCH(O3208,Cargas,1))),Coluna_fih,1,1))*(1+0.13*0.25)*(PI()*(fi_h/1000)^2/4)*SQRT(2*9.81*(O3208/100-fi_h/2/1000))*1000)),"",IF(O3208&lt;fi_h/20,0,(OFFSET('Base de dados'!$A$5,IF(O3208&lt;20,1,IF(O3208&gt;1000,10,MATCH(O3208,Cargas,1))),Coluna_fih,1,1))*(PI()*(fi_h/1000)^2/4)*SQRT(2*9.81*(O3208/100-fi_h/2/1000))*1000))</f>
        <v>76.060892021952156</v>
      </c>
      <c r="Q3208" s="19">
        <f ca="1">IF(O3208="","",IF(Tipo_Vertedor="Retangular",IF(O3208&lt;=cota_s*100,0,IF(Tipo_Vertedor="Retangular",Cd_sr*Lef_sr*((O3208/100-cota_s)^(3/2))*1000)),IF(O3208&lt;=cota_s*100+fi_s/20,0,(OFFSET('Base de dados'!$A$4,IF(O3208&lt;20,1,IF(O3208&gt;1000,10,MATCH(O3208,Cargas,1))),Coluna_fis,1,1))*(PI()*(fi_s/1000)^2/4)*(2*9.81*(O3208/100-cota_s-fi_s/2/1000))^0.5*1000)))</f>
        <v>22181.385648716339</v>
      </c>
      <c r="R3208" s="19">
        <f t="shared" ca="1" si="335"/>
        <v>22257.446540738292</v>
      </c>
      <c r="S3208" s="19">
        <f t="shared" ca="1" si="336"/>
        <v>20998.409192471081</v>
      </c>
    </row>
    <row r="3209" spans="13:19">
      <c r="M3209" s="81">
        <f t="shared" ca="1" si="333"/>
        <v>43274.44616337656</v>
      </c>
      <c r="N3209" s="19">
        <f t="shared" si="334"/>
        <v>630.17318066401799</v>
      </c>
      <c r="O3209" s="17">
        <f t="shared" si="332"/>
        <v>802</v>
      </c>
      <c r="P3209" s="19">
        <f ca="1">IF(ISERROR(IF(O3209&lt;fi_h/20,0,(OFFSET('Base de dados'!$A$5,IF(O3209&lt;20,1,IF(O3209&gt;1000,10,MATCH(O3209,Cargas,1))),Coluna_fih,1,1))*(1+0.13*0.25)*(PI()*(fi_h/1000)^2/4)*SQRT(2*9.81*(O3209/100-fi_h/2/1000))*1000)),"",IF(O3209&lt;fi_h/20,0,(OFFSET('Base de dados'!$A$5,IF(O3209&lt;20,1,IF(O3209&gt;1000,10,MATCH(O3209,Cargas,1))),Coluna_fih,1,1))*(PI()*(fi_h/1000)^2/4)*SQRT(2*9.81*(O3209/100-fi_h/2/1000))*1000))</f>
        <v>76.072833669724872</v>
      </c>
      <c r="Q3209" s="19">
        <f ca="1">IF(O3209="","",IF(Tipo_Vertedor="Retangular",IF(O3209&lt;=cota_s*100,0,IF(Tipo_Vertedor="Retangular",Cd_sr*Lef_sr*((O3209/100-cota_s)^(3/2))*1000)),IF(O3209&lt;=cota_s*100+fi_s/20,0,(OFFSET('Base de dados'!$A$4,IF(O3209&lt;20,1,IF(O3209&gt;1000,10,MATCH(O3209,Cargas,1))),Coluna_fis,1,1))*(PI()*(fi_s/1000)^2/4)*(2*9.81*(O3209/100-cota_s-fi_s/2/1000))^0.5*1000)))</f>
        <v>22192.600640906232</v>
      </c>
      <c r="R3209" s="19">
        <f t="shared" ca="1" si="335"/>
        <v>22268.673474575957</v>
      </c>
      <c r="S3209" s="19">
        <f t="shared" ca="1" si="336"/>
        <v>21005.7726888006</v>
      </c>
    </row>
    <row r="3210" spans="13:19">
      <c r="M3210" s="81">
        <f t="shared" ca="1" si="333"/>
        <v>43293.038767094797</v>
      </c>
      <c r="N3210" s="19">
        <f t="shared" si="334"/>
        <v>630.39409413234398</v>
      </c>
      <c r="O3210" s="17">
        <f t="shared" si="332"/>
        <v>802.25</v>
      </c>
      <c r="P3210" s="19">
        <f ca="1">IF(ISERROR(IF(O3210&lt;fi_h/20,0,(OFFSET('Base de dados'!$A$5,IF(O3210&lt;20,1,IF(O3210&gt;1000,10,MATCH(O3210,Cargas,1))),Coluna_fih,1,1))*(1+0.13*0.25)*(PI()*(fi_h/1000)^2/4)*SQRT(2*9.81*(O3210/100-fi_h/2/1000))*1000)),"",IF(O3210&lt;fi_h/20,0,(OFFSET('Base de dados'!$A$5,IF(O3210&lt;20,1,IF(O3210&gt;1000,10,MATCH(O3210,Cargas,1))),Coluna_fih,1,1))*(PI()*(fi_h/1000)^2/4)*SQRT(2*9.81*(O3210/100-fi_h/2/1000))*1000))</f>
        <v>76.084773443233644</v>
      </c>
      <c r="Q3210" s="19">
        <f ca="1">IF(O3210="","",IF(Tipo_Vertedor="Retangular",IF(O3210&lt;=cota_s*100,0,IF(Tipo_Vertedor="Retangular",Cd_sr*Lef_sr*((O3210/100-cota_s)^(3/2))*1000)),IF(O3210&lt;=cota_s*100+fi_s/20,0,(OFFSET('Base de dados'!$A$4,IF(O3210&lt;20,1,IF(O3210&gt;1000,10,MATCH(O3210,Cargas,1))),Coluna_fis,1,1))*(PI()*(fi_s/1000)^2/4)*(2*9.81*(O3210/100-cota_s-fi_s/2/1000))^0.5*1000)))</f>
        <v>22203.817522573427</v>
      </c>
      <c r="R3210" s="19">
        <f t="shared" ca="1" si="335"/>
        <v>22279.902296016662</v>
      </c>
      <c r="S3210" s="19">
        <f t="shared" ca="1" si="336"/>
        <v>21013.136471078134</v>
      </c>
    </row>
    <row r="3211" spans="13:19">
      <c r="M3211" s="81">
        <f t="shared" ca="1" si="333"/>
        <v>43311.633543968652</v>
      </c>
      <c r="N3211" s="19">
        <f t="shared" si="334"/>
        <v>630.6150161767697</v>
      </c>
      <c r="O3211" s="17">
        <f t="shared" si="332"/>
        <v>802.5</v>
      </c>
      <c r="P3211" s="19">
        <f ca="1">IF(ISERROR(IF(O3211&lt;fi_h/20,0,(OFFSET('Base de dados'!$A$5,IF(O3211&lt;20,1,IF(O3211&gt;1000,10,MATCH(O3211,Cargas,1))),Coluna_fih,1,1))*(1+0.13*0.25)*(PI()*(fi_h/1000)^2/4)*SQRT(2*9.81*(O3211/100-fi_h/2/1000))*1000)),"",IF(O3211&lt;fi_h/20,0,(OFFSET('Base de dados'!$A$5,IF(O3211&lt;20,1,IF(O3211&gt;1000,10,MATCH(O3211,Cargas,1))),Coluna_fih,1,1))*(PI()*(fi_h/1000)^2/4)*SQRT(2*9.81*(O3211/100-fi_h/2/1000))*1000))</f>
        <v>76.096711343360639</v>
      </c>
      <c r="Q3211" s="19">
        <f ca="1">IF(O3211="","",IF(Tipo_Vertedor="Retangular",IF(O3211&lt;=cota_s*100,0,IF(Tipo_Vertedor="Retangular",Cd_sr*Lef_sr*((O3211/100-cota_s)^(3/2))*1000)),IF(O3211&lt;=cota_s*100+fi_s/20,0,(OFFSET('Base de dados'!$A$4,IF(O3211&lt;20,1,IF(O3211&gt;1000,10,MATCH(O3211,Cargas,1))),Coluna_fis,1,1))*(PI()*(fi_s/1000)^2/4)*(2*9.81*(O3211/100-cota_s-fi_s/2/1000))^0.5*1000)))</f>
        <v>22215.036293399629</v>
      </c>
      <c r="R3211" s="19">
        <f t="shared" ca="1" si="335"/>
        <v>22291.133004742991</v>
      </c>
      <c r="S3211" s="19">
        <f t="shared" ca="1" si="336"/>
        <v>21020.500539225657</v>
      </c>
    </row>
    <row r="3212" spans="13:19">
      <c r="M3212" s="81">
        <f t="shared" ca="1" si="333"/>
        <v>43330.230493603034</v>
      </c>
      <c r="N3212" s="19">
        <f t="shared" si="334"/>
        <v>630.83594679495695</v>
      </c>
      <c r="O3212" s="17">
        <f t="shared" si="332"/>
        <v>802.75</v>
      </c>
      <c r="P3212" s="19">
        <f ca="1">IF(ISERROR(IF(O3212&lt;fi_h/20,0,(OFFSET('Base de dados'!$A$5,IF(O3212&lt;20,1,IF(O3212&gt;1000,10,MATCH(O3212,Cargas,1))),Coluna_fih,1,1))*(1+0.13*0.25)*(PI()*(fi_h/1000)^2/4)*SQRT(2*9.81*(O3212/100-fi_h/2/1000))*1000)),"",IF(O3212&lt;fi_h/20,0,(OFFSET('Base de dados'!$A$5,IF(O3212&lt;20,1,IF(O3212&gt;1000,10,MATCH(O3212,Cargas,1))),Coluna_fih,1,1))*(PI()*(fi_h/1000)^2/4)*SQRT(2*9.81*(O3212/100-fi_h/2/1000))*1000))</f>
        <v>76.108647370987441</v>
      </c>
      <c r="Q3212" s="19">
        <f ca="1">IF(O3212="","",IF(Tipo_Vertedor="Retangular",IF(O3212&lt;=cota_s*100,0,IF(Tipo_Vertedor="Retangular",Cd_sr*Lef_sr*((O3212/100-cota_s)^(3/2))*1000)),IF(O3212&lt;=cota_s*100+fi_s/20,0,(OFFSET('Base de dados'!$A$4,IF(O3212&lt;20,1,IF(O3212&gt;1000,10,MATCH(O3212,Cargas,1))),Coluna_fis,1,1))*(PI()*(fi_s/1000)^2/4)*(2*9.81*(O3212/100-cota_s-fi_s/2/1000))^0.5*1000)))</f>
        <v>22226.256953066815</v>
      </c>
      <c r="R3212" s="19">
        <f t="shared" ca="1" si="335"/>
        <v>22302.365600437803</v>
      </c>
      <c r="S3212" s="19">
        <f t="shared" ca="1" si="336"/>
        <v>21027.864893165231</v>
      </c>
    </row>
    <row r="3213" spans="13:19">
      <c r="M3213" s="81">
        <f t="shared" ca="1" si="333"/>
        <v>43348.829615602976</v>
      </c>
      <c r="N3213" s="19">
        <f t="shared" si="334"/>
        <v>631.05688598456754</v>
      </c>
      <c r="O3213" s="17">
        <f t="shared" si="332"/>
        <v>803</v>
      </c>
      <c r="P3213" s="19">
        <f ca="1">IF(ISERROR(IF(O3213&lt;fi_h/20,0,(OFFSET('Base de dados'!$A$5,IF(O3213&lt;20,1,IF(O3213&gt;1000,10,MATCH(O3213,Cargas,1))),Coluna_fih,1,1))*(1+0.13*0.25)*(PI()*(fi_h/1000)^2/4)*SQRT(2*9.81*(O3213/100-fi_h/2/1000))*1000)),"",IF(O3213&lt;fi_h/20,0,(OFFSET('Base de dados'!$A$5,IF(O3213&lt;20,1,IF(O3213&gt;1000,10,MATCH(O3213,Cargas,1))),Coluna_fih,1,1))*(PI()*(fi_h/1000)^2/4)*SQRT(2*9.81*(O3213/100-fi_h/2/1000))*1000))</f>
        <v>76.120581526994883</v>
      </c>
      <c r="Q3213" s="19">
        <f ca="1">IF(O3213="","",IF(Tipo_Vertedor="Retangular",IF(O3213&lt;=cota_s*100,0,IF(Tipo_Vertedor="Retangular",Cd_sr*Lef_sr*((O3213/100-cota_s)^(3/2))*1000)),IF(O3213&lt;=cota_s*100+fi_s/20,0,(OFFSET('Base de dados'!$A$4,IF(O3213&lt;20,1,IF(O3213&gt;1000,10,MATCH(O3213,Cargas,1))),Coluna_fis,1,1))*(PI()*(fi_s/1000)^2/4)*(2*9.81*(O3213/100-cota_s-fi_s/2/1000))^0.5*1000)))</f>
        <v>22237.479501257065</v>
      </c>
      <c r="R3213" s="19">
        <f t="shared" ca="1" si="335"/>
        <v>22313.600082784058</v>
      </c>
      <c r="S3213" s="19">
        <f t="shared" ca="1" si="336"/>
        <v>21035.229532818918</v>
      </c>
    </row>
    <row r="3214" spans="13:19">
      <c r="M3214" s="81">
        <f t="shared" ca="1" si="333"/>
        <v>43367.430909573748</v>
      </c>
      <c r="N3214" s="19">
        <f t="shared" si="334"/>
        <v>631.27783374326543</v>
      </c>
      <c r="O3214" s="17">
        <f t="shared" si="332"/>
        <v>803.25</v>
      </c>
      <c r="P3214" s="19">
        <f ca="1">IF(ISERROR(IF(O3214&lt;fi_h/20,0,(OFFSET('Base de dados'!$A$5,IF(O3214&lt;20,1,IF(O3214&gt;1000,10,MATCH(O3214,Cargas,1))),Coluna_fih,1,1))*(1+0.13*0.25)*(PI()*(fi_h/1000)^2/4)*SQRT(2*9.81*(O3214/100-fi_h/2/1000))*1000)),"",IF(O3214&lt;fi_h/20,0,(OFFSET('Base de dados'!$A$5,IF(O3214&lt;20,1,IF(O3214&gt;1000,10,MATCH(O3214,Cargas,1))),Coluna_fih,1,1))*(PI()*(fi_h/1000)^2/4)*SQRT(2*9.81*(O3214/100-fi_h/2/1000))*1000))</f>
        <v>76.132513812263142</v>
      </c>
      <c r="Q3214" s="19">
        <f ca="1">IF(O3214="","",IF(Tipo_Vertedor="Retangular",IF(O3214&lt;=cota_s*100,0,IF(Tipo_Vertedor="Retangular",Cd_sr*Lef_sr*((O3214/100-cota_s)^(3/2))*1000)),IF(O3214&lt;=cota_s*100+fi_s/20,0,(OFFSET('Base de dados'!$A$4,IF(O3214&lt;20,1,IF(O3214&gt;1000,10,MATCH(O3214,Cargas,1))),Coluna_fis,1,1))*(PI()*(fi_s/1000)^2/4)*(2*9.81*(O3214/100-cota_s-fi_s/2/1000))^0.5*1000)))</f>
        <v>22248.703937652637</v>
      </c>
      <c r="R3214" s="19">
        <f t="shared" ca="1" si="335"/>
        <v>22324.8364514649</v>
      </c>
      <c r="S3214" s="19">
        <f t="shared" ca="1" si="336"/>
        <v>21042.594458108848</v>
      </c>
    </row>
    <row r="3215" spans="13:19">
      <c r="M3215" s="81">
        <f t="shared" ca="1" si="333"/>
        <v>43386.034375120813</v>
      </c>
      <c r="N3215" s="19">
        <f t="shared" si="334"/>
        <v>631.49879006871606</v>
      </c>
      <c r="O3215" s="17">
        <f t="shared" si="332"/>
        <v>803.5</v>
      </c>
      <c r="P3215" s="19">
        <f ca="1">IF(ISERROR(IF(O3215&lt;fi_h/20,0,(OFFSET('Base de dados'!$A$5,IF(O3215&lt;20,1,IF(O3215&gt;1000,10,MATCH(O3215,Cargas,1))),Coluna_fih,1,1))*(1+0.13*0.25)*(PI()*(fi_h/1000)^2/4)*SQRT(2*9.81*(O3215/100-fi_h/2/1000))*1000)),"",IF(O3215&lt;fi_h/20,0,(OFFSET('Base de dados'!$A$5,IF(O3215&lt;20,1,IF(O3215&gt;1000,10,MATCH(O3215,Cargas,1))),Coluna_fih,1,1))*(PI()*(fi_h/1000)^2/4)*SQRT(2*9.81*(O3215/100-fi_h/2/1000))*1000))</f>
        <v>76.144444227671656</v>
      </c>
      <c r="Q3215" s="19">
        <f ca="1">IF(O3215="","",IF(Tipo_Vertedor="Retangular",IF(O3215&lt;=cota_s*100,0,IF(Tipo_Vertedor="Retangular",Cd_sr*Lef_sr*((O3215/100-cota_s)^(3/2))*1000)),IF(O3215&lt;=cota_s*100+fi_s/20,0,(OFFSET('Base de dados'!$A$4,IF(O3215&lt;20,1,IF(O3215&gt;1000,10,MATCH(O3215,Cargas,1))),Coluna_fis,1,1))*(PI()*(fi_s/1000)^2/4)*(2*9.81*(O3215/100-cota_s-fi_s/2/1000))^0.5*1000)))</f>
        <v>22259.930261935941</v>
      </c>
      <c r="R3215" s="19">
        <f t="shared" ca="1" si="335"/>
        <v>22336.074706163614</v>
      </c>
      <c r="S3215" s="19">
        <f t="shared" ca="1" si="336"/>
        <v>21049.959668957203</v>
      </c>
    </row>
    <row r="3216" spans="13:19">
      <c r="M3216" s="81">
        <f t="shared" ca="1" si="333"/>
        <v>43404.640011849835</v>
      </c>
      <c r="N3216" s="19">
        <f t="shared" si="334"/>
        <v>631.71975495858544</v>
      </c>
      <c r="O3216" s="17">
        <f t="shared" si="332"/>
        <v>803.75</v>
      </c>
      <c r="P3216" s="19">
        <f ca="1">IF(ISERROR(IF(O3216&lt;fi_h/20,0,(OFFSET('Base de dados'!$A$5,IF(O3216&lt;20,1,IF(O3216&gt;1000,10,MATCH(O3216,Cargas,1))),Coluna_fih,1,1))*(1+0.13*0.25)*(PI()*(fi_h/1000)^2/4)*SQRT(2*9.81*(O3216/100-fi_h/2/1000))*1000)),"",IF(O3216&lt;fi_h/20,0,(OFFSET('Base de dados'!$A$5,IF(O3216&lt;20,1,IF(O3216&gt;1000,10,MATCH(O3216,Cargas,1))),Coluna_fih,1,1))*(PI()*(fi_h/1000)^2/4)*SQRT(2*9.81*(O3216/100-fi_h/2/1000))*1000))</f>
        <v>76.156372774099211</v>
      </c>
      <c r="Q3216" s="19">
        <f ca="1">IF(O3216="","",IF(Tipo_Vertedor="Retangular",IF(O3216&lt;=cota_s*100,0,IF(Tipo_Vertedor="Retangular",Cd_sr*Lef_sr*((O3216/100-cota_s)^(3/2))*1000)),IF(O3216&lt;=cota_s*100+fi_s/20,0,(OFFSET('Base de dados'!$A$4,IF(O3216&lt;20,1,IF(O3216&gt;1000,10,MATCH(O3216,Cargas,1))),Coluna_fis,1,1))*(PI()*(fi_s/1000)^2/4)*(2*9.81*(O3216/100-cota_s-fi_s/2/1000))^0.5*1000)))</f>
        <v>22271.158473789554</v>
      </c>
      <c r="R3216" s="19">
        <f t="shared" ca="1" si="335"/>
        <v>22347.314846563651</v>
      </c>
      <c r="S3216" s="19">
        <f t="shared" ca="1" si="336"/>
        <v>21057.325165286184</v>
      </c>
    </row>
    <row r="3217" spans="13:19">
      <c r="M3217" s="81">
        <f t="shared" ca="1" si="333"/>
        <v>43423.24781936669</v>
      </c>
      <c r="N3217" s="19">
        <f t="shared" si="334"/>
        <v>631.94072841054174</v>
      </c>
      <c r="O3217" s="17">
        <f t="shared" si="332"/>
        <v>804</v>
      </c>
      <c r="P3217" s="19">
        <f ca="1">IF(ISERROR(IF(O3217&lt;fi_h/20,0,(OFFSET('Base de dados'!$A$5,IF(O3217&lt;20,1,IF(O3217&gt;1000,10,MATCH(O3217,Cargas,1))),Coluna_fih,1,1))*(1+0.13*0.25)*(PI()*(fi_h/1000)^2/4)*SQRT(2*9.81*(O3217/100-fi_h/2/1000))*1000)),"",IF(O3217&lt;fi_h/20,0,(OFFSET('Base de dados'!$A$5,IF(O3217&lt;20,1,IF(O3217&gt;1000,10,MATCH(O3217,Cargas,1))),Coluna_fih,1,1))*(PI()*(fi_h/1000)^2/4)*SQRT(2*9.81*(O3217/100-fi_h/2/1000))*1000))</f>
        <v>76.168299452423923</v>
      </c>
      <c r="Q3217" s="19">
        <f ca="1">IF(O3217="","",IF(Tipo_Vertedor="Retangular",IF(O3217&lt;=cota_s*100,0,IF(Tipo_Vertedor="Retangular",Cd_sr*Lef_sr*((O3217/100-cota_s)^(3/2))*1000)),IF(O3217&lt;=cota_s*100+fi_s/20,0,(OFFSET('Base de dados'!$A$4,IF(O3217&lt;20,1,IF(O3217&gt;1000,10,MATCH(O3217,Cargas,1))),Coluna_fis,1,1))*(PI()*(fi_s/1000)^2/4)*(2*9.81*(O3217/100-cota_s-fi_s/2/1000))^0.5*1000)))</f>
        <v>22282.388572896205</v>
      </c>
      <c r="R3217" s="19">
        <f t="shared" ca="1" si="335"/>
        <v>22358.556872348629</v>
      </c>
      <c r="S3217" s="19">
        <f t="shared" ca="1" si="336"/>
        <v>21064.690947018058</v>
      </c>
    </row>
    <row r="3218" spans="13:19">
      <c r="M3218" s="81">
        <f t="shared" ca="1" si="333"/>
        <v>43441.857797277509</v>
      </c>
      <c r="N3218" s="19">
        <f t="shared" si="334"/>
        <v>632.16171042225471</v>
      </c>
      <c r="O3218" s="17">
        <f t="shared" si="332"/>
        <v>804.25</v>
      </c>
      <c r="P3218" s="19">
        <f ca="1">IF(ISERROR(IF(O3218&lt;fi_h/20,0,(OFFSET('Base de dados'!$A$5,IF(O3218&lt;20,1,IF(O3218&gt;1000,10,MATCH(O3218,Cargas,1))),Coluna_fih,1,1))*(1+0.13*0.25)*(PI()*(fi_h/1000)^2/4)*SQRT(2*9.81*(O3218/100-fi_h/2/1000))*1000)),"",IF(O3218&lt;fi_h/20,0,(OFFSET('Base de dados'!$A$5,IF(O3218&lt;20,1,IF(O3218&gt;1000,10,MATCH(O3218,Cargas,1))),Coluna_fih,1,1))*(PI()*(fi_h/1000)^2/4)*SQRT(2*9.81*(O3218/100-fi_h/2/1000))*1000))</f>
        <v>76.180224263523186</v>
      </c>
      <c r="Q3218" s="19">
        <f ca="1">IF(O3218="","",IF(Tipo_Vertedor="Retangular",IF(O3218&lt;=cota_s*100,0,IF(Tipo_Vertedor="Retangular",Cd_sr*Lef_sr*((O3218/100-cota_s)^(3/2))*1000)),IF(O3218&lt;=cota_s*100+fi_s/20,0,(OFFSET('Base de dados'!$A$4,IF(O3218&lt;20,1,IF(O3218&gt;1000,10,MATCH(O3218,Cargas,1))),Coluna_fis,1,1))*(PI()*(fi_s/1000)^2/4)*(2*9.81*(O3218/100-cota_s-fi_s/2/1000))^0.5*1000)))</f>
        <v>22293.620558938826</v>
      </c>
      <c r="R3218" s="19">
        <f t="shared" ca="1" si="335"/>
        <v>22369.80078320235</v>
      </c>
      <c r="S3218" s="19">
        <f t="shared" ca="1" si="336"/>
        <v>21072.057014075159</v>
      </c>
    </row>
    <row r="3219" spans="13:19">
      <c r="M3219" s="81">
        <f t="shared" ca="1" si="333"/>
        <v>43460.469945188524</v>
      </c>
      <c r="N3219" s="19">
        <f t="shared" si="334"/>
        <v>632.3827009913947</v>
      </c>
      <c r="O3219" s="17">
        <f t="shared" ref="O3219:O3282" si="337">IF(ISERROR(IF(O3218+passo_altura&gt;h_max_puls*100,"",O3218+passo_altura)),"",IF(O3218+passo_altura&gt;h_max_puls*100,"",O3218+passo_altura))</f>
        <v>804.5</v>
      </c>
      <c r="P3219" s="19">
        <f ca="1">IF(ISERROR(IF(O3219&lt;fi_h/20,0,(OFFSET('Base de dados'!$A$5,IF(O3219&lt;20,1,IF(O3219&gt;1000,10,MATCH(O3219,Cargas,1))),Coluna_fih,1,1))*(1+0.13*0.25)*(PI()*(fi_h/1000)^2/4)*SQRT(2*9.81*(O3219/100-fi_h/2/1000))*1000)),"",IF(O3219&lt;fi_h/20,0,(OFFSET('Base de dados'!$A$5,IF(O3219&lt;20,1,IF(O3219&gt;1000,10,MATCH(O3219,Cargas,1))),Coluna_fih,1,1))*(PI()*(fi_h/1000)^2/4)*SQRT(2*9.81*(O3219/100-fi_h/2/1000))*1000))</f>
        <v>76.192147208273695</v>
      </c>
      <c r="Q3219" s="19">
        <f ca="1">IF(O3219="","",IF(Tipo_Vertedor="Retangular",IF(O3219&lt;=cota_s*100,0,IF(Tipo_Vertedor="Retangular",Cd_sr*Lef_sr*((O3219/100-cota_s)^(3/2))*1000)),IF(O3219&lt;=cota_s*100+fi_s/20,0,(OFFSET('Base de dados'!$A$4,IF(O3219&lt;20,1,IF(O3219&gt;1000,10,MATCH(O3219,Cargas,1))),Coluna_fis,1,1))*(PI()*(fi_s/1000)^2/4)*(2*9.81*(O3219/100-cota_s-fi_s/2/1000))^0.5*1000)))</f>
        <v>22304.854431600426</v>
      </c>
      <c r="R3219" s="19">
        <f t="shared" ca="1" si="335"/>
        <v>22381.046578808699</v>
      </c>
      <c r="S3219" s="19">
        <f t="shared" ca="1" si="336"/>
        <v>21079.423366379822</v>
      </c>
    </row>
    <row r="3220" spans="13:19">
      <c r="M3220" s="81">
        <f t="shared" ca="1" si="333"/>
        <v>43479.084262706208</v>
      </c>
      <c r="N3220" s="19">
        <f t="shared" si="334"/>
        <v>632.60370011563327</v>
      </c>
      <c r="O3220" s="17">
        <f t="shared" si="337"/>
        <v>804.75</v>
      </c>
      <c r="P3220" s="19">
        <f ca="1">IF(ISERROR(IF(O3220&lt;fi_h/20,0,(OFFSET('Base de dados'!$A$5,IF(O3220&lt;20,1,IF(O3220&gt;1000,10,MATCH(O3220,Cargas,1))),Coluna_fih,1,1))*(1+0.13*0.25)*(PI()*(fi_h/1000)^2/4)*SQRT(2*9.81*(O3220/100-fi_h/2/1000))*1000)),"",IF(O3220&lt;fi_h/20,0,(OFFSET('Base de dados'!$A$5,IF(O3220&lt;20,1,IF(O3220&gt;1000,10,MATCH(O3220,Cargas,1))),Coluna_fih,1,1))*(PI()*(fi_h/1000)^2/4)*SQRT(2*9.81*(O3220/100-fi_h/2/1000))*1000))</f>
        <v>76.204068287551479</v>
      </c>
      <c r="Q3220" s="19">
        <f ca="1">IF(O3220="","",IF(Tipo_Vertedor="Retangular",IF(O3220&lt;=cota_s*100,0,IF(Tipo_Vertedor="Retangular",Cd_sr*Lef_sr*((O3220/100-cota_s)^(3/2))*1000)),IF(O3220&lt;=cota_s*100+fi_s/20,0,(OFFSET('Base de dados'!$A$4,IF(O3220&lt;20,1,IF(O3220&gt;1000,10,MATCH(O3220,Cargas,1))),Coluna_fis,1,1))*(PI()*(fi_s/1000)^2/4)*(2*9.81*(O3220/100-cota_s-fi_s/2/1000))^0.5*1000)))</f>
        <v>22316.090190564213</v>
      </c>
      <c r="R3220" s="19">
        <f t="shared" ca="1" si="335"/>
        <v>22392.294258851765</v>
      </c>
      <c r="S3220" s="19">
        <f t="shared" ca="1" si="336"/>
        <v>21086.790003854443</v>
      </c>
    </row>
    <row r="3221" spans="13:19">
      <c r="M3221" s="81">
        <f t="shared" ca="1" si="333"/>
        <v>43497.700749437325</v>
      </c>
      <c r="N3221" s="19">
        <f t="shared" si="334"/>
        <v>632.82470779264452</v>
      </c>
      <c r="O3221" s="17">
        <f t="shared" si="337"/>
        <v>805</v>
      </c>
      <c r="P3221" s="19">
        <f ca="1">IF(ISERROR(IF(O3221&lt;fi_h/20,0,(OFFSET('Base de dados'!$A$5,IF(O3221&lt;20,1,IF(O3221&gt;1000,10,MATCH(O3221,Cargas,1))),Coluna_fih,1,1))*(1+0.13*0.25)*(PI()*(fi_h/1000)^2/4)*SQRT(2*9.81*(O3221/100-fi_h/2/1000))*1000)),"",IF(O3221&lt;fi_h/20,0,(OFFSET('Base de dados'!$A$5,IF(O3221&lt;20,1,IF(O3221&gt;1000,10,MATCH(O3221,Cargas,1))),Coluna_fih,1,1))*(PI()*(fi_h/1000)^2/4)*SQRT(2*9.81*(O3221/100-fi_h/2/1000))*1000))</f>
        <v>76.215987502231926</v>
      </c>
      <c r="Q3221" s="19">
        <f ca="1">IF(O3221="","",IF(Tipo_Vertedor="Retangular",IF(O3221&lt;=cota_s*100,0,IF(Tipo_Vertedor="Retangular",Cd_sr*Lef_sr*((O3221/100-cota_s)^(3/2))*1000)),IF(O3221&lt;=cota_s*100+fi_s/20,0,(OFFSET('Base de dados'!$A$4,IF(O3221&lt;20,1,IF(O3221&gt;1000,10,MATCH(O3221,Cargas,1))),Coluna_fis,1,1))*(PI()*(fi_s/1000)^2/4)*(2*9.81*(O3221/100-cota_s-fi_s/2/1000))^0.5*1000)))</f>
        <v>22327.327835513603</v>
      </c>
      <c r="R3221" s="19">
        <f t="shared" ca="1" si="335"/>
        <v>22403.543823015836</v>
      </c>
      <c r="S3221" s="19">
        <f t="shared" ca="1" si="336"/>
        <v>21094.156926421485</v>
      </c>
    </row>
    <row r="3222" spans="13:19">
      <c r="M3222" s="81">
        <f t="shared" ca="1" si="333"/>
        <v>43516.319404988702</v>
      </c>
      <c r="N3222" s="19">
        <f t="shared" si="334"/>
        <v>633.04572402010251</v>
      </c>
      <c r="O3222" s="17">
        <f t="shared" si="337"/>
        <v>805.25</v>
      </c>
      <c r="P3222" s="19">
        <f ca="1">IF(ISERROR(IF(O3222&lt;fi_h/20,0,(OFFSET('Base de dados'!$A$5,IF(O3222&lt;20,1,IF(O3222&gt;1000,10,MATCH(O3222,Cargas,1))),Coluna_fih,1,1))*(1+0.13*0.25)*(PI()*(fi_h/1000)^2/4)*SQRT(2*9.81*(O3222/100-fi_h/2/1000))*1000)),"",IF(O3222&lt;fi_h/20,0,(OFFSET('Base de dados'!$A$5,IF(O3222&lt;20,1,IF(O3222&gt;1000,10,MATCH(O3222,Cargas,1))),Coluna_fih,1,1))*(PI()*(fi_h/1000)^2/4)*SQRT(2*9.81*(O3222/100-fi_h/2/1000))*1000))</f>
        <v>76.227904853189656</v>
      </c>
      <c r="Q3222" s="19">
        <f ca="1">IF(O3222="","",IF(Tipo_Vertedor="Retangular",IF(O3222&lt;=cota_s*100,0,IF(Tipo_Vertedor="Retangular",Cd_sr*Lef_sr*((O3222/100-cota_s)^(3/2))*1000)),IF(O3222&lt;=cota_s*100+fi_s/20,0,(OFFSET('Base de dados'!$A$4,IF(O3222&lt;20,1,IF(O3222&gt;1000,10,MATCH(O3222,Cargas,1))),Coluna_fis,1,1))*(PI()*(fi_s/1000)^2/4)*(2*9.81*(O3222/100-cota_s-fi_s/2/1000))^0.5*1000)))</f>
        <v>22338.567366132094</v>
      </c>
      <c r="R3222" s="19">
        <f t="shared" ca="1" si="335"/>
        <v>22414.795270985283</v>
      </c>
      <c r="S3222" s="19">
        <f t="shared" ca="1" si="336"/>
        <v>21101.524134003419</v>
      </c>
    </row>
    <row r="3223" spans="13:19">
      <c r="M3223" s="81">
        <f t="shared" ref="M3223:M3286" ca="1" si="338">IF(O3223="","",2*N3223*1000/(Passo*60)+R3223)</f>
        <v>43534.940228967462</v>
      </c>
      <c r="N3223" s="19">
        <f t="shared" ref="N3223:N3286" si="339">IF(O3223="","",b_0*(O3223/100)^c_0)</f>
        <v>633.2667487956835</v>
      </c>
      <c r="O3223" s="17">
        <f t="shared" si="337"/>
        <v>805.5</v>
      </c>
      <c r="P3223" s="19">
        <f ca="1">IF(ISERROR(IF(O3223&lt;fi_h/20,0,(OFFSET('Base de dados'!$A$5,IF(O3223&lt;20,1,IF(O3223&gt;1000,10,MATCH(O3223,Cargas,1))),Coluna_fih,1,1))*(1+0.13*0.25)*(PI()*(fi_h/1000)^2/4)*SQRT(2*9.81*(O3223/100-fi_h/2/1000))*1000)),"",IF(O3223&lt;fi_h/20,0,(OFFSET('Base de dados'!$A$5,IF(O3223&lt;20,1,IF(O3223&gt;1000,10,MATCH(O3223,Cargas,1))),Coluna_fih,1,1))*(PI()*(fi_h/1000)^2/4)*SQRT(2*9.81*(O3223/100-fi_h/2/1000))*1000))</f>
        <v>76.239820341298653</v>
      </c>
      <c r="Q3223" s="19">
        <f ca="1">IF(O3223="","",IF(Tipo_Vertedor="Retangular",IF(O3223&lt;=cota_s*100,0,IF(Tipo_Vertedor="Retangular",Cd_sr*Lef_sr*((O3223/100-cota_s)^(3/2))*1000)),IF(O3223&lt;=cota_s*100+fi_s/20,0,(OFFSET('Base de dados'!$A$4,IF(O3223&lt;20,1,IF(O3223&gt;1000,10,MATCH(O3223,Cargas,1))),Coluna_fis,1,1))*(PI()*(fi_s/1000)^2/4)*(2*9.81*(O3223/100-cota_s-fi_s/2/1000))^0.5*1000)))</f>
        <v>22349.808782103384</v>
      </c>
      <c r="R3223" s="19">
        <f t="shared" ref="R3223:R3286" ca="1" si="340">IF(O3223="","",Q3223+P3223)</f>
        <v>22426.048602444684</v>
      </c>
      <c r="S3223" s="19">
        <f t="shared" ref="S3223:S3286" ca="1" si="341">IF(M3223="","",2*N3223*1000/(Passo*60))</f>
        <v>21108.891626522782</v>
      </c>
    </row>
    <row r="3224" spans="13:19">
      <c r="M3224" s="81">
        <f t="shared" ca="1" si="338"/>
        <v>43553.563220980912</v>
      </c>
      <c r="N3224" s="19">
        <f t="shared" si="339"/>
        <v>633.48778211706463</v>
      </c>
      <c r="O3224" s="17">
        <f t="shared" si="337"/>
        <v>805.75</v>
      </c>
      <c r="P3224" s="19">
        <f ca="1">IF(ISERROR(IF(O3224&lt;fi_h/20,0,(OFFSET('Base de dados'!$A$5,IF(O3224&lt;20,1,IF(O3224&gt;1000,10,MATCH(O3224,Cargas,1))),Coluna_fih,1,1))*(1+0.13*0.25)*(PI()*(fi_h/1000)^2/4)*SQRT(2*9.81*(O3224/100-fi_h/2/1000))*1000)),"",IF(O3224&lt;fi_h/20,0,(OFFSET('Base de dados'!$A$5,IF(O3224&lt;20,1,IF(O3224&gt;1000,10,MATCH(O3224,Cargas,1))),Coluna_fih,1,1))*(PI()*(fi_h/1000)^2/4)*SQRT(2*9.81*(O3224/100-fi_h/2/1000))*1000))</f>
        <v>76.25173396743223</v>
      </c>
      <c r="Q3224" s="19">
        <f ca="1">IF(O3224="","",IF(Tipo_Vertedor="Retangular",IF(O3224&lt;=cota_s*100,0,IF(Tipo_Vertedor="Retangular",Cd_sr*Lef_sr*((O3224/100-cota_s)^(3/2))*1000)),IF(O3224&lt;=cota_s*100+fi_s/20,0,(OFFSET('Base de dados'!$A$4,IF(O3224&lt;20,1,IF(O3224&gt;1000,10,MATCH(O3224,Cargas,1))),Coluna_fis,1,1))*(PI()*(fi_s/1000)^2/4)*(2*9.81*(O3224/100-cota_s-fi_s/2/1000))^0.5*1000)))</f>
        <v>22361.052083111332</v>
      </c>
      <c r="R3224" s="19">
        <f t="shared" ca="1" si="340"/>
        <v>22437.303817078762</v>
      </c>
      <c r="S3224" s="19">
        <f t="shared" ca="1" si="341"/>
        <v>21116.259403902153</v>
      </c>
    </row>
    <row r="3225" spans="13:19">
      <c r="M3225" s="81">
        <f t="shared" ca="1" si="338"/>
        <v>43572.188380636602</v>
      </c>
      <c r="N3225" s="19">
        <f t="shared" si="339"/>
        <v>633.70882398192532</v>
      </c>
      <c r="O3225" s="17">
        <f t="shared" si="337"/>
        <v>806</v>
      </c>
      <c r="P3225" s="19">
        <f ca="1">IF(ISERROR(IF(O3225&lt;fi_h/20,0,(OFFSET('Base de dados'!$A$5,IF(O3225&lt;20,1,IF(O3225&gt;1000,10,MATCH(O3225,Cargas,1))),Coluna_fih,1,1))*(1+0.13*0.25)*(PI()*(fi_h/1000)^2/4)*SQRT(2*9.81*(O3225/100-fi_h/2/1000))*1000)),"",IF(O3225&lt;fi_h/20,0,(OFFSET('Base de dados'!$A$5,IF(O3225&lt;20,1,IF(O3225&gt;1000,10,MATCH(O3225,Cargas,1))),Coluna_fih,1,1))*(PI()*(fi_h/1000)^2/4)*SQRT(2*9.81*(O3225/100-fi_h/2/1000))*1000))</f>
        <v>76.263645732463004</v>
      </c>
      <c r="Q3225" s="19">
        <f ca="1">IF(O3225="","",IF(Tipo_Vertedor="Retangular",IF(O3225&lt;=cota_s*100,0,IF(Tipo_Vertedor="Retangular",Cd_sr*Lef_sr*((O3225/100-cota_s)^(3/2))*1000)),IF(O3225&lt;=cota_s*100+fi_s/20,0,(OFFSET('Base de dados'!$A$4,IF(O3225&lt;20,1,IF(O3225&gt;1000,10,MATCH(O3225,Cargas,1))),Coluna_fis,1,1))*(PI()*(fi_s/1000)^2/4)*(2*9.81*(O3225/100-cota_s-fi_s/2/1000))^0.5*1000)))</f>
        <v>22372.297268839964</v>
      </c>
      <c r="R3225" s="19">
        <f t="shared" ca="1" si="340"/>
        <v>22448.560914572427</v>
      </c>
      <c r="S3225" s="19">
        <f t="shared" ca="1" si="341"/>
        <v>21123.627466064176</v>
      </c>
    </row>
    <row r="3226" spans="13:19">
      <c r="M3226" s="81">
        <f t="shared" ca="1" si="338"/>
        <v>43590.815707542191</v>
      </c>
      <c r="N3226" s="19">
        <f t="shared" si="339"/>
        <v>633.92987438794501</v>
      </c>
      <c r="O3226" s="17">
        <f t="shared" si="337"/>
        <v>806.25</v>
      </c>
      <c r="P3226" s="19">
        <f ca="1">IF(ISERROR(IF(O3226&lt;fi_h/20,0,(OFFSET('Base de dados'!$A$5,IF(O3226&lt;20,1,IF(O3226&gt;1000,10,MATCH(O3226,Cargas,1))),Coluna_fih,1,1))*(1+0.13*0.25)*(PI()*(fi_h/1000)^2/4)*SQRT(2*9.81*(O3226/100-fi_h/2/1000))*1000)),"",IF(O3226&lt;fi_h/20,0,(OFFSET('Base de dados'!$A$5,IF(O3226&lt;20,1,IF(O3226&gt;1000,10,MATCH(O3226,Cargas,1))),Coluna_fih,1,1))*(PI()*(fi_h/1000)^2/4)*SQRT(2*9.81*(O3226/100-fi_h/2/1000))*1000))</f>
        <v>76.275555637262869</v>
      </c>
      <c r="Q3226" s="19">
        <f ca="1">IF(O3226="","",IF(Tipo_Vertedor="Retangular",IF(O3226&lt;=cota_s*100,0,IF(Tipo_Vertedor="Retangular",Cd_sr*Lef_sr*((O3226/100-cota_s)^(3/2))*1000)),IF(O3226&lt;=cota_s*100+fi_s/20,0,(OFFSET('Base de dados'!$A$4,IF(O3226&lt;20,1,IF(O3226&gt;1000,10,MATCH(O3226,Cargas,1))),Coluna_fis,1,1))*(PI()*(fi_s/1000)^2/4)*(2*9.81*(O3226/100-cota_s-fi_s/2/1000))^0.5*1000)))</f>
        <v>22383.544338973432</v>
      </c>
      <c r="R3226" s="19">
        <f t="shared" ca="1" si="340"/>
        <v>22459.819894610693</v>
      </c>
      <c r="S3226" s="19">
        <f t="shared" ca="1" si="341"/>
        <v>21130.995812931502</v>
      </c>
    </row>
    <row r="3227" spans="13:19">
      <c r="M3227" s="81">
        <f t="shared" ca="1" si="338"/>
        <v>43609.4452013056</v>
      </c>
      <c r="N3227" s="19">
        <f t="shared" si="339"/>
        <v>634.15093333280572</v>
      </c>
      <c r="O3227" s="17">
        <f t="shared" si="337"/>
        <v>806.5</v>
      </c>
      <c r="P3227" s="19">
        <f ca="1">IF(ISERROR(IF(O3227&lt;fi_h/20,0,(OFFSET('Base de dados'!$A$5,IF(O3227&lt;20,1,IF(O3227&gt;1000,10,MATCH(O3227,Cargas,1))),Coluna_fih,1,1))*(1+0.13*0.25)*(PI()*(fi_h/1000)^2/4)*SQRT(2*9.81*(O3227/100-fi_h/2/1000))*1000)),"",IF(O3227&lt;fi_h/20,0,(OFFSET('Base de dados'!$A$5,IF(O3227&lt;20,1,IF(O3227&gt;1000,10,MATCH(O3227,Cargas,1))),Coluna_fih,1,1))*(PI()*(fi_h/1000)^2/4)*SQRT(2*9.81*(O3227/100-fi_h/2/1000))*1000))</f>
        <v>76.287463682703091</v>
      </c>
      <c r="Q3227" s="19">
        <f ca="1">IF(O3227="","",IF(Tipo_Vertedor="Retangular",IF(O3227&lt;=cota_s*100,0,IF(Tipo_Vertedor="Retangular",Cd_sr*Lef_sr*((O3227/100-cota_s)^(3/2))*1000)),IF(O3227&lt;=cota_s*100+fi_s/20,0,(OFFSET('Base de dados'!$A$4,IF(O3227&lt;20,1,IF(O3227&gt;1000,10,MATCH(O3227,Cargas,1))),Coluna_fis,1,1))*(PI()*(fi_s/1000)^2/4)*(2*9.81*(O3227/100-cota_s-fi_s/2/1000))^0.5*1000)))</f>
        <v>22394.793293196039</v>
      </c>
      <c r="R3227" s="19">
        <f t="shared" ca="1" si="340"/>
        <v>22471.080756878742</v>
      </c>
      <c r="S3227" s="19">
        <f t="shared" ca="1" si="341"/>
        <v>21138.364444426858</v>
      </c>
    </row>
    <row r="3228" spans="13:19">
      <c r="M3228" s="81">
        <f t="shared" ca="1" si="338"/>
        <v>43628.076861534981</v>
      </c>
      <c r="N3228" s="19">
        <f t="shared" si="339"/>
        <v>634.37200081419007</v>
      </c>
      <c r="O3228" s="17">
        <f t="shared" si="337"/>
        <v>806.75</v>
      </c>
      <c r="P3228" s="19">
        <f ca="1">IF(ISERROR(IF(O3228&lt;fi_h/20,0,(OFFSET('Base de dados'!$A$5,IF(O3228&lt;20,1,IF(O3228&gt;1000,10,MATCH(O3228,Cargas,1))),Coluna_fih,1,1))*(1+0.13*0.25)*(PI()*(fi_h/1000)^2/4)*SQRT(2*9.81*(O3228/100-fi_h/2/1000))*1000)),"",IF(O3228&lt;fi_h/20,0,(OFFSET('Base de dados'!$A$5,IF(O3228&lt;20,1,IF(O3228&gt;1000,10,MATCH(O3228,Cargas,1))),Coluna_fih,1,1))*(PI()*(fi_h/1000)^2/4)*SQRT(2*9.81*(O3228/100-fi_h/2/1000))*1000))</f>
        <v>76.299369869654285</v>
      </c>
      <c r="Q3228" s="19">
        <f ca="1">IF(O3228="","",IF(Tipo_Vertedor="Retangular",IF(O3228&lt;=cota_s*100,0,IF(Tipo_Vertedor="Retangular",Cd_sr*Lef_sr*((O3228/100-cota_s)^(3/2))*1000)),IF(O3228&lt;=cota_s*100+fi_s/20,0,(OFFSET('Base de dados'!$A$4,IF(O3228&lt;20,1,IF(O3228&gt;1000,10,MATCH(O3228,Cargas,1))),Coluna_fis,1,1))*(PI()*(fi_s/1000)^2/4)*(2*9.81*(O3228/100-cota_s-fi_s/2/1000))^0.5*1000)))</f>
        <v>22406.04413119232</v>
      </c>
      <c r="R3228" s="19">
        <f t="shared" ca="1" si="340"/>
        <v>22482.343501061976</v>
      </c>
      <c r="S3228" s="19">
        <f t="shared" ca="1" si="341"/>
        <v>21145.733360473001</v>
      </c>
    </row>
    <row r="3229" spans="13:19">
      <c r="M3229" s="81">
        <f t="shared" ca="1" si="338"/>
        <v>43646.710687838597</v>
      </c>
      <c r="N3229" s="19">
        <f t="shared" si="339"/>
        <v>634.59307682978181</v>
      </c>
      <c r="O3229" s="17">
        <f t="shared" si="337"/>
        <v>807</v>
      </c>
      <c r="P3229" s="19">
        <f ca="1">IF(ISERROR(IF(O3229&lt;fi_h/20,0,(OFFSET('Base de dados'!$A$5,IF(O3229&lt;20,1,IF(O3229&gt;1000,10,MATCH(O3229,Cargas,1))),Coluna_fih,1,1))*(1+0.13*0.25)*(PI()*(fi_h/1000)^2/4)*SQRT(2*9.81*(O3229/100-fi_h/2/1000))*1000)),"",IF(O3229&lt;fi_h/20,0,(OFFSET('Base de dados'!$A$5,IF(O3229&lt;20,1,IF(O3229&gt;1000,10,MATCH(O3229,Cargas,1))),Coluna_fih,1,1))*(PI()*(fi_h/1000)^2/4)*SQRT(2*9.81*(O3229/100-fi_h/2/1000))*1000))</f>
        <v>76.311274198986268</v>
      </c>
      <c r="Q3229" s="19">
        <f ca="1">IF(O3229="","",IF(Tipo_Vertedor="Retangular",IF(O3229&lt;=cota_s*100,0,IF(Tipo_Vertedor="Retangular",Cd_sr*Lef_sr*((O3229/100-cota_s)^(3/2))*1000)),IF(O3229&lt;=cota_s*100+fi_s/20,0,(OFFSET('Base de dados'!$A$4,IF(O3229&lt;20,1,IF(O3229&gt;1000,10,MATCH(O3229,Cargas,1))),Coluna_fis,1,1))*(PI()*(fi_s/1000)^2/4)*(2*9.81*(O3229/100-cota_s-fi_s/2/1000))^0.5*1000)))</f>
        <v>22417.29685264689</v>
      </c>
      <c r="R3229" s="19">
        <f t="shared" ca="1" si="340"/>
        <v>22493.608126845877</v>
      </c>
      <c r="S3229" s="19">
        <f t="shared" ca="1" si="341"/>
        <v>21153.102560992724</v>
      </c>
    </row>
    <row r="3230" spans="13:19">
      <c r="M3230" s="81">
        <f t="shared" ca="1" si="338"/>
        <v>43665.34667982503</v>
      </c>
      <c r="N3230" s="19">
        <f t="shared" si="339"/>
        <v>634.81416137726706</v>
      </c>
      <c r="O3230" s="17">
        <f t="shared" si="337"/>
        <v>807.25</v>
      </c>
      <c r="P3230" s="19">
        <f ca="1">IF(ISERROR(IF(O3230&lt;fi_h/20,0,(OFFSET('Base de dados'!$A$5,IF(O3230&lt;20,1,IF(O3230&gt;1000,10,MATCH(O3230,Cargas,1))),Coluna_fih,1,1))*(1+0.13*0.25)*(PI()*(fi_h/1000)^2/4)*SQRT(2*9.81*(O3230/100-fi_h/2/1000))*1000)),"",IF(O3230&lt;fi_h/20,0,(OFFSET('Base de dados'!$A$5,IF(O3230&lt;20,1,IF(O3230&gt;1000,10,MATCH(O3230,Cargas,1))),Coluna_fih,1,1))*(PI()*(fi_h/1000)^2/4)*SQRT(2*9.81*(O3230/100-fi_h/2/1000))*1000))</f>
        <v>76.323176671568319</v>
      </c>
      <c r="Q3230" s="19">
        <f ca="1">IF(O3230="","",IF(Tipo_Vertedor="Retangular",IF(O3230&lt;=cota_s*100,0,IF(Tipo_Vertedor="Retangular",Cd_sr*Lef_sr*((O3230/100-cota_s)^(3/2))*1000)),IF(O3230&lt;=cota_s*100+fi_s/20,0,(OFFSET('Base de dados'!$A$4,IF(O3230&lt;20,1,IF(O3230&gt;1000,10,MATCH(O3230,Cargas,1))),Coluna_fis,1,1))*(PI()*(fi_s/1000)^2/4)*(2*9.81*(O3230/100-cota_s-fi_s/2/1000))^0.5*1000)))</f>
        <v>22428.551457244561</v>
      </c>
      <c r="R3230" s="19">
        <f t="shared" ca="1" si="340"/>
        <v>22504.87463391613</v>
      </c>
      <c r="S3230" s="19">
        <f t="shared" ca="1" si="341"/>
        <v>21160.472045908904</v>
      </c>
    </row>
    <row r="3231" spans="13:19">
      <c r="M3231" s="81">
        <f t="shared" ca="1" si="338"/>
        <v>43683.984837102966</v>
      </c>
      <c r="N3231" s="19">
        <f t="shared" si="339"/>
        <v>635.03525445433218</v>
      </c>
      <c r="O3231" s="17">
        <f t="shared" si="337"/>
        <v>807.5</v>
      </c>
      <c r="P3231" s="19">
        <f ca="1">IF(ISERROR(IF(O3231&lt;fi_h/20,0,(OFFSET('Base de dados'!$A$5,IF(O3231&lt;20,1,IF(O3231&gt;1000,10,MATCH(O3231,Cargas,1))),Coluna_fih,1,1))*(1+0.13*0.25)*(PI()*(fi_h/1000)^2/4)*SQRT(2*9.81*(O3231/100-fi_h/2/1000))*1000)),"",IF(O3231&lt;fi_h/20,0,(OFFSET('Base de dados'!$A$5,IF(O3231&lt;20,1,IF(O3231&gt;1000,10,MATCH(O3231,Cargas,1))),Coluna_fih,1,1))*(PI()*(fi_h/1000)^2/4)*SQRT(2*9.81*(O3231/100-fi_h/2/1000))*1000))</f>
        <v>76.335077288268934</v>
      </c>
      <c r="Q3231" s="19">
        <f ca="1">IF(O3231="","",IF(Tipo_Vertedor="Retangular",IF(O3231&lt;=cota_s*100,0,IF(Tipo_Vertedor="Retangular",Cd_sr*Lef_sr*((O3231/100-cota_s)^(3/2))*1000)),IF(O3231&lt;=cota_s*100+fi_s/20,0,(OFFSET('Base de dados'!$A$4,IF(O3231&lt;20,1,IF(O3231&gt;1000,10,MATCH(O3231,Cargas,1))),Coluna_fis,1,1))*(PI()*(fi_s/1000)^2/4)*(2*9.81*(O3231/100-cota_s-fi_s/2/1000))^0.5*1000)))</f>
        <v>22439.807944670287</v>
      </c>
      <c r="R3231" s="19">
        <f t="shared" ca="1" si="340"/>
        <v>22516.143021958556</v>
      </c>
      <c r="S3231" s="19">
        <f t="shared" ca="1" si="341"/>
        <v>21167.841815144406</v>
      </c>
    </row>
    <row r="3232" spans="13:19">
      <c r="M3232" s="81">
        <f t="shared" ca="1" si="338"/>
        <v>43702.625159281335</v>
      </c>
      <c r="N3232" s="19">
        <f t="shared" si="339"/>
        <v>635.25635605866569</v>
      </c>
      <c r="O3232" s="17">
        <f t="shared" si="337"/>
        <v>807.75</v>
      </c>
      <c r="P3232" s="19">
        <f ca="1">IF(ISERROR(IF(O3232&lt;fi_h/20,0,(OFFSET('Base de dados'!$A$5,IF(O3232&lt;20,1,IF(O3232&gt;1000,10,MATCH(O3232,Cargas,1))),Coluna_fih,1,1))*(1+0.13*0.25)*(PI()*(fi_h/1000)^2/4)*SQRT(2*9.81*(O3232/100-fi_h/2/1000))*1000)),"",IF(O3232&lt;fi_h/20,0,(OFFSET('Base de dados'!$A$5,IF(O3232&lt;20,1,IF(O3232&gt;1000,10,MATCH(O3232,Cargas,1))),Coluna_fih,1,1))*(PI()*(fi_h/1000)^2/4)*SQRT(2*9.81*(O3232/100-fi_h/2/1000))*1000))</f>
        <v>76.346976049956012</v>
      </c>
      <c r="Q3232" s="19">
        <f ca="1">IF(O3232="","",IF(Tipo_Vertedor="Retangular",IF(O3232&lt;=cota_s*100,0,IF(Tipo_Vertedor="Retangular",Cd_sr*Lef_sr*((O3232/100-cota_s)^(3/2))*1000)),IF(O3232&lt;=cota_s*100+fi_s/20,0,(OFFSET('Base de dados'!$A$4,IF(O3232&lt;20,1,IF(O3232&gt;1000,10,MATCH(O3232,Cargas,1))),Coluna_fis,1,1))*(PI()*(fi_s/1000)^2/4)*(2*9.81*(O3232/100-cota_s-fi_s/2/1000))^0.5*1000)))</f>
        <v>22451.066314609187</v>
      </c>
      <c r="R3232" s="19">
        <f t="shared" ca="1" si="340"/>
        <v>22527.413290659144</v>
      </c>
      <c r="S3232" s="19">
        <f t="shared" ca="1" si="341"/>
        <v>21175.211868622187</v>
      </c>
    </row>
    <row r="3233" spans="13:19">
      <c r="M3233" s="81">
        <f t="shared" ca="1" si="338"/>
        <v>43721.267645969274</v>
      </c>
      <c r="N3233" s="19">
        <f t="shared" si="339"/>
        <v>635.47746618795679</v>
      </c>
      <c r="O3233" s="17">
        <f t="shared" si="337"/>
        <v>808</v>
      </c>
      <c r="P3233" s="19">
        <f ca="1">IF(ISERROR(IF(O3233&lt;fi_h/20,0,(OFFSET('Base de dados'!$A$5,IF(O3233&lt;20,1,IF(O3233&gt;1000,10,MATCH(O3233,Cargas,1))),Coluna_fih,1,1))*(1+0.13*0.25)*(PI()*(fi_h/1000)^2/4)*SQRT(2*9.81*(O3233/100-fi_h/2/1000))*1000)),"",IF(O3233&lt;fi_h/20,0,(OFFSET('Base de dados'!$A$5,IF(O3233&lt;20,1,IF(O3233&gt;1000,10,MATCH(O3233,Cargas,1))),Coluna_fih,1,1))*(PI()*(fi_h/1000)^2/4)*SQRT(2*9.81*(O3233/100-fi_h/2/1000))*1000))</f>
        <v>76.358872957496672</v>
      </c>
      <c r="Q3233" s="19">
        <f ca="1">IF(O3233="","",IF(Tipo_Vertedor="Retangular",IF(O3233&lt;=cota_s*100,0,IF(Tipo_Vertedor="Retangular",Cd_sr*Lef_sr*((O3233/100-cota_s)^(3/2))*1000)),IF(O3233&lt;=cota_s*100+fi_s/20,0,(OFFSET('Base de dados'!$A$4,IF(O3233&lt;20,1,IF(O3233&gt;1000,10,MATCH(O3233,Cargas,1))),Coluna_fis,1,1))*(PI()*(fi_s/1000)^2/4)*(2*9.81*(O3233/100-cota_s-fi_s/2/1000))^0.5*1000)))</f>
        <v>22462.326566746553</v>
      </c>
      <c r="R3233" s="19">
        <f t="shared" ca="1" si="340"/>
        <v>22538.685439704048</v>
      </c>
      <c r="S3233" s="19">
        <f t="shared" ca="1" si="341"/>
        <v>21182.582206265226</v>
      </c>
    </row>
    <row r="3234" spans="13:19">
      <c r="M3234" s="81">
        <f t="shared" ca="1" si="338"/>
        <v>43739.912296776121</v>
      </c>
      <c r="N3234" s="19">
        <f t="shared" si="339"/>
        <v>635.69858483989674</v>
      </c>
      <c r="O3234" s="17">
        <f t="shared" si="337"/>
        <v>808.25</v>
      </c>
      <c r="P3234" s="19">
        <f ca="1">IF(ISERROR(IF(O3234&lt;fi_h/20,0,(OFFSET('Base de dados'!$A$5,IF(O3234&lt;20,1,IF(O3234&gt;1000,10,MATCH(O3234,Cargas,1))),Coluna_fih,1,1))*(1+0.13*0.25)*(PI()*(fi_h/1000)^2/4)*SQRT(2*9.81*(O3234/100-fi_h/2/1000))*1000)),"",IF(O3234&lt;fi_h/20,0,(OFFSET('Base de dados'!$A$5,IF(O3234&lt;20,1,IF(O3234&gt;1000,10,MATCH(O3234,Cargas,1))),Coluna_fih,1,1))*(PI()*(fi_h/1000)^2/4)*SQRT(2*9.81*(O3234/100-fi_h/2/1000))*1000))</f>
        <v>76.370768011757477</v>
      </c>
      <c r="Q3234" s="19">
        <f ca="1">IF(O3234="","",IF(Tipo_Vertedor="Retangular",IF(O3234&lt;=cota_s*100,0,IF(Tipo_Vertedor="Retangular",Cd_sr*Lef_sr*((O3234/100-cota_s)^(3/2))*1000)),IF(O3234&lt;=cota_s*100+fi_s/20,0,(OFFSET('Base de dados'!$A$4,IF(O3234&lt;20,1,IF(O3234&gt;1000,10,MATCH(O3234,Cargas,1))),Coluna_fis,1,1))*(PI()*(fi_s/1000)^2/4)*(2*9.81*(O3234/100-cota_s-fi_s/2/1000))^0.5*1000)))</f>
        <v>22473.588700767799</v>
      </c>
      <c r="R3234" s="19">
        <f t="shared" ca="1" si="340"/>
        <v>22549.959468779558</v>
      </c>
      <c r="S3234" s="19">
        <f t="shared" ca="1" si="341"/>
        <v>21189.95282799656</v>
      </c>
    </row>
    <row r="3235" spans="13:19">
      <c r="M3235" s="81">
        <f t="shared" ca="1" si="338"/>
        <v>43758.559111311428</v>
      </c>
      <c r="N3235" s="19">
        <f t="shared" si="339"/>
        <v>635.91971201217768</v>
      </c>
      <c r="O3235" s="17">
        <f t="shared" si="337"/>
        <v>808.5</v>
      </c>
      <c r="P3235" s="19">
        <f ca="1">IF(ISERROR(IF(O3235&lt;fi_h/20,0,(OFFSET('Base de dados'!$A$5,IF(O3235&lt;20,1,IF(O3235&gt;1000,10,MATCH(O3235,Cargas,1))),Coluna_fih,1,1))*(1+0.13*0.25)*(PI()*(fi_h/1000)^2/4)*SQRT(2*9.81*(O3235/100-fi_h/2/1000))*1000)),"",IF(O3235&lt;fi_h/20,0,(OFFSET('Base de dados'!$A$5,IF(O3235&lt;20,1,IF(O3235&gt;1000,10,MATCH(O3235,Cargas,1))),Coluna_fih,1,1))*(PI()*(fi_h/1000)^2/4)*SQRT(2*9.81*(O3235/100-fi_h/2/1000))*1000))</f>
        <v>76.382661213604251</v>
      </c>
      <c r="Q3235" s="19">
        <f ca="1">IF(O3235="","",IF(Tipo_Vertedor="Retangular",IF(O3235&lt;=cota_s*100,0,IF(Tipo_Vertedor="Retangular",Cd_sr*Lef_sr*((O3235/100-cota_s)^(3/2))*1000)),IF(O3235&lt;=cota_s*100+fi_s/20,0,(OFFSET('Base de dados'!$A$4,IF(O3235&lt;20,1,IF(O3235&gt;1000,10,MATCH(O3235,Cargas,1))),Coluna_fis,1,1))*(PI()*(fi_s/1000)^2/4)*(2*9.81*(O3235/100-cota_s-fi_s/2/1000))^0.5*1000)))</f>
        <v>22484.852716358568</v>
      </c>
      <c r="R3235" s="19">
        <f t="shared" ca="1" si="340"/>
        <v>22561.235377572171</v>
      </c>
      <c r="S3235" s="19">
        <f t="shared" ca="1" si="341"/>
        <v>21197.323733739257</v>
      </c>
    </row>
    <row r="3236" spans="13:19">
      <c r="M3236" s="81">
        <f t="shared" ca="1" si="338"/>
        <v>43777.20808918486</v>
      </c>
      <c r="N3236" s="19">
        <f t="shared" si="339"/>
        <v>636.14084770249235</v>
      </c>
      <c r="O3236" s="17">
        <f t="shared" si="337"/>
        <v>808.75</v>
      </c>
      <c r="P3236" s="19">
        <f ca="1">IF(ISERROR(IF(O3236&lt;fi_h/20,0,(OFFSET('Base de dados'!$A$5,IF(O3236&lt;20,1,IF(O3236&gt;1000,10,MATCH(O3236,Cargas,1))),Coluna_fih,1,1))*(1+0.13*0.25)*(PI()*(fi_h/1000)^2/4)*SQRT(2*9.81*(O3236/100-fi_h/2/1000))*1000)),"",IF(O3236&lt;fi_h/20,0,(OFFSET('Base de dados'!$A$5,IF(O3236&lt;20,1,IF(O3236&gt;1000,10,MATCH(O3236,Cargas,1))),Coluna_fih,1,1))*(PI()*(fi_h/1000)^2/4)*SQRT(2*9.81*(O3236/100-fi_h/2/1000))*1000))</f>
        <v>76.394552563902124</v>
      </c>
      <c r="Q3236" s="19">
        <f ca="1">IF(O3236="","",IF(Tipo_Vertedor="Retangular",IF(O3236&lt;=cota_s*100,0,IF(Tipo_Vertedor="Retangular",Cd_sr*Lef_sr*((O3236/100-cota_s)^(3/2))*1000)),IF(O3236&lt;=cota_s*100+fi_s/20,0,(OFFSET('Base de dados'!$A$4,IF(O3236&lt;20,1,IF(O3236&gt;1000,10,MATCH(O3236,Cargas,1))),Coluna_fis,1,1))*(PI()*(fi_s/1000)^2/4)*(2*9.81*(O3236/100-cota_s-fi_s/2/1000))^0.5*1000)))</f>
        <v>22496.11861320454</v>
      </c>
      <c r="R3236" s="19">
        <f t="shared" ca="1" si="340"/>
        <v>22572.513165768443</v>
      </c>
      <c r="S3236" s="19">
        <f t="shared" ca="1" si="341"/>
        <v>21204.694923416413</v>
      </c>
    </row>
    <row r="3237" spans="13:19">
      <c r="M3237" s="81">
        <f t="shared" ca="1" si="338"/>
        <v>43795.85923000639</v>
      </c>
      <c r="N3237" s="19">
        <f t="shared" si="339"/>
        <v>636.36199190853677</v>
      </c>
      <c r="O3237" s="17">
        <f t="shared" si="337"/>
        <v>809</v>
      </c>
      <c r="P3237" s="19">
        <f ca="1">IF(ISERROR(IF(O3237&lt;fi_h/20,0,(OFFSET('Base de dados'!$A$5,IF(O3237&lt;20,1,IF(O3237&gt;1000,10,MATCH(O3237,Cargas,1))),Coluna_fih,1,1))*(1+0.13*0.25)*(PI()*(fi_h/1000)^2/4)*SQRT(2*9.81*(O3237/100-fi_h/2/1000))*1000)),"",IF(O3237&lt;fi_h/20,0,(OFFSET('Base de dados'!$A$5,IF(O3237&lt;20,1,IF(O3237&gt;1000,10,MATCH(O3237,Cargas,1))),Coluna_fih,1,1))*(PI()*(fi_h/1000)^2/4)*SQRT(2*9.81*(O3237/100-fi_h/2/1000))*1000))</f>
        <v>76.406442063515598</v>
      </c>
      <c r="Q3237" s="19">
        <f ca="1">IF(O3237="","",IF(Tipo_Vertedor="Retangular",IF(O3237&lt;=cota_s*100,0,IF(Tipo_Vertedor="Retangular",Cd_sr*Lef_sr*((O3237/100-cota_s)^(3/2))*1000)),IF(O3237&lt;=cota_s*100+fi_s/20,0,(OFFSET('Base de dados'!$A$4,IF(O3237&lt;20,1,IF(O3237&gt;1000,10,MATCH(O3237,Cargas,1))),Coluna_fis,1,1))*(PI()*(fi_s/1000)^2/4)*(2*9.81*(O3237/100-cota_s-fi_s/2/1000))^0.5*1000)))</f>
        <v>22507.386390991654</v>
      </c>
      <c r="R3237" s="19">
        <f t="shared" ca="1" si="340"/>
        <v>22583.792833055169</v>
      </c>
      <c r="S3237" s="19">
        <f t="shared" ca="1" si="341"/>
        <v>21212.066396951224</v>
      </c>
    </row>
    <row r="3238" spans="13:19">
      <c r="M3238" s="81">
        <f t="shared" ca="1" si="338"/>
        <v>43814.512533386187</v>
      </c>
      <c r="N3238" s="19">
        <f t="shared" si="339"/>
        <v>636.58314462800683</v>
      </c>
      <c r="O3238" s="17">
        <f t="shared" si="337"/>
        <v>809.25</v>
      </c>
      <c r="P3238" s="19">
        <f ca="1">IF(ISERROR(IF(O3238&lt;fi_h/20,0,(OFFSET('Base de dados'!$A$5,IF(O3238&lt;20,1,IF(O3238&gt;1000,10,MATCH(O3238,Cargas,1))),Coluna_fih,1,1))*(1+0.13*0.25)*(PI()*(fi_h/1000)^2/4)*SQRT(2*9.81*(O3238/100-fi_h/2/1000))*1000)),"",IF(O3238&lt;fi_h/20,0,(OFFSET('Base de dados'!$A$5,IF(O3238&lt;20,1,IF(O3238&gt;1000,10,MATCH(O3238,Cargas,1))),Coluna_fih,1,1))*(PI()*(fi_h/1000)^2/4)*SQRT(2*9.81*(O3238/100-fi_h/2/1000))*1000))</f>
        <v>76.418329713308495</v>
      </c>
      <c r="Q3238" s="19">
        <f ca="1">IF(O3238="","",IF(Tipo_Vertedor="Retangular",IF(O3238&lt;=cota_s*100,0,IF(Tipo_Vertedor="Retangular",Cd_sr*Lef_sr*((O3238/100-cota_s)^(3/2))*1000)),IF(O3238&lt;=cota_s*100+fi_s/20,0,(OFFSET('Base de dados'!$A$4,IF(O3238&lt;20,1,IF(O3238&gt;1000,10,MATCH(O3238,Cargas,1))),Coluna_fis,1,1))*(PI()*(fi_s/1000)^2/4)*(2*9.81*(O3238/100-cota_s-fi_s/2/1000))^0.5*1000)))</f>
        <v>22518.656049405981</v>
      </c>
      <c r="R3238" s="19">
        <f t="shared" ca="1" si="340"/>
        <v>22595.074379119291</v>
      </c>
      <c r="S3238" s="19">
        <f t="shared" ca="1" si="341"/>
        <v>21219.438154266896</v>
      </c>
    </row>
    <row r="3239" spans="13:19">
      <c r="M3239" s="81">
        <f t="shared" ca="1" si="338"/>
        <v>43833.167998934528</v>
      </c>
      <c r="N3239" s="19">
        <f t="shared" si="339"/>
        <v>636.80430585859983</v>
      </c>
      <c r="O3239" s="17">
        <f t="shared" si="337"/>
        <v>809.5</v>
      </c>
      <c r="P3239" s="19">
        <f ca="1">IF(ISERROR(IF(O3239&lt;fi_h/20,0,(OFFSET('Base de dados'!$A$5,IF(O3239&lt;20,1,IF(O3239&gt;1000,10,MATCH(O3239,Cargas,1))),Coluna_fih,1,1))*(1+0.13*0.25)*(PI()*(fi_h/1000)^2/4)*SQRT(2*9.81*(O3239/100-fi_h/2/1000))*1000)),"",IF(O3239&lt;fi_h/20,0,(OFFSET('Base de dados'!$A$5,IF(O3239&lt;20,1,IF(O3239&gt;1000,10,MATCH(O3239,Cargas,1))),Coluna_fih,1,1))*(PI()*(fi_h/1000)^2/4)*SQRT(2*9.81*(O3239/100-fi_h/2/1000))*1000))</f>
        <v>76.430215514143953</v>
      </c>
      <c r="Q3239" s="19">
        <f ca="1">IF(O3239="","",IF(Tipo_Vertedor="Retangular",IF(O3239&lt;=cota_s*100,0,IF(Tipo_Vertedor="Retangular",Cd_sr*Lef_sr*((O3239/100-cota_s)^(3/2))*1000)),IF(O3239&lt;=cota_s*100+fi_s/20,0,(OFFSET('Base de dados'!$A$4,IF(O3239&lt;20,1,IF(O3239&gt;1000,10,MATCH(O3239,Cargas,1))),Coluna_fis,1,1))*(PI()*(fi_s/1000)^2/4)*(2*9.81*(O3239/100-cota_s-fi_s/2/1000))^0.5*1000)))</f>
        <v>22529.927588133727</v>
      </c>
      <c r="R3239" s="19">
        <f t="shared" ca="1" si="340"/>
        <v>22606.357803647872</v>
      </c>
      <c r="S3239" s="19">
        <f t="shared" ca="1" si="341"/>
        <v>21226.81019528666</v>
      </c>
    </row>
    <row r="3240" spans="13:19">
      <c r="M3240" s="81">
        <f t="shared" ca="1" si="338"/>
        <v>43851.825626262013</v>
      </c>
      <c r="N3240" s="19">
        <f t="shared" si="339"/>
        <v>637.02547559801474</v>
      </c>
      <c r="O3240" s="17">
        <f t="shared" si="337"/>
        <v>809.75</v>
      </c>
      <c r="P3240" s="19">
        <f ca="1">IF(ISERROR(IF(O3240&lt;fi_h/20,0,(OFFSET('Base de dados'!$A$5,IF(O3240&lt;20,1,IF(O3240&gt;1000,10,MATCH(O3240,Cargas,1))),Coluna_fih,1,1))*(1+0.13*0.25)*(PI()*(fi_h/1000)^2/4)*SQRT(2*9.81*(O3240/100-fi_h/2/1000))*1000)),"",IF(O3240&lt;fi_h/20,0,(OFFSET('Base de dados'!$A$5,IF(O3240&lt;20,1,IF(O3240&gt;1000,10,MATCH(O3240,Cargas,1))),Coluna_fih,1,1))*(PI()*(fi_h/1000)^2/4)*SQRT(2*9.81*(O3240/100-fi_h/2/1000))*1000))</f>
        <v>76.442099466884429</v>
      </c>
      <c r="Q3240" s="19">
        <f ca="1">IF(O3240="","",IF(Tipo_Vertedor="Retangular",IF(O3240&lt;=cota_s*100,0,IF(Tipo_Vertedor="Retangular",Cd_sr*Lef_sr*((O3240/100-cota_s)^(3/2))*1000)),IF(O3240&lt;=cota_s*100+fi_s/20,0,(OFFSET('Base de dados'!$A$4,IF(O3240&lt;20,1,IF(O3240&gt;1000,10,MATCH(O3240,Cargas,1))),Coluna_fis,1,1))*(PI()*(fi_s/1000)^2/4)*(2*9.81*(O3240/100-cota_s-fi_s/2/1000))^0.5*1000)))</f>
        <v>22541.201006861305</v>
      </c>
      <c r="R3240" s="19">
        <f t="shared" ca="1" si="340"/>
        <v>22617.643106328189</v>
      </c>
      <c r="S3240" s="19">
        <f t="shared" ca="1" si="341"/>
        <v>21234.182519933827</v>
      </c>
    </row>
    <row r="3241" spans="13:19">
      <c r="M3241" s="81">
        <f t="shared" ca="1" si="338"/>
        <v>43870.485414979325</v>
      </c>
      <c r="N3241" s="19">
        <f t="shared" si="339"/>
        <v>637.24665384395166</v>
      </c>
      <c r="O3241" s="17">
        <f t="shared" si="337"/>
        <v>810</v>
      </c>
      <c r="P3241" s="19">
        <f ca="1">IF(ISERROR(IF(O3241&lt;fi_h/20,0,(OFFSET('Base de dados'!$A$5,IF(O3241&lt;20,1,IF(O3241&gt;1000,10,MATCH(O3241,Cargas,1))),Coluna_fih,1,1))*(1+0.13*0.25)*(PI()*(fi_h/1000)^2/4)*SQRT(2*9.81*(O3241/100-fi_h/2/1000))*1000)),"",IF(O3241&lt;fi_h/20,0,(OFFSET('Base de dados'!$A$5,IF(O3241&lt;20,1,IF(O3241&gt;1000,10,MATCH(O3241,Cargas,1))),Coluna_fih,1,1))*(PI()*(fi_h/1000)^2/4)*SQRT(2*9.81*(O3241/100-fi_h/2/1000))*1000))</f>
        <v>76.45398157239174</v>
      </c>
      <c r="Q3241" s="19">
        <f ca="1">IF(O3241="","",IF(Tipo_Vertedor="Retangular",IF(O3241&lt;=cota_s*100,0,IF(Tipo_Vertedor="Retangular",Cd_sr*Lef_sr*((O3241/100-cota_s)^(3/2))*1000)),IF(O3241&lt;=cota_s*100+fi_s/20,0,(OFFSET('Base de dados'!$A$4,IF(O3241&lt;20,1,IF(O3241&gt;1000,10,MATCH(O3241,Cargas,1))),Coluna_fis,1,1))*(PI()*(fi_s/1000)^2/4)*(2*9.81*(O3241/100-cota_s-fi_s/2/1000))^0.5*1000)))</f>
        <v>22552.47630527521</v>
      </c>
      <c r="R3241" s="19">
        <f t="shared" ca="1" si="340"/>
        <v>22628.930286847601</v>
      </c>
      <c r="S3241" s="19">
        <f t="shared" ca="1" si="341"/>
        <v>21241.55512813172</v>
      </c>
    </row>
    <row r="3242" spans="13:19">
      <c r="M3242" s="81">
        <f t="shared" ca="1" si="338"/>
        <v>43889.147364697448</v>
      </c>
      <c r="N3242" s="19">
        <f t="shared" si="339"/>
        <v>637.46784059411243</v>
      </c>
      <c r="O3242" s="17">
        <f t="shared" si="337"/>
        <v>810.25</v>
      </c>
      <c r="P3242" s="19">
        <f ca="1">IF(ISERROR(IF(O3242&lt;fi_h/20,0,(OFFSET('Base de dados'!$A$5,IF(O3242&lt;20,1,IF(O3242&gt;1000,10,MATCH(O3242,Cargas,1))),Coluna_fih,1,1))*(1+0.13*0.25)*(PI()*(fi_h/1000)^2/4)*SQRT(2*9.81*(O3242/100-fi_h/2/1000))*1000)),"",IF(O3242&lt;fi_h/20,0,(OFFSET('Base de dados'!$A$5,IF(O3242&lt;20,1,IF(O3242&gt;1000,10,MATCH(O3242,Cargas,1))),Coluna_fih,1,1))*(PI()*(fi_h/1000)^2/4)*SQRT(2*9.81*(O3242/100-fi_h/2/1000))*1000))</f>
        <v>76.465861831526979</v>
      </c>
      <c r="Q3242" s="19">
        <f ca="1">IF(O3242="","",IF(Tipo_Vertedor="Retangular",IF(O3242&lt;=cota_s*100,0,IF(Tipo_Vertedor="Retangular",Cd_sr*Lef_sr*((O3242/100-cota_s)^(3/2))*1000)),IF(O3242&lt;=cota_s*100+fi_s/20,0,(OFFSET('Base de dados'!$A$4,IF(O3242&lt;20,1,IF(O3242&gt;1000,10,MATCH(O3242,Cargas,1))),Coluna_fis,1,1))*(PI()*(fi_s/1000)^2/4)*(2*9.81*(O3242/100-cota_s-fi_s/2/1000))^0.5*1000)))</f>
        <v>22563.753483062177</v>
      </c>
      <c r="R3242" s="19">
        <f t="shared" ca="1" si="340"/>
        <v>22640.219344893703</v>
      </c>
      <c r="S3242" s="19">
        <f t="shared" ca="1" si="341"/>
        <v>21248.928019803749</v>
      </c>
    </row>
    <row r="3243" spans="13:19">
      <c r="M3243" s="81">
        <f t="shared" ca="1" si="338"/>
        <v>43907.811475027491</v>
      </c>
      <c r="N3243" s="19">
        <f t="shared" si="339"/>
        <v>637.68903584619977</v>
      </c>
      <c r="O3243" s="17">
        <f t="shared" si="337"/>
        <v>810.5</v>
      </c>
      <c r="P3243" s="19">
        <f ca="1">IF(ISERROR(IF(O3243&lt;fi_h/20,0,(OFFSET('Base de dados'!$A$5,IF(O3243&lt;20,1,IF(O3243&gt;1000,10,MATCH(O3243,Cargas,1))),Coluna_fih,1,1))*(1+0.13*0.25)*(PI()*(fi_h/1000)^2/4)*SQRT(2*9.81*(O3243/100-fi_h/2/1000))*1000)),"",IF(O3243&lt;fi_h/20,0,(OFFSET('Base de dados'!$A$5,IF(O3243&lt;20,1,IF(O3243&gt;1000,10,MATCH(O3243,Cargas,1))),Coluna_fih,1,1))*(PI()*(fi_h/1000)^2/4)*SQRT(2*9.81*(O3243/100-fi_h/2/1000))*1000))</f>
        <v>76.47774024515067</v>
      </c>
      <c r="Q3243" s="19">
        <f ca="1">IF(O3243="","",IF(Tipo_Vertedor="Retangular",IF(O3243&lt;=cota_s*100,0,IF(Tipo_Vertedor="Retangular",Cd_sr*Lef_sr*((O3243/100-cota_s)^(3/2))*1000)),IF(O3243&lt;=cota_s*100+fi_s/20,0,(OFFSET('Base de dados'!$A$4,IF(O3243&lt;20,1,IF(O3243&gt;1000,10,MATCH(O3243,Cargas,1))),Coluna_fis,1,1))*(PI()*(fi_s/1000)^2/4)*(2*9.81*(O3243/100-cota_s-fi_s/2/1000))^0.5*1000)))</f>
        <v>22575.032539909014</v>
      </c>
      <c r="R3243" s="19">
        <f t="shared" ca="1" si="340"/>
        <v>22651.510280154165</v>
      </c>
      <c r="S3243" s="19">
        <f t="shared" ca="1" si="341"/>
        <v>21256.301194873326</v>
      </c>
    </row>
    <row r="3244" spans="13:19">
      <c r="M3244" s="81">
        <f t="shared" ca="1" si="338"/>
        <v>43926.477745580793</v>
      </c>
      <c r="N3244" s="19">
        <f t="shared" si="339"/>
        <v>637.91023959791812</v>
      </c>
      <c r="O3244" s="17">
        <f t="shared" si="337"/>
        <v>810.75</v>
      </c>
      <c r="P3244" s="19">
        <f ca="1">IF(ISERROR(IF(O3244&lt;fi_h/20,0,(OFFSET('Base de dados'!$A$5,IF(O3244&lt;20,1,IF(O3244&gt;1000,10,MATCH(O3244,Cargas,1))),Coluna_fih,1,1))*(1+0.13*0.25)*(PI()*(fi_h/1000)^2/4)*SQRT(2*9.81*(O3244/100-fi_h/2/1000))*1000)),"",IF(O3244&lt;fi_h/20,0,(OFFSET('Base de dados'!$A$5,IF(O3244&lt;20,1,IF(O3244&gt;1000,10,MATCH(O3244,Cargas,1))),Coluna_fih,1,1))*(PI()*(fi_h/1000)^2/4)*SQRT(2*9.81*(O3244/100-fi_h/2/1000))*1000))</f>
        <v>76.489616814122556</v>
      </c>
      <c r="Q3244" s="19">
        <f ca="1">IF(O3244="","",IF(Tipo_Vertedor="Retangular",IF(O3244&lt;=cota_s*100,0,IF(Tipo_Vertedor="Retangular",Cd_sr*Lef_sr*((O3244/100-cota_s)^(3/2))*1000)),IF(O3244&lt;=cota_s*100+fi_s/20,0,(OFFSET('Base de dados'!$A$4,IF(O3244&lt;20,1,IF(O3244&gt;1000,10,MATCH(O3244,Cargas,1))),Coluna_fis,1,1))*(PI()*(fi_s/1000)^2/4)*(2*9.81*(O3244/100-cota_s-fi_s/2/1000))^0.5*1000)))</f>
        <v>22586.313475502735</v>
      </c>
      <c r="R3244" s="19">
        <f t="shared" ca="1" si="340"/>
        <v>22662.803092316859</v>
      </c>
      <c r="S3244" s="19">
        <f t="shared" ca="1" si="341"/>
        <v>21263.674653263937</v>
      </c>
    </row>
    <row r="3245" spans="13:19">
      <c r="M3245" s="81">
        <f t="shared" ca="1" si="338"/>
        <v>43945.146175968919</v>
      </c>
      <c r="N3245" s="19">
        <f t="shared" si="339"/>
        <v>638.1314518469726</v>
      </c>
      <c r="O3245" s="17">
        <f t="shared" si="337"/>
        <v>811</v>
      </c>
      <c r="P3245" s="19">
        <f ca="1">IF(ISERROR(IF(O3245&lt;fi_h/20,0,(OFFSET('Base de dados'!$A$5,IF(O3245&lt;20,1,IF(O3245&gt;1000,10,MATCH(O3245,Cargas,1))),Coluna_fih,1,1))*(1+0.13*0.25)*(PI()*(fi_h/1000)^2/4)*SQRT(2*9.81*(O3245/100-fi_h/2/1000))*1000)),"",IF(O3245&lt;fi_h/20,0,(OFFSET('Base de dados'!$A$5,IF(O3245&lt;20,1,IF(O3245&gt;1000,10,MATCH(O3245,Cargas,1))),Coluna_fih,1,1))*(PI()*(fi_h/1000)^2/4)*SQRT(2*9.81*(O3245/100-fi_h/2/1000))*1000))</f>
        <v>76.501491539301782</v>
      </c>
      <c r="Q3245" s="19">
        <f ca="1">IF(O3245="","",IF(Tipo_Vertedor="Retangular",IF(O3245&lt;=cota_s*100,0,IF(Tipo_Vertedor="Retangular",Cd_sr*Lef_sr*((O3245/100-cota_s)^(3/2))*1000)),IF(O3245&lt;=cota_s*100+fi_s/20,0,(OFFSET('Base de dados'!$A$4,IF(O3245&lt;20,1,IF(O3245&gt;1000,10,MATCH(O3245,Cargas,1))),Coluna_fis,1,1))*(PI()*(fi_s/1000)^2/4)*(2*9.81*(O3245/100-cota_s-fi_s/2/1000))^0.5*1000)))</f>
        <v>22597.596289530535</v>
      </c>
      <c r="R3245" s="19">
        <f t="shared" ca="1" si="340"/>
        <v>22674.097781069835</v>
      </c>
      <c r="S3245" s="19">
        <f t="shared" ca="1" si="341"/>
        <v>21271.048394899084</v>
      </c>
    </row>
    <row r="3246" spans="13:19">
      <c r="M3246" s="81">
        <f t="shared" ca="1" si="338"/>
        <v>43963.816765803582</v>
      </c>
      <c r="N3246" s="19">
        <f t="shared" si="339"/>
        <v>638.35267259107047</v>
      </c>
      <c r="O3246" s="17">
        <f t="shared" si="337"/>
        <v>811.25</v>
      </c>
      <c r="P3246" s="19">
        <f ca="1">IF(ISERROR(IF(O3246&lt;fi_h/20,0,(OFFSET('Base de dados'!$A$5,IF(O3246&lt;20,1,IF(O3246&gt;1000,10,MATCH(O3246,Cargas,1))),Coluna_fih,1,1))*(1+0.13*0.25)*(PI()*(fi_h/1000)^2/4)*SQRT(2*9.81*(O3246/100-fi_h/2/1000))*1000)),"",IF(O3246&lt;fi_h/20,0,(OFFSET('Base de dados'!$A$5,IF(O3246&lt;20,1,IF(O3246&gt;1000,10,MATCH(O3246,Cargas,1))),Coluna_fih,1,1))*(PI()*(fi_h/1000)^2/4)*SQRT(2*9.81*(O3246/100-fi_h/2/1000))*1000))</f>
        <v>76.513364421546811</v>
      </c>
      <c r="Q3246" s="19">
        <f ca="1">IF(O3246="","",IF(Tipo_Vertedor="Retangular",IF(O3246&lt;=cota_s*100,0,IF(Tipo_Vertedor="Retangular",Cd_sr*Lef_sr*((O3246/100-cota_s)^(3/2))*1000)),IF(O3246&lt;=cota_s*100+fi_s/20,0,(OFFSET('Base de dados'!$A$4,IF(O3246&lt;20,1,IF(O3246&gt;1000,10,MATCH(O3246,Cargas,1))),Coluna_fis,1,1))*(PI()*(fi_s/1000)^2/4)*(2*9.81*(O3246/100-cota_s-fi_s/2/1000))^0.5*1000)))</f>
        <v>22608.880981679689</v>
      </c>
      <c r="R3246" s="19">
        <f t="shared" ca="1" si="340"/>
        <v>22685.394346101235</v>
      </c>
      <c r="S3246" s="19">
        <f t="shared" ca="1" si="341"/>
        <v>21278.42241970235</v>
      </c>
    </row>
    <row r="3247" spans="13:19">
      <c r="M3247" s="81">
        <f t="shared" ca="1" si="338"/>
        <v>43982.489514696761</v>
      </c>
      <c r="N3247" s="19">
        <f t="shared" si="339"/>
        <v>638.57390182791971</v>
      </c>
      <c r="O3247" s="17">
        <f t="shared" si="337"/>
        <v>811.5</v>
      </c>
      <c r="P3247" s="19">
        <f ca="1">IF(ISERROR(IF(O3247&lt;fi_h/20,0,(OFFSET('Base de dados'!$A$5,IF(O3247&lt;20,1,IF(O3247&gt;1000,10,MATCH(O3247,Cargas,1))),Coluna_fih,1,1))*(1+0.13*0.25)*(PI()*(fi_h/1000)^2/4)*SQRT(2*9.81*(O3247/100-fi_h/2/1000))*1000)),"",IF(O3247&lt;fi_h/20,0,(OFFSET('Base de dados'!$A$5,IF(O3247&lt;20,1,IF(O3247&gt;1000,10,MATCH(O3247,Cargas,1))),Coluna_fih,1,1))*(PI()*(fi_h/1000)^2/4)*SQRT(2*9.81*(O3247/100-fi_h/2/1000))*1000))</f>
        <v>76.525235461715425</v>
      </c>
      <c r="Q3247" s="19">
        <f ca="1">IF(O3247="","",IF(Tipo_Vertedor="Retangular",IF(O3247&lt;=cota_s*100,0,IF(Tipo_Vertedor="Retangular",Cd_sr*Lef_sr*((O3247/100-cota_s)^(3/2))*1000)),IF(O3247&lt;=cota_s*100+fi_s/20,0,(OFFSET('Base de dados'!$A$4,IF(O3247&lt;20,1,IF(O3247&gt;1000,10,MATCH(O3247,Cargas,1))),Coluna_fis,1,1))*(PI()*(fi_s/1000)^2/4)*(2*9.81*(O3247/100-cota_s-fi_s/2/1000))^0.5*1000)))</f>
        <v>22620.167551637718</v>
      </c>
      <c r="R3247" s="19">
        <f t="shared" ca="1" si="340"/>
        <v>22696.692787099433</v>
      </c>
      <c r="S3247" s="19">
        <f t="shared" ca="1" si="341"/>
        <v>21285.796727597324</v>
      </c>
    </row>
    <row r="3248" spans="13:19">
      <c r="M3248" s="81">
        <f t="shared" ca="1" si="338"/>
        <v>44001.16442226051</v>
      </c>
      <c r="N3248" s="19">
        <f t="shared" si="339"/>
        <v>638.79513955522964</v>
      </c>
      <c r="O3248" s="17">
        <f t="shared" si="337"/>
        <v>811.75</v>
      </c>
      <c r="P3248" s="19">
        <f ca="1">IF(ISERROR(IF(O3248&lt;fi_h/20,0,(OFFSET('Base de dados'!$A$5,IF(O3248&lt;20,1,IF(O3248&gt;1000,10,MATCH(O3248,Cargas,1))),Coluna_fih,1,1))*(1+0.13*0.25)*(PI()*(fi_h/1000)^2/4)*SQRT(2*9.81*(O3248/100-fi_h/2/1000))*1000)),"",IF(O3248&lt;fi_h/20,0,(OFFSET('Base de dados'!$A$5,IF(O3248&lt;20,1,IF(O3248&gt;1000,10,MATCH(O3248,Cargas,1))),Coluna_fih,1,1))*(PI()*(fi_h/1000)^2/4)*SQRT(2*9.81*(O3248/100-fi_h/2/1000))*1000))</f>
        <v>76.537104660664752</v>
      </c>
      <c r="Q3248" s="19">
        <f ca="1">IF(O3248="","",IF(Tipo_Vertedor="Retangular",IF(O3248&lt;=cota_s*100,0,IF(Tipo_Vertedor="Retangular",Cd_sr*Lef_sr*((O3248/100-cota_s)^(3/2))*1000)),IF(O3248&lt;=cota_s*100+fi_s/20,0,(OFFSET('Base de dados'!$A$4,IF(O3248&lt;20,1,IF(O3248&gt;1000,10,MATCH(O3248,Cargas,1))),Coluna_fis,1,1))*(PI()*(fi_s/1000)^2/4)*(2*9.81*(O3248/100-cota_s-fi_s/2/1000))^0.5*1000)))</f>
        <v>22631.455999092195</v>
      </c>
      <c r="R3248" s="19">
        <f t="shared" ca="1" si="340"/>
        <v>22707.993103752859</v>
      </c>
      <c r="S3248" s="19">
        <f t="shared" ca="1" si="341"/>
        <v>21293.171318507655</v>
      </c>
    </row>
    <row r="3249" spans="13:19">
      <c r="M3249" s="81">
        <f t="shared" ca="1" si="338"/>
        <v>44019.841488107253</v>
      </c>
      <c r="N3249" s="19">
        <f t="shared" si="339"/>
        <v>639.01638577071151</v>
      </c>
      <c r="O3249" s="17">
        <f t="shared" si="337"/>
        <v>812</v>
      </c>
      <c r="P3249" s="19">
        <f ca="1">IF(ISERROR(IF(O3249&lt;fi_h/20,0,(OFFSET('Base de dados'!$A$5,IF(O3249&lt;20,1,IF(O3249&gt;1000,10,MATCH(O3249,Cargas,1))),Coluna_fih,1,1))*(1+0.13*0.25)*(PI()*(fi_h/1000)^2/4)*SQRT(2*9.81*(O3249/100-fi_h/2/1000))*1000)),"",IF(O3249&lt;fi_h/20,0,(OFFSET('Base de dados'!$A$5,IF(O3249&lt;20,1,IF(O3249&gt;1000,10,MATCH(O3249,Cargas,1))),Coluna_fih,1,1))*(PI()*(fi_h/1000)^2/4)*SQRT(2*9.81*(O3249/100-fi_h/2/1000))*1000))</f>
        <v>76.548972019251266</v>
      </c>
      <c r="Q3249" s="19">
        <f ca="1">IF(O3249="","",IF(Tipo_Vertedor="Retangular",IF(O3249&lt;=cota_s*100,0,IF(Tipo_Vertedor="Retangular",Cd_sr*Lef_sr*((O3249/100-cota_s)^(3/2))*1000)),IF(O3249&lt;=cota_s*100+fi_s/20,0,(OFFSET('Base de dados'!$A$4,IF(O3249&lt;20,1,IF(O3249&gt;1000,10,MATCH(O3249,Cargas,1))),Coluna_fis,1,1))*(PI()*(fi_s/1000)^2/4)*(2*9.81*(O3249/100-cota_s-fi_s/2/1000))^0.5*1000)))</f>
        <v>22642.746323730953</v>
      </c>
      <c r="R3249" s="19">
        <f t="shared" ca="1" si="340"/>
        <v>22719.295295750206</v>
      </c>
      <c r="S3249" s="19">
        <f t="shared" ca="1" si="341"/>
        <v>21300.546192357047</v>
      </c>
    </row>
    <row r="3250" spans="13:19">
      <c r="M3250" s="81">
        <f t="shared" ca="1" si="338"/>
        <v>44038.520711849516</v>
      </c>
      <c r="N3250" s="19">
        <f t="shared" si="339"/>
        <v>639.2376404720776</v>
      </c>
      <c r="O3250" s="17">
        <f t="shared" si="337"/>
        <v>812.25</v>
      </c>
      <c r="P3250" s="19">
        <f ca="1">IF(ISERROR(IF(O3250&lt;fi_h/20,0,(OFFSET('Base de dados'!$A$5,IF(O3250&lt;20,1,IF(O3250&gt;1000,10,MATCH(O3250,Cargas,1))),Coluna_fih,1,1))*(1+0.13*0.25)*(PI()*(fi_h/1000)^2/4)*SQRT(2*9.81*(O3250/100-fi_h/2/1000))*1000)),"",IF(O3250&lt;fi_h/20,0,(OFFSET('Base de dados'!$A$5,IF(O3250&lt;20,1,IF(O3250&gt;1000,10,MATCH(O3250,Cargas,1))),Coluna_fih,1,1))*(PI()*(fi_h/1000)^2/4)*SQRT(2*9.81*(O3250/100-fi_h/2/1000))*1000))</f>
        <v>76.56083753833073</v>
      </c>
      <c r="Q3250" s="19">
        <f ca="1">IF(O3250="","",IF(Tipo_Vertedor="Retangular",IF(O3250&lt;=cota_s*100,0,IF(Tipo_Vertedor="Retangular",Cd_sr*Lef_sr*((O3250/100-cota_s)^(3/2))*1000)),IF(O3250&lt;=cota_s*100+fi_s/20,0,(OFFSET('Base de dados'!$A$4,IF(O3250&lt;20,1,IF(O3250&gt;1000,10,MATCH(O3250,Cargas,1))),Coluna_fis,1,1))*(PI()*(fi_s/1000)^2/4)*(2*9.81*(O3250/100-cota_s-fi_s/2/1000))^0.5*1000)))</f>
        <v>22654.038525241933</v>
      </c>
      <c r="R3250" s="19">
        <f t="shared" ca="1" si="340"/>
        <v>22730.599362780264</v>
      </c>
      <c r="S3250" s="19">
        <f t="shared" ca="1" si="341"/>
        <v>21307.921349069256</v>
      </c>
    </row>
    <row r="3251" spans="13:19">
      <c r="M3251" s="81">
        <f t="shared" ca="1" si="338"/>
        <v>44057.202093099993</v>
      </c>
      <c r="N3251" s="19">
        <f t="shared" si="339"/>
        <v>639.45890365704065</v>
      </c>
      <c r="O3251" s="17">
        <f t="shared" si="337"/>
        <v>812.5</v>
      </c>
      <c r="P3251" s="19">
        <f ca="1">IF(ISERROR(IF(O3251&lt;fi_h/20,0,(OFFSET('Base de dados'!$A$5,IF(O3251&lt;20,1,IF(O3251&gt;1000,10,MATCH(O3251,Cargas,1))),Coluna_fih,1,1))*(1+0.13*0.25)*(PI()*(fi_h/1000)^2/4)*SQRT(2*9.81*(O3251/100-fi_h/2/1000))*1000)),"",IF(O3251&lt;fi_h/20,0,(OFFSET('Base de dados'!$A$5,IF(O3251&lt;20,1,IF(O3251&gt;1000,10,MATCH(O3251,Cargas,1))),Coluna_fih,1,1))*(PI()*(fi_h/1000)^2/4)*SQRT(2*9.81*(O3251/100-fi_h/2/1000))*1000))</f>
        <v>76.57270121875834</v>
      </c>
      <c r="Q3251" s="19">
        <f ca="1">IF(O3251="","",IF(Tipo_Vertedor="Retangular",IF(O3251&lt;=cota_s*100,0,IF(Tipo_Vertedor="Retangular",Cd_sr*Lef_sr*((O3251/100-cota_s)^(3/2))*1000)),IF(O3251&lt;=cota_s*100+fi_s/20,0,(OFFSET('Base de dados'!$A$4,IF(O3251&lt;20,1,IF(O3251&gt;1000,10,MATCH(O3251,Cargas,1))),Coluna_fis,1,1))*(PI()*(fi_s/1000)^2/4)*(2*9.81*(O3251/100-cota_s-fi_s/2/1000))^0.5*1000)))</f>
        <v>22665.332603313211</v>
      </c>
      <c r="R3251" s="19">
        <f t="shared" ca="1" si="340"/>
        <v>22741.905304531971</v>
      </c>
      <c r="S3251" s="19">
        <f t="shared" ca="1" si="341"/>
        <v>21315.296788568023</v>
      </c>
    </row>
    <row r="3252" spans="13:19">
      <c r="M3252" s="81">
        <f t="shared" ca="1" si="338"/>
        <v>44075.885631471625</v>
      </c>
      <c r="N3252" s="19">
        <f t="shared" si="339"/>
        <v>639.68017532331589</v>
      </c>
      <c r="O3252" s="17">
        <f t="shared" si="337"/>
        <v>812.75</v>
      </c>
      <c r="P3252" s="19">
        <f ca="1">IF(ISERROR(IF(O3252&lt;fi_h/20,0,(OFFSET('Base de dados'!$A$5,IF(O3252&lt;20,1,IF(O3252&gt;1000,10,MATCH(O3252,Cargas,1))),Coluna_fih,1,1))*(1+0.13*0.25)*(PI()*(fi_h/1000)^2/4)*SQRT(2*9.81*(O3252/100-fi_h/2/1000))*1000)),"",IF(O3252&lt;fi_h/20,0,(OFFSET('Base de dados'!$A$5,IF(O3252&lt;20,1,IF(O3252&gt;1000,10,MATCH(O3252,Cargas,1))),Coluna_fih,1,1))*(PI()*(fi_h/1000)^2/4)*SQRT(2*9.81*(O3252/100-fi_h/2/1000))*1000))</f>
        <v>76.584563061388536</v>
      </c>
      <c r="Q3252" s="19">
        <f ca="1">IF(O3252="","",IF(Tipo_Vertedor="Retangular",IF(O3252&lt;=cota_s*100,0,IF(Tipo_Vertedor="Retangular",Cd_sr*Lef_sr*((O3252/100-cota_s)^(3/2))*1000)),IF(O3252&lt;=cota_s*100+fi_s/20,0,(OFFSET('Base de dados'!$A$4,IF(O3252&lt;20,1,IF(O3252&gt;1000,10,MATCH(O3252,Cargas,1))),Coluna_fis,1,1))*(PI()*(fi_s/1000)^2/4)*(2*9.81*(O3252/100-cota_s-fi_s/2/1000))^0.5*1000)))</f>
        <v>22676.628557633045</v>
      </c>
      <c r="R3252" s="19">
        <f t="shared" ca="1" si="340"/>
        <v>22753.213120694432</v>
      </c>
      <c r="S3252" s="19">
        <f t="shared" ca="1" si="341"/>
        <v>21322.672510777196</v>
      </c>
    </row>
    <row r="3253" spans="13:19">
      <c r="M3253" s="81">
        <f t="shared" ca="1" si="338"/>
        <v>44094.571326577592</v>
      </c>
      <c r="N3253" s="19">
        <f t="shared" si="339"/>
        <v>639.90145546861993</v>
      </c>
      <c r="O3253" s="17">
        <f t="shared" si="337"/>
        <v>813</v>
      </c>
      <c r="P3253" s="19">
        <f ca="1">IF(ISERROR(IF(O3253&lt;fi_h/20,0,(OFFSET('Base de dados'!$A$5,IF(O3253&lt;20,1,IF(O3253&gt;1000,10,MATCH(O3253,Cargas,1))),Coluna_fih,1,1))*(1+0.13*0.25)*(PI()*(fi_h/1000)^2/4)*SQRT(2*9.81*(O3253/100-fi_h/2/1000))*1000)),"",IF(O3253&lt;fi_h/20,0,(OFFSET('Base de dados'!$A$5,IF(O3253&lt;20,1,IF(O3253&gt;1000,10,MATCH(O3253,Cargas,1))),Coluna_fih,1,1))*(PI()*(fi_h/1000)^2/4)*SQRT(2*9.81*(O3253/100-fi_h/2/1000))*1000))</f>
        <v>76.596423067075136</v>
      </c>
      <c r="Q3253" s="19">
        <f ca="1">IF(O3253="","",IF(Tipo_Vertedor="Retangular",IF(O3253&lt;=cota_s*100,0,IF(Tipo_Vertedor="Retangular",Cd_sr*Lef_sr*((O3253/100-cota_s)^(3/2))*1000)),IF(O3253&lt;=cota_s*100+fi_s/20,0,(OFFSET('Base de dados'!$A$4,IF(O3253&lt;20,1,IF(O3253&gt;1000,10,MATCH(O3253,Cargas,1))),Coluna_fis,1,1))*(PI()*(fi_s/1000)^2/4)*(2*9.81*(O3253/100-cota_s-fi_s/2/1000))^0.5*1000)))</f>
        <v>22687.926387889853</v>
      </c>
      <c r="R3253" s="19">
        <f t="shared" ca="1" si="340"/>
        <v>22764.522810956929</v>
      </c>
      <c r="S3253" s="19">
        <f t="shared" ca="1" si="341"/>
        <v>21330.048515620663</v>
      </c>
    </row>
    <row r="3254" spans="13:19">
      <c r="M3254" s="81">
        <f t="shared" ca="1" si="338"/>
        <v>44113.259178031163</v>
      </c>
      <c r="N3254" s="19">
        <f t="shared" si="339"/>
        <v>640.12274409066958</v>
      </c>
      <c r="O3254" s="17">
        <f t="shared" si="337"/>
        <v>813.25</v>
      </c>
      <c r="P3254" s="19">
        <f ca="1">IF(ISERROR(IF(O3254&lt;fi_h/20,0,(OFFSET('Base de dados'!$A$5,IF(O3254&lt;20,1,IF(O3254&gt;1000,10,MATCH(O3254,Cargas,1))),Coluna_fih,1,1))*(1+0.13*0.25)*(PI()*(fi_h/1000)^2/4)*SQRT(2*9.81*(O3254/100-fi_h/2/1000))*1000)),"",IF(O3254&lt;fi_h/20,0,(OFFSET('Base de dados'!$A$5,IF(O3254&lt;20,1,IF(O3254&gt;1000,10,MATCH(O3254,Cargas,1))),Coluna_fih,1,1))*(PI()*(fi_h/1000)^2/4)*SQRT(2*9.81*(O3254/100-fi_h/2/1000))*1000))</f>
        <v>76.608281236671274</v>
      </c>
      <c r="Q3254" s="19">
        <f ca="1">IF(O3254="","",IF(Tipo_Vertedor="Retangular",IF(O3254&lt;=cota_s*100,0,IF(Tipo_Vertedor="Retangular",Cd_sr*Lef_sr*((O3254/100-cota_s)^(3/2))*1000)),IF(O3254&lt;=cota_s*100+fi_s/20,0,(OFFSET('Base de dados'!$A$4,IF(O3254&lt;20,1,IF(O3254&gt;1000,10,MATCH(O3254,Cargas,1))),Coluna_fis,1,1))*(PI()*(fi_s/1000)^2/4)*(2*9.81*(O3254/100-cota_s-fi_s/2/1000))^0.5*1000)))</f>
        <v>22699.226093772169</v>
      </c>
      <c r="R3254" s="19">
        <f t="shared" ca="1" si="340"/>
        <v>22775.834375008842</v>
      </c>
      <c r="S3254" s="19">
        <f t="shared" ca="1" si="341"/>
        <v>21337.424803022317</v>
      </c>
    </row>
    <row r="3255" spans="13:19">
      <c r="M3255" s="81">
        <f t="shared" ca="1" si="338"/>
        <v>44131.949185445897</v>
      </c>
      <c r="N3255" s="19">
        <f t="shared" si="339"/>
        <v>640.34404118718339</v>
      </c>
      <c r="O3255" s="17">
        <f t="shared" si="337"/>
        <v>813.5</v>
      </c>
      <c r="P3255" s="19">
        <f ca="1">IF(ISERROR(IF(O3255&lt;fi_h/20,0,(OFFSET('Base de dados'!$A$5,IF(O3255&lt;20,1,IF(O3255&gt;1000,10,MATCH(O3255,Cargas,1))),Coluna_fih,1,1))*(1+0.13*0.25)*(PI()*(fi_h/1000)^2/4)*SQRT(2*9.81*(O3255/100-fi_h/2/1000))*1000)),"",IF(O3255&lt;fi_h/20,0,(OFFSET('Base de dados'!$A$5,IF(O3255&lt;20,1,IF(O3255&gt;1000,10,MATCH(O3255,Cargas,1))),Coluna_fih,1,1))*(PI()*(fi_h/1000)^2/4)*SQRT(2*9.81*(O3255/100-fi_h/2/1000))*1000))</f>
        <v>76.620137571029488</v>
      </c>
      <c r="Q3255" s="19">
        <f ca="1">IF(O3255="","",IF(Tipo_Vertedor="Retangular",IF(O3255&lt;=cota_s*100,0,IF(Tipo_Vertedor="Retangular",Cd_sr*Lef_sr*((O3255/100-cota_s)^(3/2))*1000)),IF(O3255&lt;=cota_s*100+fi_s/20,0,(OFFSET('Base de dados'!$A$4,IF(O3255&lt;20,1,IF(O3255&gt;1000,10,MATCH(O3255,Cargas,1))),Coluna_fis,1,1))*(PI()*(fi_s/1000)^2/4)*(2*9.81*(O3255/100-cota_s-fi_s/2/1000))^0.5*1000)))</f>
        <v>22710.527674968755</v>
      </c>
      <c r="R3255" s="19">
        <f t="shared" ca="1" si="340"/>
        <v>22787.147812539784</v>
      </c>
      <c r="S3255" s="19">
        <f t="shared" ca="1" si="341"/>
        <v>21344.801372906113</v>
      </c>
    </row>
    <row r="3256" spans="13:19">
      <c r="M3256" s="81">
        <f t="shared" ca="1" si="338"/>
        <v>44150.641348435514</v>
      </c>
      <c r="N3256" s="19">
        <f t="shared" si="339"/>
        <v>640.56534675588193</v>
      </c>
      <c r="O3256" s="17">
        <f t="shared" si="337"/>
        <v>813.75</v>
      </c>
      <c r="P3256" s="19">
        <f ca="1">IF(ISERROR(IF(O3256&lt;fi_h/20,0,(OFFSET('Base de dados'!$A$5,IF(O3256&lt;20,1,IF(O3256&gt;1000,10,MATCH(O3256,Cargas,1))),Coluna_fih,1,1))*(1+0.13*0.25)*(PI()*(fi_h/1000)^2/4)*SQRT(2*9.81*(O3256/100-fi_h/2/1000))*1000)),"",IF(O3256&lt;fi_h/20,0,(OFFSET('Base de dados'!$A$5,IF(O3256&lt;20,1,IF(O3256&gt;1000,10,MATCH(O3256,Cargas,1))),Coluna_fih,1,1))*(PI()*(fi_h/1000)^2/4)*SQRT(2*9.81*(O3256/100-fi_h/2/1000))*1000))</f>
        <v>76.631992071001548</v>
      </c>
      <c r="Q3256" s="19">
        <f ca="1">IF(O3256="","",IF(Tipo_Vertedor="Retangular",IF(O3256&lt;=cota_s*100,0,IF(Tipo_Vertedor="Retangular",Cd_sr*Lef_sr*((O3256/100-cota_s)^(3/2))*1000)),IF(O3256&lt;=cota_s*100+fi_s/20,0,(OFFSET('Base de dados'!$A$4,IF(O3256&lt;20,1,IF(O3256&gt;1000,10,MATCH(O3256,Cargas,1))),Coluna_fis,1,1))*(PI()*(fi_s/1000)^2/4)*(2*9.81*(O3256/100-cota_s-fi_s/2/1000))^0.5*1000)))</f>
        <v>22721.831131168452</v>
      </c>
      <c r="R3256" s="19">
        <f t="shared" ca="1" si="340"/>
        <v>22798.463123239453</v>
      </c>
      <c r="S3256" s="19">
        <f t="shared" ca="1" si="341"/>
        <v>21352.178225196065</v>
      </c>
    </row>
    <row r="3257" spans="13:19">
      <c r="M3257" s="81">
        <f t="shared" ca="1" si="338"/>
        <v>44169.335666613988</v>
      </c>
      <c r="N3257" s="19">
        <f t="shared" si="339"/>
        <v>640.78666079448669</v>
      </c>
      <c r="O3257" s="17">
        <f t="shared" si="337"/>
        <v>814</v>
      </c>
      <c r="P3257" s="19">
        <f ca="1">IF(ISERROR(IF(O3257&lt;fi_h/20,0,(OFFSET('Base de dados'!$A$5,IF(O3257&lt;20,1,IF(O3257&gt;1000,10,MATCH(O3257,Cargas,1))),Coluna_fih,1,1))*(1+0.13*0.25)*(PI()*(fi_h/1000)^2/4)*SQRT(2*9.81*(O3257/100-fi_h/2/1000))*1000)),"",IF(O3257&lt;fi_h/20,0,(OFFSET('Base de dados'!$A$5,IF(O3257&lt;20,1,IF(O3257&gt;1000,10,MATCH(O3257,Cargas,1))),Coluna_fih,1,1))*(PI()*(fi_h/1000)^2/4)*SQRT(2*9.81*(O3257/100-fi_h/2/1000))*1000))</f>
        <v>76.643844737438684</v>
      </c>
      <c r="Q3257" s="19">
        <f ca="1">IF(O3257="","",IF(Tipo_Vertedor="Retangular",IF(O3257&lt;=cota_s*100,0,IF(Tipo_Vertedor="Retangular",Cd_sr*Lef_sr*((O3257/100-cota_s)^(3/2))*1000)),IF(O3257&lt;=cota_s*100+fi_s/20,0,(OFFSET('Base de dados'!$A$4,IF(O3257&lt;20,1,IF(O3257&gt;1000,10,MATCH(O3257,Cargas,1))),Coluna_fis,1,1))*(PI()*(fi_s/1000)^2/4)*(2*9.81*(O3257/100-cota_s-fi_s/2/1000))^0.5*1000)))</f>
        <v>22733.136462060327</v>
      </c>
      <c r="R3257" s="19">
        <f t="shared" ca="1" si="340"/>
        <v>22809.780306797766</v>
      </c>
      <c r="S3257" s="19">
        <f t="shared" ca="1" si="341"/>
        <v>21359.555359816222</v>
      </c>
    </row>
    <row r="3258" spans="13:19">
      <c r="M3258" s="81">
        <f t="shared" ca="1" si="338"/>
        <v>44188.032139595351</v>
      </c>
      <c r="N3258" s="19">
        <f t="shared" si="339"/>
        <v>641.00798330071973</v>
      </c>
      <c r="O3258" s="17">
        <f t="shared" si="337"/>
        <v>814.25</v>
      </c>
      <c r="P3258" s="19">
        <f ca="1">IF(ISERROR(IF(O3258&lt;fi_h/20,0,(OFFSET('Base de dados'!$A$5,IF(O3258&lt;20,1,IF(O3258&gt;1000,10,MATCH(O3258,Cargas,1))),Coluna_fih,1,1))*(1+0.13*0.25)*(PI()*(fi_h/1000)^2/4)*SQRT(2*9.81*(O3258/100-fi_h/2/1000))*1000)),"",IF(O3258&lt;fi_h/20,0,(OFFSET('Base de dados'!$A$5,IF(O3258&lt;20,1,IF(O3258&gt;1000,10,MATCH(O3258,Cargas,1))),Coluna_fih,1,1))*(PI()*(fi_h/1000)^2/4)*SQRT(2*9.81*(O3258/100-fi_h/2/1000))*1000))</f>
        <v>76.655695571191387</v>
      </c>
      <c r="Q3258" s="19">
        <f ca="1">IF(O3258="","",IF(Tipo_Vertedor="Retangular",IF(O3258&lt;=cota_s*100,0,IF(Tipo_Vertedor="Retangular",Cd_sr*Lef_sr*((O3258/100-cota_s)^(3/2))*1000)),IF(O3258&lt;=cota_s*100+fi_s/20,0,(OFFSET('Base de dados'!$A$4,IF(O3258&lt;20,1,IF(O3258&gt;1000,10,MATCH(O3258,Cargas,1))),Coluna_fis,1,1))*(PI()*(fi_s/1000)^2/4)*(2*9.81*(O3258/100-cota_s-fi_s/2/1000))^0.5*1000)))</f>
        <v>22744.443667333504</v>
      </c>
      <c r="R3258" s="19">
        <f t="shared" ca="1" si="340"/>
        <v>22821.099362904697</v>
      </c>
      <c r="S3258" s="19">
        <f t="shared" ca="1" si="341"/>
        <v>21366.932776690657</v>
      </c>
    </row>
    <row r="3259" spans="13:19">
      <c r="M3259" s="81">
        <f t="shared" ca="1" si="338"/>
        <v>44206.730766993991</v>
      </c>
      <c r="N3259" s="19">
        <f t="shared" si="339"/>
        <v>641.2293142723056</v>
      </c>
      <c r="O3259" s="17">
        <f t="shared" si="337"/>
        <v>814.5</v>
      </c>
      <c r="P3259" s="19">
        <f ca="1">IF(ISERROR(IF(O3259&lt;fi_h/20,0,(OFFSET('Base de dados'!$A$5,IF(O3259&lt;20,1,IF(O3259&gt;1000,10,MATCH(O3259,Cargas,1))),Coluna_fih,1,1))*(1+0.13*0.25)*(PI()*(fi_h/1000)^2/4)*SQRT(2*9.81*(O3259/100-fi_h/2/1000))*1000)),"",IF(O3259&lt;fi_h/20,0,(OFFSET('Base de dados'!$A$5,IF(O3259&lt;20,1,IF(O3259&gt;1000,10,MATCH(O3259,Cargas,1))),Coluna_fih,1,1))*(PI()*(fi_h/1000)^2/4)*SQRT(2*9.81*(O3259/100-fi_h/2/1000))*1000))</f>
        <v>76.66754457310951</v>
      </c>
      <c r="Q3259" s="19">
        <f ca="1">IF(O3259="","",IF(Tipo_Vertedor="Retangular",IF(O3259&lt;=cota_s*100,0,IF(Tipo_Vertedor="Retangular",Cd_sr*Lef_sr*((O3259/100-cota_s)^(3/2))*1000)),IF(O3259&lt;=cota_s*100+fi_s/20,0,(OFFSET('Base de dados'!$A$4,IF(O3259&lt;20,1,IF(O3259&gt;1000,10,MATCH(O3259,Cargas,1))),Coluna_fis,1,1))*(PI()*(fi_s/1000)^2/4)*(2*9.81*(O3259/100-cota_s-fi_s/2/1000))^0.5*1000)))</f>
        <v>22755.752746677364</v>
      </c>
      <c r="R3259" s="19">
        <f t="shared" ca="1" si="340"/>
        <v>22832.420291250473</v>
      </c>
      <c r="S3259" s="19">
        <f t="shared" ca="1" si="341"/>
        <v>21374.310475743518</v>
      </c>
    </row>
    <row r="3260" spans="13:19">
      <c r="M3260" s="81">
        <f t="shared" ca="1" si="338"/>
        <v>44225.431548424429</v>
      </c>
      <c r="N3260" s="19">
        <f t="shared" si="339"/>
        <v>641.45065370696932</v>
      </c>
      <c r="O3260" s="17">
        <f t="shared" si="337"/>
        <v>814.75</v>
      </c>
      <c r="P3260" s="19">
        <f ca="1">IF(ISERROR(IF(O3260&lt;fi_h/20,0,(OFFSET('Base de dados'!$A$5,IF(O3260&lt;20,1,IF(O3260&gt;1000,10,MATCH(O3260,Cargas,1))),Coluna_fih,1,1))*(1+0.13*0.25)*(PI()*(fi_h/1000)^2/4)*SQRT(2*9.81*(O3260/100-fi_h/2/1000))*1000)),"",IF(O3260&lt;fi_h/20,0,(OFFSET('Base de dados'!$A$5,IF(O3260&lt;20,1,IF(O3260&gt;1000,10,MATCH(O3260,Cargas,1))),Coluna_fih,1,1))*(PI()*(fi_h/1000)^2/4)*SQRT(2*9.81*(O3260/100-fi_h/2/1000))*1000))</f>
        <v>76.679391744042263</v>
      </c>
      <c r="Q3260" s="19">
        <f ca="1">IF(O3260="","",IF(Tipo_Vertedor="Retangular",IF(O3260&lt;=cota_s*100,0,IF(Tipo_Vertedor="Retangular",Cd_sr*Lef_sr*((O3260/100-cota_s)^(3/2))*1000)),IF(O3260&lt;=cota_s*100+fi_s/20,0,(OFFSET('Base de dados'!$A$4,IF(O3260&lt;20,1,IF(O3260&gt;1000,10,MATCH(O3260,Cargas,1))),Coluna_fis,1,1))*(PI()*(fi_s/1000)^2/4)*(2*9.81*(O3260/100-cota_s-fi_s/2/1000))^0.5*1000)))</f>
        <v>22767.063699781407</v>
      </c>
      <c r="R3260" s="19">
        <f t="shared" ca="1" si="340"/>
        <v>22843.743091525448</v>
      </c>
      <c r="S3260" s="19">
        <f t="shared" ca="1" si="341"/>
        <v>21381.688456898977</v>
      </c>
    </row>
    <row r="3261" spans="13:19">
      <c r="M3261" s="81">
        <f t="shared" ca="1" si="338"/>
        <v>44244.134483501337</v>
      </c>
      <c r="N3261" s="19">
        <f t="shared" si="339"/>
        <v>641.67200160243772</v>
      </c>
      <c r="O3261" s="17">
        <f t="shared" si="337"/>
        <v>815</v>
      </c>
      <c r="P3261" s="19">
        <f ca="1">IF(ISERROR(IF(O3261&lt;fi_h/20,0,(OFFSET('Base de dados'!$A$5,IF(O3261&lt;20,1,IF(O3261&gt;1000,10,MATCH(O3261,Cargas,1))),Coluna_fih,1,1))*(1+0.13*0.25)*(PI()*(fi_h/1000)^2/4)*SQRT(2*9.81*(O3261/100-fi_h/2/1000))*1000)),"",IF(O3261&lt;fi_h/20,0,(OFFSET('Base de dados'!$A$5,IF(O3261&lt;20,1,IF(O3261&gt;1000,10,MATCH(O3261,Cargas,1))),Coluna_fih,1,1))*(PI()*(fi_h/1000)^2/4)*SQRT(2*9.81*(O3261/100-fi_h/2/1000))*1000))</f>
        <v>76.691237084838164</v>
      </c>
      <c r="Q3261" s="19">
        <f ca="1">IF(O3261="","",IF(Tipo_Vertedor="Retangular",IF(O3261&lt;=cota_s*100,0,IF(Tipo_Vertedor="Retangular",Cd_sr*Lef_sr*((O3261/100-cota_s)^(3/2))*1000)),IF(O3261&lt;=cota_s*100+fi_s/20,0,(OFFSET('Base de dados'!$A$4,IF(O3261&lt;20,1,IF(O3261&gt;1000,10,MATCH(O3261,Cargas,1))),Coluna_fis,1,1))*(PI()*(fi_s/1000)^2/4)*(2*9.81*(O3261/100-cota_s-fi_s/2/1000))^0.5*1000)))</f>
        <v>22778.376526335243</v>
      </c>
      <c r="R3261" s="19">
        <f t="shared" ca="1" si="340"/>
        <v>22855.06776342008</v>
      </c>
      <c r="S3261" s="19">
        <f t="shared" ca="1" si="341"/>
        <v>21389.066720081257</v>
      </c>
    </row>
    <row r="3262" spans="13:19">
      <c r="M3262" s="81">
        <f t="shared" ca="1" si="338"/>
        <v>44262.83957183965</v>
      </c>
      <c r="N3262" s="19">
        <f t="shared" si="339"/>
        <v>641.89335795643854</v>
      </c>
      <c r="O3262" s="17">
        <f t="shared" si="337"/>
        <v>815.25</v>
      </c>
      <c r="P3262" s="19">
        <f ca="1">IF(ISERROR(IF(O3262&lt;fi_h/20,0,(OFFSET('Base de dados'!$A$5,IF(O3262&lt;20,1,IF(O3262&gt;1000,10,MATCH(O3262,Cargas,1))),Coluna_fih,1,1))*(1+0.13*0.25)*(PI()*(fi_h/1000)^2/4)*SQRT(2*9.81*(O3262/100-fi_h/2/1000))*1000)),"",IF(O3262&lt;fi_h/20,0,(OFFSET('Base de dados'!$A$5,IF(O3262&lt;20,1,IF(O3262&gt;1000,10,MATCH(O3262,Cargas,1))),Coluna_fih,1,1))*(PI()*(fi_h/1000)^2/4)*SQRT(2*9.81*(O3262/100-fi_h/2/1000))*1000))</f>
        <v>76.703080596345146</v>
      </c>
      <c r="Q3262" s="19">
        <f ca="1">IF(O3262="","",IF(Tipo_Vertedor="Retangular",IF(O3262&lt;=cota_s*100,0,IF(Tipo_Vertedor="Retangular",Cd_sr*Lef_sr*((O3262/100-cota_s)^(3/2))*1000)),IF(O3262&lt;=cota_s*100+fi_s/20,0,(OFFSET('Base de dados'!$A$4,IF(O3262&lt;20,1,IF(O3262&gt;1000,10,MATCH(O3262,Cargas,1))),Coluna_fis,1,1))*(PI()*(fi_s/1000)^2/4)*(2*9.81*(O3262/100-cota_s-fi_s/2/1000))^0.5*1000)))</f>
        <v>22789.691226028692</v>
      </c>
      <c r="R3262" s="19">
        <f t="shared" ca="1" si="340"/>
        <v>22866.394306625036</v>
      </c>
      <c r="S3262" s="19">
        <f t="shared" ca="1" si="341"/>
        <v>21396.445265214617</v>
      </c>
    </row>
    <row r="3263" spans="13:19">
      <c r="M3263" s="81">
        <f t="shared" ca="1" si="338"/>
        <v>44281.54681305449</v>
      </c>
      <c r="N3263" s="19">
        <f t="shared" si="339"/>
        <v>642.11472276670133</v>
      </c>
      <c r="O3263" s="17">
        <f t="shared" si="337"/>
        <v>815.5</v>
      </c>
      <c r="P3263" s="19">
        <f ca="1">IF(ISERROR(IF(O3263&lt;fi_h/20,0,(OFFSET('Base de dados'!$A$5,IF(O3263&lt;20,1,IF(O3263&gt;1000,10,MATCH(O3263,Cargas,1))),Coluna_fih,1,1))*(1+0.13*0.25)*(PI()*(fi_h/1000)^2/4)*SQRT(2*9.81*(O3263/100-fi_h/2/1000))*1000)),"",IF(O3263&lt;fi_h/20,0,(OFFSET('Base de dados'!$A$5,IF(O3263&lt;20,1,IF(O3263&gt;1000,10,MATCH(O3263,Cargas,1))),Coluna_fih,1,1))*(PI()*(fi_h/1000)^2/4)*SQRT(2*9.81*(O3263/100-fi_h/2/1000))*1000))</f>
        <v>76.714922279410416</v>
      </c>
      <c r="Q3263" s="19">
        <f ca="1">IF(O3263="","",IF(Tipo_Vertedor="Retangular",IF(O3263&lt;=cota_s*100,0,IF(Tipo_Vertedor="Retangular",Cd_sr*Lef_sr*((O3263/100-cota_s)^(3/2))*1000)),IF(O3263&lt;=cota_s*100+fi_s/20,0,(OFFSET('Base de dados'!$A$4,IF(O3263&lt;20,1,IF(O3263&gt;1000,10,MATCH(O3263,Cargas,1))),Coluna_fis,1,1))*(PI()*(fi_s/1000)^2/4)*(2*9.81*(O3263/100-cota_s-fi_s/2/1000))^0.5*1000)))</f>
        <v>22801.007798551705</v>
      </c>
      <c r="R3263" s="19">
        <f t="shared" ca="1" si="340"/>
        <v>22877.722720831116</v>
      </c>
      <c r="S3263" s="19">
        <f t="shared" ca="1" si="341"/>
        <v>21403.824092223378</v>
      </c>
    </row>
    <row r="3264" spans="13:19">
      <c r="M3264" s="81">
        <f t="shared" ca="1" si="338"/>
        <v>44300.256206761143</v>
      </c>
      <c r="N3264" s="19">
        <f t="shared" si="339"/>
        <v>642.33609603095613</v>
      </c>
      <c r="O3264" s="17">
        <f t="shared" si="337"/>
        <v>815.75</v>
      </c>
      <c r="P3264" s="19">
        <f ca="1">IF(ISERROR(IF(O3264&lt;fi_h/20,0,(OFFSET('Base de dados'!$A$5,IF(O3264&lt;20,1,IF(O3264&gt;1000,10,MATCH(O3264,Cargas,1))),Coluna_fih,1,1))*(1+0.13*0.25)*(PI()*(fi_h/1000)^2/4)*SQRT(2*9.81*(O3264/100-fi_h/2/1000))*1000)),"",IF(O3264&lt;fi_h/20,0,(OFFSET('Base de dados'!$A$5,IF(O3264&lt;20,1,IF(O3264&gt;1000,10,MATCH(O3264,Cargas,1))),Coluna_fih,1,1))*(PI()*(fi_h/1000)^2/4)*SQRT(2*9.81*(O3264/100-fi_h/2/1000))*1000))</f>
        <v>76.726762134880587</v>
      </c>
      <c r="Q3264" s="19">
        <f ca="1">IF(O3264="","",IF(Tipo_Vertedor="Retangular",IF(O3264&lt;=cota_s*100,0,IF(Tipo_Vertedor="Retangular",Cd_sr*Lef_sr*((O3264/100-cota_s)^(3/2))*1000)),IF(O3264&lt;=cota_s*100+fi_s/20,0,(OFFSET('Base de dados'!$A$4,IF(O3264&lt;20,1,IF(O3264&gt;1000,10,MATCH(O3264,Cargas,1))),Coluna_fis,1,1))*(PI()*(fi_s/1000)^2/4)*(2*9.81*(O3264/100-cota_s-fi_s/2/1000))^0.5*1000)))</f>
        <v>22812.326243594394</v>
      </c>
      <c r="R3264" s="19">
        <f t="shared" ca="1" si="340"/>
        <v>22889.053005729274</v>
      </c>
      <c r="S3264" s="19">
        <f t="shared" ca="1" si="341"/>
        <v>21411.203201031873</v>
      </c>
    </row>
    <row r="3265" spans="13:19">
      <c r="M3265" s="81">
        <f t="shared" ca="1" si="338"/>
        <v>44318.967752575132</v>
      </c>
      <c r="N3265" s="19">
        <f t="shared" si="339"/>
        <v>642.55747774693543</v>
      </c>
      <c r="O3265" s="17">
        <f t="shared" si="337"/>
        <v>816</v>
      </c>
      <c r="P3265" s="19">
        <f ca="1">IF(ISERROR(IF(O3265&lt;fi_h/20,0,(OFFSET('Base de dados'!$A$5,IF(O3265&lt;20,1,IF(O3265&gt;1000,10,MATCH(O3265,Cargas,1))),Coluna_fih,1,1))*(1+0.13*0.25)*(PI()*(fi_h/1000)^2/4)*SQRT(2*9.81*(O3265/100-fi_h/2/1000))*1000)),"",IF(O3265&lt;fi_h/20,0,(OFFSET('Base de dados'!$A$5,IF(O3265&lt;20,1,IF(O3265&gt;1000,10,MATCH(O3265,Cargas,1))),Coluna_fih,1,1))*(PI()*(fi_h/1000)^2/4)*SQRT(2*9.81*(O3265/100-fi_h/2/1000))*1000))</f>
        <v>76.738600163601532</v>
      </c>
      <c r="Q3265" s="19">
        <f ca="1">IF(O3265="","",IF(Tipo_Vertedor="Retangular",IF(O3265&lt;=cota_s*100,0,IF(Tipo_Vertedor="Retangular",Cd_sr*Lef_sr*((O3265/100-cota_s)^(3/2))*1000)),IF(O3265&lt;=cota_s*100+fi_s/20,0,(OFFSET('Base de dados'!$A$4,IF(O3265&lt;20,1,IF(O3265&gt;1000,10,MATCH(O3265,Cargas,1))),Coluna_fis,1,1))*(PI()*(fi_s/1000)^2/4)*(2*9.81*(O3265/100-cota_s-fi_s/2/1000))^0.5*1000)))</f>
        <v>22823.646560847021</v>
      </c>
      <c r="R3265" s="19">
        <f t="shared" ca="1" si="340"/>
        <v>22900.385161010621</v>
      </c>
      <c r="S3265" s="19">
        <f t="shared" ca="1" si="341"/>
        <v>21418.582591564515</v>
      </c>
    </row>
    <row r="3266" spans="13:19">
      <c r="M3266" s="81">
        <f t="shared" ca="1" si="338"/>
        <v>44337.681450112141</v>
      </c>
      <c r="N3266" s="19">
        <f t="shared" si="339"/>
        <v>642.77886791237188</v>
      </c>
      <c r="O3266" s="17">
        <f t="shared" si="337"/>
        <v>816.25</v>
      </c>
      <c r="P3266" s="19">
        <f ca="1">IF(ISERROR(IF(O3266&lt;fi_h/20,0,(OFFSET('Base de dados'!$A$5,IF(O3266&lt;20,1,IF(O3266&gt;1000,10,MATCH(O3266,Cargas,1))),Coluna_fih,1,1))*(1+0.13*0.25)*(PI()*(fi_h/1000)^2/4)*SQRT(2*9.81*(O3266/100-fi_h/2/1000))*1000)),"",IF(O3266&lt;fi_h/20,0,(OFFSET('Base de dados'!$A$5,IF(O3266&lt;20,1,IF(O3266&gt;1000,10,MATCH(O3266,Cargas,1))),Coluna_fih,1,1))*(PI()*(fi_h/1000)^2/4)*SQRT(2*9.81*(O3266/100-fi_h/2/1000))*1000))</f>
        <v>76.750436366418569</v>
      </c>
      <c r="Q3266" s="19">
        <f ca="1">IF(O3266="","",IF(Tipo_Vertedor="Retangular",IF(O3266&lt;=cota_s*100,0,IF(Tipo_Vertedor="Retangular",Cd_sr*Lef_sr*((O3266/100-cota_s)^(3/2))*1000)),IF(O3266&lt;=cota_s*100+fi_s/20,0,(OFFSET('Base de dados'!$A$4,IF(O3266&lt;20,1,IF(O3266&gt;1000,10,MATCH(O3266,Cargas,1))),Coluna_fis,1,1))*(PI()*(fi_s/1000)^2/4)*(2*9.81*(O3266/100-cota_s-fi_s/2/1000))^0.5*1000)))</f>
        <v>22834.968749999996</v>
      </c>
      <c r="R3266" s="19">
        <f t="shared" ca="1" si="340"/>
        <v>22911.719186366416</v>
      </c>
      <c r="S3266" s="19">
        <f t="shared" ca="1" si="341"/>
        <v>21425.962263745729</v>
      </c>
    </row>
    <row r="3267" spans="13:19">
      <c r="M3267" s="81">
        <f t="shared" ca="1" si="338"/>
        <v>44356.397298988057</v>
      </c>
      <c r="N3267" s="19">
        <f t="shared" si="339"/>
        <v>643.00026652499969</v>
      </c>
      <c r="O3267" s="17">
        <f t="shared" si="337"/>
        <v>816.5</v>
      </c>
      <c r="P3267" s="19">
        <f ca="1">IF(ISERROR(IF(O3267&lt;fi_h/20,0,(OFFSET('Base de dados'!$A$5,IF(O3267&lt;20,1,IF(O3267&gt;1000,10,MATCH(O3267,Cargas,1))),Coluna_fih,1,1))*(1+0.13*0.25)*(PI()*(fi_h/1000)^2/4)*SQRT(2*9.81*(O3267/100-fi_h/2/1000))*1000)),"",IF(O3267&lt;fi_h/20,0,(OFFSET('Base de dados'!$A$5,IF(O3267&lt;20,1,IF(O3267&gt;1000,10,MATCH(O3267,Cargas,1))),Coluna_fih,1,1))*(PI()*(fi_h/1000)^2/4)*SQRT(2*9.81*(O3267/100-fi_h/2/1000))*1000))</f>
        <v>76.76227074417632</v>
      </c>
      <c r="Q3267" s="19">
        <f ca="1">IF(O3267="","",IF(Tipo_Vertedor="Retangular",IF(O3267&lt;=cota_s*100,0,IF(Tipo_Vertedor="Retangular",Cd_sr*Lef_sr*((O3267/100-cota_s)^(3/2))*1000)),IF(O3267&lt;=cota_s*100+fi_s/20,0,(OFFSET('Base de dados'!$A$4,IF(O3267&lt;20,1,IF(O3267&gt;1000,10,MATCH(O3267,Cargas,1))),Coluna_fis,1,1))*(PI()*(fi_s/1000)^2/4)*(2*9.81*(O3267/100-cota_s-fi_s/2/1000))^0.5*1000)))</f>
        <v>22846.292810743893</v>
      </c>
      <c r="R3267" s="19">
        <f t="shared" ca="1" si="340"/>
        <v>22923.05508148807</v>
      </c>
      <c r="S3267" s="19">
        <f t="shared" ca="1" si="341"/>
        <v>21433.342217499987</v>
      </c>
    </row>
    <row r="3268" spans="13:19">
      <c r="M3268" s="81">
        <f t="shared" ca="1" si="338"/>
        <v>44375.11529881903</v>
      </c>
      <c r="N3268" s="19">
        <f t="shared" si="339"/>
        <v>643.22167358255558</v>
      </c>
      <c r="O3268" s="17">
        <f t="shared" si="337"/>
        <v>816.75</v>
      </c>
      <c r="P3268" s="19">
        <f ca="1">IF(ISERROR(IF(O3268&lt;fi_h/20,0,(OFFSET('Base de dados'!$A$5,IF(O3268&lt;20,1,IF(O3268&gt;1000,10,MATCH(O3268,Cargas,1))),Coluna_fih,1,1))*(1+0.13*0.25)*(PI()*(fi_h/1000)^2/4)*SQRT(2*9.81*(O3268/100-fi_h/2/1000))*1000)),"",IF(O3268&lt;fi_h/20,0,(OFFSET('Base de dados'!$A$5,IF(O3268&lt;20,1,IF(O3268&gt;1000,10,MATCH(O3268,Cargas,1))),Coluna_fih,1,1))*(PI()*(fi_h/1000)^2/4)*SQRT(2*9.81*(O3268/100-fi_h/2/1000))*1000))</f>
        <v>76.774103297718781</v>
      </c>
      <c r="Q3268" s="19">
        <f ca="1">IF(O3268="","",IF(Tipo_Vertedor="Retangular",IF(O3268&lt;=cota_s*100,0,IF(Tipo_Vertedor="Retangular",Cd_sr*Lef_sr*((O3268/100-cota_s)^(3/2))*1000)),IF(O3268&lt;=cota_s*100+fi_s/20,0,(OFFSET('Base de dados'!$A$4,IF(O3268&lt;20,1,IF(O3268&gt;1000,10,MATCH(O3268,Cargas,1))),Coluna_fis,1,1))*(PI()*(fi_s/1000)^2/4)*(2*9.81*(O3268/100-cota_s-fi_s/2/1000))^0.5*1000)))</f>
        <v>22857.618742769457</v>
      </c>
      <c r="R3268" s="19">
        <f t="shared" ca="1" si="340"/>
        <v>22934.392846067174</v>
      </c>
      <c r="S3268" s="19">
        <f t="shared" ca="1" si="341"/>
        <v>21440.722452751852</v>
      </c>
    </row>
    <row r="3269" spans="13:19">
      <c r="M3269" s="81">
        <f t="shared" ca="1" si="338"/>
        <v>44393.835449221267</v>
      </c>
      <c r="N3269" s="19">
        <f t="shared" si="339"/>
        <v>643.4430890827756</v>
      </c>
      <c r="O3269" s="17">
        <f t="shared" si="337"/>
        <v>817</v>
      </c>
      <c r="P3269" s="19">
        <f ca="1">IF(ISERROR(IF(O3269&lt;fi_h/20,0,(OFFSET('Base de dados'!$A$5,IF(O3269&lt;20,1,IF(O3269&gt;1000,10,MATCH(O3269,Cargas,1))),Coluna_fih,1,1))*(1+0.13*0.25)*(PI()*(fi_h/1000)^2/4)*SQRT(2*9.81*(O3269/100-fi_h/2/1000))*1000)),"",IF(O3269&lt;fi_h/20,0,(OFFSET('Base de dados'!$A$5,IF(O3269&lt;20,1,IF(O3269&gt;1000,10,MATCH(O3269,Cargas,1))),Coluna_fih,1,1))*(PI()*(fi_h/1000)^2/4)*SQRT(2*9.81*(O3269/100-fi_h/2/1000))*1000))</f>
        <v>76.785934027889212</v>
      </c>
      <c r="Q3269" s="19">
        <f ca="1">IF(O3269="","",IF(Tipo_Vertedor="Retangular",IF(O3269&lt;=cota_s*100,0,IF(Tipo_Vertedor="Retangular",Cd_sr*Lef_sr*((O3269/100-cota_s)^(3/2))*1000)),IF(O3269&lt;=cota_s*100+fi_s/20,0,(OFFSET('Base de dados'!$A$4,IF(O3269&lt;20,1,IF(O3269&gt;1000,10,MATCH(O3269,Cargas,1))),Coluna_fis,1,1))*(PI()*(fi_s/1000)^2/4)*(2*9.81*(O3269/100-cota_s-fi_s/2/1000))^0.5*1000)))</f>
        <v>22868.946545767521</v>
      </c>
      <c r="R3269" s="19">
        <f t="shared" ca="1" si="340"/>
        <v>22945.73247979541</v>
      </c>
      <c r="S3269" s="19">
        <f t="shared" ca="1" si="341"/>
        <v>21448.102969425854</v>
      </c>
    </row>
    <row r="3270" spans="13:19">
      <c r="M3270" s="81">
        <f t="shared" ca="1" si="338"/>
        <v>44412.557749811283</v>
      </c>
      <c r="N3270" s="19">
        <f t="shared" si="339"/>
        <v>643.66451302339851</v>
      </c>
      <c r="O3270" s="17">
        <f t="shared" si="337"/>
        <v>817.25</v>
      </c>
      <c r="P3270" s="19">
        <f ca="1">IF(ISERROR(IF(O3270&lt;fi_h/20,0,(OFFSET('Base de dados'!$A$5,IF(O3270&lt;20,1,IF(O3270&gt;1000,10,MATCH(O3270,Cargas,1))),Coluna_fih,1,1))*(1+0.13*0.25)*(PI()*(fi_h/1000)^2/4)*SQRT(2*9.81*(O3270/100-fi_h/2/1000))*1000)),"",IF(O3270&lt;fi_h/20,0,(OFFSET('Base de dados'!$A$5,IF(O3270&lt;20,1,IF(O3270&gt;1000,10,MATCH(O3270,Cargas,1))),Coluna_fih,1,1))*(PI()*(fi_h/1000)^2/4)*SQRT(2*9.81*(O3270/100-fi_h/2/1000))*1000))</f>
        <v>76.797762935530329</v>
      </c>
      <c r="Q3270" s="19">
        <f ca="1">IF(O3270="","",IF(Tipo_Vertedor="Retangular",IF(O3270&lt;=cota_s*100,0,IF(Tipo_Vertedor="Retangular",Cd_sr*Lef_sr*((O3270/100-cota_s)^(3/2))*1000)),IF(O3270&lt;=cota_s*100+fi_s/20,0,(OFFSET('Base de dados'!$A$4,IF(O3270&lt;20,1,IF(O3270&gt;1000,10,MATCH(O3270,Cargas,1))),Coluna_fis,1,1))*(PI()*(fi_s/1000)^2/4)*(2*9.81*(O3270/100-cota_s-fi_s/2/1000))^0.5*1000)))</f>
        <v>22880.276219429139</v>
      </c>
      <c r="R3270" s="19">
        <f t="shared" ca="1" si="340"/>
        <v>22957.073982364669</v>
      </c>
      <c r="S3270" s="19">
        <f t="shared" ca="1" si="341"/>
        <v>21455.483767446614</v>
      </c>
    </row>
    <row r="3271" spans="13:19">
      <c r="M3271" s="81">
        <f t="shared" ca="1" si="338"/>
        <v>44431.282200205795</v>
      </c>
      <c r="N3271" s="19">
        <f t="shared" si="339"/>
        <v>643.88594540216457</v>
      </c>
      <c r="O3271" s="17">
        <f t="shared" si="337"/>
        <v>817.5</v>
      </c>
      <c r="P3271" s="19">
        <f ca="1">IF(ISERROR(IF(O3271&lt;fi_h/20,0,(OFFSET('Base de dados'!$A$5,IF(O3271&lt;20,1,IF(O3271&gt;1000,10,MATCH(O3271,Cargas,1))),Coluna_fih,1,1))*(1+0.13*0.25)*(PI()*(fi_h/1000)^2/4)*SQRT(2*9.81*(O3271/100-fi_h/2/1000))*1000)),"",IF(O3271&lt;fi_h/20,0,(OFFSET('Base de dados'!$A$5,IF(O3271&lt;20,1,IF(O3271&gt;1000,10,MATCH(O3271,Cargas,1))),Coluna_fih,1,1))*(PI()*(fi_h/1000)^2/4)*SQRT(2*9.81*(O3271/100-fi_h/2/1000))*1000))</f>
        <v>76.809590021484155</v>
      </c>
      <c r="Q3271" s="19">
        <f ca="1">IF(O3271="","",IF(Tipo_Vertedor="Retangular",IF(O3271&lt;=cota_s*100,0,IF(Tipo_Vertedor="Retangular",Cd_sr*Lef_sr*((O3271/100-cota_s)^(3/2))*1000)),IF(O3271&lt;=cota_s*100+fi_s/20,0,(OFFSET('Base de dados'!$A$4,IF(O3271&lt;20,1,IF(O3271&gt;1000,10,MATCH(O3271,Cargas,1))),Coluna_fis,1,1))*(PI()*(fi_s/1000)^2/4)*(2*9.81*(O3271/100-cota_s-fi_s/2/1000))^0.5*1000)))</f>
        <v>22891.607763445492</v>
      </c>
      <c r="R3271" s="19">
        <f t="shared" ca="1" si="340"/>
        <v>22968.417353466975</v>
      </c>
      <c r="S3271" s="19">
        <f t="shared" ca="1" si="341"/>
        <v>21462.864846738819</v>
      </c>
    </row>
    <row r="3272" spans="13:19">
      <c r="M3272" s="81">
        <f t="shared" ca="1" si="338"/>
        <v>44450.00880002162</v>
      </c>
      <c r="N3272" s="19">
        <f t="shared" si="339"/>
        <v>644.10738621681367</v>
      </c>
      <c r="O3272" s="17">
        <f t="shared" si="337"/>
        <v>817.75</v>
      </c>
      <c r="P3272" s="19">
        <f ca="1">IF(ISERROR(IF(O3272&lt;fi_h/20,0,(OFFSET('Base de dados'!$A$5,IF(O3272&lt;20,1,IF(O3272&gt;1000,10,MATCH(O3272,Cargas,1))),Coluna_fih,1,1))*(1+0.13*0.25)*(PI()*(fi_h/1000)^2/4)*SQRT(2*9.81*(O3272/100-fi_h/2/1000))*1000)),"",IF(O3272&lt;fi_h/20,0,(OFFSET('Base de dados'!$A$5,IF(O3272&lt;20,1,IF(O3272&gt;1000,10,MATCH(O3272,Cargas,1))),Coluna_fih,1,1))*(PI()*(fi_h/1000)^2/4)*SQRT(2*9.81*(O3272/100-fi_h/2/1000))*1000))</f>
        <v>76.821415286592057</v>
      </c>
      <c r="Q3272" s="19">
        <f ca="1">IF(O3272="","",IF(Tipo_Vertedor="Retangular",IF(O3272&lt;=cota_s*100,0,IF(Tipo_Vertedor="Retangular",Cd_sr*Lef_sr*((O3272/100-cota_s)^(3/2))*1000)),IF(O3272&lt;=cota_s*100+fi_s/20,0,(OFFSET('Base de dados'!$A$4,IF(O3272&lt;20,1,IF(O3272&gt;1000,10,MATCH(O3272,Cargas,1))),Coluna_fis,1,1))*(PI()*(fi_s/1000)^2/4)*(2*9.81*(O3272/100-cota_s-fi_s/2/1000))^0.5*1000)))</f>
        <v>22902.94117750791</v>
      </c>
      <c r="R3272" s="19">
        <f t="shared" ca="1" si="340"/>
        <v>22979.762592794501</v>
      </c>
      <c r="S3272" s="19">
        <f t="shared" ca="1" si="341"/>
        <v>21470.246207227123</v>
      </c>
    </row>
    <row r="3273" spans="13:19">
      <c r="M3273" s="81">
        <f t="shared" ca="1" si="338"/>
        <v>44468.737548875855</v>
      </c>
      <c r="N3273" s="19">
        <f t="shared" si="339"/>
        <v>644.32883546508856</v>
      </c>
      <c r="O3273" s="17">
        <f t="shared" si="337"/>
        <v>818</v>
      </c>
      <c r="P3273" s="19">
        <f ca="1">IF(ISERROR(IF(O3273&lt;fi_h/20,0,(OFFSET('Base de dados'!$A$5,IF(O3273&lt;20,1,IF(O3273&gt;1000,10,MATCH(O3273,Cargas,1))),Coluna_fih,1,1))*(1+0.13*0.25)*(PI()*(fi_h/1000)^2/4)*SQRT(2*9.81*(O3273/100-fi_h/2/1000))*1000)),"",IF(O3273&lt;fi_h/20,0,(OFFSET('Base de dados'!$A$5,IF(O3273&lt;20,1,IF(O3273&gt;1000,10,MATCH(O3273,Cargas,1))),Coluna_fih,1,1))*(PI()*(fi_h/1000)^2/4)*SQRT(2*9.81*(O3273/100-fi_h/2/1000))*1000))</f>
        <v>76.833238731694777</v>
      </c>
      <c r="Q3273" s="19">
        <f ca="1">IF(O3273="","",IF(Tipo_Vertedor="Retangular",IF(O3273&lt;=cota_s*100,0,IF(Tipo_Vertedor="Retangular",Cd_sr*Lef_sr*((O3273/100-cota_s)^(3/2))*1000)),IF(O3273&lt;=cota_s*100+fi_s/20,0,(OFFSET('Base de dados'!$A$4,IF(O3273&lt;20,1,IF(O3273&gt;1000,10,MATCH(O3273,Cargas,1))),Coluna_fis,1,1))*(PI()*(fi_s/1000)^2/4)*(2*9.81*(O3273/100-cota_s-fi_s/2/1000))^0.5*1000)))</f>
        <v>22914.276461307873</v>
      </c>
      <c r="R3273" s="19">
        <f t="shared" ca="1" si="340"/>
        <v>22991.109700039568</v>
      </c>
      <c r="S3273" s="19">
        <f t="shared" ca="1" si="341"/>
        <v>21477.627848836288</v>
      </c>
    </row>
    <row r="3274" spans="13:19">
      <c r="M3274" s="81">
        <f t="shared" ca="1" si="338"/>
        <v>44487.468446385756</v>
      </c>
      <c r="N3274" s="19">
        <f t="shared" si="339"/>
        <v>644.55029314473256</v>
      </c>
      <c r="O3274" s="17">
        <f t="shared" si="337"/>
        <v>818.25</v>
      </c>
      <c r="P3274" s="19">
        <f ca="1">IF(ISERROR(IF(O3274&lt;fi_h/20,0,(OFFSET('Base de dados'!$A$5,IF(O3274&lt;20,1,IF(O3274&gt;1000,10,MATCH(O3274,Cargas,1))),Coluna_fih,1,1))*(1+0.13*0.25)*(PI()*(fi_h/1000)^2/4)*SQRT(2*9.81*(O3274/100-fi_h/2/1000))*1000)),"",IF(O3274&lt;fi_h/20,0,(OFFSET('Base de dados'!$A$5,IF(O3274&lt;20,1,IF(O3274&gt;1000,10,MATCH(O3274,Cargas,1))),Coluna_fih,1,1))*(PI()*(fi_h/1000)^2/4)*SQRT(2*9.81*(O3274/100-fi_h/2/1000))*1000))</f>
        <v>76.845060357632377</v>
      </c>
      <c r="Q3274" s="19">
        <f ca="1">IF(O3274="","",IF(Tipo_Vertedor="Retangular",IF(O3274&lt;=cota_s*100,0,IF(Tipo_Vertedor="Retangular",Cd_sr*Lef_sr*((O3274/100-cota_s)^(3/2))*1000)),IF(O3274&lt;=cota_s*100+fi_s/20,0,(OFFSET('Base de dados'!$A$4,IF(O3274&lt;20,1,IF(O3274&gt;1000,10,MATCH(O3274,Cargas,1))),Coluna_fis,1,1))*(PI()*(fi_s/1000)^2/4)*(2*9.81*(O3274/100-cota_s-fi_s/2/1000))^0.5*1000)))</f>
        <v>22925.613614537036</v>
      </c>
      <c r="R3274" s="19">
        <f t="shared" ca="1" si="340"/>
        <v>23002.458674894668</v>
      </c>
      <c r="S3274" s="19">
        <f t="shared" ca="1" si="341"/>
        <v>21485.009771491088</v>
      </c>
    </row>
    <row r="3275" spans="13:19">
      <c r="M3275" s="81">
        <f t="shared" ca="1" si="338"/>
        <v>44506.20149216881</v>
      </c>
      <c r="N3275" s="19">
        <f t="shared" si="339"/>
        <v>644.77175925349093</v>
      </c>
      <c r="O3275" s="17">
        <f t="shared" si="337"/>
        <v>818.5</v>
      </c>
      <c r="P3275" s="19">
        <f ca="1">IF(ISERROR(IF(O3275&lt;fi_h/20,0,(OFFSET('Base de dados'!$A$5,IF(O3275&lt;20,1,IF(O3275&gt;1000,10,MATCH(O3275,Cargas,1))),Coluna_fih,1,1))*(1+0.13*0.25)*(PI()*(fi_h/1000)^2/4)*SQRT(2*9.81*(O3275/100-fi_h/2/1000))*1000)),"",IF(O3275&lt;fi_h/20,0,(OFFSET('Base de dados'!$A$5,IF(O3275&lt;20,1,IF(O3275&gt;1000,10,MATCH(O3275,Cargas,1))),Coluna_fih,1,1))*(PI()*(fi_h/1000)^2/4)*SQRT(2*9.81*(O3275/100-fi_h/2/1000))*1000))</f>
        <v>76.856880165244334</v>
      </c>
      <c r="Q3275" s="19">
        <f ca="1">IF(O3275="","",IF(Tipo_Vertedor="Retangular",IF(O3275&lt;=cota_s*100,0,IF(Tipo_Vertedor="Retangular",Cd_sr*Lef_sr*((O3275/100-cota_s)^(3/2))*1000)),IF(O3275&lt;=cota_s*100+fi_s/20,0,(OFFSET('Base de dados'!$A$4,IF(O3275&lt;20,1,IF(O3275&gt;1000,10,MATCH(O3275,Cargas,1))),Coluna_fis,1,1))*(PI()*(fi_s/1000)^2/4)*(2*9.81*(O3275/100-cota_s-fi_s/2/1000))^0.5*1000)))</f>
        <v>22936.952636887196</v>
      </c>
      <c r="R3275" s="19">
        <f t="shared" ca="1" si="340"/>
        <v>23013.809517052439</v>
      </c>
      <c r="S3275" s="19">
        <f t="shared" ca="1" si="341"/>
        <v>21492.391975116367</v>
      </c>
    </row>
    <row r="3276" spans="13:19">
      <c r="M3276" s="81">
        <f t="shared" ca="1" si="338"/>
        <v>44524.936685842651</v>
      </c>
      <c r="N3276" s="19">
        <f t="shared" si="339"/>
        <v>644.99323378910958</v>
      </c>
      <c r="O3276" s="17">
        <f t="shared" si="337"/>
        <v>818.75</v>
      </c>
      <c r="P3276" s="19">
        <f ca="1">IF(ISERROR(IF(O3276&lt;fi_h/20,0,(OFFSET('Base de dados'!$A$5,IF(O3276&lt;20,1,IF(O3276&gt;1000,10,MATCH(O3276,Cargas,1))),Coluna_fih,1,1))*(1+0.13*0.25)*(PI()*(fi_h/1000)^2/4)*SQRT(2*9.81*(O3276/100-fi_h/2/1000))*1000)),"",IF(O3276&lt;fi_h/20,0,(OFFSET('Base de dados'!$A$5,IF(O3276&lt;20,1,IF(O3276&gt;1000,10,MATCH(O3276,Cargas,1))),Coluna_fih,1,1))*(PI()*(fi_h/1000)^2/4)*SQRT(2*9.81*(O3276/100-fi_h/2/1000))*1000))</f>
        <v>76.868698155369387</v>
      </c>
      <c r="Q3276" s="19">
        <f ca="1">IF(O3276="","",IF(Tipo_Vertedor="Retangular",IF(O3276&lt;=cota_s*100,0,IF(Tipo_Vertedor="Retangular",Cd_sr*Lef_sr*((O3276/100-cota_s)^(3/2))*1000)),IF(O3276&lt;=cota_s*100+fi_s/20,0,(OFFSET('Base de dados'!$A$4,IF(O3276&lt;20,1,IF(O3276&gt;1000,10,MATCH(O3276,Cargas,1))),Coluna_fis,1,1))*(PI()*(fi_s/1000)^2/4)*(2*9.81*(O3276/100-cota_s-fi_s/2/1000))^0.5*1000)))</f>
        <v>22948.293528050293</v>
      </c>
      <c r="R3276" s="19">
        <f t="shared" ca="1" si="340"/>
        <v>23025.162226205663</v>
      </c>
      <c r="S3276" s="19">
        <f t="shared" ca="1" si="341"/>
        <v>21499.774459636988</v>
      </c>
    </row>
    <row r="3277" spans="13:19">
      <c r="M3277" s="81">
        <f t="shared" ca="1" si="338"/>
        <v>44543.674027025103</v>
      </c>
      <c r="N3277" s="19">
        <f t="shared" si="339"/>
        <v>645.21471674933548</v>
      </c>
      <c r="O3277" s="17">
        <f t="shared" si="337"/>
        <v>819</v>
      </c>
      <c r="P3277" s="19">
        <f ca="1">IF(ISERROR(IF(O3277&lt;fi_h/20,0,(OFFSET('Base de dados'!$A$5,IF(O3277&lt;20,1,IF(O3277&gt;1000,10,MATCH(O3277,Cargas,1))),Coluna_fih,1,1))*(1+0.13*0.25)*(PI()*(fi_h/1000)^2/4)*SQRT(2*9.81*(O3277/100-fi_h/2/1000))*1000)),"",IF(O3277&lt;fi_h/20,0,(OFFSET('Base de dados'!$A$5,IF(O3277&lt;20,1,IF(O3277&gt;1000,10,MATCH(O3277,Cargas,1))),Coluna_fih,1,1))*(PI()*(fi_h/1000)^2/4)*SQRT(2*9.81*(O3277/100-fi_h/2/1000))*1000))</f>
        <v>76.880514328845706</v>
      </c>
      <c r="Q3277" s="19">
        <f ca="1">IF(O3277="","",IF(Tipo_Vertedor="Retangular",IF(O3277&lt;=cota_s*100,0,IF(Tipo_Vertedor="Retangular",Cd_sr*Lef_sr*((O3277/100-cota_s)^(3/2))*1000)),IF(O3277&lt;=cota_s*100+fi_s/20,0,(OFFSET('Base de dados'!$A$4,IF(O3277&lt;20,1,IF(O3277&gt;1000,10,MATCH(O3277,Cargas,1))),Coluna_fis,1,1))*(PI()*(fi_s/1000)^2/4)*(2*9.81*(O3277/100-cota_s-fi_s/2/1000))^0.5*1000)))</f>
        <v>22959.636287718411</v>
      </c>
      <c r="R3277" s="19">
        <f t="shared" ca="1" si="340"/>
        <v>23036.516802047256</v>
      </c>
      <c r="S3277" s="19">
        <f t="shared" ca="1" si="341"/>
        <v>21507.157224977851</v>
      </c>
    </row>
    <row r="3278" spans="13:19">
      <c r="M3278" s="81">
        <f t="shared" ca="1" si="338"/>
        <v>44562.41351533428</v>
      </c>
      <c r="N3278" s="19">
        <f t="shared" si="339"/>
        <v>645.43620813191831</v>
      </c>
      <c r="O3278" s="17">
        <f t="shared" si="337"/>
        <v>819.25</v>
      </c>
      <c r="P3278" s="19">
        <f ca="1">IF(ISERROR(IF(O3278&lt;fi_h/20,0,(OFFSET('Base de dados'!$A$5,IF(O3278&lt;20,1,IF(O3278&gt;1000,10,MATCH(O3278,Cargas,1))),Coluna_fih,1,1))*(1+0.13*0.25)*(PI()*(fi_h/1000)^2/4)*SQRT(2*9.81*(O3278/100-fi_h/2/1000))*1000)),"",IF(O3278&lt;fi_h/20,0,(OFFSET('Base de dados'!$A$5,IF(O3278&lt;20,1,IF(O3278&gt;1000,10,MATCH(O3278,Cargas,1))),Coluna_fih,1,1))*(PI()*(fi_h/1000)^2/4)*SQRT(2*9.81*(O3278/100-fi_h/2/1000))*1000))</f>
        <v>76.892328686510808</v>
      </c>
      <c r="Q3278" s="19">
        <f ca="1">IF(O3278="","",IF(Tipo_Vertedor="Retangular",IF(O3278&lt;=cota_s*100,0,IF(Tipo_Vertedor="Retangular",Cd_sr*Lef_sr*((O3278/100-cota_s)^(3/2))*1000)),IF(O3278&lt;=cota_s*100+fi_s/20,0,(OFFSET('Base de dados'!$A$4,IF(O3278&lt;20,1,IF(O3278&gt;1000,10,MATCH(O3278,Cargas,1))),Coluna_fis,1,1))*(PI()*(fi_s/1000)^2/4)*(2*9.81*(O3278/100-cota_s-fi_s/2/1000))^0.5*1000)))</f>
        <v>22970.980915583823</v>
      </c>
      <c r="R3278" s="19">
        <f t="shared" ca="1" si="340"/>
        <v>23047.873244270333</v>
      </c>
      <c r="S3278" s="19">
        <f t="shared" ca="1" si="341"/>
        <v>21514.540271063943</v>
      </c>
    </row>
    <row r="3279" spans="13:19">
      <c r="M3279" s="81">
        <f t="shared" ca="1" si="338"/>
        <v>44581.155150388353</v>
      </c>
      <c r="N3279" s="19">
        <f t="shared" si="339"/>
        <v>645.65770793460717</v>
      </c>
      <c r="O3279" s="17">
        <f t="shared" si="337"/>
        <v>819.5</v>
      </c>
      <c r="P3279" s="19">
        <f ca="1">IF(ISERROR(IF(O3279&lt;fi_h/20,0,(OFFSET('Base de dados'!$A$5,IF(O3279&lt;20,1,IF(O3279&gt;1000,10,MATCH(O3279,Cargas,1))),Coluna_fih,1,1))*(1+0.13*0.25)*(PI()*(fi_h/1000)^2/4)*SQRT(2*9.81*(O3279/100-fi_h/2/1000))*1000)),"",IF(O3279&lt;fi_h/20,0,(OFFSET('Base de dados'!$A$5,IF(O3279&lt;20,1,IF(O3279&gt;1000,10,MATCH(O3279,Cargas,1))),Coluna_fih,1,1))*(PI()*(fi_h/1000)^2/4)*SQRT(2*9.81*(O3279/100-fi_h/2/1000))*1000))</f>
        <v>76.904141229201528</v>
      </c>
      <c r="Q3279" s="19">
        <f ca="1">IF(O3279="","",IF(Tipo_Vertedor="Retangular",IF(O3279&lt;=cota_s*100,0,IF(Tipo_Vertedor="Retangular",Cd_sr*Lef_sr*((O3279/100-cota_s)^(3/2))*1000)),IF(O3279&lt;=cota_s*100+fi_s/20,0,(OFFSET('Base de dados'!$A$4,IF(O3279&lt;20,1,IF(O3279&gt;1000,10,MATCH(O3279,Cargas,1))),Coluna_fis,1,1))*(PI()*(fi_s/1000)^2/4)*(2*9.81*(O3279/100-cota_s-fi_s/2/1000))^0.5*1000)))</f>
        <v>22982.327411338909</v>
      </c>
      <c r="R3279" s="19">
        <f t="shared" ca="1" si="340"/>
        <v>23059.231552568112</v>
      </c>
      <c r="S3279" s="19">
        <f t="shared" ca="1" si="341"/>
        <v>21521.923597820238</v>
      </c>
    </row>
    <row r="3280" spans="13:19">
      <c r="M3280" s="81">
        <f t="shared" ca="1" si="338"/>
        <v>44599.898931805772</v>
      </c>
      <c r="N3280" s="19">
        <f t="shared" si="339"/>
        <v>645.87921615515347</v>
      </c>
      <c r="O3280" s="17">
        <f t="shared" si="337"/>
        <v>819.75</v>
      </c>
      <c r="P3280" s="19">
        <f ca="1">IF(ISERROR(IF(O3280&lt;fi_h/20,0,(OFFSET('Base de dados'!$A$5,IF(O3280&lt;20,1,IF(O3280&gt;1000,10,MATCH(O3280,Cargas,1))),Coluna_fih,1,1))*(1+0.13*0.25)*(PI()*(fi_h/1000)^2/4)*SQRT(2*9.81*(O3280/100-fi_h/2/1000))*1000)),"",IF(O3280&lt;fi_h/20,0,(OFFSET('Base de dados'!$A$5,IF(O3280&lt;20,1,IF(O3280&gt;1000,10,MATCH(O3280,Cargas,1))),Coluna_fih,1,1))*(PI()*(fi_h/1000)^2/4)*SQRT(2*9.81*(O3280/100-fi_h/2/1000))*1000))</f>
        <v>76.915951957754089</v>
      </c>
      <c r="Q3280" s="19">
        <f ca="1">IF(O3280="","",IF(Tipo_Vertedor="Retangular",IF(O3280&lt;=cota_s*100,0,IF(Tipo_Vertedor="Retangular",Cd_sr*Lef_sr*((O3280/100-cota_s)^(3/2))*1000)),IF(O3280&lt;=cota_s*100+fi_s/20,0,(OFFSET('Base de dados'!$A$4,IF(O3280&lt;20,1,IF(O3280&gt;1000,10,MATCH(O3280,Cargas,1))),Coluna_fis,1,1))*(PI()*(fi_s/1000)^2/4)*(2*9.81*(O3280/100-cota_s-fi_s/2/1000))^0.5*1000)))</f>
        <v>22993.675774676238</v>
      </c>
      <c r="R3280" s="19">
        <f t="shared" ca="1" si="340"/>
        <v>23070.591726633993</v>
      </c>
      <c r="S3280" s="19">
        <f t="shared" ca="1" si="341"/>
        <v>21529.307205171783</v>
      </c>
    </row>
    <row r="3281" spans="13:19">
      <c r="M3281" s="81">
        <f t="shared" ca="1" si="338"/>
        <v>44618.64485920516</v>
      </c>
      <c r="N3281" s="19">
        <f t="shared" si="339"/>
        <v>646.10073279131007</v>
      </c>
      <c r="O3281" s="17">
        <f t="shared" si="337"/>
        <v>820</v>
      </c>
      <c r="P3281" s="19">
        <f ca="1">IF(ISERROR(IF(O3281&lt;fi_h/20,0,(OFFSET('Base de dados'!$A$5,IF(O3281&lt;20,1,IF(O3281&gt;1000,10,MATCH(O3281,Cargas,1))),Coluna_fih,1,1))*(1+0.13*0.25)*(PI()*(fi_h/1000)^2/4)*SQRT(2*9.81*(O3281/100-fi_h/2/1000))*1000)),"",IF(O3281&lt;fi_h/20,0,(OFFSET('Base de dados'!$A$5,IF(O3281&lt;20,1,IF(O3281&gt;1000,10,MATCH(O3281,Cargas,1))),Coluna_fih,1,1))*(PI()*(fi_h/1000)^2/4)*SQRT(2*9.81*(O3281/100-fi_h/2/1000))*1000))</f>
        <v>76.92776087300409</v>
      </c>
      <c r="Q3281" s="19">
        <f ca="1">IF(O3281="","",IF(Tipo_Vertedor="Retangular",IF(O3281&lt;=cota_s*100,0,IF(Tipo_Vertedor="Retangular",Cd_sr*Lef_sr*((O3281/100-cota_s)^(3/2))*1000)),IF(O3281&lt;=cota_s*100+fi_s/20,0,(OFFSET('Base de dados'!$A$4,IF(O3281&lt;20,1,IF(O3281&gt;1000,10,MATCH(O3281,Cargas,1))),Coluna_fis,1,1))*(PI()*(fi_s/1000)^2/4)*(2*9.81*(O3281/100-cota_s-fi_s/2/1000))^0.5*1000)))</f>
        <v>23005.026005288491</v>
      </c>
      <c r="R3281" s="19">
        <f t="shared" ca="1" si="340"/>
        <v>23081.953766161496</v>
      </c>
      <c r="S3281" s="19">
        <f t="shared" ca="1" si="341"/>
        <v>21536.691093043668</v>
      </c>
    </row>
    <row r="3282" spans="13:19">
      <c r="M3282" s="81">
        <f t="shared" ca="1" si="338"/>
        <v>44637.392932205388</v>
      </c>
      <c r="N3282" s="19">
        <f t="shared" si="339"/>
        <v>646.3222578408305</v>
      </c>
      <c r="O3282" s="17">
        <f t="shared" si="337"/>
        <v>820.25</v>
      </c>
      <c r="P3282" s="19">
        <f ca="1">IF(ISERROR(IF(O3282&lt;fi_h/20,0,(OFFSET('Base de dados'!$A$5,IF(O3282&lt;20,1,IF(O3282&gt;1000,10,MATCH(O3282,Cargas,1))),Coluna_fih,1,1))*(1+0.13*0.25)*(PI()*(fi_h/1000)^2/4)*SQRT(2*9.81*(O3282/100-fi_h/2/1000))*1000)),"",IF(O3282&lt;fi_h/20,0,(OFFSET('Base de dados'!$A$5,IF(O3282&lt;20,1,IF(O3282&gt;1000,10,MATCH(O3282,Cargas,1))),Coluna_fih,1,1))*(PI()*(fi_h/1000)^2/4)*SQRT(2*9.81*(O3282/100-fi_h/2/1000))*1000))</f>
        <v>76.939567975786431</v>
      </c>
      <c r="Q3282" s="19">
        <f ca="1">IF(O3282="","",IF(Tipo_Vertedor="Retangular",IF(O3282&lt;=cota_s*100,0,IF(Tipo_Vertedor="Retangular",Cd_sr*Lef_sr*((O3282/100-cota_s)^(3/2))*1000)),IF(O3282&lt;=cota_s*100+fi_s/20,0,(OFFSET('Base de dados'!$A$4,IF(O3282&lt;20,1,IF(O3282&gt;1000,10,MATCH(O3282,Cargas,1))),Coluna_fis,1,1))*(PI()*(fi_s/1000)^2/4)*(2*9.81*(O3282/100-cota_s-fi_s/2/1000))^0.5*1000)))</f>
        <v>23016.378102868581</v>
      </c>
      <c r="R3282" s="19">
        <f t="shared" ca="1" si="340"/>
        <v>23093.317670844368</v>
      </c>
      <c r="S3282" s="19">
        <f t="shared" ca="1" si="341"/>
        <v>21544.075261361017</v>
      </c>
    </row>
    <row r="3283" spans="13:19">
      <c r="M3283" s="81">
        <f t="shared" ca="1" si="338"/>
        <v>44656.1431504254</v>
      </c>
      <c r="N3283" s="19">
        <f t="shared" si="339"/>
        <v>646.54379130147061</v>
      </c>
      <c r="O3283" s="17">
        <f t="shared" ref="O3283:O3346" si="342">IF(ISERROR(IF(O3282+passo_altura&gt;h_max_puls*100,"",O3282+passo_altura)),"",IF(O3282+passo_altura&gt;h_max_puls*100,"",O3282+passo_altura))</f>
        <v>820.5</v>
      </c>
      <c r="P3283" s="19">
        <f ca="1">IF(ISERROR(IF(O3283&lt;fi_h/20,0,(OFFSET('Base de dados'!$A$5,IF(O3283&lt;20,1,IF(O3283&gt;1000,10,MATCH(O3283,Cargas,1))),Coluna_fih,1,1))*(1+0.13*0.25)*(PI()*(fi_h/1000)^2/4)*SQRT(2*9.81*(O3283/100-fi_h/2/1000))*1000)),"",IF(O3283&lt;fi_h/20,0,(OFFSET('Base de dados'!$A$5,IF(O3283&lt;20,1,IF(O3283&gt;1000,10,MATCH(O3283,Cargas,1))),Coluna_fih,1,1))*(PI()*(fi_h/1000)^2/4)*SQRT(2*9.81*(O3283/100-fi_h/2/1000))*1000))</f>
        <v>76.95137326693542</v>
      </c>
      <c r="Q3283" s="19">
        <f ca="1">IF(O3283="","",IF(Tipo_Vertedor="Retangular",IF(O3283&lt;=cota_s*100,0,IF(Tipo_Vertedor="Retangular",Cd_sr*Lef_sr*((O3283/100-cota_s)^(3/2))*1000)),IF(O3283&lt;=cota_s*100+fi_s/20,0,(OFFSET('Base de dados'!$A$4,IF(O3283&lt;20,1,IF(O3283&gt;1000,10,MATCH(O3283,Cargas,1))),Coluna_fis,1,1))*(PI()*(fi_s/1000)^2/4)*(2*9.81*(O3283/100-cota_s-fi_s/2/1000))^0.5*1000)))</f>
        <v>23027.732067109446</v>
      </c>
      <c r="R3283" s="19">
        <f t="shared" ca="1" si="340"/>
        <v>23104.683440376382</v>
      </c>
      <c r="S3283" s="19">
        <f t="shared" ca="1" si="341"/>
        <v>21551.459710049021</v>
      </c>
    </row>
    <row r="3284" spans="13:19">
      <c r="M3284" s="81">
        <f t="shared" ca="1" si="338"/>
        <v>44674.895513484415</v>
      </c>
      <c r="N3284" s="19">
        <f t="shared" si="339"/>
        <v>646.7653331709854</v>
      </c>
      <c r="O3284" s="17">
        <f t="shared" si="342"/>
        <v>820.75</v>
      </c>
      <c r="P3284" s="19">
        <f ca="1">IF(ISERROR(IF(O3284&lt;fi_h/20,0,(OFFSET('Base de dados'!$A$5,IF(O3284&lt;20,1,IF(O3284&gt;1000,10,MATCH(O3284,Cargas,1))),Coluna_fih,1,1))*(1+0.13*0.25)*(PI()*(fi_h/1000)^2/4)*SQRT(2*9.81*(O3284/100-fi_h/2/1000))*1000)),"",IF(O3284&lt;fi_h/20,0,(OFFSET('Base de dados'!$A$5,IF(O3284&lt;20,1,IF(O3284&gt;1000,10,MATCH(O3284,Cargas,1))),Coluna_fih,1,1))*(PI()*(fi_h/1000)^2/4)*SQRT(2*9.81*(O3284/100-fi_h/2/1000))*1000))</f>
        <v>76.963176747284706</v>
      </c>
      <c r="Q3284" s="19">
        <f ca="1">IF(O3284="","",IF(Tipo_Vertedor="Retangular",IF(O3284&lt;=cota_s*100,0,IF(Tipo_Vertedor="Retangular",Cd_sr*Lef_sr*((O3284/100-cota_s)^(3/2))*1000)),IF(O3284&lt;=cota_s*100+fi_s/20,0,(OFFSET('Base de dados'!$A$4,IF(O3284&lt;20,1,IF(O3284&gt;1000,10,MATCH(O3284,Cargas,1))),Coluna_fis,1,1))*(PI()*(fi_s/1000)^2/4)*(2*9.81*(O3284/100-cota_s-fi_s/2/1000))^0.5*1000)))</f>
        <v>23039.087897704281</v>
      </c>
      <c r="R3284" s="19">
        <f t="shared" ca="1" si="340"/>
        <v>23116.051074451567</v>
      </c>
      <c r="S3284" s="19">
        <f t="shared" ca="1" si="341"/>
        <v>21558.844439032848</v>
      </c>
    </row>
    <row r="3285" spans="13:19">
      <c r="M3285" s="81">
        <f t="shared" ca="1" si="338"/>
        <v>44693.6500210019</v>
      </c>
      <c r="N3285" s="19">
        <f t="shared" si="339"/>
        <v>646.98688344713423</v>
      </c>
      <c r="O3285" s="17">
        <f t="shared" si="342"/>
        <v>821</v>
      </c>
      <c r="P3285" s="19">
        <f ca="1">IF(ISERROR(IF(O3285&lt;fi_h/20,0,(OFFSET('Base de dados'!$A$5,IF(O3285&lt;20,1,IF(O3285&gt;1000,10,MATCH(O3285,Cargas,1))),Coluna_fih,1,1))*(1+0.13*0.25)*(PI()*(fi_h/1000)^2/4)*SQRT(2*9.81*(O3285/100-fi_h/2/1000))*1000)),"",IF(O3285&lt;fi_h/20,0,(OFFSET('Base de dados'!$A$5,IF(O3285&lt;20,1,IF(O3285&gt;1000,10,MATCH(O3285,Cargas,1))),Coluna_fih,1,1))*(PI()*(fi_h/1000)^2/4)*SQRT(2*9.81*(O3285/100-fi_h/2/1000))*1000))</f>
        <v>76.974978417667316</v>
      </c>
      <c r="Q3285" s="19">
        <f ca="1">IF(O3285="","",IF(Tipo_Vertedor="Retangular",IF(O3285&lt;=cota_s*100,0,IF(Tipo_Vertedor="Retangular",Cd_sr*Lef_sr*((O3285/100-cota_s)^(3/2))*1000)),IF(O3285&lt;=cota_s*100+fi_s/20,0,(OFFSET('Base de dados'!$A$4,IF(O3285&lt;20,1,IF(O3285&gt;1000,10,MATCH(O3285,Cargas,1))),Coluna_fis,1,1))*(PI()*(fi_s/1000)^2/4)*(2*9.81*(O3285/100-cota_s-fi_s/2/1000))^0.5*1000)))</f>
        <v>23050.445594346427</v>
      </c>
      <c r="R3285" s="19">
        <f t="shared" ca="1" si="340"/>
        <v>23127.420572764095</v>
      </c>
      <c r="S3285" s="19">
        <f t="shared" ca="1" si="341"/>
        <v>21566.229448237809</v>
      </c>
    </row>
    <row r="3286" spans="13:19">
      <c r="M3286" s="81">
        <f t="shared" ca="1" si="338"/>
        <v>44712.406672597368</v>
      </c>
      <c r="N3286" s="19">
        <f t="shared" si="339"/>
        <v>647.20844212767508</v>
      </c>
      <c r="O3286" s="17">
        <f t="shared" si="342"/>
        <v>821.25</v>
      </c>
      <c r="P3286" s="19">
        <f ca="1">IF(ISERROR(IF(O3286&lt;fi_h/20,0,(OFFSET('Base de dados'!$A$5,IF(O3286&lt;20,1,IF(O3286&gt;1000,10,MATCH(O3286,Cargas,1))),Coluna_fih,1,1))*(1+0.13*0.25)*(PI()*(fi_h/1000)^2/4)*SQRT(2*9.81*(O3286/100-fi_h/2/1000))*1000)),"",IF(O3286&lt;fi_h/20,0,(OFFSET('Base de dados'!$A$5,IF(O3286&lt;20,1,IF(O3286&gt;1000,10,MATCH(O3286,Cargas,1))),Coluna_fih,1,1))*(PI()*(fi_h/1000)^2/4)*SQRT(2*9.81*(O3286/100-fi_h/2/1000))*1000))</f>
        <v>76.986778278915594</v>
      </c>
      <c r="Q3286" s="19">
        <f ca="1">IF(O3286="","",IF(Tipo_Vertedor="Retangular",IF(O3286&lt;=cota_s*100,0,IF(Tipo_Vertedor="Retangular",Cd_sr*Lef_sr*((O3286/100-cota_s)^(3/2))*1000)),IF(O3286&lt;=cota_s*100+fi_s/20,0,(OFFSET('Base de dados'!$A$4,IF(O3286&lt;20,1,IF(O3286&gt;1000,10,MATCH(O3286,Cargas,1))),Coluna_fis,1,1))*(PI()*(fi_s/1000)^2/4)*(2*9.81*(O3286/100-cota_s-fi_s/2/1000))^0.5*1000)))</f>
        <v>23061.805156729282</v>
      </c>
      <c r="R3286" s="19">
        <f t="shared" ca="1" si="340"/>
        <v>23138.791935008197</v>
      </c>
      <c r="S3286" s="19">
        <f t="shared" ca="1" si="341"/>
        <v>21573.614737589167</v>
      </c>
    </row>
    <row r="3287" spans="13:19">
      <c r="M3287" s="81">
        <f t="shared" ref="M3287:M3350" ca="1" si="343">IF(O3287="","",2*N3287*1000/(Passo*60)+R3287)</f>
        <v>44731.165467890649</v>
      </c>
      <c r="N3287" s="19">
        <f t="shared" ref="N3287:N3350" si="344">IF(O3287="","",b_0*(O3287/100)^c_0)</f>
        <v>647.43000921036833</v>
      </c>
      <c r="O3287" s="17">
        <f t="shared" si="342"/>
        <v>821.5</v>
      </c>
      <c r="P3287" s="19">
        <f ca="1">IF(ISERROR(IF(O3287&lt;fi_h/20,0,(OFFSET('Base de dados'!$A$5,IF(O3287&lt;20,1,IF(O3287&gt;1000,10,MATCH(O3287,Cargas,1))),Coluna_fih,1,1))*(1+0.13*0.25)*(PI()*(fi_h/1000)^2/4)*SQRT(2*9.81*(O3287/100-fi_h/2/1000))*1000)),"",IF(O3287&lt;fi_h/20,0,(OFFSET('Base de dados'!$A$5,IF(O3287&lt;20,1,IF(O3287&gt;1000,10,MATCH(O3287,Cargas,1))),Coluna_fih,1,1))*(PI()*(fi_h/1000)^2/4)*SQRT(2*9.81*(O3287/100-fi_h/2/1000))*1000))</f>
        <v>76.998576331861301</v>
      </c>
      <c r="Q3287" s="19">
        <f ca="1">IF(O3287="","",IF(Tipo_Vertedor="Retangular",IF(O3287&lt;=cota_s*100,0,IF(Tipo_Vertedor="Retangular",Cd_sr*Lef_sr*((O3287/100-cota_s)^(3/2))*1000)),IF(O3287&lt;=cota_s*100+fi_s/20,0,(OFFSET('Base de dados'!$A$4,IF(O3287&lt;20,1,IF(O3287&gt;1000,10,MATCH(O3287,Cargas,1))),Coluna_fis,1,1))*(PI()*(fi_s/1000)^2/4)*(2*9.81*(O3287/100-cota_s-fi_s/2/1000))^0.5*1000)))</f>
        <v>23073.166584546507</v>
      </c>
      <c r="R3287" s="19">
        <f t="shared" ref="R3287:R3350" ca="1" si="345">IF(O3287="","",Q3287+P3287)</f>
        <v>23150.165160878369</v>
      </c>
      <c r="S3287" s="19">
        <f t="shared" ref="S3287:S3350" ca="1" si="346">IF(M3287="","",2*N3287*1000/(Passo*60))</f>
        <v>21581.000307012277</v>
      </c>
    </row>
    <row r="3288" spans="13:19">
      <c r="M3288" s="81">
        <f t="shared" ca="1" si="343"/>
        <v>44749.926406501698</v>
      </c>
      <c r="N3288" s="19">
        <f t="shared" si="344"/>
        <v>647.65158469297546</v>
      </c>
      <c r="O3288" s="17">
        <f t="shared" si="342"/>
        <v>821.75</v>
      </c>
      <c r="P3288" s="19">
        <f ca="1">IF(ISERROR(IF(O3288&lt;fi_h/20,0,(OFFSET('Base de dados'!$A$5,IF(O3288&lt;20,1,IF(O3288&gt;1000,10,MATCH(O3288,Cargas,1))),Coluna_fih,1,1))*(1+0.13*0.25)*(PI()*(fi_h/1000)^2/4)*SQRT(2*9.81*(O3288/100-fi_h/2/1000))*1000)),"",IF(O3288&lt;fi_h/20,0,(OFFSET('Base de dados'!$A$5,IF(O3288&lt;20,1,IF(O3288&gt;1000,10,MATCH(O3288,Cargas,1))),Coluna_fih,1,1))*(PI()*(fi_h/1000)^2/4)*SQRT(2*9.81*(O3288/100-fi_h/2/1000))*1000))</f>
        <v>77.010372577335531</v>
      </c>
      <c r="Q3288" s="19">
        <f ca="1">IF(O3288="","",IF(Tipo_Vertedor="Retangular",IF(O3288&lt;=cota_s*100,0,IF(Tipo_Vertedor="Retangular",Cd_sr*Lef_sr*((O3288/100-cota_s)^(3/2))*1000)),IF(O3288&lt;=cota_s*100+fi_s/20,0,(OFFSET('Base de dados'!$A$4,IF(O3288&lt;20,1,IF(O3288&gt;1000,10,MATCH(O3288,Cargas,1))),Coluna_fis,1,1))*(PI()*(fi_s/1000)^2/4)*(2*9.81*(O3288/100-cota_s-fi_s/2/1000))^0.5*1000)))</f>
        <v>23084.529877491845</v>
      </c>
      <c r="R3288" s="19">
        <f t="shared" ca="1" si="345"/>
        <v>23161.540250069182</v>
      </c>
      <c r="S3288" s="19">
        <f t="shared" ca="1" si="346"/>
        <v>21588.386156432516</v>
      </c>
    </row>
    <row r="3289" spans="13:19">
      <c r="M3289" s="81">
        <f t="shared" ca="1" si="343"/>
        <v>44768.689488050732</v>
      </c>
      <c r="N3289" s="19">
        <f t="shared" si="344"/>
        <v>647.87316857325982</v>
      </c>
      <c r="O3289" s="17">
        <f t="shared" si="342"/>
        <v>822</v>
      </c>
      <c r="P3289" s="19">
        <f ca="1">IF(ISERROR(IF(O3289&lt;fi_h/20,0,(OFFSET('Base de dados'!$A$5,IF(O3289&lt;20,1,IF(O3289&gt;1000,10,MATCH(O3289,Cargas,1))),Coluna_fih,1,1))*(1+0.13*0.25)*(PI()*(fi_h/1000)^2/4)*SQRT(2*9.81*(O3289/100-fi_h/2/1000))*1000)),"",IF(O3289&lt;fi_h/20,0,(OFFSET('Base de dados'!$A$5,IF(O3289&lt;20,1,IF(O3289&gt;1000,10,MATCH(O3289,Cargas,1))),Coluna_fih,1,1))*(PI()*(fi_h/1000)^2/4)*SQRT(2*9.81*(O3289/100-fi_h/2/1000))*1000))</f>
        <v>77.022167016168765</v>
      </c>
      <c r="Q3289" s="19">
        <f ca="1">IF(O3289="","",IF(Tipo_Vertedor="Retangular",IF(O3289&lt;=cota_s*100,0,IF(Tipo_Vertedor="Retangular",Cd_sr*Lef_sr*((O3289/100-cota_s)^(3/2))*1000)),IF(O3289&lt;=cota_s*100+fi_s/20,0,(OFFSET('Base de dados'!$A$4,IF(O3289&lt;20,1,IF(O3289&gt;1000,10,MATCH(O3289,Cargas,1))),Coluna_fis,1,1))*(PI()*(fi_s/1000)^2/4)*(2*9.81*(O3289/100-cota_s-fi_s/2/1000))^0.5*1000)))</f>
        <v>23095.895035259236</v>
      </c>
      <c r="R3289" s="19">
        <f t="shared" ca="1" si="345"/>
        <v>23172.917202275406</v>
      </c>
      <c r="S3289" s="19">
        <f t="shared" ca="1" si="346"/>
        <v>21595.772285775329</v>
      </c>
    </row>
    <row r="3290" spans="13:19">
      <c r="M3290" s="81">
        <f t="shared" ca="1" si="343"/>
        <v>44787.454712158069</v>
      </c>
      <c r="N3290" s="19">
        <f t="shared" si="344"/>
        <v>648.09476084898483</v>
      </c>
      <c r="O3290" s="17">
        <f t="shared" si="342"/>
        <v>822.25</v>
      </c>
      <c r="P3290" s="19">
        <f ca="1">IF(ISERROR(IF(O3290&lt;fi_h/20,0,(OFFSET('Base de dados'!$A$5,IF(O3290&lt;20,1,IF(O3290&gt;1000,10,MATCH(O3290,Cargas,1))),Coluna_fih,1,1))*(1+0.13*0.25)*(PI()*(fi_h/1000)^2/4)*SQRT(2*9.81*(O3290/100-fi_h/2/1000))*1000)),"",IF(O3290&lt;fi_h/20,0,(OFFSET('Base de dados'!$A$5,IF(O3290&lt;20,1,IF(O3290&gt;1000,10,MATCH(O3290,Cargas,1))),Coluna_fih,1,1))*(PI()*(fi_h/1000)^2/4)*SQRT(2*9.81*(O3290/100-fi_h/2/1000))*1000))</f>
        <v>77.033959649190805</v>
      </c>
      <c r="Q3290" s="19">
        <f ca="1">IF(O3290="","",IF(Tipo_Vertedor="Retangular",IF(O3290&lt;=cota_s*100,0,IF(Tipo_Vertedor="Retangular",Cd_sr*Lef_sr*((O3290/100-cota_s)^(3/2))*1000)),IF(O3290&lt;=cota_s*100+fi_s/20,0,(OFFSET('Base de dados'!$A$4,IF(O3290&lt;20,1,IF(O3290&gt;1000,10,MATCH(O3290,Cargas,1))),Coluna_fis,1,1))*(PI()*(fi_s/1000)^2/4)*(2*9.81*(O3290/100-cota_s-fi_s/2/1000))^0.5*1000)))</f>
        <v>23107.262057542721</v>
      </c>
      <c r="R3290" s="19">
        <f t="shared" ca="1" si="345"/>
        <v>23184.296017191911</v>
      </c>
      <c r="S3290" s="19">
        <f t="shared" ca="1" si="346"/>
        <v>21603.158694966161</v>
      </c>
    </row>
    <row r="3291" spans="13:19">
      <c r="M3291" s="81">
        <f t="shared" ca="1" si="343"/>
        <v>44806.222078444276</v>
      </c>
      <c r="N3291" s="19">
        <f t="shared" si="344"/>
        <v>648.31636151791599</v>
      </c>
      <c r="O3291" s="17">
        <f t="shared" si="342"/>
        <v>822.5</v>
      </c>
      <c r="P3291" s="19">
        <f ca="1">IF(ISERROR(IF(O3291&lt;fi_h/20,0,(OFFSET('Base de dados'!$A$5,IF(O3291&lt;20,1,IF(O3291&gt;1000,10,MATCH(O3291,Cargas,1))),Coluna_fih,1,1))*(1+0.13*0.25)*(PI()*(fi_h/1000)^2/4)*SQRT(2*9.81*(O3291/100-fi_h/2/1000))*1000)),"",IF(O3291&lt;fi_h/20,0,(OFFSET('Base de dados'!$A$5,IF(O3291&lt;20,1,IF(O3291&gt;1000,10,MATCH(O3291,Cargas,1))),Coluna_fih,1,1))*(PI()*(fi_h/1000)^2/4)*SQRT(2*9.81*(O3291/100-fi_h/2/1000))*1000))</f>
        <v>77.045750477230882</v>
      </c>
      <c r="Q3291" s="19">
        <f ca="1">IF(O3291="","",IF(Tipo_Vertedor="Retangular",IF(O3291&lt;=cota_s*100,0,IF(Tipo_Vertedor="Retangular",Cd_sr*Lef_sr*((O3291/100-cota_s)^(3/2))*1000)),IF(O3291&lt;=cota_s*100+fi_s/20,0,(OFFSET('Base de dados'!$A$4,IF(O3291&lt;20,1,IF(O3291&gt;1000,10,MATCH(O3291,Cargas,1))),Coluna_fis,1,1))*(PI()*(fi_s/1000)^2/4)*(2*9.81*(O3291/100-cota_s-fi_s/2/1000))^0.5*1000)))</f>
        <v>23118.630944036508</v>
      </c>
      <c r="R3291" s="19">
        <f t="shared" ca="1" si="345"/>
        <v>23195.676694513739</v>
      </c>
      <c r="S3291" s="19">
        <f t="shared" ca="1" si="346"/>
        <v>21610.545383930534</v>
      </c>
    </row>
    <row r="3292" spans="13:19">
      <c r="M3292" s="81">
        <f t="shared" ca="1" si="343"/>
        <v>44824.99158653013</v>
      </c>
      <c r="N3292" s="19">
        <f t="shared" si="344"/>
        <v>648.53797057782015</v>
      </c>
      <c r="O3292" s="17">
        <f t="shared" si="342"/>
        <v>822.75</v>
      </c>
      <c r="P3292" s="19">
        <f ca="1">IF(ISERROR(IF(O3292&lt;fi_h/20,0,(OFFSET('Base de dados'!$A$5,IF(O3292&lt;20,1,IF(O3292&gt;1000,10,MATCH(O3292,Cargas,1))),Coluna_fih,1,1))*(1+0.13*0.25)*(PI()*(fi_h/1000)^2/4)*SQRT(2*9.81*(O3292/100-fi_h/2/1000))*1000)),"",IF(O3292&lt;fi_h/20,0,(OFFSET('Base de dados'!$A$5,IF(O3292&lt;20,1,IF(O3292&gt;1000,10,MATCH(O3292,Cargas,1))),Coluna_fih,1,1))*(PI()*(fi_h/1000)^2/4)*SQRT(2*9.81*(O3292/100-fi_h/2/1000))*1000))</f>
        <v>77.057539501117489</v>
      </c>
      <c r="Q3292" s="19">
        <f ca="1">IF(O3292="","",IF(Tipo_Vertedor="Retangular",IF(O3292&lt;=cota_s*100,0,IF(Tipo_Vertedor="Retangular",Cd_sr*Lef_sr*((O3292/100-cota_s)^(3/2))*1000)),IF(O3292&lt;=cota_s*100+fi_s/20,0,(OFFSET('Base de dados'!$A$4,IF(O3292&lt;20,1,IF(O3292&gt;1000,10,MATCH(O3292,Cargas,1))),Coluna_fis,1,1))*(PI()*(fi_s/1000)^2/4)*(2*9.81*(O3292/100-cota_s-fi_s/2/1000))^0.5*1000)))</f>
        <v>23130.001694435006</v>
      </c>
      <c r="R3292" s="19">
        <f t="shared" ca="1" si="345"/>
        <v>23207.059233936125</v>
      </c>
      <c r="S3292" s="19">
        <f t="shared" ca="1" si="346"/>
        <v>21617.932352594005</v>
      </c>
    </row>
    <row r="3293" spans="13:19">
      <c r="M3293" s="81">
        <f t="shared" ca="1" si="343"/>
        <v>44843.763236036539</v>
      </c>
      <c r="N3293" s="19">
        <f t="shared" si="344"/>
        <v>648.75958802646539</v>
      </c>
      <c r="O3293" s="17">
        <f t="shared" si="342"/>
        <v>823</v>
      </c>
      <c r="P3293" s="19">
        <f ca="1">IF(ISERROR(IF(O3293&lt;fi_h/20,0,(OFFSET('Base de dados'!$A$5,IF(O3293&lt;20,1,IF(O3293&gt;1000,10,MATCH(O3293,Cargas,1))),Coluna_fih,1,1))*(1+0.13*0.25)*(PI()*(fi_h/1000)^2/4)*SQRT(2*9.81*(O3293/100-fi_h/2/1000))*1000)),"",IF(O3293&lt;fi_h/20,0,(OFFSET('Base de dados'!$A$5,IF(O3293&lt;20,1,IF(O3293&gt;1000,10,MATCH(O3293,Cargas,1))),Coluna_fih,1,1))*(PI()*(fi_h/1000)^2/4)*SQRT(2*9.81*(O3293/100-fi_h/2/1000))*1000))</f>
        <v>77.069326721678607</v>
      </c>
      <c r="Q3293" s="19">
        <f ca="1">IF(O3293="","",IF(Tipo_Vertedor="Retangular",IF(O3293&lt;=cota_s*100,0,IF(Tipo_Vertedor="Retangular",Cd_sr*Lef_sr*((O3293/100-cota_s)^(3/2))*1000)),IF(O3293&lt;=cota_s*100+fi_s/20,0,(OFFSET('Base de dados'!$A$4,IF(O3293&lt;20,1,IF(O3293&gt;1000,10,MATCH(O3293,Cargas,1))),Coluna_fis,1,1))*(PI()*(fi_s/1000)^2/4)*(2*9.81*(O3293/100-cota_s-fi_s/2/1000))^0.5*1000)))</f>
        <v>23141.374308432685</v>
      </c>
      <c r="R3293" s="19">
        <f t="shared" ca="1" si="345"/>
        <v>23218.443635154363</v>
      </c>
      <c r="S3293" s="19">
        <f t="shared" ca="1" si="346"/>
        <v>21625.31960088218</v>
      </c>
    </row>
    <row r="3294" spans="13:19">
      <c r="M3294" s="81">
        <f t="shared" ca="1" si="343"/>
        <v>44862.53702658465</v>
      </c>
      <c r="N3294" s="19">
        <f t="shared" si="344"/>
        <v>648.9812138616204</v>
      </c>
      <c r="O3294" s="17">
        <f t="shared" si="342"/>
        <v>823.25</v>
      </c>
      <c r="P3294" s="19">
        <f ca="1">IF(ISERROR(IF(O3294&lt;fi_h/20,0,(OFFSET('Base de dados'!$A$5,IF(O3294&lt;20,1,IF(O3294&gt;1000,10,MATCH(O3294,Cargas,1))),Coluna_fih,1,1))*(1+0.13*0.25)*(PI()*(fi_h/1000)^2/4)*SQRT(2*9.81*(O3294/100-fi_h/2/1000))*1000)),"",IF(O3294&lt;fi_h/20,0,(OFFSET('Base de dados'!$A$5,IF(O3294&lt;20,1,IF(O3294&gt;1000,10,MATCH(O3294,Cargas,1))),Coluna_fih,1,1))*(PI()*(fi_h/1000)^2/4)*SQRT(2*9.81*(O3294/100-fi_h/2/1000))*1000))</f>
        <v>77.081112139741521</v>
      </c>
      <c r="Q3294" s="19">
        <f ca="1">IF(O3294="","",IF(Tipo_Vertedor="Retangular",IF(O3294&lt;=cota_s*100,0,IF(Tipo_Vertedor="Retangular",Cd_sr*Lef_sr*((O3294/100-cota_s)^(3/2))*1000)),IF(O3294&lt;=cota_s*100+fi_s/20,0,(OFFSET('Base de dados'!$A$4,IF(O3294&lt;20,1,IF(O3294&gt;1000,10,MATCH(O3294,Cargas,1))),Coluna_fis,1,1))*(PI()*(fi_s/1000)^2/4)*(2*9.81*(O3294/100-cota_s-fi_s/2/1000))^0.5*1000)))</f>
        <v>23152.748785724227</v>
      </c>
      <c r="R3294" s="19">
        <f t="shared" ca="1" si="345"/>
        <v>23229.829897863969</v>
      </c>
      <c r="S3294" s="19">
        <f t="shared" ca="1" si="346"/>
        <v>21632.707128720682</v>
      </c>
    </row>
    <row r="3295" spans="13:19">
      <c r="M3295" s="81">
        <f t="shared" ca="1" si="343"/>
        <v>44881.312957795803</v>
      </c>
      <c r="N3295" s="19">
        <f t="shared" si="344"/>
        <v>649.202848081056</v>
      </c>
      <c r="O3295" s="17">
        <f t="shared" si="342"/>
        <v>823.5</v>
      </c>
      <c r="P3295" s="19">
        <f ca="1">IF(ISERROR(IF(O3295&lt;fi_h/20,0,(OFFSET('Base de dados'!$A$5,IF(O3295&lt;20,1,IF(O3295&gt;1000,10,MATCH(O3295,Cargas,1))),Coluna_fih,1,1))*(1+0.13*0.25)*(PI()*(fi_h/1000)^2/4)*SQRT(2*9.81*(O3295/100-fi_h/2/1000))*1000)),"",IF(O3295&lt;fi_h/20,0,(OFFSET('Base de dados'!$A$5,IF(O3295&lt;20,1,IF(O3295&gt;1000,10,MATCH(O3295,Cargas,1))),Coluna_fih,1,1))*(PI()*(fi_h/1000)^2/4)*SQRT(2*9.81*(O3295/100-fi_h/2/1000))*1000))</f>
        <v>77.092895756132862</v>
      </c>
      <c r="Q3295" s="19">
        <f ca="1">IF(O3295="","",IF(Tipo_Vertedor="Retangular",IF(O3295&lt;=cota_s*100,0,IF(Tipo_Vertedor="Retangular",Cd_sr*Lef_sr*((O3295/100-cota_s)^(3/2))*1000)),IF(O3295&lt;=cota_s*100+fi_s/20,0,(OFFSET('Base de dados'!$A$4,IF(O3295&lt;20,1,IF(O3295&gt;1000,10,MATCH(O3295,Cargas,1))),Coluna_fis,1,1))*(PI()*(fi_s/1000)^2/4)*(2*9.81*(O3295/100-cota_s-fi_s/2/1000))^0.5*1000)))</f>
        <v>23164.125126004463</v>
      </c>
      <c r="R3295" s="19">
        <f t="shared" ca="1" si="345"/>
        <v>23241.218021760596</v>
      </c>
      <c r="S3295" s="19">
        <f t="shared" ca="1" si="346"/>
        <v>21640.094936035202</v>
      </c>
    </row>
    <row r="3296" spans="13:19">
      <c r="M3296" s="81">
        <f t="shared" ca="1" si="343"/>
        <v>44900.091029291492</v>
      </c>
      <c r="N3296" s="19">
        <f t="shared" si="344"/>
        <v>649.42449068254348</v>
      </c>
      <c r="O3296" s="17">
        <f t="shared" si="342"/>
        <v>823.75</v>
      </c>
      <c r="P3296" s="19">
        <f ca="1">IF(ISERROR(IF(O3296&lt;fi_h/20,0,(OFFSET('Base de dados'!$A$5,IF(O3296&lt;20,1,IF(O3296&gt;1000,10,MATCH(O3296,Cargas,1))),Coluna_fih,1,1))*(1+0.13*0.25)*(PI()*(fi_h/1000)^2/4)*SQRT(2*9.81*(O3296/100-fi_h/2/1000))*1000)),"",IF(O3296&lt;fi_h/20,0,(OFFSET('Base de dados'!$A$5,IF(O3296&lt;20,1,IF(O3296&gt;1000,10,MATCH(O3296,Cargas,1))),Coluna_fih,1,1))*(PI()*(fi_h/1000)^2/4)*SQRT(2*9.81*(O3296/100-fi_h/2/1000))*1000))</f>
        <v>77.104677571678707</v>
      </c>
      <c r="Q3296" s="19">
        <f ca="1">IF(O3296="","",IF(Tipo_Vertedor="Retangular",IF(O3296&lt;=cota_s*100,0,IF(Tipo_Vertedor="Retangular",Cd_sr*Lef_sr*((O3296/100-cota_s)^(3/2))*1000)),IF(O3296&lt;=cota_s*100+fi_s/20,0,(OFFSET('Base de dados'!$A$4,IF(O3296&lt;20,1,IF(O3296&gt;1000,10,MATCH(O3296,Cargas,1))),Coluna_fis,1,1))*(PI()*(fi_s/1000)^2/4)*(2*9.81*(O3296/100-cota_s-fi_s/2/1000))^0.5*1000)))</f>
        <v>23175.50332896836</v>
      </c>
      <c r="R3296" s="19">
        <f t="shared" ca="1" si="345"/>
        <v>23252.608006540038</v>
      </c>
      <c r="S3296" s="19">
        <f t="shared" ca="1" si="346"/>
        <v>21647.48302275145</v>
      </c>
    </row>
    <row r="3297" spans="13:19">
      <c r="M3297" s="81">
        <f t="shared" ca="1" si="343"/>
        <v>44918.87124069345</v>
      </c>
      <c r="N3297" s="19">
        <f t="shared" si="344"/>
        <v>649.64614166385661</v>
      </c>
      <c r="O3297" s="17">
        <f t="shared" si="342"/>
        <v>824</v>
      </c>
      <c r="P3297" s="19">
        <f ca="1">IF(ISERROR(IF(O3297&lt;fi_h/20,0,(OFFSET('Base de dados'!$A$5,IF(O3297&lt;20,1,IF(O3297&gt;1000,10,MATCH(O3297,Cargas,1))),Coluna_fih,1,1))*(1+0.13*0.25)*(PI()*(fi_h/1000)^2/4)*SQRT(2*9.81*(O3297/100-fi_h/2/1000))*1000)),"",IF(O3297&lt;fi_h/20,0,(OFFSET('Base de dados'!$A$5,IF(O3297&lt;20,1,IF(O3297&gt;1000,10,MATCH(O3297,Cargas,1))),Coluna_fih,1,1))*(PI()*(fi_h/1000)^2/4)*SQRT(2*9.81*(O3297/100-fi_h/2/1000))*1000))</f>
        <v>77.116457587204394</v>
      </c>
      <c r="Q3297" s="19">
        <f ca="1">IF(O3297="","",IF(Tipo_Vertedor="Retangular",IF(O3297&lt;=cota_s*100,0,IF(Tipo_Vertedor="Retangular",Cd_sr*Lef_sr*((O3297/100-cota_s)^(3/2))*1000)),IF(O3297&lt;=cota_s*100+fi_s/20,0,(OFFSET('Base de dados'!$A$4,IF(O3297&lt;20,1,IF(O3297&gt;1000,10,MATCH(O3297,Cargas,1))),Coluna_fis,1,1))*(PI()*(fi_s/1000)^2/4)*(2*9.81*(O3297/100-cota_s-fi_s/2/1000))^0.5*1000)))</f>
        <v>23186.883394311029</v>
      </c>
      <c r="R3297" s="19">
        <f t="shared" ca="1" si="345"/>
        <v>23263.999851898232</v>
      </c>
      <c r="S3297" s="19">
        <f t="shared" ca="1" si="346"/>
        <v>21654.871388795218</v>
      </c>
    </row>
    <row r="3298" spans="13:19">
      <c r="M3298" s="81">
        <f t="shared" ca="1" si="343"/>
        <v>44937.653591623544</v>
      </c>
      <c r="N3298" s="19">
        <f t="shared" si="344"/>
        <v>649.86780102276884</v>
      </c>
      <c r="O3298" s="17">
        <f t="shared" si="342"/>
        <v>824.25</v>
      </c>
      <c r="P3298" s="19">
        <f ca="1">IF(ISERROR(IF(O3298&lt;fi_h/20,0,(OFFSET('Base de dados'!$A$5,IF(O3298&lt;20,1,IF(O3298&gt;1000,10,MATCH(O3298,Cargas,1))),Coluna_fih,1,1))*(1+0.13*0.25)*(PI()*(fi_h/1000)^2/4)*SQRT(2*9.81*(O3298/100-fi_h/2/1000))*1000)),"",IF(O3298&lt;fi_h/20,0,(OFFSET('Base de dados'!$A$5,IF(O3298&lt;20,1,IF(O3298&gt;1000,10,MATCH(O3298,Cargas,1))),Coluna_fih,1,1))*(PI()*(fi_h/1000)^2/4)*SQRT(2*9.81*(O3298/100-fi_h/2/1000))*1000))</f>
        <v>77.128235803534707</v>
      </c>
      <c r="Q3298" s="19">
        <f ca="1">IF(O3298="","",IF(Tipo_Vertedor="Retangular",IF(O3298&lt;=cota_s*100,0,IF(Tipo_Vertedor="Retangular",Cd_sr*Lef_sr*((O3298/100-cota_s)^(3/2))*1000)),IF(O3298&lt;=cota_s*100+fi_s/20,0,(OFFSET('Base de dados'!$A$4,IF(O3298&lt;20,1,IF(O3298&gt;1000,10,MATCH(O3298,Cargas,1))),Coluna_fis,1,1))*(PI()*(fi_s/1000)^2/4)*(2*9.81*(O3298/100-cota_s-fi_s/2/1000))^0.5*1000)))</f>
        <v>23198.265321727711</v>
      </c>
      <c r="R3298" s="19">
        <f t="shared" ca="1" si="345"/>
        <v>23275.393557531246</v>
      </c>
      <c r="S3298" s="19">
        <f t="shared" ca="1" si="346"/>
        <v>21662.260034092295</v>
      </c>
    </row>
    <row r="3299" spans="13:19">
      <c r="M3299" s="81">
        <f t="shared" ca="1" si="343"/>
        <v>44956.438081703891</v>
      </c>
      <c r="N3299" s="19">
        <f t="shared" si="344"/>
        <v>650.08946875705612</v>
      </c>
      <c r="O3299" s="17">
        <f t="shared" si="342"/>
        <v>824.5</v>
      </c>
      <c r="P3299" s="19">
        <f ca="1">IF(ISERROR(IF(O3299&lt;fi_h/20,0,(OFFSET('Base de dados'!$A$5,IF(O3299&lt;20,1,IF(O3299&gt;1000,10,MATCH(O3299,Cargas,1))),Coluna_fih,1,1))*(1+0.13*0.25)*(PI()*(fi_h/1000)^2/4)*SQRT(2*9.81*(O3299/100-fi_h/2/1000))*1000)),"",IF(O3299&lt;fi_h/20,0,(OFFSET('Base de dados'!$A$5,IF(O3299&lt;20,1,IF(O3299&gt;1000,10,MATCH(O3299,Cargas,1))),Coluna_fih,1,1))*(PI()*(fi_h/1000)^2/4)*SQRT(2*9.81*(O3299/100-fi_h/2/1000))*1000))</f>
        <v>77.140012221493819</v>
      </c>
      <c r="Q3299" s="19">
        <f ca="1">IF(O3299="","",IF(Tipo_Vertedor="Retangular",IF(O3299&lt;=cota_s*100,0,IF(Tipo_Vertedor="Retangular",Cd_sr*Lef_sr*((O3299/100-cota_s)^(3/2))*1000)),IF(O3299&lt;=cota_s*100+fi_s/20,0,(OFFSET('Base de dados'!$A$4,IF(O3299&lt;20,1,IF(O3299&gt;1000,10,MATCH(O3299,Cargas,1))),Coluna_fis,1,1))*(PI()*(fi_s/1000)^2/4)*(2*9.81*(O3299/100-cota_s-fi_s/2/1000))^0.5*1000)))</f>
        <v>23209.649110913859</v>
      </c>
      <c r="R3299" s="19">
        <f t="shared" ca="1" si="345"/>
        <v>23286.789123135353</v>
      </c>
      <c r="S3299" s="19">
        <f t="shared" ca="1" si="346"/>
        <v>21669.648958568538</v>
      </c>
    </row>
    <row r="3300" spans="13:19">
      <c r="M3300" s="81">
        <f t="shared" ca="1" si="343"/>
        <v>44975.22471055678</v>
      </c>
      <c r="N3300" s="19">
        <f t="shared" si="344"/>
        <v>650.31114486449519</v>
      </c>
      <c r="O3300" s="17">
        <f t="shared" si="342"/>
        <v>824.75</v>
      </c>
      <c r="P3300" s="19">
        <f ca="1">IF(ISERROR(IF(O3300&lt;fi_h/20,0,(OFFSET('Base de dados'!$A$5,IF(O3300&lt;20,1,IF(O3300&gt;1000,10,MATCH(O3300,Cargas,1))),Coluna_fih,1,1))*(1+0.13*0.25)*(PI()*(fi_h/1000)^2/4)*SQRT(2*9.81*(O3300/100-fi_h/2/1000))*1000)),"",IF(O3300&lt;fi_h/20,0,(OFFSET('Base de dados'!$A$5,IF(O3300&lt;20,1,IF(O3300&gt;1000,10,MATCH(O3300,Cargas,1))),Coluna_fih,1,1))*(PI()*(fi_h/1000)^2/4)*SQRT(2*9.81*(O3300/100-fi_h/2/1000))*1000))</f>
        <v>77.151786841905206</v>
      </c>
      <c r="Q3300" s="19">
        <f ca="1">IF(O3300="","",IF(Tipo_Vertedor="Retangular",IF(O3300&lt;=cota_s*100,0,IF(Tipo_Vertedor="Retangular",Cd_sr*Lef_sr*((O3300/100-cota_s)^(3/2))*1000)),IF(O3300&lt;=cota_s*100+fi_s/20,0,(OFFSET('Base de dados'!$A$4,IF(O3300&lt;20,1,IF(O3300&gt;1000,10,MATCH(O3300,Cargas,1))),Coluna_fis,1,1))*(PI()*(fi_s/1000)^2/4)*(2*9.81*(O3300/100-cota_s-fi_s/2/1000))^0.5*1000)))</f>
        <v>23221.034761565032</v>
      </c>
      <c r="R3300" s="19">
        <f t="shared" ca="1" si="345"/>
        <v>23298.186548406939</v>
      </c>
      <c r="S3300" s="19">
        <f t="shared" ca="1" si="346"/>
        <v>21677.038162149838</v>
      </c>
    </row>
    <row r="3301" spans="13:19">
      <c r="M3301" s="81">
        <f t="shared" ca="1" si="343"/>
        <v>44994.013477804634</v>
      </c>
      <c r="N3301" s="19">
        <f t="shared" si="344"/>
        <v>650.53282934286381</v>
      </c>
      <c r="O3301" s="17">
        <f t="shared" si="342"/>
        <v>825</v>
      </c>
      <c r="P3301" s="19">
        <f ca="1">IF(ISERROR(IF(O3301&lt;fi_h/20,0,(OFFSET('Base de dados'!$A$5,IF(O3301&lt;20,1,IF(O3301&gt;1000,10,MATCH(O3301,Cargas,1))),Coluna_fih,1,1))*(1+0.13*0.25)*(PI()*(fi_h/1000)^2/4)*SQRT(2*9.81*(O3301/100-fi_h/2/1000))*1000)),"",IF(O3301&lt;fi_h/20,0,(OFFSET('Base de dados'!$A$5,IF(O3301&lt;20,1,IF(O3301&gt;1000,10,MATCH(O3301,Cargas,1))),Coluna_fih,1,1))*(PI()*(fi_h/1000)^2/4)*SQRT(2*9.81*(O3301/100-fi_h/2/1000))*1000))</f>
        <v>77.163559665591762</v>
      </c>
      <c r="Q3301" s="19">
        <f ca="1">IF(O3301="","",IF(Tipo_Vertedor="Retangular",IF(O3301&lt;=cota_s*100,0,IF(Tipo_Vertedor="Retangular",Cd_sr*Lef_sr*((O3301/100-cota_s)^(3/2))*1000)),IF(O3301&lt;=cota_s*100+fi_s/20,0,(OFFSET('Base de dados'!$A$4,IF(O3301&lt;20,1,IF(O3301&gt;1000,10,MATCH(O3301,Cargas,1))),Coluna_fis,1,1))*(PI()*(fi_s/1000)^2/4)*(2*9.81*(O3301/100-cota_s-fi_s/2/1000))^0.5*1000)))</f>
        <v>23232.422273376917</v>
      </c>
      <c r="R3301" s="19">
        <f t="shared" ca="1" si="345"/>
        <v>23309.585833042507</v>
      </c>
      <c r="S3301" s="19">
        <f t="shared" ca="1" si="346"/>
        <v>21684.427644762127</v>
      </c>
    </row>
    <row r="3302" spans="13:19">
      <c r="M3302" s="81">
        <f t="shared" ca="1" si="343"/>
        <v>45012.804383070179</v>
      </c>
      <c r="N3302" s="19">
        <f t="shared" si="344"/>
        <v>650.75452218994155</v>
      </c>
      <c r="O3302" s="17">
        <f t="shared" si="342"/>
        <v>825.25</v>
      </c>
      <c r="P3302" s="19">
        <f ca="1">IF(ISERROR(IF(O3302&lt;fi_h/20,0,(OFFSET('Base de dados'!$A$5,IF(O3302&lt;20,1,IF(O3302&gt;1000,10,MATCH(O3302,Cargas,1))),Coluna_fih,1,1))*(1+0.13*0.25)*(PI()*(fi_h/1000)^2/4)*SQRT(2*9.81*(O3302/100-fi_h/2/1000))*1000)),"",IF(O3302&lt;fi_h/20,0,(OFFSET('Base de dados'!$A$5,IF(O3302&lt;20,1,IF(O3302&gt;1000,10,MATCH(O3302,Cargas,1))),Coluna_fih,1,1))*(PI()*(fi_h/1000)^2/4)*SQRT(2*9.81*(O3302/100-fi_h/2/1000))*1000))</f>
        <v>77.175330693375727</v>
      </c>
      <c r="Q3302" s="19">
        <f ca="1">IF(O3302="","",IF(Tipo_Vertedor="Retangular",IF(O3302&lt;=cota_s*100,0,IF(Tipo_Vertedor="Retangular",Cd_sr*Lef_sr*((O3302/100-cota_s)^(3/2))*1000)),IF(O3302&lt;=cota_s*100+fi_s/20,0,(OFFSET('Base de dados'!$A$4,IF(O3302&lt;20,1,IF(O3302&gt;1000,10,MATCH(O3302,Cargas,1))),Coluna_fis,1,1))*(PI()*(fi_s/1000)^2/4)*(2*9.81*(O3302/100-cota_s-fi_s/2/1000))^0.5*1000)))</f>
        <v>23243.811646045415</v>
      </c>
      <c r="R3302" s="19">
        <f t="shared" ca="1" si="345"/>
        <v>23320.98697673879</v>
      </c>
      <c r="S3302" s="19">
        <f t="shared" ca="1" si="346"/>
        <v>21691.817406331385</v>
      </c>
    </row>
    <row r="3303" spans="13:19">
      <c r="M3303" s="81">
        <f t="shared" ca="1" si="343"/>
        <v>45031.597425976252</v>
      </c>
      <c r="N3303" s="19">
        <f t="shared" si="344"/>
        <v>650.97622340350972</v>
      </c>
      <c r="O3303" s="17">
        <f t="shared" si="342"/>
        <v>825.5</v>
      </c>
      <c r="P3303" s="19">
        <f ca="1">IF(ISERROR(IF(O3303&lt;fi_h/20,0,(OFFSET('Base de dados'!$A$5,IF(O3303&lt;20,1,IF(O3303&gt;1000,10,MATCH(O3303,Cargas,1))),Coluna_fih,1,1))*(1+0.13*0.25)*(PI()*(fi_h/1000)^2/4)*SQRT(2*9.81*(O3303/100-fi_h/2/1000))*1000)),"",IF(O3303&lt;fi_h/20,0,(OFFSET('Base de dados'!$A$5,IF(O3303&lt;20,1,IF(O3303&gt;1000,10,MATCH(O3303,Cargas,1))),Coluna_fih,1,1))*(PI()*(fi_h/1000)^2/4)*SQRT(2*9.81*(O3303/100-fi_h/2/1000))*1000))</f>
        <v>77.187099926078744</v>
      </c>
      <c r="Q3303" s="19">
        <f ca="1">IF(O3303="","",IF(Tipo_Vertedor="Retangular",IF(O3303&lt;=cota_s*100,0,IF(Tipo_Vertedor="Retangular",Cd_sr*Lef_sr*((O3303/100-cota_s)^(3/2))*1000)),IF(O3303&lt;=cota_s*100+fi_s/20,0,(OFFSET('Base de dados'!$A$4,IF(O3303&lt;20,1,IF(O3303&gt;1000,10,MATCH(O3303,Cargas,1))),Coluna_fis,1,1))*(PI()*(fi_s/1000)^2/4)*(2*9.81*(O3303/100-cota_s-fi_s/2/1000))^0.5*1000)))</f>
        <v>23255.202879266515</v>
      </c>
      <c r="R3303" s="19">
        <f t="shared" ca="1" si="345"/>
        <v>23332.389979192594</v>
      </c>
      <c r="S3303" s="19">
        <f t="shared" ca="1" si="346"/>
        <v>21699.207446783657</v>
      </c>
    </row>
    <row r="3304" spans="13:19">
      <c r="M3304" s="81">
        <f t="shared" ca="1" si="343"/>
        <v>45050.392606145848</v>
      </c>
      <c r="N3304" s="19">
        <f t="shared" si="344"/>
        <v>651.19793298134846</v>
      </c>
      <c r="O3304" s="17">
        <f t="shared" si="342"/>
        <v>825.75</v>
      </c>
      <c r="P3304" s="19">
        <f ca="1">IF(ISERROR(IF(O3304&lt;fi_h/20,0,(OFFSET('Base de dados'!$A$5,IF(O3304&lt;20,1,IF(O3304&gt;1000,10,MATCH(O3304,Cargas,1))),Coluna_fih,1,1))*(1+0.13*0.25)*(PI()*(fi_h/1000)^2/4)*SQRT(2*9.81*(O3304/100-fi_h/2/1000))*1000)),"",IF(O3304&lt;fi_h/20,0,(OFFSET('Base de dados'!$A$5,IF(O3304&lt;20,1,IF(O3304&gt;1000,10,MATCH(O3304,Cargas,1))),Coluna_fih,1,1))*(PI()*(fi_h/1000)^2/4)*SQRT(2*9.81*(O3304/100-fi_h/2/1000))*1000))</f>
        <v>77.198867364521789</v>
      </c>
      <c r="Q3304" s="19">
        <f ca="1">IF(O3304="","",IF(Tipo_Vertedor="Retangular",IF(O3304&lt;=cota_s*100,0,IF(Tipo_Vertedor="Retangular",Cd_sr*Lef_sr*((O3304/100-cota_s)^(3/2))*1000)),IF(O3304&lt;=cota_s*100+fi_s/20,0,(OFFSET('Base de dados'!$A$4,IF(O3304&lt;20,1,IF(O3304&gt;1000,10,MATCH(O3304,Cargas,1))),Coluna_fis,1,1))*(PI()*(fi_s/1000)^2/4)*(2*9.81*(O3304/100-cota_s-fi_s/2/1000))^0.5*1000)))</f>
        <v>23266.595972736381</v>
      </c>
      <c r="R3304" s="19">
        <f t="shared" ca="1" si="345"/>
        <v>23343.794840100902</v>
      </c>
      <c r="S3304" s="19">
        <f t="shared" ca="1" si="346"/>
        <v>21706.59776604495</v>
      </c>
    </row>
    <row r="3305" spans="13:19">
      <c r="M3305" s="81">
        <f t="shared" ca="1" si="343"/>
        <v>45069.189923202284</v>
      </c>
      <c r="N3305" s="19">
        <f t="shared" si="344"/>
        <v>651.41965092124224</v>
      </c>
      <c r="O3305" s="17">
        <f t="shared" si="342"/>
        <v>826</v>
      </c>
      <c r="P3305" s="19">
        <f ca="1">IF(ISERROR(IF(O3305&lt;fi_h/20,0,(OFFSET('Base de dados'!$A$5,IF(O3305&lt;20,1,IF(O3305&gt;1000,10,MATCH(O3305,Cargas,1))),Coluna_fih,1,1))*(1+0.13*0.25)*(PI()*(fi_h/1000)^2/4)*SQRT(2*9.81*(O3305/100-fi_h/2/1000))*1000)),"",IF(O3305&lt;fi_h/20,0,(OFFSET('Base de dados'!$A$5,IF(O3305&lt;20,1,IF(O3305&gt;1000,10,MATCH(O3305,Cargas,1))),Coluna_fih,1,1))*(PI()*(fi_h/1000)^2/4)*SQRT(2*9.81*(O3305/100-fi_h/2/1000))*1000))</f>
        <v>77.210633009525239</v>
      </c>
      <c r="Q3305" s="19">
        <f ca="1">IF(O3305="","",IF(Tipo_Vertedor="Retangular",IF(O3305&lt;=cota_s*100,0,IF(Tipo_Vertedor="Retangular",Cd_sr*Lef_sr*((O3305/100-cota_s)^(3/2))*1000)),IF(O3305&lt;=cota_s*100+fi_s/20,0,(OFFSET('Base de dados'!$A$4,IF(O3305&lt;20,1,IF(O3305&gt;1000,10,MATCH(O3305,Cargas,1))),Coluna_fis,1,1))*(PI()*(fi_s/1000)^2/4)*(2*9.81*(O3305/100-cota_s-fi_s/2/1000))^0.5*1000)))</f>
        <v>23277.990926151346</v>
      </c>
      <c r="R3305" s="19">
        <f t="shared" ca="1" si="345"/>
        <v>23355.201559160872</v>
      </c>
      <c r="S3305" s="19">
        <f t="shared" ca="1" si="346"/>
        <v>21713.988364041408</v>
      </c>
    </row>
    <row r="3306" spans="13:19">
      <c r="M3306" s="81">
        <f t="shared" ca="1" si="343"/>
        <v>45087.989376768906</v>
      </c>
      <c r="N3306" s="19">
        <f t="shared" si="344"/>
        <v>651.64137722097473</v>
      </c>
      <c r="O3306" s="17">
        <f t="shared" si="342"/>
        <v>826.25</v>
      </c>
      <c r="P3306" s="19">
        <f ca="1">IF(ISERROR(IF(O3306&lt;fi_h/20,0,(OFFSET('Base de dados'!$A$5,IF(O3306&lt;20,1,IF(O3306&gt;1000,10,MATCH(O3306,Cargas,1))),Coluna_fih,1,1))*(1+0.13*0.25)*(PI()*(fi_h/1000)^2/4)*SQRT(2*9.81*(O3306/100-fi_h/2/1000))*1000)),"",IF(O3306&lt;fi_h/20,0,(OFFSET('Base de dados'!$A$5,IF(O3306&lt;20,1,IF(O3306&gt;1000,10,MATCH(O3306,Cargas,1))),Coluna_fih,1,1))*(PI()*(fi_h/1000)^2/4)*SQRT(2*9.81*(O3306/100-fi_h/2/1000))*1000))</f>
        <v>77.222396861908862</v>
      </c>
      <c r="Q3306" s="19">
        <f ca="1">IF(O3306="","",IF(Tipo_Vertedor="Retangular",IF(O3306&lt;=cota_s*100,0,IF(Tipo_Vertedor="Retangular",Cd_sr*Lef_sr*((O3306/100-cota_s)^(3/2))*1000)),IF(O3306&lt;=cota_s*100+fi_s/20,0,(OFFSET('Base de dados'!$A$4,IF(O3306&lt;20,1,IF(O3306&gt;1000,10,MATCH(O3306,Cargas,1))),Coluna_fis,1,1))*(PI()*(fi_s/1000)^2/4)*(2*9.81*(O3306/100-cota_s-fi_s/2/1000))^0.5*1000)))</f>
        <v>23289.387739207843</v>
      </c>
      <c r="R3306" s="19">
        <f t="shared" ca="1" si="345"/>
        <v>23366.61013606975</v>
      </c>
      <c r="S3306" s="19">
        <f t="shared" ca="1" si="346"/>
        <v>21721.37924069916</v>
      </c>
    </row>
    <row r="3307" spans="13:19">
      <c r="M3307" s="81">
        <f t="shared" ca="1" si="343"/>
        <v>45106.790966469373</v>
      </c>
      <c r="N3307" s="19">
        <f t="shared" si="344"/>
        <v>651.86311187833212</v>
      </c>
      <c r="O3307" s="17">
        <f t="shared" si="342"/>
        <v>826.5</v>
      </c>
      <c r="P3307" s="19">
        <f ca="1">IF(ISERROR(IF(O3307&lt;fi_h/20,0,(OFFSET('Base de dados'!$A$5,IF(O3307&lt;20,1,IF(O3307&gt;1000,10,MATCH(O3307,Cargas,1))),Coluna_fih,1,1))*(1+0.13*0.25)*(PI()*(fi_h/1000)^2/4)*SQRT(2*9.81*(O3307/100-fi_h/2/1000))*1000)),"",IF(O3307&lt;fi_h/20,0,(OFFSET('Base de dados'!$A$5,IF(O3307&lt;20,1,IF(O3307&gt;1000,10,MATCH(O3307,Cargas,1))),Coluna_fih,1,1))*(PI()*(fi_h/1000)^2/4)*SQRT(2*9.81*(O3307/100-fi_h/2/1000))*1000))</f>
        <v>77.234158922491773</v>
      </c>
      <c r="Q3307" s="19">
        <f ca="1">IF(O3307="","",IF(Tipo_Vertedor="Retangular",IF(O3307&lt;=cota_s*100,0,IF(Tipo_Vertedor="Retangular",Cd_sr*Lef_sr*((O3307/100-cota_s)^(3/2))*1000)),IF(O3307&lt;=cota_s*100+fi_s/20,0,(OFFSET('Base de dados'!$A$4,IF(O3307&lt;20,1,IF(O3307&gt;1000,10,MATCH(O3307,Cargas,1))),Coluna_fis,1,1))*(PI()*(fi_s/1000)^2/4)*(2*9.81*(O3307/100-cota_s-fi_s/2/1000))^0.5*1000)))</f>
        <v>23300.786411602476</v>
      </c>
      <c r="R3307" s="19">
        <f t="shared" ca="1" si="345"/>
        <v>23378.020570524968</v>
      </c>
      <c r="S3307" s="19">
        <f t="shared" ca="1" si="346"/>
        <v>21728.770395944404</v>
      </c>
    </row>
    <row r="3308" spans="13:19">
      <c r="M3308" s="81">
        <f t="shared" ca="1" si="343"/>
        <v>45125.594691927472</v>
      </c>
      <c r="N3308" s="19">
        <f t="shared" si="344"/>
        <v>652.0848548911008</v>
      </c>
      <c r="O3308" s="17">
        <f t="shared" si="342"/>
        <v>826.75</v>
      </c>
      <c r="P3308" s="19">
        <f ca="1">IF(ISERROR(IF(O3308&lt;fi_h/20,0,(OFFSET('Base de dados'!$A$5,IF(O3308&lt;20,1,IF(O3308&gt;1000,10,MATCH(O3308,Cargas,1))),Coluna_fih,1,1))*(1+0.13*0.25)*(PI()*(fi_h/1000)^2/4)*SQRT(2*9.81*(O3308/100-fi_h/2/1000))*1000)),"",IF(O3308&lt;fi_h/20,0,(OFFSET('Base de dados'!$A$5,IF(O3308&lt;20,1,IF(O3308&gt;1000,10,MATCH(O3308,Cargas,1))),Coluna_fih,1,1))*(PI()*(fi_h/1000)^2/4)*SQRT(2*9.81*(O3308/100-fi_h/2/1000))*1000))</f>
        <v>77.245919192092444</v>
      </c>
      <c r="Q3308" s="19">
        <f ca="1">IF(O3308="","",IF(Tipo_Vertedor="Retangular",IF(O3308&lt;=cota_s*100,0,IF(Tipo_Vertedor="Retangular",Cd_sr*Lef_sr*((O3308/100-cota_s)^(3/2))*1000)),IF(O3308&lt;=cota_s*100+fi_s/20,0,(OFFSET('Base de dados'!$A$4,IF(O3308&lt;20,1,IF(O3308&gt;1000,10,MATCH(O3308,Cargas,1))),Coluna_fis,1,1))*(PI()*(fi_s/1000)^2/4)*(2*9.81*(O3308/100-cota_s-fi_s/2/1000))^0.5*1000)))</f>
        <v>23312.186943032022</v>
      </c>
      <c r="R3308" s="19">
        <f t="shared" ca="1" si="345"/>
        <v>23389.432862224116</v>
      </c>
      <c r="S3308" s="19">
        <f t="shared" ca="1" si="346"/>
        <v>21736.16182970336</v>
      </c>
    </row>
    <row r="3309" spans="13:19">
      <c r="M3309" s="81">
        <f t="shared" ca="1" si="343"/>
        <v>45144.400552767183</v>
      </c>
      <c r="N3309" s="19">
        <f t="shared" si="344"/>
        <v>652.30660625706855</v>
      </c>
      <c r="O3309" s="17">
        <f t="shared" si="342"/>
        <v>827</v>
      </c>
      <c r="P3309" s="19">
        <f ca="1">IF(ISERROR(IF(O3309&lt;fi_h/20,0,(OFFSET('Base de dados'!$A$5,IF(O3309&lt;20,1,IF(O3309&gt;1000,10,MATCH(O3309,Cargas,1))),Coluna_fih,1,1))*(1+0.13*0.25)*(PI()*(fi_h/1000)^2/4)*SQRT(2*9.81*(O3309/100-fi_h/2/1000))*1000)),"",IF(O3309&lt;fi_h/20,0,(OFFSET('Base de dados'!$A$5,IF(O3309&lt;20,1,IF(O3309&gt;1000,10,MATCH(O3309,Cargas,1))),Coluna_fih,1,1))*(PI()*(fi_h/1000)^2/4)*SQRT(2*9.81*(O3309/100-fi_h/2/1000))*1000))</f>
        <v>77.257677671528796</v>
      </c>
      <c r="Q3309" s="19">
        <f ca="1">IF(O3309="","",IF(Tipo_Vertedor="Retangular",IF(O3309&lt;=cota_s*100,0,IF(Tipo_Vertedor="Retangular",Cd_sr*Lef_sr*((O3309/100-cota_s)^(3/2))*1000)),IF(O3309&lt;=cota_s*100+fi_s/20,0,(OFFSET('Base de dados'!$A$4,IF(O3309&lt;20,1,IF(O3309&gt;1000,10,MATCH(O3309,Cargas,1))),Coluna_fis,1,1))*(PI()*(fi_s/1000)^2/4)*(2*9.81*(O3309/100-cota_s-fi_s/2/1000))^0.5*1000)))</f>
        <v>23323.589333193373</v>
      </c>
      <c r="R3309" s="19">
        <f t="shared" ca="1" si="345"/>
        <v>23400.847010864902</v>
      </c>
      <c r="S3309" s="19">
        <f t="shared" ca="1" si="346"/>
        <v>21743.553541902285</v>
      </c>
    </row>
    <row r="3310" spans="13:19">
      <c r="M3310" s="81">
        <f t="shared" ca="1" si="343"/>
        <v>45163.208548612762</v>
      </c>
      <c r="N3310" s="19">
        <f t="shared" si="344"/>
        <v>652.52836597402609</v>
      </c>
      <c r="O3310" s="17">
        <f t="shared" si="342"/>
        <v>827.25</v>
      </c>
      <c r="P3310" s="19">
        <f ca="1">IF(ISERROR(IF(O3310&lt;fi_h/20,0,(OFFSET('Base de dados'!$A$5,IF(O3310&lt;20,1,IF(O3310&gt;1000,10,MATCH(O3310,Cargas,1))),Coluna_fih,1,1))*(1+0.13*0.25)*(PI()*(fi_h/1000)^2/4)*SQRT(2*9.81*(O3310/100-fi_h/2/1000))*1000)),"",IF(O3310&lt;fi_h/20,0,(OFFSET('Base de dados'!$A$5,IF(O3310&lt;20,1,IF(O3310&gt;1000,10,MATCH(O3310,Cargas,1))),Coluna_fih,1,1))*(PI()*(fi_h/1000)^2/4)*SQRT(2*9.81*(O3310/100-fi_h/2/1000))*1000))</f>
        <v>77.269434361618067</v>
      </c>
      <c r="Q3310" s="19">
        <f ca="1">IF(O3310="","",IF(Tipo_Vertedor="Retangular",IF(O3310&lt;=cota_s*100,0,IF(Tipo_Vertedor="Retangular",Cd_sr*Lef_sr*((O3310/100-cota_s)^(3/2))*1000)),IF(O3310&lt;=cota_s*100+fi_s/20,0,(OFFSET('Base de dados'!$A$4,IF(O3310&lt;20,1,IF(O3310&gt;1000,10,MATCH(O3310,Cargas,1))),Coluna_fis,1,1))*(PI()*(fi_s/1000)^2/4)*(2*9.81*(O3310/100-cota_s-fi_s/2/1000))^0.5*1000)))</f>
        <v>23334.993581783609</v>
      </c>
      <c r="R3310" s="19">
        <f t="shared" ca="1" si="345"/>
        <v>23412.263016145225</v>
      </c>
      <c r="S3310" s="19">
        <f t="shared" ca="1" si="346"/>
        <v>21750.945532467533</v>
      </c>
    </row>
    <row r="3311" spans="13:19">
      <c r="M3311" s="81">
        <f t="shared" ca="1" si="343"/>
        <v>45182.018679088491</v>
      </c>
      <c r="N3311" s="19">
        <f t="shared" si="344"/>
        <v>652.75013403976266</v>
      </c>
      <c r="O3311" s="17">
        <f t="shared" si="342"/>
        <v>827.5</v>
      </c>
      <c r="P3311" s="19">
        <f ca="1">IF(ISERROR(IF(O3311&lt;fi_h/20,0,(OFFSET('Base de dados'!$A$5,IF(O3311&lt;20,1,IF(O3311&gt;1000,10,MATCH(O3311,Cargas,1))),Coluna_fih,1,1))*(1+0.13*0.25)*(PI()*(fi_h/1000)^2/4)*SQRT(2*9.81*(O3311/100-fi_h/2/1000))*1000)),"",IF(O3311&lt;fi_h/20,0,(OFFSET('Base de dados'!$A$5,IF(O3311&lt;20,1,IF(O3311&gt;1000,10,MATCH(O3311,Cargas,1))),Coluna_fih,1,1))*(PI()*(fi_h/1000)^2/4)*SQRT(2*9.81*(O3311/100-fi_h/2/1000))*1000))</f>
        <v>77.28118926317687</v>
      </c>
      <c r="Q3311" s="19">
        <f ca="1">IF(O3311="","",IF(Tipo_Vertedor="Retangular",IF(O3311&lt;=cota_s*100,0,IF(Tipo_Vertedor="Retangular",Cd_sr*Lef_sr*((O3311/100-cota_s)^(3/2))*1000)),IF(O3311&lt;=cota_s*100+fi_s/20,0,(OFFSET('Base de dados'!$A$4,IF(O3311&lt;20,1,IF(O3311&gt;1000,10,MATCH(O3311,Cargas,1))),Coluna_fis,1,1))*(PI()*(fi_s/1000)^2/4)*(2*9.81*(O3311/100-cota_s-fi_s/2/1000))^0.5*1000)))</f>
        <v>23346.399688499892</v>
      </c>
      <c r="R3311" s="19">
        <f t="shared" ca="1" si="345"/>
        <v>23423.680877763069</v>
      </c>
      <c r="S3311" s="19">
        <f t="shared" ca="1" si="346"/>
        <v>21758.337801325422</v>
      </c>
    </row>
    <row r="3312" spans="13:19">
      <c r="M3312" s="81">
        <f t="shared" ca="1" si="343"/>
        <v>45200.830943818975</v>
      </c>
      <c r="N3312" s="19">
        <f t="shared" si="344"/>
        <v>652.97191045207103</v>
      </c>
      <c r="O3312" s="17">
        <f t="shared" si="342"/>
        <v>827.75</v>
      </c>
      <c r="P3312" s="19">
        <f ca="1">IF(ISERROR(IF(O3312&lt;fi_h/20,0,(OFFSET('Base de dados'!$A$5,IF(O3312&lt;20,1,IF(O3312&gt;1000,10,MATCH(O3312,Cargas,1))),Coluna_fih,1,1))*(1+0.13*0.25)*(PI()*(fi_h/1000)^2/4)*SQRT(2*9.81*(O3312/100-fi_h/2/1000))*1000)),"",IF(O3312&lt;fi_h/20,0,(OFFSET('Base de dados'!$A$5,IF(O3312&lt;20,1,IF(O3312&gt;1000,10,MATCH(O3312,Cargas,1))),Coluna_fih,1,1))*(PI()*(fi_h/1000)^2/4)*SQRT(2*9.81*(O3312/100-fi_h/2/1000))*1000))</f>
        <v>77.292942377021234</v>
      </c>
      <c r="Q3312" s="19">
        <f ca="1">IF(O3312="","",IF(Tipo_Vertedor="Retangular",IF(O3312&lt;=cota_s*100,0,IF(Tipo_Vertedor="Retangular",Cd_sr*Lef_sr*((O3312/100-cota_s)^(3/2))*1000)),IF(O3312&lt;=cota_s*100+fi_s/20,0,(OFFSET('Base de dados'!$A$4,IF(O3312&lt;20,1,IF(O3312&gt;1000,10,MATCH(O3312,Cargas,1))),Coluna_fis,1,1))*(PI()*(fi_s/1000)^2/4)*(2*9.81*(O3312/100-cota_s-fi_s/2/1000))^0.5*1000)))</f>
        <v>23357.807653039585</v>
      </c>
      <c r="R3312" s="19">
        <f t="shared" ca="1" si="345"/>
        <v>23435.100595416607</v>
      </c>
      <c r="S3312" s="19">
        <f t="shared" ca="1" si="346"/>
        <v>21765.730348402365</v>
      </c>
    </row>
    <row r="3313" spans="13:19">
      <c r="M3313" s="81">
        <f t="shared" ca="1" si="343"/>
        <v>45219.645342428943</v>
      </c>
      <c r="N3313" s="19">
        <f t="shared" si="344"/>
        <v>653.19369520874329</v>
      </c>
      <c r="O3313" s="17">
        <f t="shared" si="342"/>
        <v>828</v>
      </c>
      <c r="P3313" s="19">
        <f ca="1">IF(ISERROR(IF(O3313&lt;fi_h/20,0,(OFFSET('Base de dados'!$A$5,IF(O3313&lt;20,1,IF(O3313&gt;1000,10,MATCH(O3313,Cargas,1))),Coluna_fih,1,1))*(1+0.13*0.25)*(PI()*(fi_h/1000)^2/4)*SQRT(2*9.81*(O3313/100-fi_h/2/1000))*1000)),"",IF(O3313&lt;fi_h/20,0,(OFFSET('Base de dados'!$A$5,IF(O3313&lt;20,1,IF(O3313&gt;1000,10,MATCH(O3313,Cargas,1))),Coluna_fih,1,1))*(PI()*(fi_h/1000)^2/4)*SQRT(2*9.81*(O3313/100-fi_h/2/1000))*1000))</f>
        <v>77.304693703966549</v>
      </c>
      <c r="Q3313" s="19">
        <f ca="1">IF(O3313="","",IF(Tipo_Vertedor="Retangular",IF(O3313&lt;=cota_s*100,0,IF(Tipo_Vertedor="Retangular",Cd_sr*Lef_sr*((O3313/100-cota_s)^(3/2))*1000)),IF(O3313&lt;=cota_s*100+fi_s/20,0,(OFFSET('Base de dados'!$A$4,IF(O3313&lt;20,1,IF(O3313&gt;1000,10,MATCH(O3313,Cargas,1))),Coluna_fis,1,1))*(PI()*(fi_s/1000)^2/4)*(2*9.81*(O3313/100-cota_s-fi_s/2/1000))^0.5*1000)))</f>
        <v>23369.217475100198</v>
      </c>
      <c r="R3313" s="19">
        <f t="shared" ca="1" si="345"/>
        <v>23446.522168804164</v>
      </c>
      <c r="S3313" s="19">
        <f t="shared" ca="1" si="346"/>
        <v>21773.123173624779</v>
      </c>
    </row>
    <row r="3314" spans="13:19">
      <c r="M3314" s="81">
        <f t="shared" ca="1" si="343"/>
        <v>45238.461874543362</v>
      </c>
      <c r="N3314" s="19">
        <f t="shared" si="344"/>
        <v>653.41548830757517</v>
      </c>
      <c r="O3314" s="17">
        <f t="shared" si="342"/>
        <v>828.25</v>
      </c>
      <c r="P3314" s="19">
        <f ca="1">IF(ISERROR(IF(O3314&lt;fi_h/20,0,(OFFSET('Base de dados'!$A$5,IF(O3314&lt;20,1,IF(O3314&gt;1000,10,MATCH(O3314,Cargas,1))),Coluna_fih,1,1))*(1+0.13*0.25)*(PI()*(fi_h/1000)^2/4)*SQRT(2*9.81*(O3314/100-fi_h/2/1000))*1000)),"",IF(O3314&lt;fi_h/20,0,(OFFSET('Base de dados'!$A$5,IF(O3314&lt;20,1,IF(O3314&gt;1000,10,MATCH(O3314,Cargas,1))),Coluna_fih,1,1))*(PI()*(fi_h/1000)^2/4)*SQRT(2*9.81*(O3314/100-fi_h/2/1000))*1000))</f>
        <v>77.31644324482761</v>
      </c>
      <c r="Q3314" s="19">
        <f ca="1">IF(O3314="","",IF(Tipo_Vertedor="Retangular",IF(O3314&lt;=cota_s*100,0,IF(Tipo_Vertedor="Retangular",Cd_sr*Lef_sr*((O3314/100-cota_s)^(3/2))*1000)),IF(O3314&lt;=cota_s*100+fi_s/20,0,(OFFSET('Base de dados'!$A$4,IF(O3314&lt;20,1,IF(O3314&gt;1000,10,MATCH(O3314,Cargas,1))),Coluna_fis,1,1))*(PI()*(fi_s/1000)^2/4)*(2*9.81*(O3314/100-cota_s-fi_s/2/1000))^0.5*1000)))</f>
        <v>23380.62915437936</v>
      </c>
      <c r="R3314" s="19">
        <f t="shared" ca="1" si="345"/>
        <v>23457.945597624188</v>
      </c>
      <c r="S3314" s="19">
        <f t="shared" ca="1" si="346"/>
        <v>21780.516276919174</v>
      </c>
    </row>
    <row r="3315" spans="13:19">
      <c r="M3315" s="81">
        <f t="shared" ca="1" si="343"/>
        <v>45257.280539787324</v>
      </c>
      <c r="N3315" s="19">
        <f t="shared" si="344"/>
        <v>653.63728974636149</v>
      </c>
      <c r="O3315" s="17">
        <f t="shared" si="342"/>
        <v>828.5</v>
      </c>
      <c r="P3315" s="19">
        <f ca="1">IF(ISERROR(IF(O3315&lt;fi_h/20,0,(OFFSET('Base de dados'!$A$5,IF(O3315&lt;20,1,IF(O3315&gt;1000,10,MATCH(O3315,Cargas,1))),Coluna_fih,1,1))*(1+0.13*0.25)*(PI()*(fi_h/1000)^2/4)*SQRT(2*9.81*(O3315/100-fi_h/2/1000))*1000)),"",IF(O3315&lt;fi_h/20,0,(OFFSET('Base de dados'!$A$5,IF(O3315&lt;20,1,IF(O3315&gt;1000,10,MATCH(O3315,Cargas,1))),Coluna_fih,1,1))*(PI()*(fi_h/1000)^2/4)*SQRT(2*9.81*(O3315/100-fi_h/2/1000))*1000))</f>
        <v>77.328191000418542</v>
      </c>
      <c r="Q3315" s="19">
        <f ca="1">IF(O3315="","",IF(Tipo_Vertedor="Retangular",IF(O3315&lt;=cota_s*100,0,IF(Tipo_Vertedor="Retangular",Cd_sr*Lef_sr*((O3315/100-cota_s)^(3/2))*1000)),IF(O3315&lt;=cota_s*100+fi_s/20,0,(OFFSET('Base de dados'!$A$4,IF(O3315&lt;20,1,IF(O3315&gt;1000,10,MATCH(O3315,Cargas,1))),Coluna_fis,1,1))*(PI()*(fi_s/1000)^2/4)*(2*9.81*(O3315/100-cota_s-fi_s/2/1000))^0.5*1000)))</f>
        <v>23392.042690574857</v>
      </c>
      <c r="R3315" s="19">
        <f t="shared" ca="1" si="345"/>
        <v>23469.370881575276</v>
      </c>
      <c r="S3315" s="19">
        <f t="shared" ca="1" si="346"/>
        <v>21787.909658212047</v>
      </c>
    </row>
    <row r="3316" spans="13:19">
      <c r="M3316" s="81">
        <f t="shared" ca="1" si="343"/>
        <v>45276.101337786182</v>
      </c>
      <c r="N3316" s="19">
        <f t="shared" si="344"/>
        <v>653.85909952289921</v>
      </c>
      <c r="O3316" s="17">
        <f t="shared" si="342"/>
        <v>828.75</v>
      </c>
      <c r="P3316" s="19">
        <f ca="1">IF(ISERROR(IF(O3316&lt;fi_h/20,0,(OFFSET('Base de dados'!$A$5,IF(O3316&lt;20,1,IF(O3316&gt;1000,10,MATCH(O3316,Cargas,1))),Coluna_fih,1,1))*(1+0.13*0.25)*(PI()*(fi_h/1000)^2/4)*SQRT(2*9.81*(O3316/100-fi_h/2/1000))*1000)),"",IF(O3316&lt;fi_h/20,0,(OFFSET('Base de dados'!$A$5,IF(O3316&lt;20,1,IF(O3316&gt;1000,10,MATCH(O3316,Cargas,1))),Coluna_fih,1,1))*(PI()*(fi_h/1000)^2/4)*SQRT(2*9.81*(O3316/100-fi_h/2/1000))*1000))</f>
        <v>77.339936971552874</v>
      </c>
      <c r="Q3316" s="19">
        <f ca="1">IF(O3316="","",IF(Tipo_Vertedor="Retangular",IF(O3316&lt;=cota_s*100,0,IF(Tipo_Vertedor="Retangular",Cd_sr*Lef_sr*((O3316/100-cota_s)^(3/2))*1000)),IF(O3316&lt;=cota_s*100+fi_s/20,0,(OFFSET('Base de dados'!$A$4,IF(O3316&lt;20,1,IF(O3316&gt;1000,10,MATCH(O3316,Cargas,1))),Coluna_fis,1,1))*(PI()*(fi_s/1000)^2/4)*(2*9.81*(O3316/100-cota_s-fi_s/2/1000))^0.5*1000)))</f>
        <v>23403.458083384652</v>
      </c>
      <c r="R3316" s="19">
        <f t="shared" ca="1" si="345"/>
        <v>23480.798020356204</v>
      </c>
      <c r="S3316" s="19">
        <f t="shared" ca="1" si="346"/>
        <v>21795.303317429974</v>
      </c>
    </row>
    <row r="3317" spans="13:19">
      <c r="M3317" s="81">
        <f t="shared" ca="1" si="343"/>
        <v>45294.9242681654</v>
      </c>
      <c r="N3317" s="19">
        <f t="shared" si="344"/>
        <v>654.08091763498635</v>
      </c>
      <c r="O3317" s="17">
        <f t="shared" si="342"/>
        <v>829</v>
      </c>
      <c r="P3317" s="19">
        <f ca="1">IF(ISERROR(IF(O3317&lt;fi_h/20,0,(OFFSET('Base de dados'!$A$5,IF(O3317&lt;20,1,IF(O3317&gt;1000,10,MATCH(O3317,Cargas,1))),Coluna_fih,1,1))*(1+0.13*0.25)*(PI()*(fi_h/1000)^2/4)*SQRT(2*9.81*(O3317/100-fi_h/2/1000))*1000)),"",IF(O3317&lt;fi_h/20,0,(OFFSET('Base de dados'!$A$5,IF(O3317&lt;20,1,IF(O3317&gt;1000,10,MATCH(O3317,Cargas,1))),Coluna_fih,1,1))*(PI()*(fi_h/1000)^2/4)*SQRT(2*9.81*(O3317/100-fi_h/2/1000))*1000))</f>
        <v>77.351681159043565</v>
      </c>
      <c r="Q3317" s="19">
        <f ca="1">IF(O3317="","",IF(Tipo_Vertedor="Retangular",IF(O3317&lt;=cota_s*100,0,IF(Tipo_Vertedor="Retangular",Cd_sr*Lef_sr*((O3317/100-cota_s)^(3/2))*1000)),IF(O3317&lt;=cota_s*100+fi_s/20,0,(OFFSET('Base de dados'!$A$4,IF(O3317&lt;20,1,IF(O3317&gt;1000,10,MATCH(O3317,Cargas,1))),Coluna_fis,1,1))*(PI()*(fi_s/1000)^2/4)*(2*9.81*(O3317/100-cota_s-fi_s/2/1000))^0.5*1000)))</f>
        <v>23414.875332506814</v>
      </c>
      <c r="R3317" s="19">
        <f t="shared" ca="1" si="345"/>
        <v>23492.227013665859</v>
      </c>
      <c r="S3317" s="19">
        <f t="shared" ca="1" si="346"/>
        <v>21802.697254499544</v>
      </c>
    </row>
    <row r="3318" spans="13:19">
      <c r="M3318" s="81">
        <f t="shared" ca="1" si="343"/>
        <v>45313.749330550723</v>
      </c>
      <c r="N3318" s="19">
        <f t="shared" si="344"/>
        <v>654.30274408042271</v>
      </c>
      <c r="O3318" s="17">
        <f t="shared" si="342"/>
        <v>829.25</v>
      </c>
      <c r="P3318" s="19">
        <f ca="1">IF(ISERROR(IF(O3318&lt;fi_h/20,0,(OFFSET('Base de dados'!$A$5,IF(O3318&lt;20,1,IF(O3318&gt;1000,10,MATCH(O3318,Cargas,1))),Coluna_fih,1,1))*(1+0.13*0.25)*(PI()*(fi_h/1000)^2/4)*SQRT(2*9.81*(O3318/100-fi_h/2/1000))*1000)),"",IF(O3318&lt;fi_h/20,0,(OFFSET('Base de dados'!$A$5,IF(O3318&lt;20,1,IF(O3318&gt;1000,10,MATCH(O3318,Cargas,1))),Coluna_fih,1,1))*(PI()*(fi_h/1000)^2/4)*SQRT(2*9.81*(O3318/100-fi_h/2/1000))*1000))</f>
        <v>77.363423563702881</v>
      </c>
      <c r="Q3318" s="19">
        <f ca="1">IF(O3318="","",IF(Tipo_Vertedor="Retangular",IF(O3318&lt;=cota_s*100,0,IF(Tipo_Vertedor="Retangular",Cd_sr*Lef_sr*((O3318/100-cota_s)^(3/2))*1000)),IF(O3318&lt;=cota_s*100+fi_s/20,0,(OFFSET('Base de dados'!$A$4,IF(O3318&lt;20,1,IF(O3318&gt;1000,10,MATCH(O3318,Cargas,1))),Coluna_fis,1,1))*(PI()*(fi_s/1000)^2/4)*(2*9.81*(O3318/100-cota_s-fi_s/2/1000))^0.5*1000)))</f>
        <v>23426.294437639597</v>
      </c>
      <c r="R3318" s="19">
        <f t="shared" ca="1" si="345"/>
        <v>23503.657861203301</v>
      </c>
      <c r="S3318" s="19">
        <f t="shared" ca="1" si="346"/>
        <v>21810.091469347422</v>
      </c>
    </row>
    <row r="3319" spans="13:19">
      <c r="M3319" s="81">
        <f t="shared" ca="1" si="343"/>
        <v>45332.576524567987</v>
      </c>
      <c r="N3319" s="19">
        <f t="shared" si="344"/>
        <v>654.52457885700892</v>
      </c>
      <c r="O3319" s="17">
        <f t="shared" si="342"/>
        <v>829.5</v>
      </c>
      <c r="P3319" s="19">
        <f ca="1">IF(ISERROR(IF(O3319&lt;fi_h/20,0,(OFFSET('Base de dados'!$A$5,IF(O3319&lt;20,1,IF(O3319&gt;1000,10,MATCH(O3319,Cargas,1))),Coluna_fih,1,1))*(1+0.13*0.25)*(PI()*(fi_h/1000)^2/4)*SQRT(2*9.81*(O3319/100-fi_h/2/1000))*1000)),"",IF(O3319&lt;fi_h/20,0,(OFFSET('Base de dados'!$A$5,IF(O3319&lt;20,1,IF(O3319&gt;1000,10,MATCH(O3319,Cargas,1))),Coluna_fih,1,1))*(PI()*(fi_h/1000)^2/4)*SQRT(2*9.81*(O3319/100-fi_h/2/1000))*1000))</f>
        <v>77.375164186342502</v>
      </c>
      <c r="Q3319" s="19">
        <f ca="1">IF(O3319="","",IF(Tipo_Vertedor="Retangular",IF(O3319&lt;=cota_s*100,0,IF(Tipo_Vertedor="Retangular",Cd_sr*Lef_sr*((O3319/100-cota_s)^(3/2))*1000)),IF(O3319&lt;=cota_s*100+fi_s/20,0,(OFFSET('Base de dados'!$A$4,IF(O3319&lt;20,1,IF(O3319&gt;1000,10,MATCH(O3319,Cargas,1))),Coluna_fis,1,1))*(PI()*(fi_s/1000)^2/4)*(2*9.81*(O3319/100-cota_s-fi_s/2/1000))^0.5*1000)))</f>
        <v>23437.715398481345</v>
      </c>
      <c r="R3319" s="19">
        <f t="shared" ca="1" si="345"/>
        <v>23515.090562667687</v>
      </c>
      <c r="S3319" s="19">
        <f t="shared" ca="1" si="346"/>
        <v>21817.4859619003</v>
      </c>
    </row>
    <row r="3320" spans="13:19">
      <c r="M3320" s="81">
        <f t="shared" ca="1" si="343"/>
        <v>45351.405849843264</v>
      </c>
      <c r="N3320" s="19">
        <f t="shared" si="344"/>
        <v>654.74642196254626</v>
      </c>
      <c r="O3320" s="17">
        <f t="shared" si="342"/>
        <v>829.75</v>
      </c>
      <c r="P3320" s="19">
        <f ca="1">IF(ISERROR(IF(O3320&lt;fi_h/20,0,(OFFSET('Base de dados'!$A$5,IF(O3320&lt;20,1,IF(O3320&gt;1000,10,MATCH(O3320,Cargas,1))),Coluna_fih,1,1))*(1+0.13*0.25)*(PI()*(fi_h/1000)^2/4)*SQRT(2*9.81*(O3320/100-fi_h/2/1000))*1000)),"",IF(O3320&lt;fi_h/20,0,(OFFSET('Base de dados'!$A$5,IF(O3320&lt;20,1,IF(O3320&gt;1000,10,MATCH(O3320,Cargas,1))),Coluna_fih,1,1))*(PI()*(fi_h/1000)^2/4)*SQRT(2*9.81*(O3320/100-fi_h/2/1000))*1000))</f>
        <v>77.386903027773513</v>
      </c>
      <c r="Q3320" s="19">
        <f ca="1">IF(O3320="","",IF(Tipo_Vertedor="Retangular",IF(O3320&lt;=cota_s*100,0,IF(Tipo_Vertedor="Retangular",Cd_sr*Lef_sr*((O3320/100-cota_s)^(3/2))*1000)),IF(O3320&lt;=cota_s*100+fi_s/20,0,(OFFSET('Base de dados'!$A$4,IF(O3320&lt;20,1,IF(O3320&gt;1000,10,MATCH(O3320,Cargas,1))),Coluna_fis,1,1))*(PI()*(fi_s/1000)^2/4)*(2*9.81*(O3320/100-cota_s-fi_s/2/1000))^0.5*1000)))</f>
        <v>23449.138214730614</v>
      </c>
      <c r="R3320" s="19">
        <f t="shared" ca="1" si="345"/>
        <v>23526.525117758389</v>
      </c>
      <c r="S3320" s="19">
        <f t="shared" ca="1" si="346"/>
        <v>21824.880732084875</v>
      </c>
    </row>
    <row r="3321" spans="13:19">
      <c r="M3321" s="81">
        <f t="shared" ca="1" si="343"/>
        <v>45370.237306002833</v>
      </c>
      <c r="N3321" s="19">
        <f t="shared" si="344"/>
        <v>654.96827339483798</v>
      </c>
      <c r="O3321" s="17">
        <f t="shared" si="342"/>
        <v>830</v>
      </c>
      <c r="P3321" s="19">
        <f ca="1">IF(ISERROR(IF(O3321&lt;fi_h/20,0,(OFFSET('Base de dados'!$A$5,IF(O3321&lt;20,1,IF(O3321&gt;1000,10,MATCH(O3321,Cargas,1))),Coluna_fih,1,1))*(1+0.13*0.25)*(PI()*(fi_h/1000)^2/4)*SQRT(2*9.81*(O3321/100-fi_h/2/1000))*1000)),"",IF(O3321&lt;fi_h/20,0,(OFFSET('Base de dados'!$A$5,IF(O3321&lt;20,1,IF(O3321&gt;1000,10,MATCH(O3321,Cargas,1))),Coluna_fih,1,1))*(PI()*(fi_h/1000)^2/4)*SQRT(2*9.81*(O3321/100-fi_h/2/1000))*1000))</f>
        <v>77.398640088806374</v>
      </c>
      <c r="Q3321" s="19">
        <f ca="1">IF(O3321="","",IF(Tipo_Vertedor="Retangular",IF(O3321&lt;=cota_s*100,0,IF(Tipo_Vertedor="Retangular",Cd_sr*Lef_sr*((O3321/100-cota_s)^(3/2))*1000)),IF(O3321&lt;=cota_s*100+fi_s/20,0,(OFFSET('Base de dados'!$A$4,IF(O3321&lt;20,1,IF(O3321&gt;1000,10,MATCH(O3321,Cargas,1))),Coluna_fis,1,1))*(PI()*(fi_s/1000)^2/4)*(2*9.81*(O3321/100-cota_s-fi_s/2/1000))^0.5*1000)))</f>
        <v>23460.562886086096</v>
      </c>
      <c r="R3321" s="19">
        <f t="shared" ca="1" si="345"/>
        <v>23537.961526174902</v>
      </c>
      <c r="S3321" s="19">
        <f t="shared" ca="1" si="346"/>
        <v>21832.275779827931</v>
      </c>
    </row>
    <row r="3322" spans="13:19">
      <c r="M3322" s="81">
        <f t="shared" ca="1" si="343"/>
        <v>45389.070892673102</v>
      </c>
      <c r="N3322" s="19">
        <f t="shared" si="344"/>
        <v>655.19013315168843</v>
      </c>
      <c r="O3322" s="17">
        <f t="shared" si="342"/>
        <v>830.25</v>
      </c>
      <c r="P3322" s="19">
        <f ca="1">IF(ISERROR(IF(O3322&lt;fi_h/20,0,(OFFSET('Base de dados'!$A$5,IF(O3322&lt;20,1,IF(O3322&gt;1000,10,MATCH(O3322,Cargas,1))),Coluna_fih,1,1))*(1+0.13*0.25)*(PI()*(fi_h/1000)^2/4)*SQRT(2*9.81*(O3322/100-fi_h/2/1000))*1000)),"",IF(O3322&lt;fi_h/20,0,(OFFSET('Base de dados'!$A$5,IF(O3322&lt;20,1,IF(O3322&gt;1000,10,MATCH(O3322,Cargas,1))),Coluna_fih,1,1))*(PI()*(fi_h/1000)^2/4)*SQRT(2*9.81*(O3322/100-fi_h/2/1000))*1000))</f>
        <v>77.410375370250904</v>
      </c>
      <c r="Q3322" s="19">
        <f ca="1">IF(O3322="","",IF(Tipo_Vertedor="Retangular",IF(O3322&lt;=cota_s*100,0,IF(Tipo_Vertedor="Retangular",Cd_sr*Lef_sr*((O3322/100-cota_s)^(3/2))*1000)),IF(O3322&lt;=cota_s*100+fi_s/20,0,(OFFSET('Base de dados'!$A$4,IF(O3322&lt;20,1,IF(O3322&gt;1000,10,MATCH(O3322,Cargas,1))),Coluna_fis,1,1))*(PI()*(fi_s/1000)^2/4)*(2*9.81*(O3322/100-cota_s-fi_s/2/1000))^0.5*1000)))</f>
        <v>23471.989412246574</v>
      </c>
      <c r="R3322" s="19">
        <f t="shared" ca="1" si="345"/>
        <v>23549.399787616825</v>
      </c>
      <c r="S3322" s="19">
        <f t="shared" ca="1" si="346"/>
        <v>21839.671105056281</v>
      </c>
    </row>
    <row r="3323" spans="13:19">
      <c r="M3323" s="81">
        <f t="shared" ca="1" si="343"/>
        <v>45407.906609480757</v>
      </c>
      <c r="N3323" s="19">
        <f t="shared" si="344"/>
        <v>655.41200123090402</v>
      </c>
      <c r="O3323" s="17">
        <f t="shared" si="342"/>
        <v>830.5</v>
      </c>
      <c r="P3323" s="19">
        <f ca="1">IF(ISERROR(IF(O3323&lt;fi_h/20,0,(OFFSET('Base de dados'!$A$5,IF(O3323&lt;20,1,IF(O3323&gt;1000,10,MATCH(O3323,Cargas,1))),Coluna_fih,1,1))*(1+0.13*0.25)*(PI()*(fi_h/1000)^2/4)*SQRT(2*9.81*(O3323/100-fi_h/2/1000))*1000)),"",IF(O3323&lt;fi_h/20,0,(OFFSET('Base de dados'!$A$5,IF(O3323&lt;20,1,IF(O3323&gt;1000,10,MATCH(O3323,Cargas,1))),Coluna_fih,1,1))*(PI()*(fi_h/1000)^2/4)*SQRT(2*9.81*(O3323/100-fi_h/2/1000))*1000))</f>
        <v>77.422108872916311</v>
      </c>
      <c r="Q3323" s="19">
        <f ca="1">IF(O3323="","",IF(Tipo_Vertedor="Retangular",IF(O3323&lt;=cota_s*100,0,IF(Tipo_Vertedor="Retangular",Cd_sr*Lef_sr*((O3323/100-cota_s)^(3/2))*1000)),IF(O3323&lt;=cota_s*100+fi_s/20,0,(OFFSET('Base de dados'!$A$4,IF(O3323&lt;20,1,IF(O3323&gt;1000,10,MATCH(O3323,Cargas,1))),Coluna_fis,1,1))*(PI()*(fi_s/1000)^2/4)*(2*9.81*(O3323/100-cota_s-fi_s/2/1000))^0.5*1000)))</f>
        <v>23483.417792911037</v>
      </c>
      <c r="R3323" s="19">
        <f t="shared" ca="1" si="345"/>
        <v>23560.839901783955</v>
      </c>
      <c r="S3323" s="19">
        <f t="shared" ca="1" si="346"/>
        <v>21847.066707696802</v>
      </c>
    </row>
    <row r="3324" spans="13:19">
      <c r="M3324" s="81">
        <f t="shared" ca="1" si="343"/>
        <v>45426.744456052547</v>
      </c>
      <c r="N3324" s="19">
        <f t="shared" si="344"/>
        <v>655.63387763029016</v>
      </c>
      <c r="O3324" s="17">
        <f t="shared" si="342"/>
        <v>830.75</v>
      </c>
      <c r="P3324" s="19">
        <f ca="1">IF(ISERROR(IF(O3324&lt;fi_h/20,0,(OFFSET('Base de dados'!$A$5,IF(O3324&lt;20,1,IF(O3324&gt;1000,10,MATCH(O3324,Cargas,1))),Coluna_fih,1,1))*(1+0.13*0.25)*(PI()*(fi_h/1000)^2/4)*SQRT(2*9.81*(O3324/100-fi_h/2/1000))*1000)),"",IF(O3324&lt;fi_h/20,0,(OFFSET('Base de dados'!$A$5,IF(O3324&lt;20,1,IF(O3324&gt;1000,10,MATCH(O3324,Cargas,1))),Coluna_fih,1,1))*(PI()*(fi_h/1000)^2/4)*SQRT(2*9.81*(O3324/100-fi_h/2/1000))*1000))</f>
        <v>77.433840597611265</v>
      </c>
      <c r="Q3324" s="19">
        <f ca="1">IF(O3324="","",IF(Tipo_Vertedor="Retangular",IF(O3324&lt;=cota_s*100,0,IF(Tipo_Vertedor="Retangular",Cd_sr*Lef_sr*((O3324/100-cota_s)^(3/2))*1000)),IF(O3324&lt;=cota_s*100+fi_s/20,0,(OFFSET('Base de dados'!$A$4,IF(O3324&lt;20,1,IF(O3324&gt;1000,10,MATCH(O3324,Cargas,1))),Coluna_fis,1,1))*(PI()*(fi_s/1000)^2/4)*(2*9.81*(O3324/100-cota_s-fi_s/2/1000))^0.5*1000)))</f>
        <v>23494.8480277786</v>
      </c>
      <c r="R3324" s="19">
        <f t="shared" ca="1" si="345"/>
        <v>23572.281868376213</v>
      </c>
      <c r="S3324" s="19">
        <f t="shared" ca="1" si="346"/>
        <v>21854.462587676338</v>
      </c>
    </row>
    <row r="3325" spans="13:19">
      <c r="M3325" s="81">
        <f t="shared" ca="1" si="343"/>
        <v>45445.58443201553</v>
      </c>
      <c r="N3325" s="19">
        <f t="shared" si="344"/>
        <v>655.85576234765597</v>
      </c>
      <c r="O3325" s="17">
        <f t="shared" si="342"/>
        <v>831</v>
      </c>
      <c r="P3325" s="19">
        <f ca="1">IF(ISERROR(IF(O3325&lt;fi_h/20,0,(OFFSET('Base de dados'!$A$5,IF(O3325&lt;20,1,IF(O3325&gt;1000,10,MATCH(O3325,Cargas,1))),Coluna_fih,1,1))*(1+0.13*0.25)*(PI()*(fi_h/1000)^2/4)*SQRT(2*9.81*(O3325/100-fi_h/2/1000))*1000)),"",IF(O3325&lt;fi_h/20,0,(OFFSET('Base de dados'!$A$5,IF(O3325&lt;20,1,IF(O3325&gt;1000,10,MATCH(O3325,Cargas,1))),Coluna_fih,1,1))*(PI()*(fi_h/1000)^2/4)*SQRT(2*9.81*(O3325/100-fi_h/2/1000))*1000))</f>
        <v>77.445570545143724</v>
      </c>
      <c r="Q3325" s="19">
        <f ca="1">IF(O3325="","",IF(Tipo_Vertedor="Retangular",IF(O3325&lt;=cota_s*100,0,IF(Tipo_Vertedor="Retangular",Cd_sr*Lef_sr*((O3325/100-cota_s)^(3/2))*1000)),IF(O3325&lt;=cota_s*100+fi_s/20,0,(OFFSET('Base de dados'!$A$4,IF(O3325&lt;20,1,IF(O3325&gt;1000,10,MATCH(O3325,Cargas,1))),Coluna_fis,1,1))*(PI()*(fi_s/1000)^2/4)*(2*9.81*(O3325/100-cota_s-fi_s/2/1000))^0.5*1000)))</f>
        <v>23506.280116548522</v>
      </c>
      <c r="R3325" s="19">
        <f t="shared" ca="1" si="345"/>
        <v>23583.725687093665</v>
      </c>
      <c r="S3325" s="19">
        <f t="shared" ca="1" si="346"/>
        <v>21861.858744921865</v>
      </c>
    </row>
    <row r="3326" spans="13:19">
      <c r="M3326" s="81">
        <f t="shared" ca="1" si="343"/>
        <v>45464.426536996885</v>
      </c>
      <c r="N3326" s="19">
        <f t="shared" si="344"/>
        <v>656.07765538081048</v>
      </c>
      <c r="O3326" s="17">
        <f t="shared" si="342"/>
        <v>831.25</v>
      </c>
      <c r="P3326" s="19">
        <f ca="1">IF(ISERROR(IF(O3326&lt;fi_h/20,0,(OFFSET('Base de dados'!$A$5,IF(O3326&lt;20,1,IF(O3326&gt;1000,10,MATCH(O3326,Cargas,1))),Coluna_fih,1,1))*(1+0.13*0.25)*(PI()*(fi_h/1000)^2/4)*SQRT(2*9.81*(O3326/100-fi_h/2/1000))*1000)),"",IF(O3326&lt;fi_h/20,0,(OFFSET('Base de dados'!$A$5,IF(O3326&lt;20,1,IF(O3326&gt;1000,10,MATCH(O3326,Cargas,1))),Coluna_fih,1,1))*(PI()*(fi_h/1000)^2/4)*SQRT(2*9.81*(O3326/100-fi_h/2/1000))*1000))</f>
        <v>77.457298716321077</v>
      </c>
      <c r="Q3326" s="19">
        <f ca="1">IF(O3326="","",IF(Tipo_Vertedor="Retangular",IF(O3326&lt;=cota_s*100,0,IF(Tipo_Vertedor="Retangular",Cd_sr*Lef_sr*((O3326/100-cota_s)^(3/2))*1000)),IF(O3326&lt;=cota_s*100+fi_s/20,0,(OFFSET('Base de dados'!$A$4,IF(O3326&lt;20,1,IF(O3326&gt;1000,10,MATCH(O3326,Cargas,1))),Coluna_fis,1,1))*(PI()*(fi_s/1000)^2/4)*(2*9.81*(O3326/100-cota_s-fi_s/2/1000))^0.5*1000)))</f>
        <v>23517.714058920214</v>
      </c>
      <c r="R3326" s="19">
        <f t="shared" ca="1" si="345"/>
        <v>23595.171357636536</v>
      </c>
      <c r="S3326" s="19">
        <f t="shared" ca="1" si="346"/>
        <v>21869.255179360349</v>
      </c>
    </row>
    <row r="3327" spans="13:19">
      <c r="M3327" s="81">
        <f t="shared" ca="1" si="343"/>
        <v>45483.270770623945</v>
      </c>
      <c r="N3327" s="19">
        <f t="shared" si="344"/>
        <v>656.29955672756398</v>
      </c>
      <c r="O3327" s="17">
        <f t="shared" si="342"/>
        <v>831.5</v>
      </c>
      <c r="P3327" s="19">
        <f ca="1">IF(ISERROR(IF(O3327&lt;fi_h/20,0,(OFFSET('Base de dados'!$A$5,IF(O3327&lt;20,1,IF(O3327&gt;1000,10,MATCH(O3327,Cargas,1))),Coluna_fih,1,1))*(1+0.13*0.25)*(PI()*(fi_h/1000)^2/4)*SQRT(2*9.81*(O3327/100-fi_h/2/1000))*1000)),"",IF(O3327&lt;fi_h/20,0,(OFFSET('Base de dados'!$A$5,IF(O3327&lt;20,1,IF(O3327&gt;1000,10,MATCH(O3327,Cargas,1))),Coluna_fih,1,1))*(PI()*(fi_h/1000)^2/4)*SQRT(2*9.81*(O3327/100-fi_h/2/1000))*1000))</f>
        <v>77.469025111950103</v>
      </c>
      <c r="Q3327" s="19">
        <f ca="1">IF(O3327="","",IF(Tipo_Vertedor="Retangular",IF(O3327&lt;=cota_s*100,0,IF(Tipo_Vertedor="Retangular",Cd_sr*Lef_sr*((O3327/100-cota_s)^(3/2))*1000)),IF(O3327&lt;=cota_s*100+fi_s/20,0,(OFFSET('Base de dados'!$A$4,IF(O3327&lt;20,1,IF(O3327&gt;1000,10,MATCH(O3327,Cargas,1))),Coluna_fis,1,1))*(PI()*(fi_s/1000)^2/4)*(2*9.81*(O3327/100-cota_s-fi_s/2/1000))^0.5*1000)))</f>
        <v>23529.149854593197</v>
      </c>
      <c r="R3327" s="19">
        <f t="shared" ca="1" si="345"/>
        <v>23606.618879705147</v>
      </c>
      <c r="S3327" s="19">
        <f t="shared" ca="1" si="346"/>
        <v>21876.651890918798</v>
      </c>
    </row>
    <row r="3328" spans="13:19">
      <c r="M3328" s="81">
        <f t="shared" ca="1" si="343"/>
        <v>45502.117132524356</v>
      </c>
      <c r="N3328" s="19">
        <f t="shared" si="344"/>
        <v>656.52146638572867</v>
      </c>
      <c r="O3328" s="17">
        <f t="shared" si="342"/>
        <v>831.75</v>
      </c>
      <c r="P3328" s="19">
        <f ca="1">IF(ISERROR(IF(O3328&lt;fi_h/20,0,(OFFSET('Base de dados'!$A$5,IF(O3328&lt;20,1,IF(O3328&gt;1000,10,MATCH(O3328,Cargas,1))),Coluna_fih,1,1))*(1+0.13*0.25)*(PI()*(fi_h/1000)^2/4)*SQRT(2*9.81*(O3328/100-fi_h/2/1000))*1000)),"",IF(O3328&lt;fi_h/20,0,(OFFSET('Base de dados'!$A$5,IF(O3328&lt;20,1,IF(O3328&gt;1000,10,MATCH(O3328,Cargas,1))),Coluna_fih,1,1))*(PI()*(fi_h/1000)^2/4)*SQRT(2*9.81*(O3328/100-fi_h/2/1000))*1000))</f>
        <v>77.480749732836983</v>
      </c>
      <c r="Q3328" s="19">
        <f ca="1">IF(O3328="","",IF(Tipo_Vertedor="Retangular",IF(O3328&lt;=cota_s*100,0,IF(Tipo_Vertedor="Retangular",Cd_sr*Lef_sr*((O3328/100-cota_s)^(3/2))*1000)),IF(O3328&lt;=cota_s*100+fi_s/20,0,(OFFSET('Base de dados'!$A$4,IF(O3328&lt;20,1,IF(O3328&gt;1000,10,MATCH(O3328,Cargas,1))),Coluna_fis,1,1))*(PI()*(fi_s/1000)^2/4)*(2*9.81*(O3328/100-cota_s-fi_s/2/1000))^0.5*1000)))</f>
        <v>23540.58750326723</v>
      </c>
      <c r="R3328" s="19">
        <f t="shared" ca="1" si="345"/>
        <v>23618.068253000067</v>
      </c>
      <c r="S3328" s="19">
        <f t="shared" ca="1" si="346"/>
        <v>21884.048879524289</v>
      </c>
    </row>
    <row r="3329" spans="13:19">
      <c r="M3329" s="81">
        <f t="shared" ca="1" si="343"/>
        <v>45520.965622325835</v>
      </c>
      <c r="N3329" s="19">
        <f t="shared" si="344"/>
        <v>656.74338435311722</v>
      </c>
      <c r="O3329" s="17">
        <f t="shared" si="342"/>
        <v>832</v>
      </c>
      <c r="P3329" s="19">
        <f ca="1">IF(ISERROR(IF(O3329&lt;fi_h/20,0,(OFFSET('Base de dados'!$A$5,IF(O3329&lt;20,1,IF(O3329&gt;1000,10,MATCH(O3329,Cargas,1))),Coluna_fih,1,1))*(1+0.13*0.25)*(PI()*(fi_h/1000)^2/4)*SQRT(2*9.81*(O3329/100-fi_h/2/1000))*1000)),"",IF(O3329&lt;fi_h/20,0,(OFFSET('Base de dados'!$A$5,IF(O3329&lt;20,1,IF(O3329&gt;1000,10,MATCH(O3329,Cargas,1))),Coluna_fih,1,1))*(PI()*(fi_h/1000)^2/4)*SQRT(2*9.81*(O3329/100-fi_h/2/1000))*1000))</f>
        <v>77.492472579787261</v>
      </c>
      <c r="Q3329" s="19">
        <f ca="1">IF(O3329="","",IF(Tipo_Vertedor="Retangular",IF(O3329&lt;=cota_s*100,0,IF(Tipo_Vertedor="Retangular",Cd_sr*Lef_sr*((O3329/100-cota_s)^(3/2))*1000)),IF(O3329&lt;=cota_s*100+fi_s/20,0,(OFFSET('Base de dados'!$A$4,IF(O3329&lt;20,1,IF(O3329&gt;1000,10,MATCH(O3329,Cargas,1))),Coluna_fis,1,1))*(PI()*(fi_s/1000)^2/4)*(2*9.81*(O3329/100-cota_s-fi_s/2/1000))^0.5*1000)))</f>
        <v>23552.027004642143</v>
      </c>
      <c r="R3329" s="19">
        <f t="shared" ca="1" si="345"/>
        <v>23629.519477221929</v>
      </c>
      <c r="S3329" s="19">
        <f t="shared" ca="1" si="346"/>
        <v>21891.446145103906</v>
      </c>
    </row>
    <row r="3330" spans="13:19">
      <c r="M3330" s="81">
        <f t="shared" ca="1" si="343"/>
        <v>45539.816239656284</v>
      </c>
      <c r="N3330" s="19">
        <f t="shared" si="344"/>
        <v>656.96531062754354</v>
      </c>
      <c r="O3330" s="17">
        <f t="shared" si="342"/>
        <v>832.25</v>
      </c>
      <c r="P3330" s="19">
        <f ca="1">IF(ISERROR(IF(O3330&lt;fi_h/20,0,(OFFSET('Base de dados'!$A$5,IF(O3330&lt;20,1,IF(O3330&gt;1000,10,MATCH(O3330,Cargas,1))),Coluna_fih,1,1))*(1+0.13*0.25)*(PI()*(fi_h/1000)^2/4)*SQRT(2*9.81*(O3330/100-fi_h/2/1000))*1000)),"",IF(O3330&lt;fi_h/20,0,(OFFSET('Base de dados'!$A$5,IF(O3330&lt;20,1,IF(O3330&gt;1000,10,MATCH(O3330,Cargas,1))),Coluna_fih,1,1))*(PI()*(fi_h/1000)^2/4)*SQRT(2*9.81*(O3330/100-fi_h/2/1000))*1000))</f>
        <v>77.504193653605881</v>
      </c>
      <c r="Q3330" s="19">
        <f ca="1">IF(O3330="","",IF(Tipo_Vertedor="Retangular",IF(O3330&lt;=cota_s*100,0,IF(Tipo_Vertedor="Retangular",Cd_sr*Lef_sr*((O3330/100-cota_s)^(3/2))*1000)),IF(O3330&lt;=cota_s*100+fi_s/20,0,(OFFSET('Base de dados'!$A$4,IF(O3330&lt;20,1,IF(O3330&gt;1000,10,MATCH(O3330,Cargas,1))),Coluna_fis,1,1))*(PI()*(fi_s/1000)^2/4)*(2*9.81*(O3330/100-cota_s-fi_s/2/1000))^0.5*1000)))</f>
        <v>23563.468358417889</v>
      </c>
      <c r="R3330" s="19">
        <f t="shared" ca="1" si="345"/>
        <v>23640.972552071496</v>
      </c>
      <c r="S3330" s="19">
        <f t="shared" ca="1" si="346"/>
        <v>21898.843687584787</v>
      </c>
    </row>
    <row r="3331" spans="13:19">
      <c r="M3331" s="81">
        <f t="shared" ca="1" si="343"/>
        <v>45558.668984143849</v>
      </c>
      <c r="N3331" s="19">
        <f t="shared" si="344"/>
        <v>657.18724520682395</v>
      </c>
      <c r="O3331" s="17">
        <f t="shared" si="342"/>
        <v>832.5</v>
      </c>
      <c r="P3331" s="19">
        <f ca="1">IF(ISERROR(IF(O3331&lt;fi_h/20,0,(OFFSET('Base de dados'!$A$5,IF(O3331&lt;20,1,IF(O3331&gt;1000,10,MATCH(O3331,Cargas,1))),Coluna_fih,1,1))*(1+0.13*0.25)*(PI()*(fi_h/1000)^2/4)*SQRT(2*9.81*(O3331/100-fi_h/2/1000))*1000)),"",IF(O3331&lt;fi_h/20,0,(OFFSET('Base de dados'!$A$5,IF(O3331&lt;20,1,IF(O3331&gt;1000,10,MATCH(O3331,Cargas,1))),Coluna_fih,1,1))*(PI()*(fi_h/1000)^2/4)*SQRT(2*9.81*(O3331/100-fi_h/2/1000))*1000))</f>
        <v>77.515912955097193</v>
      </c>
      <c r="Q3331" s="19">
        <f ca="1">IF(O3331="","",IF(Tipo_Vertedor="Retangular",IF(O3331&lt;=cota_s*100,0,IF(Tipo_Vertedor="Retangular",Cd_sr*Lef_sr*((O3331/100-cota_s)^(3/2))*1000)),IF(O3331&lt;=cota_s*100+fi_s/20,0,(OFFSET('Base de dados'!$A$4,IF(O3331&lt;20,1,IF(O3331&gt;1000,10,MATCH(O3331,Cargas,1))),Coluna_fis,1,1))*(PI()*(fi_s/1000)^2/4)*(2*9.81*(O3331/100-cota_s-fi_s/2/1000))^0.5*1000)))</f>
        <v>23574.911564294627</v>
      </c>
      <c r="R3331" s="19">
        <f t="shared" ca="1" si="345"/>
        <v>23652.427477249723</v>
      </c>
      <c r="S3331" s="19">
        <f t="shared" ca="1" si="346"/>
        <v>21906.24150689413</v>
      </c>
    </row>
    <row r="3332" spans="13:19">
      <c r="M3332" s="81">
        <f t="shared" ca="1" si="343"/>
        <v>45577.523855416861</v>
      </c>
      <c r="N3332" s="19">
        <f t="shared" si="344"/>
        <v>657.40918808877404</v>
      </c>
      <c r="O3332" s="17">
        <f t="shared" si="342"/>
        <v>832.75</v>
      </c>
      <c r="P3332" s="19">
        <f ca="1">IF(ISERROR(IF(O3332&lt;fi_h/20,0,(OFFSET('Base de dados'!$A$5,IF(O3332&lt;20,1,IF(O3332&gt;1000,10,MATCH(O3332,Cargas,1))),Coluna_fih,1,1))*(1+0.13*0.25)*(PI()*(fi_h/1000)^2/4)*SQRT(2*9.81*(O3332/100-fi_h/2/1000))*1000)),"",IF(O3332&lt;fi_h/20,0,(OFFSET('Base de dados'!$A$5,IF(O3332&lt;20,1,IF(O3332&gt;1000,10,MATCH(O3332,Cargas,1))),Coluna_fih,1,1))*(PI()*(fi_h/1000)^2/4)*SQRT(2*9.81*(O3332/100-fi_h/2/1000))*1000))</f>
        <v>77.527630485064918</v>
      </c>
      <c r="Q3332" s="19">
        <f ca="1">IF(O3332="","",IF(Tipo_Vertedor="Retangular",IF(O3332&lt;=cota_s*100,0,IF(Tipo_Vertedor="Retangular",Cd_sr*Lef_sr*((O3332/100-cota_s)^(3/2))*1000)),IF(O3332&lt;=cota_s*100+fi_s/20,0,(OFFSET('Base de dados'!$A$4,IF(O3332&lt;20,1,IF(O3332&gt;1000,10,MATCH(O3332,Cargas,1))),Coluna_fis,1,1))*(PI()*(fi_s/1000)^2/4)*(2*9.81*(O3332/100-cota_s-fi_s/2/1000))^0.5*1000)))</f>
        <v>23586.356621972656</v>
      </c>
      <c r="R3332" s="19">
        <f t="shared" ca="1" si="345"/>
        <v>23663.884252457719</v>
      </c>
      <c r="S3332" s="19">
        <f t="shared" ca="1" si="346"/>
        <v>21913.639602959138</v>
      </c>
    </row>
    <row r="3333" spans="13:19">
      <c r="M3333" s="81">
        <f t="shared" ca="1" si="343"/>
        <v>45596.380853103779</v>
      </c>
      <c r="N3333" s="19">
        <f t="shared" si="344"/>
        <v>657.63113927121253</v>
      </c>
      <c r="O3333" s="17">
        <f t="shared" si="342"/>
        <v>833</v>
      </c>
      <c r="P3333" s="19">
        <f ca="1">IF(ISERROR(IF(O3333&lt;fi_h/20,0,(OFFSET('Base de dados'!$A$5,IF(O3333&lt;20,1,IF(O3333&gt;1000,10,MATCH(O3333,Cargas,1))),Coluna_fih,1,1))*(1+0.13*0.25)*(PI()*(fi_h/1000)^2/4)*SQRT(2*9.81*(O3333/100-fi_h/2/1000))*1000)),"",IF(O3333&lt;fi_h/20,0,(OFFSET('Base de dados'!$A$5,IF(O3333&lt;20,1,IF(O3333&gt;1000,10,MATCH(O3333,Cargas,1))),Coluna_fih,1,1))*(PI()*(fi_h/1000)^2/4)*SQRT(2*9.81*(O3333/100-fi_h/2/1000))*1000))</f>
        <v>77.539346244312171</v>
      </c>
      <c r="Q3333" s="19">
        <f ca="1">IF(O3333="","",IF(Tipo_Vertedor="Retangular",IF(O3333&lt;=cota_s*100,0,IF(Tipo_Vertedor="Retangular",Cd_sr*Lef_sr*((O3333/100-cota_s)^(3/2))*1000)),IF(O3333&lt;=cota_s*100+fi_s/20,0,(OFFSET('Base de dados'!$A$4,IF(O3333&lt;20,1,IF(O3333&gt;1000,10,MATCH(O3333,Cargas,1))),Coluna_fis,1,1))*(PI()*(fi_s/1000)^2/4)*(2*9.81*(O3333/100-cota_s-fi_s/2/1000))^0.5*1000)))</f>
        <v>23597.803531152385</v>
      </c>
      <c r="R3333" s="19">
        <f t="shared" ca="1" si="345"/>
        <v>23675.342877396699</v>
      </c>
      <c r="S3333" s="19">
        <f t="shared" ca="1" si="346"/>
        <v>21921.037975707084</v>
      </c>
    </row>
    <row r="3334" spans="13:19">
      <c r="M3334" s="81">
        <f t="shared" ca="1" si="343"/>
        <v>45615.239976833342</v>
      </c>
      <c r="N3334" s="19">
        <f t="shared" si="344"/>
        <v>657.8530987519589</v>
      </c>
      <c r="O3334" s="17">
        <f t="shared" si="342"/>
        <v>833.25</v>
      </c>
      <c r="P3334" s="19">
        <f ca="1">IF(ISERROR(IF(O3334&lt;fi_h/20,0,(OFFSET('Base de dados'!$A$5,IF(O3334&lt;20,1,IF(O3334&gt;1000,10,MATCH(O3334,Cargas,1))),Coluna_fih,1,1))*(1+0.13*0.25)*(PI()*(fi_h/1000)^2/4)*SQRT(2*9.81*(O3334/100-fi_h/2/1000))*1000)),"",IF(O3334&lt;fi_h/20,0,(OFFSET('Base de dados'!$A$5,IF(O3334&lt;20,1,IF(O3334&gt;1000,10,MATCH(O3334,Cargas,1))),Coluna_fih,1,1))*(PI()*(fi_h/1000)^2/4)*SQRT(2*9.81*(O3334/100-fi_h/2/1000))*1000))</f>
        <v>77.551060233641493</v>
      </c>
      <c r="Q3334" s="19">
        <f ca="1">IF(O3334="","",IF(Tipo_Vertedor="Retangular",IF(O3334&lt;=cota_s*100,0,IF(Tipo_Vertedor="Retangular",Cd_sr*Lef_sr*((O3334/100-cota_s)^(3/2))*1000)),IF(O3334&lt;=cota_s*100+fi_s/20,0,(OFFSET('Base de dados'!$A$4,IF(O3334&lt;20,1,IF(O3334&gt;1000,10,MATCH(O3334,Cargas,1))),Coluna_fis,1,1))*(PI()*(fi_s/1000)^2/4)*(2*9.81*(O3334/100-cota_s-fi_s/2/1000))^0.5*1000)))</f>
        <v>23609.252291534402</v>
      </c>
      <c r="R3334" s="19">
        <f t="shared" ca="1" si="345"/>
        <v>23686.803351768041</v>
      </c>
      <c r="S3334" s="19">
        <f t="shared" ca="1" si="346"/>
        <v>21928.436625065297</v>
      </c>
    </row>
    <row r="3335" spans="13:19">
      <c r="M3335" s="81">
        <f t="shared" ca="1" si="343"/>
        <v>45634.101226234365</v>
      </c>
      <c r="N3335" s="19">
        <f t="shared" si="344"/>
        <v>658.07506652883274</v>
      </c>
      <c r="O3335" s="17">
        <f t="shared" si="342"/>
        <v>833.5</v>
      </c>
      <c r="P3335" s="19">
        <f ca="1">IF(ISERROR(IF(O3335&lt;fi_h/20,0,(OFFSET('Base de dados'!$A$5,IF(O3335&lt;20,1,IF(O3335&gt;1000,10,MATCH(O3335,Cargas,1))),Coluna_fih,1,1))*(1+0.13*0.25)*(PI()*(fi_h/1000)^2/4)*SQRT(2*9.81*(O3335/100-fi_h/2/1000))*1000)),"",IF(O3335&lt;fi_h/20,0,(OFFSET('Base de dados'!$A$5,IF(O3335&lt;20,1,IF(O3335&gt;1000,10,MATCH(O3335,Cargas,1))),Coluna_fih,1,1))*(PI()*(fi_h/1000)^2/4)*SQRT(2*9.81*(O3335/100-fi_h/2/1000))*1000))</f>
        <v>77.562772453854791</v>
      </c>
      <c r="Q3335" s="19">
        <f ca="1">IF(O3335="","",IF(Tipo_Vertedor="Retangular",IF(O3335&lt;=cota_s*100,0,IF(Tipo_Vertedor="Retangular",Cd_sr*Lef_sr*((O3335/100-cota_s)^(3/2))*1000)),IF(O3335&lt;=cota_s*100+fi_s/20,0,(OFFSET('Base de dados'!$A$4,IF(O3335&lt;20,1,IF(O3335&gt;1000,10,MATCH(O3335,Cargas,1))),Coluna_fis,1,1))*(PI()*(fi_s/1000)^2/4)*(2*9.81*(O3335/100-cota_s-fi_s/2/1000))^0.5*1000)))</f>
        <v>23620.702902819419</v>
      </c>
      <c r="R3335" s="19">
        <f t="shared" ca="1" si="345"/>
        <v>23698.265675273273</v>
      </c>
      <c r="S3335" s="19">
        <f t="shared" ca="1" si="346"/>
        <v>21935.835550961092</v>
      </c>
    </row>
    <row r="3336" spans="13:19">
      <c r="M3336" s="81">
        <f t="shared" ca="1" si="343"/>
        <v>45652.964600935913</v>
      </c>
      <c r="N3336" s="19">
        <f t="shared" si="344"/>
        <v>658.29704259965581</v>
      </c>
      <c r="O3336" s="17">
        <f t="shared" si="342"/>
        <v>833.75</v>
      </c>
      <c r="P3336" s="19">
        <f ca="1">IF(ISERROR(IF(O3336&lt;fi_h/20,0,(OFFSET('Base de dados'!$A$5,IF(O3336&lt;20,1,IF(O3336&gt;1000,10,MATCH(O3336,Cargas,1))),Coluna_fih,1,1))*(1+0.13*0.25)*(PI()*(fi_h/1000)^2/4)*SQRT(2*9.81*(O3336/100-fi_h/2/1000))*1000)),"",IF(O3336&lt;fi_h/20,0,(OFFSET('Base de dados'!$A$5,IF(O3336&lt;20,1,IF(O3336&gt;1000,10,MATCH(O3336,Cargas,1))),Coluna_fih,1,1))*(PI()*(fi_h/1000)^2/4)*SQRT(2*9.81*(O3336/100-fi_h/2/1000))*1000))</f>
        <v>77.574482905753328</v>
      </c>
      <c r="Q3336" s="19">
        <f ca="1">IF(O3336="","",IF(Tipo_Vertedor="Retangular",IF(O3336&lt;=cota_s*100,0,IF(Tipo_Vertedor="Retangular",Cd_sr*Lef_sr*((O3336/100-cota_s)^(3/2))*1000)),IF(O3336&lt;=cota_s*100+fi_s/20,0,(OFFSET('Base de dados'!$A$4,IF(O3336&lt;20,1,IF(O3336&gt;1000,10,MATCH(O3336,Cargas,1))),Coluna_fis,1,1))*(PI()*(fi_s/1000)^2/4)*(2*9.81*(O3336/100-cota_s-fi_s/2/1000))^0.5*1000)))</f>
        <v>23632.155364708298</v>
      </c>
      <c r="R3336" s="19">
        <f t="shared" ca="1" si="345"/>
        <v>23709.729847614053</v>
      </c>
      <c r="S3336" s="19">
        <f t="shared" ca="1" si="346"/>
        <v>21943.23475332186</v>
      </c>
    </row>
    <row r="3337" spans="13:19">
      <c r="M3337" s="81">
        <f t="shared" ca="1" si="343"/>
        <v>45671.830100567233</v>
      </c>
      <c r="N3337" s="19">
        <f t="shared" si="344"/>
        <v>658.51902696225102</v>
      </c>
      <c r="O3337" s="17">
        <f t="shared" si="342"/>
        <v>834</v>
      </c>
      <c r="P3337" s="19">
        <f ca="1">IF(ISERROR(IF(O3337&lt;fi_h/20,0,(OFFSET('Base de dados'!$A$5,IF(O3337&lt;20,1,IF(O3337&gt;1000,10,MATCH(O3337,Cargas,1))),Coluna_fih,1,1))*(1+0.13*0.25)*(PI()*(fi_h/1000)^2/4)*SQRT(2*9.81*(O3337/100-fi_h/2/1000))*1000)),"",IF(O3337&lt;fi_h/20,0,(OFFSET('Base de dados'!$A$5,IF(O3337&lt;20,1,IF(O3337&gt;1000,10,MATCH(O3337,Cargas,1))),Coluna_fih,1,1))*(PI()*(fi_h/1000)^2/4)*SQRT(2*9.81*(O3337/100-fi_h/2/1000))*1000))</f>
        <v>77.586191590137858</v>
      </c>
      <c r="Q3337" s="19">
        <f ca="1">IF(O3337="","",IF(Tipo_Vertedor="Retangular",IF(O3337&lt;=cota_s*100,0,IF(Tipo_Vertedor="Retangular",Cd_sr*Lef_sr*((O3337/100-cota_s)^(3/2))*1000)),IF(O3337&lt;=cota_s*100+fi_s/20,0,(OFFSET('Base de dados'!$A$4,IF(O3337&lt;20,1,IF(O3337&gt;1000,10,MATCH(O3337,Cargas,1))),Coluna_fis,1,1))*(PI()*(fi_s/1000)^2/4)*(2*9.81*(O3337/100-cota_s-fi_s/2/1000))^0.5*1000)))</f>
        <v>23643.609676902062</v>
      </c>
      <c r="R3337" s="19">
        <f t="shared" ca="1" si="345"/>
        <v>23721.195868492199</v>
      </c>
      <c r="S3337" s="19">
        <f t="shared" ca="1" si="346"/>
        <v>21950.634232075034</v>
      </c>
    </row>
    <row r="3338" spans="13:19">
      <c r="M3338" s="81">
        <f t="shared" ca="1" si="343"/>
        <v>45690.697724757709</v>
      </c>
      <c r="N3338" s="19">
        <f t="shared" si="344"/>
        <v>658.74101961444217</v>
      </c>
      <c r="O3338" s="17">
        <f t="shared" si="342"/>
        <v>834.25</v>
      </c>
      <c r="P3338" s="19">
        <f ca="1">IF(ISERROR(IF(O3338&lt;fi_h/20,0,(OFFSET('Base de dados'!$A$5,IF(O3338&lt;20,1,IF(O3338&gt;1000,10,MATCH(O3338,Cargas,1))),Coluna_fih,1,1))*(1+0.13*0.25)*(PI()*(fi_h/1000)^2/4)*SQRT(2*9.81*(O3338/100-fi_h/2/1000))*1000)),"",IF(O3338&lt;fi_h/20,0,(OFFSET('Base de dados'!$A$5,IF(O3338&lt;20,1,IF(O3338&gt;1000,10,MATCH(O3338,Cargas,1))),Coluna_fih,1,1))*(PI()*(fi_h/1000)^2/4)*SQRT(2*9.81*(O3338/100-fi_h/2/1000))*1000))</f>
        <v>77.597898507808452</v>
      </c>
      <c r="Q3338" s="19">
        <f ca="1">IF(O3338="","",IF(Tipo_Vertedor="Retangular",IF(O3338&lt;=cota_s*100,0,IF(Tipo_Vertedor="Retangular",Cd_sr*Lef_sr*((O3338/100-cota_s)^(3/2))*1000)),IF(O3338&lt;=cota_s*100+fi_s/20,0,(OFFSET('Base de dados'!$A$4,IF(O3338&lt;20,1,IF(O3338&gt;1000,10,MATCH(O3338,Cargas,1))),Coluna_fis,1,1))*(PI()*(fi_s/1000)^2/4)*(2*9.81*(O3338/100-cota_s-fi_s/2/1000))^0.5*1000)))</f>
        <v>23655.06583910183</v>
      </c>
      <c r="R3338" s="19">
        <f t="shared" ca="1" si="345"/>
        <v>23732.663737609637</v>
      </c>
      <c r="S3338" s="19">
        <f t="shared" ca="1" si="346"/>
        <v>21958.033987148072</v>
      </c>
    </row>
    <row r="3339" spans="13:19">
      <c r="M3339" s="81">
        <f t="shared" ca="1" si="343"/>
        <v>45709.567473137024</v>
      </c>
      <c r="N3339" s="19">
        <f t="shared" si="344"/>
        <v>658.96302055405545</v>
      </c>
      <c r="O3339" s="17">
        <f t="shared" si="342"/>
        <v>834.5</v>
      </c>
      <c r="P3339" s="19">
        <f ca="1">IF(ISERROR(IF(O3339&lt;fi_h/20,0,(OFFSET('Base de dados'!$A$5,IF(O3339&lt;20,1,IF(O3339&gt;1000,10,MATCH(O3339,Cargas,1))),Coluna_fih,1,1))*(1+0.13*0.25)*(PI()*(fi_h/1000)^2/4)*SQRT(2*9.81*(O3339/100-fi_h/2/1000))*1000)),"",IF(O3339&lt;fi_h/20,0,(OFFSET('Base de dados'!$A$5,IF(O3339&lt;20,1,IF(O3339&gt;1000,10,MATCH(O3339,Cargas,1))),Coluna_fih,1,1))*(PI()*(fi_h/1000)^2/4)*SQRT(2*9.81*(O3339/100-fi_h/2/1000))*1000))</f>
        <v>77.609603659564598</v>
      </c>
      <c r="Q3339" s="19">
        <f ca="1">IF(O3339="","",IF(Tipo_Vertedor="Retangular",IF(O3339&lt;=cota_s*100,0,IF(Tipo_Vertedor="Retangular",Cd_sr*Lef_sr*((O3339/100-cota_s)^(3/2))*1000)),IF(O3339&lt;=cota_s*100+fi_s/20,0,(OFFSET('Base de dados'!$A$4,IF(O3339&lt;20,1,IF(O3339&gt;1000,10,MATCH(O3339,Cargas,1))),Coluna_fis,1,1))*(PI()*(fi_s/1000)^2/4)*(2*9.81*(O3339/100-cota_s-fi_s/2/1000))^0.5*1000)))</f>
        <v>23666.523851008944</v>
      </c>
      <c r="R3339" s="19">
        <f t="shared" ca="1" si="345"/>
        <v>23744.13345466851</v>
      </c>
      <c r="S3339" s="19">
        <f t="shared" ca="1" si="346"/>
        <v>21965.434018468517</v>
      </c>
    </row>
    <row r="3340" spans="13:19">
      <c r="M3340" s="81">
        <f t="shared" ca="1" si="343"/>
        <v>45728.439345334904</v>
      </c>
      <c r="N3340" s="19">
        <f t="shared" si="344"/>
        <v>659.18502977891637</v>
      </c>
      <c r="O3340" s="17">
        <f t="shared" si="342"/>
        <v>834.75</v>
      </c>
      <c r="P3340" s="19">
        <f ca="1">IF(ISERROR(IF(O3340&lt;fi_h/20,0,(OFFSET('Base de dados'!$A$5,IF(O3340&lt;20,1,IF(O3340&gt;1000,10,MATCH(O3340,Cargas,1))),Coluna_fih,1,1))*(1+0.13*0.25)*(PI()*(fi_h/1000)^2/4)*SQRT(2*9.81*(O3340/100-fi_h/2/1000))*1000)),"",IF(O3340&lt;fi_h/20,0,(OFFSET('Base de dados'!$A$5,IF(O3340&lt;20,1,IF(O3340&gt;1000,10,MATCH(O3340,Cargas,1))),Coluna_fih,1,1))*(PI()*(fi_h/1000)^2/4)*SQRT(2*9.81*(O3340/100-fi_h/2/1000))*1000))</f>
        <v>77.621307046205203</v>
      </c>
      <c r="Q3340" s="19">
        <f ca="1">IF(O3340="","",IF(Tipo_Vertedor="Retangular",IF(O3340&lt;=cota_s*100,0,IF(Tipo_Vertedor="Retangular",Cd_sr*Lef_sr*((O3340/100-cota_s)^(3/2))*1000)),IF(O3340&lt;=cota_s*100+fi_s/20,0,(OFFSET('Base de dados'!$A$4,IF(O3340&lt;20,1,IF(O3340&gt;1000,10,MATCH(O3340,Cargas,1))),Coluna_fis,1,1))*(PI()*(fi_s/1000)^2/4)*(2*9.81*(O3340/100-cota_s-fi_s/2/1000))^0.5*1000)))</f>
        <v>23677.983712324818</v>
      </c>
      <c r="R3340" s="19">
        <f t="shared" ca="1" si="345"/>
        <v>23755.605019371022</v>
      </c>
      <c r="S3340" s="19">
        <f t="shared" ca="1" si="346"/>
        <v>21972.834325963879</v>
      </c>
    </row>
    <row r="3341" spans="13:19">
      <c r="M3341" s="81">
        <f t="shared" ca="1" si="343"/>
        <v>45747.313340981331</v>
      </c>
      <c r="N3341" s="19">
        <f t="shared" si="344"/>
        <v>659.40704728685307</v>
      </c>
      <c r="O3341" s="17">
        <f t="shared" si="342"/>
        <v>835</v>
      </c>
      <c r="P3341" s="19">
        <f ca="1">IF(ISERROR(IF(O3341&lt;fi_h/20,0,(OFFSET('Base de dados'!$A$5,IF(O3341&lt;20,1,IF(O3341&gt;1000,10,MATCH(O3341,Cargas,1))),Coluna_fih,1,1))*(1+0.13*0.25)*(PI()*(fi_h/1000)^2/4)*SQRT(2*9.81*(O3341/100-fi_h/2/1000))*1000)),"",IF(O3341&lt;fi_h/20,0,(OFFSET('Base de dados'!$A$5,IF(O3341&lt;20,1,IF(O3341&gt;1000,10,MATCH(O3341,Cargas,1))),Coluna_fih,1,1))*(PI()*(fi_h/1000)^2/4)*SQRT(2*9.81*(O3341/100-fi_h/2/1000))*1000))</f>
        <v>77.633008668528532</v>
      </c>
      <c r="Q3341" s="19">
        <f ca="1">IF(O3341="","",IF(Tipo_Vertedor="Retangular",IF(O3341&lt;=cota_s*100,0,IF(Tipo_Vertedor="Retangular",Cd_sr*Lef_sr*((O3341/100-cota_s)^(3/2))*1000)),IF(O3341&lt;=cota_s*100+fi_s/20,0,(OFFSET('Base de dados'!$A$4,IF(O3341&lt;20,1,IF(O3341&gt;1000,10,MATCH(O3341,Cargas,1))),Coluna_fis,1,1))*(PI()*(fi_s/1000)^2/4)*(2*9.81*(O3341/100-cota_s-fi_s/2/1000))^0.5*1000)))</f>
        <v>23689.445422751032</v>
      </c>
      <c r="R3341" s="19">
        <f t="shared" ca="1" si="345"/>
        <v>23767.078431419563</v>
      </c>
      <c r="S3341" s="19">
        <f t="shared" ca="1" si="346"/>
        <v>21980.234909561768</v>
      </c>
    </row>
    <row r="3342" spans="13:19">
      <c r="M3342" s="81">
        <f t="shared" ca="1" si="343"/>
        <v>45766.189459706511</v>
      </c>
      <c r="N3342" s="19">
        <f t="shared" si="344"/>
        <v>659.62907307569424</v>
      </c>
      <c r="O3342" s="17">
        <f t="shared" si="342"/>
        <v>835.25</v>
      </c>
      <c r="P3342" s="19">
        <f ca="1">IF(ISERROR(IF(O3342&lt;fi_h/20,0,(OFFSET('Base de dados'!$A$5,IF(O3342&lt;20,1,IF(O3342&gt;1000,10,MATCH(O3342,Cargas,1))),Coluna_fih,1,1))*(1+0.13*0.25)*(PI()*(fi_h/1000)^2/4)*SQRT(2*9.81*(O3342/100-fi_h/2/1000))*1000)),"",IF(O3342&lt;fi_h/20,0,(OFFSET('Base de dados'!$A$5,IF(O3342&lt;20,1,IF(O3342&gt;1000,10,MATCH(O3342,Cargas,1))),Coluna_fih,1,1))*(PI()*(fi_h/1000)^2/4)*SQRT(2*9.81*(O3342/100-fi_h/2/1000))*1000))</f>
        <v>77.644708527332284</v>
      </c>
      <c r="Q3342" s="19">
        <f ca="1">IF(O3342="","",IF(Tipo_Vertedor="Retangular",IF(O3342&lt;=cota_s*100,0,IF(Tipo_Vertedor="Retangular",Cd_sr*Lef_sr*((O3342/100-cota_s)^(3/2))*1000)),IF(O3342&lt;=cota_s*100+fi_s/20,0,(OFFSET('Base de dados'!$A$4,IF(O3342&lt;20,1,IF(O3342&gt;1000,10,MATCH(O3342,Cargas,1))),Coluna_fis,1,1))*(PI()*(fi_s/1000)^2/4)*(2*9.81*(O3342/100-cota_s-fi_s/2/1000))^0.5*1000)))</f>
        <v>23700.908981989367</v>
      </c>
      <c r="R3342" s="19">
        <f t="shared" ca="1" si="345"/>
        <v>23778.553690516699</v>
      </c>
      <c r="S3342" s="19">
        <f t="shared" ca="1" si="346"/>
        <v>21987.635769189808</v>
      </c>
    </row>
    <row r="3343" spans="13:19">
      <c r="M3343" s="81">
        <f t="shared" ca="1" si="343"/>
        <v>45785.067701140768</v>
      </c>
      <c r="N3343" s="19">
        <f t="shared" si="344"/>
        <v>659.85110714327061</v>
      </c>
      <c r="O3343" s="17">
        <f t="shared" si="342"/>
        <v>835.5</v>
      </c>
      <c r="P3343" s="19">
        <f ca="1">IF(ISERROR(IF(O3343&lt;fi_h/20,0,(OFFSET('Base de dados'!$A$5,IF(O3343&lt;20,1,IF(O3343&gt;1000,10,MATCH(O3343,Cargas,1))),Coluna_fih,1,1))*(1+0.13*0.25)*(PI()*(fi_h/1000)^2/4)*SQRT(2*9.81*(O3343/100-fi_h/2/1000))*1000)),"",IF(O3343&lt;fi_h/20,0,(OFFSET('Base de dados'!$A$5,IF(O3343&lt;20,1,IF(O3343&gt;1000,10,MATCH(O3343,Cargas,1))),Coluna_fih,1,1))*(PI()*(fi_h/1000)^2/4)*SQRT(2*9.81*(O3343/100-fi_h/2/1000))*1000))</f>
        <v>77.656406623413574</v>
      </c>
      <c r="Q3343" s="19">
        <f ca="1">IF(O3343="","",IF(Tipo_Vertedor="Retangular",IF(O3343&lt;=cota_s*100,0,IF(Tipo_Vertedor="Retangular",Cd_sr*Lef_sr*((O3343/100-cota_s)^(3/2))*1000)),IF(O3343&lt;=cota_s*100+fi_s/20,0,(OFFSET('Base de dados'!$A$4,IF(O3343&lt;20,1,IF(O3343&gt;1000,10,MATCH(O3343,Cargas,1))),Coluna_fis,1,1))*(PI()*(fi_s/1000)^2/4)*(2*9.81*(O3343/100-cota_s-fi_s/2/1000))^0.5*1000)))</f>
        <v>23712.374389741661</v>
      </c>
      <c r="R3343" s="19">
        <f t="shared" ca="1" si="345"/>
        <v>23790.030796365074</v>
      </c>
      <c r="S3343" s="19">
        <f t="shared" ca="1" si="346"/>
        <v>21995.03690477569</v>
      </c>
    </row>
    <row r="3344" spans="13:19">
      <c r="M3344" s="81">
        <f t="shared" ca="1" si="343"/>
        <v>45803.948064914577</v>
      </c>
      <c r="N3344" s="19">
        <f t="shared" si="344"/>
        <v>660.07314948741271</v>
      </c>
      <c r="O3344" s="17">
        <f t="shared" si="342"/>
        <v>835.75</v>
      </c>
      <c r="P3344" s="19">
        <f ca="1">IF(ISERROR(IF(O3344&lt;fi_h/20,0,(OFFSET('Base de dados'!$A$5,IF(O3344&lt;20,1,IF(O3344&gt;1000,10,MATCH(O3344,Cargas,1))),Coluna_fih,1,1))*(1+0.13*0.25)*(PI()*(fi_h/1000)^2/4)*SQRT(2*9.81*(O3344/100-fi_h/2/1000))*1000)),"",IF(O3344&lt;fi_h/20,0,(OFFSET('Base de dados'!$A$5,IF(O3344&lt;20,1,IF(O3344&gt;1000,10,MATCH(O3344,Cargas,1))),Coluna_fih,1,1))*(PI()*(fi_h/1000)^2/4)*SQRT(2*9.81*(O3344/100-fi_h/2/1000))*1000))</f>
        <v>77.668102957568834</v>
      </c>
      <c r="Q3344" s="19">
        <f ca="1">IF(O3344="","",IF(Tipo_Vertedor="Retangular",IF(O3344&lt;=cota_s*100,0,IF(Tipo_Vertedor="Retangular",Cd_sr*Lef_sr*((O3344/100-cota_s)^(3/2))*1000)),IF(O3344&lt;=cota_s*100+fi_s/20,0,(OFFSET('Base de dados'!$A$4,IF(O3344&lt;20,1,IF(O3344&gt;1000,10,MATCH(O3344,Cargas,1))),Coluna_fis,1,1))*(PI()*(fi_s/1000)^2/4)*(2*9.81*(O3344/100-cota_s-fi_s/2/1000))^0.5*1000)))</f>
        <v>23723.841645709919</v>
      </c>
      <c r="R3344" s="19">
        <f t="shared" ca="1" si="345"/>
        <v>23801.509748667489</v>
      </c>
      <c r="S3344" s="19">
        <f t="shared" ca="1" si="346"/>
        <v>22002.438316247088</v>
      </c>
    </row>
    <row r="3345" spans="13:19">
      <c r="M3345" s="81">
        <f t="shared" ca="1" si="343"/>
        <v>45822.830550658749</v>
      </c>
      <c r="N3345" s="19">
        <f t="shared" si="344"/>
        <v>660.29520010595422</v>
      </c>
      <c r="O3345" s="17">
        <f t="shared" si="342"/>
        <v>836</v>
      </c>
      <c r="P3345" s="19">
        <f ca="1">IF(ISERROR(IF(O3345&lt;fi_h/20,0,(OFFSET('Base de dados'!$A$5,IF(O3345&lt;20,1,IF(O3345&gt;1000,10,MATCH(O3345,Cargas,1))),Coluna_fih,1,1))*(1+0.13*0.25)*(PI()*(fi_h/1000)^2/4)*SQRT(2*9.81*(O3345/100-fi_h/2/1000))*1000)),"",IF(O3345&lt;fi_h/20,0,(OFFSET('Base de dados'!$A$5,IF(O3345&lt;20,1,IF(O3345&gt;1000,10,MATCH(O3345,Cargas,1))),Coluna_fih,1,1))*(PI()*(fi_h/1000)^2/4)*SQRT(2*9.81*(O3345/100-fi_h/2/1000))*1000))</f>
        <v>77.679797530593987</v>
      </c>
      <c r="Q3345" s="19">
        <f ca="1">IF(O3345="","",IF(Tipo_Vertedor="Retangular",IF(O3345&lt;=cota_s*100,0,IF(Tipo_Vertedor="Retangular",Cd_sr*Lef_sr*((O3345/100-cota_s)^(3/2))*1000)),IF(O3345&lt;=cota_s*100+fi_s/20,0,(OFFSET('Base de dados'!$A$4,IF(O3345&lt;20,1,IF(O3345&gt;1000,10,MATCH(O3345,Cargas,1))),Coluna_fis,1,1))*(PI()*(fi_s/1000)^2/4)*(2*9.81*(O3345/100-cota_s-fi_s/2/1000))^0.5*1000)))</f>
        <v>23735.310749596345</v>
      </c>
      <c r="R3345" s="19">
        <f t="shared" ca="1" si="345"/>
        <v>23812.990547126938</v>
      </c>
      <c r="S3345" s="19">
        <f t="shared" ca="1" si="346"/>
        <v>22009.840003531808</v>
      </c>
    </row>
    <row r="3346" spans="13:19">
      <c r="M3346" s="81">
        <f t="shared" ca="1" si="343"/>
        <v>45841.715158004103</v>
      </c>
      <c r="N3346" s="19">
        <f t="shared" si="344"/>
        <v>660.51725899672749</v>
      </c>
      <c r="O3346" s="17">
        <f t="shared" si="342"/>
        <v>836.25</v>
      </c>
      <c r="P3346" s="19">
        <f ca="1">IF(ISERROR(IF(O3346&lt;fi_h/20,0,(OFFSET('Base de dados'!$A$5,IF(O3346&lt;20,1,IF(O3346&gt;1000,10,MATCH(O3346,Cargas,1))),Coluna_fih,1,1))*(1+0.13*0.25)*(PI()*(fi_h/1000)^2/4)*SQRT(2*9.81*(O3346/100-fi_h/2/1000))*1000)),"",IF(O3346&lt;fi_h/20,0,(OFFSET('Base de dados'!$A$5,IF(O3346&lt;20,1,IF(O3346&gt;1000,10,MATCH(O3346,Cargas,1))),Coluna_fih,1,1))*(PI()*(fi_h/1000)^2/4)*SQRT(2*9.81*(O3346/100-fi_h/2/1000))*1000))</f>
        <v>77.6914903432843</v>
      </c>
      <c r="Q3346" s="19">
        <f ca="1">IF(O3346="","",IF(Tipo_Vertedor="Retangular",IF(O3346&lt;=cota_s*100,0,IF(Tipo_Vertedor="Retangular",Cd_sr*Lef_sr*((O3346/100-cota_s)^(3/2))*1000)),IF(O3346&lt;=cota_s*100+fi_s/20,0,(OFFSET('Base de dados'!$A$4,IF(O3346&lt;20,1,IF(O3346&gt;1000,10,MATCH(O3346,Cargas,1))),Coluna_fis,1,1))*(PI()*(fi_s/1000)^2/4)*(2*9.81*(O3346/100-cota_s-fi_s/2/1000))^0.5*1000)))</f>
        <v>23746.781701103235</v>
      </c>
      <c r="R3346" s="19">
        <f t="shared" ca="1" si="345"/>
        <v>23824.473191446519</v>
      </c>
      <c r="S3346" s="19">
        <f t="shared" ca="1" si="346"/>
        <v>22017.241966557584</v>
      </c>
    </row>
    <row r="3347" spans="13:19">
      <c r="M3347" s="81">
        <f t="shared" ca="1" si="343"/>
        <v>45860.601886581775</v>
      </c>
      <c r="N3347" s="19">
        <f t="shared" si="344"/>
        <v>660.73932615756871</v>
      </c>
      <c r="O3347" s="17">
        <f t="shared" ref="O3347:O3410" si="347">IF(ISERROR(IF(O3346+passo_altura&gt;h_max_puls*100,"",O3346+passo_altura)),"",IF(O3346+passo_altura&gt;h_max_puls*100,"",O3346+passo_altura))</f>
        <v>836.5</v>
      </c>
      <c r="P3347" s="19">
        <f ca="1">IF(ISERROR(IF(O3347&lt;fi_h/20,0,(OFFSET('Base de dados'!$A$5,IF(O3347&lt;20,1,IF(O3347&gt;1000,10,MATCH(O3347,Cargas,1))),Coluna_fih,1,1))*(1+0.13*0.25)*(PI()*(fi_h/1000)^2/4)*SQRT(2*9.81*(O3347/100-fi_h/2/1000))*1000)),"",IF(O3347&lt;fi_h/20,0,(OFFSET('Base de dados'!$A$5,IF(O3347&lt;20,1,IF(O3347&gt;1000,10,MATCH(O3347,Cargas,1))),Coluna_fih,1,1))*(PI()*(fi_h/1000)^2/4)*SQRT(2*9.81*(O3347/100-fi_h/2/1000))*1000))</f>
        <v>77.703181396434459</v>
      </c>
      <c r="Q3347" s="19">
        <f ca="1">IF(O3347="","",IF(Tipo_Vertedor="Retangular",IF(O3347&lt;=cota_s*100,0,IF(Tipo_Vertedor="Retangular",Cd_sr*Lef_sr*((O3347/100-cota_s)^(3/2))*1000)),IF(O3347&lt;=cota_s*100+fi_s/20,0,(OFFSET('Base de dados'!$A$4,IF(O3347&lt;20,1,IF(O3347&gt;1000,10,MATCH(O3347,Cargas,1))),Coluna_fis,1,1))*(PI()*(fi_s/1000)^2/4)*(2*9.81*(O3347/100-cota_s-fi_s/2/1000))^0.5*1000)))</f>
        <v>23758.254499933049</v>
      </c>
      <c r="R3347" s="19">
        <f t="shared" ca="1" si="345"/>
        <v>23835.957681329484</v>
      </c>
      <c r="S3347" s="19">
        <f t="shared" ca="1" si="346"/>
        <v>22024.644205252291</v>
      </c>
    </row>
    <row r="3348" spans="13:19">
      <c r="M3348" s="81">
        <f t="shared" ca="1" si="343"/>
        <v>45879.490736022999</v>
      </c>
      <c r="N3348" s="19">
        <f t="shared" si="344"/>
        <v>660.96140158631408</v>
      </c>
      <c r="O3348" s="17">
        <f t="shared" si="347"/>
        <v>836.75</v>
      </c>
      <c r="P3348" s="19">
        <f ca="1">IF(ISERROR(IF(O3348&lt;fi_h/20,0,(OFFSET('Base de dados'!$A$5,IF(O3348&lt;20,1,IF(O3348&gt;1000,10,MATCH(O3348,Cargas,1))),Coluna_fih,1,1))*(1+0.13*0.25)*(PI()*(fi_h/1000)^2/4)*SQRT(2*9.81*(O3348/100-fi_h/2/1000))*1000)),"",IF(O3348&lt;fi_h/20,0,(OFFSET('Base de dados'!$A$5,IF(O3348&lt;20,1,IF(O3348&gt;1000,10,MATCH(O3348,Cargas,1))),Coluna_fih,1,1))*(PI()*(fi_h/1000)^2/4)*SQRT(2*9.81*(O3348/100-fi_h/2/1000))*1000))</f>
        <v>77.714870690838566</v>
      </c>
      <c r="Q3348" s="19">
        <f ca="1">IF(O3348="","",IF(Tipo_Vertedor="Retangular",IF(O3348&lt;=cota_s*100,0,IF(Tipo_Vertedor="Retangular",Cd_sr*Lef_sr*((O3348/100-cota_s)^(3/2))*1000)),IF(O3348&lt;=cota_s*100+fi_s/20,0,(OFFSET('Base de dados'!$A$4,IF(O3348&lt;20,1,IF(O3348&gt;1000,10,MATCH(O3348,Cargas,1))),Coluna_fis,1,1))*(PI()*(fi_s/1000)^2/4)*(2*9.81*(O3348/100-cota_s-fi_s/2/1000))^0.5*1000)))</f>
        <v>23769.729145788358</v>
      </c>
      <c r="R3348" s="19">
        <f t="shared" ca="1" si="345"/>
        <v>23847.444016479196</v>
      </c>
      <c r="S3348" s="19">
        <f t="shared" ca="1" si="346"/>
        <v>22032.046719543803</v>
      </c>
    </row>
    <row r="3349" spans="13:19">
      <c r="M3349" s="81">
        <f t="shared" ca="1" si="343"/>
        <v>45898.381705959204</v>
      </c>
      <c r="N3349" s="19">
        <f t="shared" si="344"/>
        <v>661.18348528080026</v>
      </c>
      <c r="O3349" s="17">
        <f t="shared" si="347"/>
        <v>837</v>
      </c>
      <c r="P3349" s="19">
        <f ca="1">IF(ISERROR(IF(O3349&lt;fi_h/20,0,(OFFSET('Base de dados'!$A$5,IF(O3349&lt;20,1,IF(O3349&gt;1000,10,MATCH(O3349,Cargas,1))),Coluna_fih,1,1))*(1+0.13*0.25)*(PI()*(fi_h/1000)^2/4)*SQRT(2*9.81*(O3349/100-fi_h/2/1000))*1000)),"",IF(O3349&lt;fi_h/20,0,(OFFSET('Base de dados'!$A$5,IF(O3349&lt;20,1,IF(O3349&gt;1000,10,MATCH(O3349,Cargas,1))),Coluna_fih,1,1))*(PI()*(fi_h/1000)^2/4)*SQRT(2*9.81*(O3349/100-fi_h/2/1000))*1000))</f>
        <v>77.726558227290127</v>
      </c>
      <c r="Q3349" s="19">
        <f ca="1">IF(O3349="","",IF(Tipo_Vertedor="Retangular",IF(O3349&lt;=cota_s*100,0,IF(Tipo_Vertedor="Retangular",Cd_sr*Lef_sr*((O3349/100-cota_s)^(3/2))*1000)),IF(O3349&lt;=cota_s*100+fi_s/20,0,(OFFSET('Base de dados'!$A$4,IF(O3349&lt;20,1,IF(O3349&gt;1000,10,MATCH(O3349,Cargas,1))),Coluna_fis,1,1))*(PI()*(fi_s/1000)^2/4)*(2*9.81*(O3349/100-cota_s-fi_s/2/1000))^0.5*1000)))</f>
        <v>23781.205638371906</v>
      </c>
      <c r="R3349" s="19">
        <f t="shared" ca="1" si="345"/>
        <v>23858.932196599195</v>
      </c>
      <c r="S3349" s="19">
        <f t="shared" ca="1" si="346"/>
        <v>22039.449509360009</v>
      </c>
    </row>
    <row r="3350" spans="13:19">
      <c r="M3350" s="81">
        <f t="shared" ca="1" si="343"/>
        <v>45917.274796022073</v>
      </c>
      <c r="N3350" s="19">
        <f t="shared" si="344"/>
        <v>661.40557723886627</v>
      </c>
      <c r="O3350" s="17">
        <f t="shared" si="347"/>
        <v>837.25</v>
      </c>
      <c r="P3350" s="19">
        <f ca="1">IF(ISERROR(IF(O3350&lt;fi_h/20,0,(OFFSET('Base de dados'!$A$5,IF(O3350&lt;20,1,IF(O3350&gt;1000,10,MATCH(O3350,Cargas,1))),Coluna_fih,1,1))*(1+0.13*0.25)*(PI()*(fi_h/1000)^2/4)*SQRT(2*9.81*(O3350/100-fi_h/2/1000))*1000)),"",IF(O3350&lt;fi_h/20,0,(OFFSET('Base de dados'!$A$5,IF(O3350&lt;20,1,IF(O3350&gt;1000,10,MATCH(O3350,Cargas,1))),Coluna_fih,1,1))*(PI()*(fi_h/1000)^2/4)*SQRT(2*9.81*(O3350/100-fi_h/2/1000))*1000))</f>
        <v>77.738244006582022</v>
      </c>
      <c r="Q3350" s="19">
        <f ca="1">IF(O3350="","",IF(Tipo_Vertedor="Retangular",IF(O3350&lt;=cota_s*100,0,IF(Tipo_Vertedor="Retangular",Cd_sr*Lef_sr*((O3350/100-cota_s)^(3/2))*1000)),IF(O3350&lt;=cota_s*100+fi_s/20,0,(OFFSET('Base de dados'!$A$4,IF(O3350&lt;20,1,IF(O3350&gt;1000,10,MATCH(O3350,Cargas,1))),Coluna_fis,1,1))*(PI()*(fi_s/1000)^2/4)*(2*9.81*(O3350/100-cota_s-fi_s/2/1000))^0.5*1000)))</f>
        <v>23792.683977386612</v>
      </c>
      <c r="R3350" s="19">
        <f t="shared" ca="1" si="345"/>
        <v>23870.422221393193</v>
      </c>
      <c r="S3350" s="19">
        <f t="shared" ca="1" si="346"/>
        <v>22046.852574628876</v>
      </c>
    </row>
    <row r="3351" spans="13:19">
      <c r="M3351" s="81">
        <f t="shared" ref="M3351:M3414" ca="1" si="348">IF(O3351="","",2*N3351*1000/(Passo*60)+R3351)</f>
        <v>45936.170005843378</v>
      </c>
      <c r="N3351" s="19">
        <f t="shared" ref="N3351:N3414" si="349">IF(O3351="","",b_0*(O3351/100)^c_0)</f>
        <v>661.62767745835254</v>
      </c>
      <c r="O3351" s="17">
        <f t="shared" si="347"/>
        <v>837.5</v>
      </c>
      <c r="P3351" s="19">
        <f ca="1">IF(ISERROR(IF(O3351&lt;fi_h/20,0,(OFFSET('Base de dados'!$A$5,IF(O3351&lt;20,1,IF(O3351&gt;1000,10,MATCH(O3351,Cargas,1))),Coluna_fih,1,1))*(1+0.13*0.25)*(PI()*(fi_h/1000)^2/4)*SQRT(2*9.81*(O3351/100-fi_h/2/1000))*1000)),"",IF(O3351&lt;fi_h/20,0,(OFFSET('Base de dados'!$A$5,IF(O3351&lt;20,1,IF(O3351&gt;1000,10,MATCH(O3351,Cargas,1))),Coluna_fih,1,1))*(PI()*(fi_h/1000)^2/4)*SQRT(2*9.81*(O3351/100-fi_h/2/1000))*1000))</f>
        <v>77.749928029506549</v>
      </c>
      <c r="Q3351" s="19">
        <f ca="1">IF(O3351="","",IF(Tipo_Vertedor="Retangular",IF(O3351&lt;=cota_s*100,0,IF(Tipo_Vertedor="Retangular",Cd_sr*Lef_sr*((O3351/100-cota_s)^(3/2))*1000)),IF(O3351&lt;=cota_s*100+fi_s/20,0,(OFFSET('Base de dados'!$A$4,IF(O3351&lt;20,1,IF(O3351&gt;1000,10,MATCH(O3351,Cargas,1))),Coluna_fis,1,1))*(PI()*(fi_s/1000)^2/4)*(2*9.81*(O3351/100-cota_s-fi_s/2/1000))^0.5*1000)))</f>
        <v>23804.16416253546</v>
      </c>
      <c r="R3351" s="19">
        <f t="shared" ref="R3351:R3414" ca="1" si="350">IF(O3351="","",Q3351+P3351)</f>
        <v>23881.914090564966</v>
      </c>
      <c r="S3351" s="19">
        <f t="shared" ref="S3351:S3414" ca="1" si="351">IF(M3351="","",2*N3351*1000/(Passo*60))</f>
        <v>22054.255915278416</v>
      </c>
    </row>
    <row r="3352" spans="13:19">
      <c r="M3352" s="81">
        <f t="shared" ca="1" si="348"/>
        <v>45955.067335055137</v>
      </c>
      <c r="N3352" s="19">
        <f t="shared" si="349"/>
        <v>661.84978593709923</v>
      </c>
      <c r="O3352" s="17">
        <f t="shared" si="347"/>
        <v>837.75</v>
      </c>
      <c r="P3352" s="19">
        <f ca="1">IF(ISERROR(IF(O3352&lt;fi_h/20,0,(OFFSET('Base de dados'!$A$5,IF(O3352&lt;20,1,IF(O3352&gt;1000,10,MATCH(O3352,Cargas,1))),Coluna_fih,1,1))*(1+0.13*0.25)*(PI()*(fi_h/1000)^2/4)*SQRT(2*9.81*(O3352/100-fi_h/2/1000))*1000)),"",IF(O3352&lt;fi_h/20,0,(OFFSET('Base de dados'!$A$5,IF(O3352&lt;20,1,IF(O3352&gt;1000,10,MATCH(O3352,Cargas,1))),Coluna_fih,1,1))*(PI()*(fi_h/1000)^2/4)*SQRT(2*9.81*(O3352/100-fi_h/2/1000))*1000))</f>
        <v>77.761610296855409</v>
      </c>
      <c r="Q3352" s="19">
        <f ca="1">IF(O3352="","",IF(Tipo_Vertedor="Retangular",IF(O3352&lt;=cota_s*100,0,IF(Tipo_Vertedor="Retangular",Cd_sr*Lef_sr*((O3352/100-cota_s)^(3/2))*1000)),IF(O3352&lt;=cota_s*100+fi_s/20,0,(OFFSET('Base de dados'!$A$4,IF(O3352&lt;20,1,IF(O3352&gt;1000,10,MATCH(O3352,Cargas,1))),Coluna_fis,1,1))*(PI()*(fi_s/1000)^2/4)*(2*9.81*(O3352/100-cota_s-fi_s/2/1000))^0.5*1000)))</f>
        <v>23815.646193521643</v>
      </c>
      <c r="R3352" s="19">
        <f t="shared" ca="1" si="350"/>
        <v>23893.4078038185</v>
      </c>
      <c r="S3352" s="19">
        <f t="shared" ca="1" si="351"/>
        <v>22061.659531236641</v>
      </c>
    </row>
    <row r="3353" spans="13:19">
      <c r="M3353" s="81">
        <f t="shared" ca="1" si="348"/>
        <v>45973.96678328955</v>
      </c>
      <c r="N3353" s="19">
        <f t="shared" si="349"/>
        <v>662.07190267294982</v>
      </c>
      <c r="O3353" s="17">
        <f t="shared" si="347"/>
        <v>838</v>
      </c>
      <c r="P3353" s="19">
        <f ca="1">IF(ISERROR(IF(O3353&lt;fi_h/20,0,(OFFSET('Base de dados'!$A$5,IF(O3353&lt;20,1,IF(O3353&gt;1000,10,MATCH(O3353,Cargas,1))),Coluna_fih,1,1))*(1+0.13*0.25)*(PI()*(fi_h/1000)^2/4)*SQRT(2*9.81*(O3353/100-fi_h/2/1000))*1000)),"",IF(O3353&lt;fi_h/20,0,(OFFSET('Base de dados'!$A$5,IF(O3353&lt;20,1,IF(O3353&gt;1000,10,MATCH(O3353,Cargas,1))),Coluna_fih,1,1))*(PI()*(fi_h/1000)^2/4)*SQRT(2*9.81*(O3353/100-fi_h/2/1000))*1000))</f>
        <v>77.773290809419734</v>
      </c>
      <c r="Q3353" s="19">
        <f ca="1">IF(O3353="","",IF(Tipo_Vertedor="Retangular",IF(O3353&lt;=cota_s*100,0,IF(Tipo_Vertedor="Retangular",Cd_sr*Lef_sr*((O3353/100-cota_s)^(3/2))*1000)),IF(O3353&lt;=cota_s*100+fi_s/20,0,(OFFSET('Base de dados'!$A$4,IF(O3353&lt;20,1,IF(O3353&gt;1000,10,MATCH(O3353,Cargas,1))),Coluna_fis,1,1))*(PI()*(fi_s/1000)^2/4)*(2*9.81*(O3353/100-cota_s-fi_s/2/1000))^0.5*1000)))</f>
        <v>23827.130070048475</v>
      </c>
      <c r="R3353" s="19">
        <f t="shared" ca="1" si="350"/>
        <v>23904.903360857894</v>
      </c>
      <c r="S3353" s="19">
        <f t="shared" ca="1" si="351"/>
        <v>22069.06342243166</v>
      </c>
    </row>
    <row r="3354" spans="13:19">
      <c r="M3354" s="81">
        <f t="shared" ca="1" si="348"/>
        <v>45992.868350178935</v>
      </c>
      <c r="N3354" s="19">
        <f t="shared" si="349"/>
        <v>662.29402766374631</v>
      </c>
      <c r="O3354" s="17">
        <f t="shared" si="347"/>
        <v>838.25</v>
      </c>
      <c r="P3354" s="19">
        <f ca="1">IF(ISERROR(IF(O3354&lt;fi_h/20,0,(OFFSET('Base de dados'!$A$5,IF(O3354&lt;20,1,IF(O3354&gt;1000,10,MATCH(O3354,Cargas,1))),Coluna_fih,1,1))*(1+0.13*0.25)*(PI()*(fi_h/1000)^2/4)*SQRT(2*9.81*(O3354/100-fi_h/2/1000))*1000)),"",IF(O3354&lt;fi_h/20,0,(OFFSET('Base de dados'!$A$5,IF(O3354&lt;20,1,IF(O3354&gt;1000,10,MATCH(O3354,Cargas,1))),Coluna_fih,1,1))*(PI()*(fi_h/1000)^2/4)*SQRT(2*9.81*(O3354/100-fi_h/2/1000))*1000))</f>
        <v>77.784969567990032</v>
      </c>
      <c r="Q3354" s="19">
        <f ca="1">IF(O3354="","",IF(Tipo_Vertedor="Retangular",IF(O3354&lt;=cota_s*100,0,IF(Tipo_Vertedor="Retangular",Cd_sr*Lef_sr*((O3354/100-cota_s)^(3/2))*1000)),IF(O3354&lt;=cota_s*100+fi_s/20,0,(OFFSET('Base de dados'!$A$4,IF(O3354&lt;20,1,IF(O3354&gt;1000,10,MATCH(O3354,Cargas,1))),Coluna_fis,1,1))*(PI()*(fi_s/1000)^2/4)*(2*9.81*(O3354/100-cota_s-fi_s/2/1000))^0.5*1000)))</f>
        <v>23838.615791819404</v>
      </c>
      <c r="R3354" s="19">
        <f t="shared" ca="1" si="350"/>
        <v>23916.400761387395</v>
      </c>
      <c r="S3354" s="19">
        <f t="shared" ca="1" si="351"/>
        <v>22076.467588791544</v>
      </c>
    </row>
    <row r="3355" spans="13:19">
      <c r="M3355" s="81">
        <f t="shared" ca="1" si="348"/>
        <v>46011.77203535584</v>
      </c>
      <c r="N3355" s="19">
        <f t="shared" si="349"/>
        <v>662.51616090733398</v>
      </c>
      <c r="O3355" s="17">
        <f t="shared" si="347"/>
        <v>838.5</v>
      </c>
      <c r="P3355" s="19">
        <f ca="1">IF(ISERROR(IF(O3355&lt;fi_h/20,0,(OFFSET('Base de dados'!$A$5,IF(O3355&lt;20,1,IF(O3355&gt;1000,10,MATCH(O3355,Cargas,1))),Coluna_fih,1,1))*(1+0.13*0.25)*(PI()*(fi_h/1000)^2/4)*SQRT(2*9.81*(O3355/100-fi_h/2/1000))*1000)),"",IF(O3355&lt;fi_h/20,0,(OFFSET('Base de dados'!$A$5,IF(O3355&lt;20,1,IF(O3355&gt;1000,10,MATCH(O3355,Cargas,1))),Coluna_fih,1,1))*(PI()*(fi_h/1000)^2/4)*SQRT(2*9.81*(O3355/100-fi_h/2/1000))*1000))</f>
        <v>77.796646573356199</v>
      </c>
      <c r="Q3355" s="19">
        <f ca="1">IF(O3355="","",IF(Tipo_Vertedor="Retangular",IF(O3355&lt;=cota_s*100,0,IF(Tipo_Vertedor="Retangular",Cd_sr*Lef_sr*((O3355/100-cota_s)^(3/2))*1000)),IF(O3355&lt;=cota_s*100+fi_s/20,0,(OFFSET('Base de dados'!$A$4,IF(O3355&lt;20,1,IF(O3355&gt;1000,10,MATCH(O3355,Cargas,1))),Coluna_fis,1,1))*(PI()*(fi_s/1000)^2/4)*(2*9.81*(O3355/100-cota_s-fi_s/2/1000))^0.5*1000)))</f>
        <v>23850.103358538025</v>
      </c>
      <c r="R3355" s="19">
        <f t="shared" ca="1" si="350"/>
        <v>23927.90000511138</v>
      </c>
      <c r="S3355" s="19">
        <f t="shared" ca="1" si="351"/>
        <v>22083.872030244464</v>
      </c>
    </row>
    <row r="3356" spans="13:19">
      <c r="M3356" s="81">
        <f t="shared" ca="1" si="348"/>
        <v>46030.677838453033</v>
      </c>
      <c r="N3356" s="19">
        <f t="shared" si="349"/>
        <v>662.73830240155951</v>
      </c>
      <c r="O3356" s="17">
        <f t="shared" si="347"/>
        <v>838.75</v>
      </c>
      <c r="P3356" s="19">
        <f ca="1">IF(ISERROR(IF(O3356&lt;fi_h/20,0,(OFFSET('Base de dados'!$A$5,IF(O3356&lt;20,1,IF(O3356&gt;1000,10,MATCH(O3356,Cargas,1))),Coluna_fih,1,1))*(1+0.13*0.25)*(PI()*(fi_h/1000)^2/4)*SQRT(2*9.81*(O3356/100-fi_h/2/1000))*1000)),"",IF(O3356&lt;fi_h/20,0,(OFFSET('Base de dados'!$A$5,IF(O3356&lt;20,1,IF(O3356&gt;1000,10,MATCH(O3356,Cargas,1))),Coluna_fih,1,1))*(PI()*(fi_h/1000)^2/4)*SQRT(2*9.81*(O3356/100-fi_h/2/1000))*1000))</f>
        <v>77.808321826307605</v>
      </c>
      <c r="Q3356" s="19">
        <f ca="1">IF(O3356="","",IF(Tipo_Vertedor="Retangular",IF(O3356&lt;=cota_s*100,0,IF(Tipo_Vertedor="Retangular",Cd_sr*Lef_sr*((O3356/100-cota_s)^(3/2))*1000)),IF(O3356&lt;=cota_s*100+fi_s/20,0,(OFFSET('Base de dados'!$A$4,IF(O3356&lt;20,1,IF(O3356&gt;1000,10,MATCH(O3356,Cargas,1))),Coluna_fis,1,1))*(PI()*(fi_s/1000)^2/4)*(2*9.81*(O3356/100-cota_s-fi_s/2/1000))^0.5*1000)))</f>
        <v>23861.592769908075</v>
      </c>
      <c r="R3356" s="19">
        <f t="shared" ca="1" si="350"/>
        <v>23939.401091734384</v>
      </c>
      <c r="S3356" s="19">
        <f t="shared" ca="1" si="351"/>
        <v>22091.276746718653</v>
      </c>
    </row>
    <row r="3357" spans="13:19">
      <c r="M3357" s="81">
        <f t="shared" ca="1" si="348"/>
        <v>46049.585759103415</v>
      </c>
      <c r="N3357" s="19">
        <f t="shared" si="349"/>
        <v>662.96045214426931</v>
      </c>
      <c r="O3357" s="17">
        <f t="shared" si="347"/>
        <v>839</v>
      </c>
      <c r="P3357" s="19">
        <f ca="1">IF(ISERROR(IF(O3357&lt;fi_h/20,0,(OFFSET('Base de dados'!$A$5,IF(O3357&lt;20,1,IF(O3357&gt;1000,10,MATCH(O3357,Cargas,1))),Coluna_fih,1,1))*(1+0.13*0.25)*(PI()*(fi_h/1000)^2/4)*SQRT(2*9.81*(O3357/100-fi_h/2/1000))*1000)),"",IF(O3357&lt;fi_h/20,0,(OFFSET('Base de dados'!$A$5,IF(O3357&lt;20,1,IF(O3357&gt;1000,10,MATCH(O3357,Cargas,1))),Coluna_fih,1,1))*(PI()*(fi_h/1000)^2/4)*SQRT(2*9.81*(O3357/100-fi_h/2/1000))*1000))</f>
        <v>77.819995327632981</v>
      </c>
      <c r="Q3357" s="19">
        <f ca="1">IF(O3357="","",IF(Tipo_Vertedor="Retangular",IF(O3357&lt;=cota_s*100,0,IF(Tipo_Vertedor="Retangular",Cd_sr*Lef_sr*((O3357/100-cota_s)^(3/2))*1000)),IF(O3357&lt;=cota_s*100+fi_s/20,0,(OFFSET('Base de dados'!$A$4,IF(O3357&lt;20,1,IF(O3357&gt;1000,10,MATCH(O3357,Cargas,1))),Coluna_fis,1,1))*(PI()*(fi_s/1000)^2/4)*(2*9.81*(O3357/100-cota_s-fi_s/2/1000))^0.5*1000)))</f>
        <v>23873.084025633463</v>
      </c>
      <c r="R3357" s="19">
        <f t="shared" ca="1" si="350"/>
        <v>23950.904020961098</v>
      </c>
      <c r="S3357" s="19">
        <f t="shared" ca="1" si="351"/>
        <v>22098.681738142313</v>
      </c>
    </row>
    <row r="3358" spans="13:19">
      <c r="M3358" s="81">
        <f t="shared" ca="1" si="348"/>
        <v>46068.495796940057</v>
      </c>
      <c r="N3358" s="19">
        <f t="shared" si="349"/>
        <v>663.18261013331164</v>
      </c>
      <c r="O3358" s="17">
        <f t="shared" si="347"/>
        <v>839.25</v>
      </c>
      <c r="P3358" s="19">
        <f ca="1">IF(ISERROR(IF(O3358&lt;fi_h/20,0,(OFFSET('Base de dados'!$A$5,IF(O3358&lt;20,1,IF(O3358&gt;1000,10,MATCH(O3358,Cargas,1))),Coluna_fih,1,1))*(1+0.13*0.25)*(PI()*(fi_h/1000)^2/4)*SQRT(2*9.81*(O3358/100-fi_h/2/1000))*1000)),"",IF(O3358&lt;fi_h/20,0,(OFFSET('Base de dados'!$A$5,IF(O3358&lt;20,1,IF(O3358&gt;1000,10,MATCH(O3358,Cargas,1))),Coluna_fih,1,1))*(PI()*(fi_h/1000)^2/4)*SQRT(2*9.81*(O3358/100-fi_h/2/1000))*1000))</f>
        <v>77.831667078120475</v>
      </c>
      <c r="Q3358" s="19">
        <f ca="1">IF(O3358="","",IF(Tipo_Vertedor="Retangular",IF(O3358&lt;=cota_s*100,0,IF(Tipo_Vertedor="Retangular",Cd_sr*Lef_sr*((O3358/100-cota_s)^(3/2))*1000)),IF(O3358&lt;=cota_s*100+fi_s/20,0,(OFFSET('Base de dados'!$A$4,IF(O3358&lt;20,1,IF(O3358&gt;1000,10,MATCH(O3358,Cargas,1))),Coluna_fis,1,1))*(PI()*(fi_s/1000)^2/4)*(2*9.81*(O3358/100-cota_s-fi_s/2/1000))^0.5*1000)))</f>
        <v>23884.577125418218</v>
      </c>
      <c r="R3358" s="19">
        <f t="shared" ca="1" si="350"/>
        <v>23962.408792496339</v>
      </c>
      <c r="S3358" s="19">
        <f t="shared" ca="1" si="351"/>
        <v>22106.087004443722</v>
      </c>
    </row>
    <row r="3359" spans="13:19">
      <c r="M3359" s="81">
        <f t="shared" ca="1" si="348"/>
        <v>46087.407951596229</v>
      </c>
      <c r="N3359" s="19">
        <f t="shared" si="349"/>
        <v>663.40477636653577</v>
      </c>
      <c r="O3359" s="17">
        <f t="shared" si="347"/>
        <v>839.5</v>
      </c>
      <c r="P3359" s="19">
        <f ca="1">IF(ISERROR(IF(O3359&lt;fi_h/20,0,(OFFSET('Base de dados'!$A$5,IF(O3359&lt;20,1,IF(O3359&gt;1000,10,MATCH(O3359,Cargas,1))),Coluna_fih,1,1))*(1+0.13*0.25)*(PI()*(fi_h/1000)^2/4)*SQRT(2*9.81*(O3359/100-fi_h/2/1000))*1000)),"",IF(O3359&lt;fi_h/20,0,(OFFSET('Base de dados'!$A$5,IF(O3359&lt;20,1,IF(O3359&gt;1000,10,MATCH(O3359,Cargas,1))),Coluna_fih,1,1))*(PI()*(fi_h/1000)^2/4)*SQRT(2*9.81*(O3359/100-fi_h/2/1000))*1000))</f>
        <v>77.843337078557624</v>
      </c>
      <c r="Q3359" s="19">
        <f ca="1">IF(O3359="","",IF(Tipo_Vertedor="Retangular",IF(O3359&lt;=cota_s*100,0,IF(Tipo_Vertedor="Retangular",Cd_sr*Lef_sr*((O3359/100-cota_s)^(3/2))*1000)),IF(O3359&lt;=cota_s*100+fi_s/20,0,(OFFSET('Base de dados'!$A$4,IF(O3359&lt;20,1,IF(O3359&gt;1000,10,MATCH(O3359,Cargas,1))),Coluna_fis,1,1))*(PI()*(fi_s/1000)^2/4)*(2*9.81*(O3359/100-cota_s-fi_s/2/1000))^0.5*1000)))</f>
        <v>23896.072068966478</v>
      </c>
      <c r="R3359" s="19">
        <f t="shared" ca="1" si="350"/>
        <v>23973.915406045035</v>
      </c>
      <c r="S3359" s="19">
        <f t="shared" ca="1" si="351"/>
        <v>22113.492545551195</v>
      </c>
    </row>
    <row r="3360" spans="13:19">
      <c r="M3360" s="81">
        <f t="shared" ca="1" si="348"/>
        <v>46106.322222705428</v>
      </c>
      <c r="N3360" s="19">
        <f t="shared" si="349"/>
        <v>663.62695084179347</v>
      </c>
      <c r="O3360" s="17">
        <f t="shared" si="347"/>
        <v>839.75</v>
      </c>
      <c r="P3360" s="19">
        <f ca="1">IF(ISERROR(IF(O3360&lt;fi_h/20,0,(OFFSET('Base de dados'!$A$5,IF(O3360&lt;20,1,IF(O3360&gt;1000,10,MATCH(O3360,Cargas,1))),Coluna_fih,1,1))*(1+0.13*0.25)*(PI()*(fi_h/1000)^2/4)*SQRT(2*9.81*(O3360/100-fi_h/2/1000))*1000)),"",IF(O3360&lt;fi_h/20,0,(OFFSET('Base de dados'!$A$5,IF(O3360&lt;20,1,IF(O3360&gt;1000,10,MATCH(O3360,Cargas,1))),Coluna_fih,1,1))*(PI()*(fi_h/1000)^2/4)*SQRT(2*9.81*(O3360/100-fi_h/2/1000))*1000))</f>
        <v>77.855005329731412</v>
      </c>
      <c r="Q3360" s="19">
        <f ca="1">IF(O3360="","",IF(Tipo_Vertedor="Retangular",IF(O3360&lt;=cota_s*100,0,IF(Tipo_Vertedor="Retangular",Cd_sr*Lef_sr*((O3360/100-cota_s)^(3/2))*1000)),IF(O3360&lt;=cota_s*100+fi_s/20,0,(OFFSET('Base de dados'!$A$4,IF(O3360&lt;20,1,IF(O3360&gt;1000,10,MATCH(O3360,Cargas,1))),Coluna_fis,1,1))*(PI()*(fi_s/1000)^2/4)*(2*9.81*(O3360/100-cota_s-fi_s/2/1000))^0.5*1000)))</f>
        <v>23907.568855982579</v>
      </c>
      <c r="R3360" s="19">
        <f t="shared" ca="1" si="350"/>
        <v>23985.423861312313</v>
      </c>
      <c r="S3360" s="19">
        <f t="shared" ca="1" si="351"/>
        <v>22120.898361393116</v>
      </c>
    </row>
    <row r="3361" spans="13:19">
      <c r="M3361" s="81">
        <f t="shared" ca="1" si="348"/>
        <v>46125.238609901244</v>
      </c>
      <c r="N3361" s="19">
        <f t="shared" si="349"/>
        <v>663.84913355693584</v>
      </c>
      <c r="O3361" s="17">
        <f t="shared" si="347"/>
        <v>840</v>
      </c>
      <c r="P3361" s="19">
        <f ca="1">IF(ISERROR(IF(O3361&lt;fi_h/20,0,(OFFSET('Base de dados'!$A$5,IF(O3361&lt;20,1,IF(O3361&gt;1000,10,MATCH(O3361,Cargas,1))),Coluna_fih,1,1))*(1+0.13*0.25)*(PI()*(fi_h/1000)^2/4)*SQRT(2*9.81*(O3361/100-fi_h/2/1000))*1000)),"",IF(O3361&lt;fi_h/20,0,(OFFSET('Base de dados'!$A$5,IF(O3361&lt;20,1,IF(O3361&gt;1000,10,MATCH(O3361,Cargas,1))),Coluna_fih,1,1))*(PI()*(fi_h/1000)^2/4)*SQRT(2*9.81*(O3361/100-fi_h/2/1000))*1000))</f>
        <v>77.86667183242821</v>
      </c>
      <c r="Q3361" s="19">
        <f ca="1">IF(O3361="","",IF(Tipo_Vertedor="Retangular",IF(O3361&lt;=cota_s*100,0,IF(Tipo_Vertedor="Retangular",Cd_sr*Lef_sr*((O3361/100-cota_s)^(3/2))*1000)),IF(O3361&lt;=cota_s*100+fi_s/20,0,(OFFSET('Base de dados'!$A$4,IF(O3361&lt;20,1,IF(O3361&gt;1000,10,MATCH(O3361,Cargas,1))),Coluna_fis,1,1))*(PI()*(fi_s/1000)^2/4)*(2*9.81*(O3361/100-cota_s-fi_s/2/1000))^0.5*1000)))</f>
        <v>23919.067486170956</v>
      </c>
      <c r="R3361" s="19">
        <f t="shared" ca="1" si="350"/>
        <v>23996.934158003383</v>
      </c>
      <c r="S3361" s="19">
        <f t="shared" ca="1" si="351"/>
        <v>22128.30445189786</v>
      </c>
    </row>
    <row r="3362" spans="13:19">
      <c r="M3362" s="81">
        <f t="shared" ca="1" si="348"/>
        <v>46144.157112817506</v>
      </c>
      <c r="N3362" s="19">
        <f t="shared" si="349"/>
        <v>664.07132450981589</v>
      </c>
      <c r="O3362" s="17">
        <f t="shared" si="347"/>
        <v>840.25</v>
      </c>
      <c r="P3362" s="19">
        <f ca="1">IF(ISERROR(IF(O3362&lt;fi_h/20,0,(OFFSET('Base de dados'!$A$5,IF(O3362&lt;20,1,IF(O3362&gt;1000,10,MATCH(O3362,Cargas,1))),Coluna_fih,1,1))*(1+0.13*0.25)*(PI()*(fi_h/1000)^2/4)*SQRT(2*9.81*(O3362/100-fi_h/2/1000))*1000)),"",IF(O3362&lt;fi_h/20,0,(OFFSET('Base de dados'!$A$5,IF(O3362&lt;20,1,IF(O3362&gt;1000,10,MATCH(O3362,Cargas,1))),Coluna_fih,1,1))*(PI()*(fi_h/1000)^2/4)*SQRT(2*9.81*(O3362/100-fi_h/2/1000))*1000))</f>
        <v>77.878336587433807</v>
      </c>
      <c r="Q3362" s="19">
        <f ca="1">IF(O3362="","",IF(Tipo_Vertedor="Retangular",IF(O3362&lt;=cota_s*100,0,IF(Tipo_Vertedor="Retangular",Cd_sr*Lef_sr*((O3362/100-cota_s)^(3/2))*1000)),IF(O3362&lt;=cota_s*100+fi_s/20,0,(OFFSET('Base de dados'!$A$4,IF(O3362&lt;20,1,IF(O3362&gt;1000,10,MATCH(O3362,Cargas,1))),Coluna_fis,1,1))*(PI()*(fi_s/1000)^2/4)*(2*9.81*(O3362/100-cota_s-fi_s/2/1000))^0.5*1000)))</f>
        <v>23930.56795923621</v>
      </c>
      <c r="R3362" s="19">
        <f t="shared" ca="1" si="350"/>
        <v>24008.446295823644</v>
      </c>
      <c r="S3362" s="19">
        <f t="shared" ca="1" si="351"/>
        <v>22135.710816993862</v>
      </c>
    </row>
    <row r="3363" spans="13:19">
      <c r="M3363" s="81">
        <f t="shared" ca="1" si="348"/>
        <v>46163.07773108824</v>
      </c>
      <c r="N3363" s="19">
        <f t="shared" si="349"/>
        <v>664.29352369828825</v>
      </c>
      <c r="O3363" s="17">
        <f t="shared" si="347"/>
        <v>840.5</v>
      </c>
      <c r="P3363" s="19">
        <f ca="1">IF(ISERROR(IF(O3363&lt;fi_h/20,0,(OFFSET('Base de dados'!$A$5,IF(O3363&lt;20,1,IF(O3363&gt;1000,10,MATCH(O3363,Cargas,1))),Coluna_fih,1,1))*(1+0.13*0.25)*(PI()*(fi_h/1000)^2/4)*SQRT(2*9.81*(O3363/100-fi_h/2/1000))*1000)),"",IF(O3363&lt;fi_h/20,0,(OFFSET('Base de dados'!$A$5,IF(O3363&lt;20,1,IF(O3363&gt;1000,10,MATCH(O3363,Cargas,1))),Coluna_fih,1,1))*(PI()*(fi_h/1000)^2/4)*SQRT(2*9.81*(O3363/100-fi_h/2/1000))*1000))</f>
        <v>77.889999595533382</v>
      </c>
      <c r="Q3363" s="19">
        <f ca="1">IF(O3363="","",IF(Tipo_Vertedor="Retangular",IF(O3363&lt;=cota_s*100,0,IF(Tipo_Vertedor="Retangular",Cd_sr*Lef_sr*((O3363/100-cota_s)^(3/2))*1000)),IF(O3363&lt;=cota_s*100+fi_s/20,0,(OFFSET('Base de dados'!$A$4,IF(O3363&lt;20,1,IF(O3363&gt;1000,10,MATCH(O3363,Cargas,1))),Coluna_fis,1,1))*(PI()*(fi_s/1000)^2/4)*(2*9.81*(O3363/100-cota_s-fi_s/2/1000))^0.5*1000)))</f>
        <v>23942.070274883103</v>
      </c>
      <c r="R3363" s="19">
        <f t="shared" ca="1" si="350"/>
        <v>24019.960274478635</v>
      </c>
      <c r="S3363" s="19">
        <f t="shared" ca="1" si="351"/>
        <v>22143.117456609609</v>
      </c>
    </row>
    <row r="3364" spans="13:19">
      <c r="M3364" s="81">
        <f t="shared" ca="1" si="348"/>
        <v>46182.000464347613</v>
      </c>
      <c r="N3364" s="19">
        <f t="shared" si="349"/>
        <v>664.51573112020844</v>
      </c>
      <c r="O3364" s="17">
        <f t="shared" si="347"/>
        <v>840.75</v>
      </c>
      <c r="P3364" s="19">
        <f ca="1">IF(ISERROR(IF(O3364&lt;fi_h/20,0,(OFFSET('Base de dados'!$A$5,IF(O3364&lt;20,1,IF(O3364&gt;1000,10,MATCH(O3364,Cargas,1))),Coluna_fih,1,1))*(1+0.13*0.25)*(PI()*(fi_h/1000)^2/4)*SQRT(2*9.81*(O3364/100-fi_h/2/1000))*1000)),"",IF(O3364&lt;fi_h/20,0,(OFFSET('Base de dados'!$A$5,IF(O3364&lt;20,1,IF(O3364&gt;1000,10,MATCH(O3364,Cargas,1))),Coluna_fih,1,1))*(PI()*(fi_h/1000)^2/4)*SQRT(2*9.81*(O3364/100-fi_h/2/1000))*1000))</f>
        <v>77.901660857511601</v>
      </c>
      <c r="Q3364" s="19">
        <f ca="1">IF(O3364="","",IF(Tipo_Vertedor="Retangular",IF(O3364&lt;=cota_s*100,0,IF(Tipo_Vertedor="Retangular",Cd_sr*Lef_sr*((O3364/100-cota_s)^(3/2))*1000)),IF(O3364&lt;=cota_s*100+fi_s/20,0,(OFFSET('Base de dados'!$A$4,IF(O3364&lt;20,1,IF(O3364&gt;1000,10,MATCH(O3364,Cargas,1))),Coluna_fis,1,1))*(PI()*(fi_s/1000)^2/4)*(2*9.81*(O3364/100-cota_s-fi_s/2/1000))^0.5*1000)))</f>
        <v>23953.574432816484</v>
      </c>
      <c r="R3364" s="19">
        <f t="shared" ca="1" si="350"/>
        <v>24031.476093673995</v>
      </c>
      <c r="S3364" s="19">
        <f t="shared" ca="1" si="351"/>
        <v>22150.524370673615</v>
      </c>
    </row>
    <row r="3365" spans="13:19">
      <c r="M3365" s="81">
        <f t="shared" ca="1" si="348"/>
        <v>46200.925312229971</v>
      </c>
      <c r="N3365" s="19">
        <f t="shared" si="349"/>
        <v>664.73794677343301</v>
      </c>
      <c r="O3365" s="17">
        <f t="shared" si="347"/>
        <v>841</v>
      </c>
      <c r="P3365" s="19">
        <f ca="1">IF(ISERROR(IF(O3365&lt;fi_h/20,0,(OFFSET('Base de dados'!$A$5,IF(O3365&lt;20,1,IF(O3365&gt;1000,10,MATCH(O3365,Cargas,1))),Coluna_fih,1,1))*(1+0.13*0.25)*(PI()*(fi_h/1000)^2/4)*SQRT(2*9.81*(O3365/100-fi_h/2/1000))*1000)),"",IF(O3365&lt;fi_h/20,0,(OFFSET('Base de dados'!$A$5,IF(O3365&lt;20,1,IF(O3365&gt;1000,10,MATCH(O3365,Cargas,1))),Coluna_fih,1,1))*(PI()*(fi_h/1000)^2/4)*SQRT(2*9.81*(O3365/100-fi_h/2/1000))*1000))</f>
        <v>77.913320374152434</v>
      </c>
      <c r="Q3365" s="19">
        <f ca="1">IF(O3365="","",IF(Tipo_Vertedor="Retangular",IF(O3365&lt;=cota_s*100,0,IF(Tipo_Vertedor="Retangular",Cd_sr*Lef_sr*((O3365/100-cota_s)^(3/2))*1000)),IF(O3365&lt;=cota_s*100+fi_s/20,0,(OFFSET('Base de dados'!$A$4,IF(O3365&lt;20,1,IF(O3365&gt;1000,10,MATCH(O3365,Cargas,1))),Coluna_fis,1,1))*(PI()*(fi_s/1000)^2/4)*(2*9.81*(O3365/100-cota_s-fi_s/2/1000))^0.5*1000)))</f>
        <v>23965.080432741386</v>
      </c>
      <c r="R3365" s="19">
        <f t="shared" ca="1" si="350"/>
        <v>24042.993753115537</v>
      </c>
      <c r="S3365" s="19">
        <f t="shared" ca="1" si="351"/>
        <v>22157.931559114433</v>
      </c>
    </row>
    <row r="3366" spans="13:19">
      <c r="M3366" s="81">
        <f t="shared" ca="1" si="348"/>
        <v>46219.852274369885</v>
      </c>
      <c r="N3366" s="19">
        <f t="shared" si="349"/>
        <v>664.96017065581987</v>
      </c>
      <c r="O3366" s="17">
        <f t="shared" si="347"/>
        <v>841.25</v>
      </c>
      <c r="P3366" s="19">
        <f ca="1">IF(ISERROR(IF(O3366&lt;fi_h/20,0,(OFFSET('Base de dados'!$A$5,IF(O3366&lt;20,1,IF(O3366&gt;1000,10,MATCH(O3366,Cargas,1))),Coluna_fih,1,1))*(1+0.13*0.25)*(PI()*(fi_h/1000)^2/4)*SQRT(2*9.81*(O3366/100-fi_h/2/1000))*1000)),"",IF(O3366&lt;fi_h/20,0,(OFFSET('Base de dados'!$A$5,IF(O3366&lt;20,1,IF(O3366&gt;1000,10,MATCH(O3366,Cargas,1))),Coluna_fih,1,1))*(PI()*(fi_h/1000)^2/4)*SQRT(2*9.81*(O3366/100-fi_h/2/1000))*1000))</f>
        <v>77.92497814623934</v>
      </c>
      <c r="Q3366" s="19">
        <f ca="1">IF(O3366="","",IF(Tipo_Vertedor="Retangular",IF(O3366&lt;=cota_s*100,0,IF(Tipo_Vertedor="Retangular",Cd_sr*Lef_sr*((O3366/100-cota_s)^(3/2))*1000)),IF(O3366&lt;=cota_s*100+fi_s/20,0,(OFFSET('Base de dados'!$A$4,IF(O3366&lt;20,1,IF(O3366&gt;1000,10,MATCH(O3366,Cargas,1))),Coluna_fis,1,1))*(PI()*(fi_s/1000)^2/4)*(2*9.81*(O3366/100-cota_s-fi_s/2/1000))^0.5*1000)))</f>
        <v>23976.588274362981</v>
      </c>
      <c r="R3366" s="19">
        <f t="shared" ca="1" si="350"/>
        <v>24054.513252509219</v>
      </c>
      <c r="S3366" s="19">
        <f t="shared" ca="1" si="351"/>
        <v>22165.339021860662</v>
      </c>
    </row>
    <row r="3367" spans="13:19">
      <c r="M3367" s="81">
        <f t="shared" ca="1" si="348"/>
        <v>46238.78135040206</v>
      </c>
      <c r="N3367" s="19">
        <f t="shared" si="349"/>
        <v>665.18240276522818</v>
      </c>
      <c r="O3367" s="17">
        <f t="shared" si="347"/>
        <v>841.5</v>
      </c>
      <c r="P3367" s="19">
        <f ca="1">IF(ISERROR(IF(O3367&lt;fi_h/20,0,(OFFSET('Base de dados'!$A$5,IF(O3367&lt;20,1,IF(O3367&gt;1000,10,MATCH(O3367,Cargas,1))),Coluna_fih,1,1))*(1+0.13*0.25)*(PI()*(fi_h/1000)^2/4)*SQRT(2*9.81*(O3367/100-fi_h/2/1000))*1000)),"",IF(O3367&lt;fi_h/20,0,(OFFSET('Base de dados'!$A$5,IF(O3367&lt;20,1,IF(O3367&gt;1000,10,MATCH(O3367,Cargas,1))),Coluna_fih,1,1))*(PI()*(fi_h/1000)^2/4)*SQRT(2*9.81*(O3367/100-fi_h/2/1000))*1000))</f>
        <v>77.936634174555167</v>
      </c>
      <c r="Q3367" s="19">
        <f ca="1">IF(O3367="","",IF(Tipo_Vertedor="Retangular",IF(O3367&lt;=cota_s*100,0,IF(Tipo_Vertedor="Retangular",Cd_sr*Lef_sr*((O3367/100-cota_s)^(3/2))*1000)),IF(O3367&lt;=cota_s*100+fi_s/20,0,(OFFSET('Base de dados'!$A$4,IF(O3367&lt;20,1,IF(O3367&gt;1000,10,MATCH(O3367,Cargas,1))),Coluna_fis,1,1))*(PI()*(fi_s/1000)^2/4)*(2*9.81*(O3367/100-cota_s-fi_s/2/1000))^0.5*1000)))</f>
        <v>23988.097957386562</v>
      </c>
      <c r="R3367" s="19">
        <f t="shared" ca="1" si="350"/>
        <v>24066.034591561118</v>
      </c>
      <c r="S3367" s="19">
        <f t="shared" ca="1" si="351"/>
        <v>22172.746758840938</v>
      </c>
    </row>
    <row r="3368" spans="13:19">
      <c r="M3368" s="81">
        <f t="shared" ca="1" si="348"/>
        <v>46257.712539961423</v>
      </c>
      <c r="N3368" s="19">
        <f t="shared" si="349"/>
        <v>665.40464309951813</v>
      </c>
      <c r="O3368" s="17">
        <f t="shared" si="347"/>
        <v>841.75</v>
      </c>
      <c r="P3368" s="19">
        <f ca="1">IF(ISERROR(IF(O3368&lt;fi_h/20,0,(OFFSET('Base de dados'!$A$5,IF(O3368&lt;20,1,IF(O3368&gt;1000,10,MATCH(O3368,Cargas,1))),Coluna_fih,1,1))*(1+0.13*0.25)*(PI()*(fi_h/1000)^2/4)*SQRT(2*9.81*(O3368/100-fi_h/2/1000))*1000)),"",IF(O3368&lt;fi_h/20,0,(OFFSET('Base de dados'!$A$5,IF(O3368&lt;20,1,IF(O3368&gt;1000,10,MATCH(O3368,Cargas,1))),Coluna_fih,1,1))*(PI()*(fi_h/1000)^2/4)*SQRT(2*9.81*(O3368/100-fi_h/2/1000))*1000))</f>
        <v>77.948288459882193</v>
      </c>
      <c r="Q3368" s="19">
        <f ca="1">IF(O3368="","",IF(Tipo_Vertedor="Retangular",IF(O3368&lt;=cota_s*100,0,IF(Tipo_Vertedor="Retangular",Cd_sr*Lef_sr*((O3368/100-cota_s)^(3/2))*1000)),IF(O3368&lt;=cota_s*100+fi_s/20,0,(OFFSET('Base de dados'!$A$4,IF(O3368&lt;20,1,IF(O3368&gt;1000,10,MATCH(O3368,Cargas,1))),Coluna_fis,1,1))*(PI()*(fi_s/1000)^2/4)*(2*9.81*(O3368/100-cota_s-fi_s/2/1000))^0.5*1000)))</f>
        <v>23999.6094815176</v>
      </c>
      <c r="R3368" s="19">
        <f t="shared" ca="1" si="350"/>
        <v>24077.557769977484</v>
      </c>
      <c r="S3368" s="19">
        <f t="shared" ca="1" si="351"/>
        <v>22180.154769983939</v>
      </c>
    </row>
    <row r="3369" spans="13:19">
      <c r="M3369" s="81">
        <f t="shared" ca="1" si="348"/>
        <v>46276.645842683029</v>
      </c>
      <c r="N3369" s="19">
        <f t="shared" si="349"/>
        <v>665.62689165655149</v>
      </c>
      <c r="O3369" s="17">
        <f t="shared" si="347"/>
        <v>842</v>
      </c>
      <c r="P3369" s="19">
        <f ca="1">IF(ISERROR(IF(O3369&lt;fi_h/20,0,(OFFSET('Base de dados'!$A$5,IF(O3369&lt;20,1,IF(O3369&gt;1000,10,MATCH(O3369,Cargas,1))),Coluna_fih,1,1))*(1+0.13*0.25)*(PI()*(fi_h/1000)^2/4)*SQRT(2*9.81*(O3369/100-fi_h/2/1000))*1000)),"",IF(O3369&lt;fi_h/20,0,(OFFSET('Base de dados'!$A$5,IF(O3369&lt;20,1,IF(O3369&gt;1000,10,MATCH(O3369,Cargas,1))),Coluna_fih,1,1))*(PI()*(fi_h/1000)^2/4)*SQRT(2*9.81*(O3369/100-fi_h/2/1000))*1000))</f>
        <v>77.959941003002072</v>
      </c>
      <c r="Q3369" s="19">
        <f ca="1">IF(O3369="","",IF(Tipo_Vertedor="Retangular",IF(O3369&lt;=cota_s*100,0,IF(Tipo_Vertedor="Retangular",Cd_sr*Lef_sr*((O3369/100-cota_s)^(3/2))*1000)),IF(O3369&lt;=cota_s*100+fi_s/20,0,(OFFSET('Base de dados'!$A$4,IF(O3369&lt;20,1,IF(O3369&gt;1000,10,MATCH(O3369,Cargas,1))),Coluna_fis,1,1))*(PI()*(fi_s/1000)^2/4)*(2*9.81*(O3369/100-cota_s-fi_s/2/1000))^0.5*1000)))</f>
        <v>24011.122846461643</v>
      </c>
      <c r="R3369" s="19">
        <f t="shared" ca="1" si="350"/>
        <v>24089.082787464646</v>
      </c>
      <c r="S3369" s="19">
        <f t="shared" ca="1" si="351"/>
        <v>22187.563055218383</v>
      </c>
    </row>
    <row r="3370" spans="13:19">
      <c r="M3370" s="81">
        <f t="shared" ca="1" si="348"/>
        <v>46295.581258202154</v>
      </c>
      <c r="N3370" s="19">
        <f t="shared" si="349"/>
        <v>665.84914843419062</v>
      </c>
      <c r="O3370" s="17">
        <f t="shared" si="347"/>
        <v>842.25</v>
      </c>
      <c r="P3370" s="19">
        <f ca="1">IF(ISERROR(IF(O3370&lt;fi_h/20,0,(OFFSET('Base de dados'!$A$5,IF(O3370&lt;20,1,IF(O3370&gt;1000,10,MATCH(O3370,Cargas,1))),Coluna_fih,1,1))*(1+0.13*0.25)*(PI()*(fi_h/1000)^2/4)*SQRT(2*9.81*(O3370/100-fi_h/2/1000))*1000)),"",IF(O3370&lt;fi_h/20,0,(OFFSET('Base de dados'!$A$5,IF(O3370&lt;20,1,IF(O3370&gt;1000,10,MATCH(O3370,Cargas,1))),Coluna_fih,1,1))*(PI()*(fi_h/1000)^2/4)*SQRT(2*9.81*(O3370/100-fi_h/2/1000))*1000))</f>
        <v>77.971591804695933</v>
      </c>
      <c r="Q3370" s="19">
        <f ca="1">IF(O3370="","",IF(Tipo_Vertedor="Retangular",IF(O3370&lt;=cota_s*100,0,IF(Tipo_Vertedor="Retangular",Cd_sr*Lef_sr*((O3370/100-cota_s)^(3/2))*1000)),IF(O3370&lt;=cota_s*100+fi_s/20,0,(OFFSET('Base de dados'!$A$4,IF(O3370&lt;20,1,IF(O3370&gt;1000,10,MATCH(O3370,Cargas,1))),Coluna_fis,1,1))*(PI()*(fi_s/1000)^2/4)*(2*9.81*(O3370/100-cota_s-fi_s/2/1000))^0.5*1000)))</f>
        <v>24022.638051924434</v>
      </c>
      <c r="R3370" s="19">
        <f t="shared" ca="1" si="350"/>
        <v>24100.609643729131</v>
      </c>
      <c r="S3370" s="19">
        <f t="shared" ca="1" si="351"/>
        <v>22194.971614473023</v>
      </c>
    </row>
    <row r="3371" spans="13:19">
      <c r="M3371" s="81">
        <f t="shared" ca="1" si="348"/>
        <v>46314.518786154265</v>
      </c>
      <c r="N3371" s="19">
        <f t="shared" si="349"/>
        <v>666.07141343029934</v>
      </c>
      <c r="O3371" s="17">
        <f t="shared" si="347"/>
        <v>842.5</v>
      </c>
      <c r="P3371" s="19">
        <f ca="1">IF(ISERROR(IF(O3371&lt;fi_h/20,0,(OFFSET('Base de dados'!$A$5,IF(O3371&lt;20,1,IF(O3371&gt;1000,10,MATCH(O3371,Cargas,1))),Coluna_fih,1,1))*(1+0.13*0.25)*(PI()*(fi_h/1000)^2/4)*SQRT(2*9.81*(O3371/100-fi_h/2/1000))*1000)),"",IF(O3371&lt;fi_h/20,0,(OFFSET('Base de dados'!$A$5,IF(O3371&lt;20,1,IF(O3371&gt;1000,10,MATCH(O3371,Cargas,1))),Coluna_fih,1,1))*(PI()*(fi_h/1000)^2/4)*SQRT(2*9.81*(O3371/100-fi_h/2/1000))*1000))</f>
        <v>77.983240865744293</v>
      </c>
      <c r="Q3371" s="19">
        <f ca="1">IF(O3371="","",IF(Tipo_Vertedor="Retangular",IF(O3371&lt;=cota_s*100,0,IF(Tipo_Vertedor="Retangular",Cd_sr*Lef_sr*((O3371/100-cota_s)^(3/2))*1000)),IF(O3371&lt;=cota_s*100+fi_s/20,0,(OFFSET('Base de dados'!$A$4,IF(O3371&lt;20,1,IF(O3371&gt;1000,10,MATCH(O3371,Cargas,1))),Coluna_fis,1,1))*(PI()*(fi_s/1000)^2/4)*(2*9.81*(O3371/100-cota_s-fi_s/2/1000))^0.5*1000)))</f>
        <v>24034.155097611878</v>
      </c>
      <c r="R3371" s="19">
        <f t="shared" ca="1" si="350"/>
        <v>24112.138338477624</v>
      </c>
      <c r="S3371" s="19">
        <f t="shared" ca="1" si="351"/>
        <v>22202.380447676645</v>
      </c>
    </row>
    <row r="3372" spans="13:19">
      <c r="M3372" s="81">
        <f t="shared" ca="1" si="348"/>
        <v>46333.458426174977</v>
      </c>
      <c r="N3372" s="19">
        <f t="shared" si="349"/>
        <v>666.2936866427433</v>
      </c>
      <c r="O3372" s="17">
        <f t="shared" si="347"/>
        <v>842.75</v>
      </c>
      <c r="P3372" s="19">
        <f ca="1">IF(ISERROR(IF(O3372&lt;fi_h/20,0,(OFFSET('Base de dados'!$A$5,IF(O3372&lt;20,1,IF(O3372&gt;1000,10,MATCH(O3372,Cargas,1))),Coluna_fih,1,1))*(1+0.13*0.25)*(PI()*(fi_h/1000)^2/4)*SQRT(2*9.81*(O3372/100-fi_h/2/1000))*1000)),"",IF(O3372&lt;fi_h/20,0,(OFFSET('Base de dados'!$A$5,IF(O3372&lt;20,1,IF(O3372&gt;1000,10,MATCH(O3372,Cargas,1))),Coluna_fih,1,1))*(PI()*(fi_h/1000)^2/4)*SQRT(2*9.81*(O3372/100-fi_h/2/1000))*1000))</f>
        <v>77.994888186927042</v>
      </c>
      <c r="Q3372" s="19">
        <f ca="1">IF(O3372="","",IF(Tipo_Vertedor="Retangular",IF(O3372&lt;=cota_s*100,0,IF(Tipo_Vertedor="Retangular",Cd_sr*Lef_sr*((O3372/100-cota_s)^(3/2))*1000)),IF(O3372&lt;=cota_s*100+fi_s/20,0,(OFFSET('Base de dados'!$A$4,IF(O3372&lt;20,1,IF(O3372&gt;1000,10,MATCH(O3372,Cargas,1))),Coluna_fis,1,1))*(PI()*(fi_s/1000)^2/4)*(2*9.81*(O3372/100-cota_s-fi_s/2/1000))^0.5*1000)))</f>
        <v>24045.673983229939</v>
      </c>
      <c r="R3372" s="19">
        <f t="shared" ca="1" si="350"/>
        <v>24123.668871416867</v>
      </c>
      <c r="S3372" s="19">
        <f t="shared" ca="1" si="351"/>
        <v>22209.78955475811</v>
      </c>
    </row>
    <row r="3373" spans="13:19">
      <c r="M3373" s="81">
        <f t="shared" ca="1" si="348"/>
        <v>46352.400177900068</v>
      </c>
      <c r="N3373" s="19">
        <f t="shared" si="349"/>
        <v>666.51596806938778</v>
      </c>
      <c r="O3373" s="17">
        <f t="shared" si="347"/>
        <v>843</v>
      </c>
      <c r="P3373" s="19">
        <f ca="1">IF(ISERROR(IF(O3373&lt;fi_h/20,0,(OFFSET('Base de dados'!$A$5,IF(O3373&lt;20,1,IF(O3373&gt;1000,10,MATCH(O3373,Cargas,1))),Coluna_fih,1,1))*(1+0.13*0.25)*(PI()*(fi_h/1000)^2/4)*SQRT(2*9.81*(O3373/100-fi_h/2/1000))*1000)),"",IF(O3373&lt;fi_h/20,0,(OFFSET('Base de dados'!$A$5,IF(O3373&lt;20,1,IF(O3373&gt;1000,10,MATCH(O3373,Cargas,1))),Coluna_fih,1,1))*(PI()*(fi_h/1000)^2/4)*SQRT(2*9.81*(O3373/100-fi_h/2/1000))*1000))</f>
        <v>78.006533769023562</v>
      </c>
      <c r="Q3373" s="19">
        <f ca="1">IF(O3373="","",IF(Tipo_Vertedor="Retangular",IF(O3373&lt;=cota_s*100,0,IF(Tipo_Vertedor="Retangular",Cd_sr*Lef_sr*((O3373/100-cota_s)^(3/2))*1000)),IF(O3373&lt;=cota_s*100+fi_s/20,0,(OFFSET('Base de dados'!$A$4,IF(O3373&lt;20,1,IF(O3373&gt;1000,10,MATCH(O3373,Cargas,1))),Coluna_fis,1,1))*(PI()*(fi_s/1000)^2/4)*(2*9.81*(O3373/100-cota_s-fi_s/2/1000))^0.5*1000)))</f>
        <v>24057.194708484785</v>
      </c>
      <c r="R3373" s="19">
        <f t="shared" ca="1" si="350"/>
        <v>24135.20124225381</v>
      </c>
      <c r="S3373" s="19">
        <f t="shared" ca="1" si="351"/>
        <v>22217.198935646262</v>
      </c>
    </row>
    <row r="3374" spans="13:19">
      <c r="M3374" s="81">
        <f t="shared" ca="1" si="348"/>
        <v>46371.344040965552</v>
      </c>
      <c r="N3374" s="19">
        <f t="shared" si="349"/>
        <v>666.73825770810106</v>
      </c>
      <c r="O3374" s="17">
        <f t="shared" si="347"/>
        <v>843.25</v>
      </c>
      <c r="P3374" s="19">
        <f ca="1">IF(ISERROR(IF(O3374&lt;fi_h/20,0,(OFFSET('Base de dados'!$A$5,IF(O3374&lt;20,1,IF(O3374&gt;1000,10,MATCH(O3374,Cargas,1))),Coluna_fih,1,1))*(1+0.13*0.25)*(PI()*(fi_h/1000)^2/4)*SQRT(2*9.81*(O3374/100-fi_h/2/1000))*1000)),"",IF(O3374&lt;fi_h/20,0,(OFFSET('Base de dados'!$A$5,IF(O3374&lt;20,1,IF(O3374&gt;1000,10,MATCH(O3374,Cargas,1))),Coluna_fih,1,1))*(PI()*(fi_h/1000)^2/4)*SQRT(2*9.81*(O3374/100-fi_h/2/1000))*1000))</f>
        <v>78.018177612812607</v>
      </c>
      <c r="Q3374" s="19">
        <f ca="1">IF(O3374="","",IF(Tipo_Vertedor="Retangular",IF(O3374&lt;=cota_s*100,0,IF(Tipo_Vertedor="Retangular",Cd_sr*Lef_sr*((O3374/100-cota_s)^(3/2))*1000)),IF(O3374&lt;=cota_s*100+fi_s/20,0,(OFFSET('Base de dados'!$A$4,IF(O3374&lt;20,1,IF(O3374&gt;1000,10,MATCH(O3374,Cargas,1))),Coluna_fis,1,1))*(PI()*(fi_s/1000)^2/4)*(2*9.81*(O3374/100-cota_s-fi_s/2/1000))^0.5*1000)))</f>
        <v>24068.717273082704</v>
      </c>
      <c r="R3374" s="19">
        <f t="shared" ca="1" si="350"/>
        <v>24146.735450695516</v>
      </c>
      <c r="S3374" s="19">
        <f t="shared" ca="1" si="351"/>
        <v>22224.608590270036</v>
      </c>
    </row>
    <row r="3375" spans="13:19">
      <c r="M3375" s="81">
        <f t="shared" ca="1" si="348"/>
        <v>46390.290015007573</v>
      </c>
      <c r="N3375" s="19">
        <f t="shared" si="349"/>
        <v>666.96055555675082</v>
      </c>
      <c r="O3375" s="17">
        <f t="shared" si="347"/>
        <v>843.5</v>
      </c>
      <c r="P3375" s="19">
        <f ca="1">IF(ISERROR(IF(O3375&lt;fi_h/20,0,(OFFSET('Base de dados'!$A$5,IF(O3375&lt;20,1,IF(O3375&gt;1000,10,MATCH(O3375,Cargas,1))),Coluna_fih,1,1))*(1+0.13*0.25)*(PI()*(fi_h/1000)^2/4)*SQRT(2*9.81*(O3375/100-fi_h/2/1000))*1000)),"",IF(O3375&lt;fi_h/20,0,(OFFSET('Base de dados'!$A$5,IF(O3375&lt;20,1,IF(O3375&gt;1000,10,MATCH(O3375,Cargas,1))),Coluna_fih,1,1))*(PI()*(fi_h/1000)^2/4)*SQRT(2*9.81*(O3375/100-fi_h/2/1000))*1000))</f>
        <v>78.029819719072378</v>
      </c>
      <c r="Q3375" s="19">
        <f ca="1">IF(O3375="","",IF(Tipo_Vertedor="Retangular",IF(O3375&lt;=cota_s*100,0,IF(Tipo_Vertedor="Retangular",Cd_sr*Lef_sr*((O3375/100-cota_s)^(3/2))*1000)),IF(O3375&lt;=cota_s*100+fi_s/20,0,(OFFSET('Base de dados'!$A$4,IF(O3375&lt;20,1,IF(O3375&gt;1000,10,MATCH(O3375,Cargas,1))),Coluna_fis,1,1))*(PI()*(fi_s/1000)^2/4)*(2*9.81*(O3375/100-cota_s-fi_s/2/1000))^0.5*1000)))</f>
        <v>24080.24167673014</v>
      </c>
      <c r="R3375" s="19">
        <f t="shared" ca="1" si="350"/>
        <v>24158.271496449212</v>
      </c>
      <c r="S3375" s="19">
        <f t="shared" ca="1" si="351"/>
        <v>22232.018518558361</v>
      </c>
    </row>
    <row r="3376" spans="13:19">
      <c r="M3376" s="81">
        <f t="shared" ca="1" si="348"/>
        <v>46409.238099662529</v>
      </c>
      <c r="N3376" s="19">
        <f t="shared" si="349"/>
        <v>667.18286161320793</v>
      </c>
      <c r="O3376" s="17">
        <f t="shared" si="347"/>
        <v>843.75</v>
      </c>
      <c r="P3376" s="19">
        <f ca="1">IF(ISERROR(IF(O3376&lt;fi_h/20,0,(OFFSET('Base de dados'!$A$5,IF(O3376&lt;20,1,IF(O3376&gt;1000,10,MATCH(O3376,Cargas,1))),Coluna_fih,1,1))*(1+0.13*0.25)*(PI()*(fi_h/1000)^2/4)*SQRT(2*9.81*(O3376/100-fi_h/2/1000))*1000)),"",IF(O3376&lt;fi_h/20,0,(OFFSET('Base de dados'!$A$5,IF(O3376&lt;20,1,IF(O3376&gt;1000,10,MATCH(O3376,Cargas,1))),Coluna_fih,1,1))*(PI()*(fi_h/1000)^2/4)*SQRT(2*9.81*(O3376/100-fi_h/2/1000))*1000))</f>
        <v>78.041460088580479</v>
      </c>
      <c r="Q3376" s="19">
        <f ca="1">IF(O3376="","",IF(Tipo_Vertedor="Retangular",IF(O3376&lt;=cota_s*100,0,IF(Tipo_Vertedor="Retangular",Cd_sr*Lef_sr*((O3376/100-cota_s)^(3/2))*1000)),IF(O3376&lt;=cota_s*100+fi_s/20,0,(OFFSET('Base de dados'!$A$4,IF(O3376&lt;20,1,IF(O3376&gt;1000,10,MATCH(O3376,Cargas,1))),Coluna_fis,1,1))*(PI()*(fi_s/1000)^2/4)*(2*9.81*(O3376/100-cota_s-fi_s/2/1000))^0.5*1000)))</f>
        <v>24091.767919133687</v>
      </c>
      <c r="R3376" s="19">
        <f t="shared" ca="1" si="350"/>
        <v>24169.809379222268</v>
      </c>
      <c r="S3376" s="19">
        <f t="shared" ca="1" si="351"/>
        <v>22239.428720440264</v>
      </c>
    </row>
    <row r="3377" spans="13:19">
      <c r="M3377" s="81">
        <f t="shared" ca="1" si="348"/>
        <v>46428.188294566862</v>
      </c>
      <c r="N3377" s="19">
        <f t="shared" si="349"/>
        <v>667.40517587534259</v>
      </c>
      <c r="O3377" s="17">
        <f t="shared" si="347"/>
        <v>844</v>
      </c>
      <c r="P3377" s="19">
        <f ca="1">IF(ISERROR(IF(O3377&lt;fi_h/20,0,(OFFSET('Base de dados'!$A$5,IF(O3377&lt;20,1,IF(O3377&gt;1000,10,MATCH(O3377,Cargas,1))),Coluna_fih,1,1))*(1+0.13*0.25)*(PI()*(fi_h/1000)^2/4)*SQRT(2*9.81*(O3377/100-fi_h/2/1000))*1000)),"",IF(O3377&lt;fi_h/20,0,(OFFSET('Base de dados'!$A$5,IF(O3377&lt;20,1,IF(O3377&gt;1000,10,MATCH(O3377,Cargas,1))),Coluna_fih,1,1))*(PI()*(fi_h/1000)^2/4)*SQRT(2*9.81*(O3377/100-fi_h/2/1000))*1000))</f>
        <v>78.05309872211393</v>
      </c>
      <c r="Q3377" s="19">
        <f ca="1">IF(O3377="","",IF(Tipo_Vertedor="Retangular",IF(O3377&lt;=cota_s*100,0,IF(Tipo_Vertedor="Retangular",Cd_sr*Lef_sr*((O3377/100-cota_s)^(3/2))*1000)),IF(O3377&lt;=cota_s*100+fi_s/20,0,(OFFSET('Base de dados'!$A$4,IF(O3377&lt;20,1,IF(O3377&gt;1000,10,MATCH(O3377,Cargas,1))),Coluna_fis,1,1))*(PI()*(fi_s/1000)^2/4)*(2*9.81*(O3377/100-cota_s-fi_s/2/1000))^0.5*1000)))</f>
        <v>24103.295999999991</v>
      </c>
      <c r="R3377" s="19">
        <f t="shared" ca="1" si="350"/>
        <v>24181.349098722105</v>
      </c>
      <c r="S3377" s="19">
        <f t="shared" ca="1" si="351"/>
        <v>22246.839195844754</v>
      </c>
    </row>
    <row r="3378" spans="13:19">
      <c r="M3378" s="81">
        <f t="shared" ca="1" si="348"/>
        <v>46447.140599357357</v>
      </c>
      <c r="N3378" s="19">
        <f t="shared" si="349"/>
        <v>667.62749834102726</v>
      </c>
      <c r="O3378" s="17">
        <f t="shared" si="347"/>
        <v>844.25</v>
      </c>
      <c r="P3378" s="19">
        <f ca="1">IF(ISERROR(IF(O3378&lt;fi_h/20,0,(OFFSET('Base de dados'!$A$5,IF(O3378&lt;20,1,IF(O3378&gt;1000,10,MATCH(O3378,Cargas,1))),Coluna_fih,1,1))*(1+0.13*0.25)*(PI()*(fi_h/1000)^2/4)*SQRT(2*9.81*(O3378/100-fi_h/2/1000))*1000)),"",IF(O3378&lt;fi_h/20,0,(OFFSET('Base de dados'!$A$5,IF(O3378&lt;20,1,IF(O3378&gt;1000,10,MATCH(O3378,Cargas,1))),Coluna_fih,1,1))*(PI()*(fi_h/1000)^2/4)*SQRT(2*9.81*(O3378/100-fi_h/2/1000))*1000))</f>
        <v>78.064735620449156</v>
      </c>
      <c r="Q3378" s="19">
        <f ca="1">IF(O3378="","",IF(Tipo_Vertedor="Retangular",IF(O3378&lt;=cota_s*100,0,IF(Tipo_Vertedor="Retangular",Cd_sr*Lef_sr*((O3378/100-cota_s)^(3/2))*1000)),IF(O3378&lt;=cota_s*100+fi_s/20,0,(OFFSET('Base de dados'!$A$4,IF(O3378&lt;20,1,IF(O3378&gt;1000,10,MATCH(O3378,Cargas,1))),Coluna_fis,1,1))*(PI()*(fi_s/1000)^2/4)*(2*9.81*(O3378/100-cota_s-fi_s/2/1000))^0.5*1000)))</f>
        <v>24114.825919036</v>
      </c>
      <c r="R3378" s="19">
        <f t="shared" ca="1" si="350"/>
        <v>24192.89065465645</v>
      </c>
      <c r="S3378" s="19">
        <f t="shared" ca="1" si="351"/>
        <v>22254.24994470091</v>
      </c>
    </row>
    <row r="3379" spans="13:19">
      <c r="M3379" s="81">
        <f t="shared" ca="1" si="348"/>
        <v>46466.095013670827</v>
      </c>
      <c r="N3379" s="19">
        <f t="shared" si="349"/>
        <v>667.84982900813554</v>
      </c>
      <c r="O3379" s="17">
        <f t="shared" si="347"/>
        <v>844.5</v>
      </c>
      <c r="P3379" s="19">
        <f ca="1">IF(ISERROR(IF(O3379&lt;fi_h/20,0,(OFFSET('Base de dados'!$A$5,IF(O3379&lt;20,1,IF(O3379&gt;1000,10,MATCH(O3379,Cargas,1))),Coluna_fih,1,1))*(1+0.13*0.25)*(PI()*(fi_h/1000)^2/4)*SQRT(2*9.81*(O3379/100-fi_h/2/1000))*1000)),"",IF(O3379&lt;fi_h/20,0,(OFFSET('Base de dados'!$A$5,IF(O3379&lt;20,1,IF(O3379&gt;1000,10,MATCH(O3379,Cargas,1))),Coluna_fih,1,1))*(PI()*(fi_h/1000)^2/4)*SQRT(2*9.81*(O3379/100-fi_h/2/1000))*1000))</f>
        <v>78.076370784362069</v>
      </c>
      <c r="Q3379" s="19">
        <f ca="1">IF(O3379="","",IF(Tipo_Vertedor="Retangular",IF(O3379&lt;=cota_s*100,0,IF(Tipo_Vertedor="Retangular",Cd_sr*Lef_sr*((O3379/100-cota_s)^(3/2))*1000)),IF(O3379&lt;=cota_s*100+fi_s/20,0,(OFFSET('Base de dados'!$A$4,IF(O3379&lt;20,1,IF(O3379&gt;1000,10,MATCH(O3379,Cargas,1))),Coluna_fis,1,1))*(PI()*(fi_s/1000)^2/4)*(2*9.81*(O3379/100-cota_s-fi_s/2/1000))^0.5*1000)))</f>
        <v>24126.357675948617</v>
      </c>
      <c r="R3379" s="19">
        <f t="shared" ca="1" si="350"/>
        <v>24204.434046732978</v>
      </c>
      <c r="S3379" s="19">
        <f t="shared" ca="1" si="351"/>
        <v>22261.660966937852</v>
      </c>
    </row>
    <row r="3380" spans="13:19">
      <c r="M3380" s="81">
        <f t="shared" ca="1" si="348"/>
        <v>46485.051537144362</v>
      </c>
      <c r="N3380" s="19">
        <f t="shared" si="349"/>
        <v>668.07216787454126</v>
      </c>
      <c r="O3380" s="17">
        <f t="shared" si="347"/>
        <v>844.75</v>
      </c>
      <c r="P3380" s="19">
        <f ca="1">IF(ISERROR(IF(O3380&lt;fi_h/20,0,(OFFSET('Base de dados'!$A$5,IF(O3380&lt;20,1,IF(O3380&gt;1000,10,MATCH(O3380,Cargas,1))),Coluna_fih,1,1))*(1+0.13*0.25)*(PI()*(fi_h/1000)^2/4)*SQRT(2*9.81*(O3380/100-fi_h/2/1000))*1000)),"",IF(O3380&lt;fi_h/20,0,(OFFSET('Base de dados'!$A$5,IF(O3380&lt;20,1,IF(O3380&gt;1000,10,MATCH(O3380,Cargas,1))),Coluna_fih,1,1))*(PI()*(fi_h/1000)^2/4)*SQRT(2*9.81*(O3380/100-fi_h/2/1000))*1000))</f>
        <v>78.088004214627929</v>
      </c>
      <c r="Q3380" s="19">
        <f ca="1">IF(O3380="","",IF(Tipo_Vertedor="Retangular",IF(O3380&lt;=cota_s*100,0,IF(Tipo_Vertedor="Retangular",Cd_sr*Lef_sr*((O3380/100-cota_s)^(3/2))*1000)),IF(O3380&lt;=cota_s*100+fi_s/20,0,(OFFSET('Base de dados'!$A$4,IF(O3380&lt;20,1,IF(O3380&gt;1000,10,MATCH(O3380,Cargas,1))),Coluna_fis,1,1))*(PI()*(fi_s/1000)^2/4)*(2*9.81*(O3380/100-cota_s-fi_s/2/1000))^0.5*1000)))</f>
        <v>24137.891270445027</v>
      </c>
      <c r="R3380" s="19">
        <f t="shared" ca="1" si="350"/>
        <v>24215.979274659654</v>
      </c>
      <c r="S3380" s="19">
        <f t="shared" ca="1" si="351"/>
        <v>22269.072262484708</v>
      </c>
    </row>
    <row r="3381" spans="13:19">
      <c r="M3381" s="81">
        <f t="shared" ca="1" si="348"/>
        <v>46504.010169415196</v>
      </c>
      <c r="N3381" s="19">
        <f t="shared" si="349"/>
        <v>668.29451493812053</v>
      </c>
      <c r="O3381" s="17">
        <f t="shared" si="347"/>
        <v>845</v>
      </c>
      <c r="P3381" s="19">
        <f ca="1">IF(ISERROR(IF(O3381&lt;fi_h/20,0,(OFFSET('Base de dados'!$A$5,IF(O3381&lt;20,1,IF(O3381&gt;1000,10,MATCH(O3381,Cargas,1))),Coluna_fih,1,1))*(1+0.13*0.25)*(PI()*(fi_h/1000)^2/4)*SQRT(2*9.81*(O3381/100-fi_h/2/1000))*1000)),"",IF(O3381&lt;fi_h/20,0,(OFFSET('Base de dados'!$A$5,IF(O3381&lt;20,1,IF(O3381&gt;1000,10,MATCH(O3381,Cargas,1))),Coluna_fih,1,1))*(PI()*(fi_h/1000)^2/4)*SQRT(2*9.81*(O3381/100-fi_h/2/1000))*1000))</f>
        <v>78.099635912021441</v>
      </c>
      <c r="Q3381" s="19">
        <f ca="1">IF(O3381="","",IF(Tipo_Vertedor="Retangular",IF(O3381&lt;=cota_s*100,0,IF(Tipo_Vertedor="Retangular",Cd_sr*Lef_sr*((O3381/100-cota_s)^(3/2))*1000)),IF(O3381&lt;=cota_s*100+fi_s/20,0,(OFFSET('Base de dados'!$A$4,IF(O3381&lt;20,1,IF(O3381&gt;1000,10,MATCH(O3381,Cargas,1))),Coluna_fis,1,1))*(PI()*(fi_s/1000)^2/4)*(2*9.81*(O3381/100-cota_s-fi_s/2/1000))^0.5*1000)))</f>
        <v>24149.426702232489</v>
      </c>
      <c r="R3381" s="19">
        <f t="shared" ca="1" si="350"/>
        <v>24227.526338144511</v>
      </c>
      <c r="S3381" s="19">
        <f t="shared" ca="1" si="351"/>
        <v>22276.483831270682</v>
      </c>
    </row>
    <row r="3382" spans="13:19">
      <c r="M3382" s="81">
        <f t="shared" ca="1" si="348"/>
        <v>46522.970910120785</v>
      </c>
      <c r="N3382" s="19">
        <f t="shared" si="349"/>
        <v>668.51687019675035</v>
      </c>
      <c r="O3382" s="17">
        <f t="shared" si="347"/>
        <v>845.25</v>
      </c>
      <c r="P3382" s="19">
        <f ca="1">IF(ISERROR(IF(O3382&lt;fi_h/20,0,(OFFSET('Base de dados'!$A$5,IF(O3382&lt;20,1,IF(O3382&gt;1000,10,MATCH(O3382,Cargas,1))),Coluna_fih,1,1))*(1+0.13*0.25)*(PI()*(fi_h/1000)^2/4)*SQRT(2*9.81*(O3382/100-fi_h/2/1000))*1000)),"",IF(O3382&lt;fi_h/20,0,(OFFSET('Base de dados'!$A$5,IF(O3382&lt;20,1,IF(O3382&gt;1000,10,MATCH(O3382,Cargas,1))),Coluna_fih,1,1))*(PI()*(fi_h/1000)^2/4)*SQRT(2*9.81*(O3382/100-fi_h/2/1000))*1000))</f>
        <v>78.111265877316782</v>
      </c>
      <c r="Q3382" s="19">
        <f ca="1">IF(O3382="","",IF(Tipo_Vertedor="Retangular",IF(O3382&lt;=cota_s*100,0,IF(Tipo_Vertedor="Retangular",Cd_sr*Lef_sr*((O3382/100-cota_s)^(3/2))*1000)),IF(O3382&lt;=cota_s*100+fi_s/20,0,(OFFSET('Base de dados'!$A$4,IF(O3382&lt;20,1,IF(O3382&gt;1000,10,MATCH(O3382,Cargas,1))),Coluna_fis,1,1))*(PI()*(fi_s/1000)^2/4)*(2*9.81*(O3382/100-cota_s-fi_s/2/1000))^0.5*1000)))</f>
        <v>24160.96397101846</v>
      </c>
      <c r="R3382" s="19">
        <f t="shared" ca="1" si="350"/>
        <v>24239.075236895776</v>
      </c>
      <c r="S3382" s="19">
        <f t="shared" ca="1" si="351"/>
        <v>22283.895673225012</v>
      </c>
    </row>
    <row r="3383" spans="13:19">
      <c r="M3383" s="81">
        <f t="shared" ca="1" si="348"/>
        <v>46541.93375889866</v>
      </c>
      <c r="N3383" s="19">
        <f t="shared" si="349"/>
        <v>668.73923364830864</v>
      </c>
      <c r="O3383" s="17">
        <f t="shared" si="347"/>
        <v>845.5</v>
      </c>
      <c r="P3383" s="19">
        <f ca="1">IF(ISERROR(IF(O3383&lt;fi_h/20,0,(OFFSET('Base de dados'!$A$5,IF(O3383&lt;20,1,IF(O3383&gt;1000,10,MATCH(O3383,Cargas,1))),Coluna_fih,1,1))*(1+0.13*0.25)*(PI()*(fi_h/1000)^2/4)*SQRT(2*9.81*(O3383/100-fi_h/2/1000))*1000)),"",IF(O3383&lt;fi_h/20,0,(OFFSET('Base de dados'!$A$5,IF(O3383&lt;20,1,IF(O3383&gt;1000,10,MATCH(O3383,Cargas,1))),Coluna_fih,1,1))*(PI()*(fi_h/1000)^2/4)*SQRT(2*9.81*(O3383/100-fi_h/2/1000))*1000))</f>
        <v>78.122894111287479</v>
      </c>
      <c r="Q3383" s="19">
        <f ca="1">IF(O3383="","",IF(Tipo_Vertedor="Retangular",IF(O3383&lt;=cota_s*100,0,IF(Tipo_Vertedor="Retangular",Cd_sr*Lef_sr*((O3383/100-cota_s)^(3/2))*1000)),IF(O3383&lt;=cota_s*100+fi_s/20,0,(OFFSET('Base de dados'!$A$4,IF(O3383&lt;20,1,IF(O3383&gt;1000,10,MATCH(O3383,Cargas,1))),Coluna_fis,1,1))*(PI()*(fi_s/1000)^2/4)*(2*9.81*(O3383/100-cota_s-fi_s/2/1000))^0.5*1000)))</f>
        <v>24172.50307651042</v>
      </c>
      <c r="R3383" s="19">
        <f t="shared" ca="1" si="350"/>
        <v>24250.625970621706</v>
      </c>
      <c r="S3383" s="19">
        <f t="shared" ca="1" si="351"/>
        <v>22291.307788276954</v>
      </c>
    </row>
    <row r="3384" spans="13:19">
      <c r="M3384" s="81">
        <f t="shared" ca="1" si="348"/>
        <v>46560.898715386618</v>
      </c>
      <c r="N3384" s="19">
        <f t="shared" si="349"/>
        <v>668.96160529067447</v>
      </c>
      <c r="O3384" s="17">
        <f t="shared" si="347"/>
        <v>845.75</v>
      </c>
      <c r="P3384" s="19">
        <f ca="1">IF(ISERROR(IF(O3384&lt;fi_h/20,0,(OFFSET('Base de dados'!$A$5,IF(O3384&lt;20,1,IF(O3384&gt;1000,10,MATCH(O3384,Cargas,1))),Coluna_fih,1,1))*(1+0.13*0.25)*(PI()*(fi_h/1000)^2/4)*SQRT(2*9.81*(O3384/100-fi_h/2/1000))*1000)),"",IF(O3384&lt;fi_h/20,0,(OFFSET('Base de dados'!$A$5,IF(O3384&lt;20,1,IF(O3384&gt;1000,10,MATCH(O3384,Cargas,1))),Coluna_fih,1,1))*(PI()*(fi_h/1000)^2/4)*SQRT(2*9.81*(O3384/100-fi_h/2/1000))*1000))</f>
        <v>78.134520614706503</v>
      </c>
      <c r="Q3384" s="19">
        <f ca="1">IF(O3384="","",IF(Tipo_Vertedor="Retangular",IF(O3384&lt;=cota_s*100,0,IF(Tipo_Vertedor="Retangular",Cd_sr*Lef_sr*((O3384/100-cota_s)^(3/2))*1000)),IF(O3384&lt;=cota_s*100+fi_s/20,0,(OFFSET('Base de dados'!$A$4,IF(O3384&lt;20,1,IF(O3384&gt;1000,10,MATCH(O3384,Cargas,1))),Coluna_fis,1,1))*(PI()*(fi_s/1000)^2/4)*(2*9.81*(O3384/100-cota_s-fi_s/2/1000))^0.5*1000)))</f>
        <v>24184.044018416102</v>
      </c>
      <c r="R3384" s="19">
        <f t="shared" ca="1" si="350"/>
        <v>24262.178539030807</v>
      </c>
      <c r="S3384" s="19">
        <f t="shared" ca="1" si="351"/>
        <v>22298.720176355815</v>
      </c>
    </row>
    <row r="3385" spans="13:19">
      <c r="M3385" s="81">
        <f t="shared" ca="1" si="348"/>
        <v>46579.865779222651</v>
      </c>
      <c r="N3385" s="19">
        <f t="shared" si="349"/>
        <v>669.1839851217286</v>
      </c>
      <c r="O3385" s="17">
        <f t="shared" si="347"/>
        <v>846</v>
      </c>
      <c r="P3385" s="19">
        <f ca="1">IF(ISERROR(IF(O3385&lt;fi_h/20,0,(OFFSET('Base de dados'!$A$5,IF(O3385&lt;20,1,IF(O3385&gt;1000,10,MATCH(O3385,Cargas,1))),Coluna_fih,1,1))*(1+0.13*0.25)*(PI()*(fi_h/1000)^2/4)*SQRT(2*9.81*(O3385/100-fi_h/2/1000))*1000)),"",IF(O3385&lt;fi_h/20,0,(OFFSET('Base de dados'!$A$5,IF(O3385&lt;20,1,IF(O3385&gt;1000,10,MATCH(O3385,Cargas,1))),Coluna_fih,1,1))*(PI()*(fi_h/1000)^2/4)*SQRT(2*9.81*(O3385/100-fi_h/2/1000))*1000))</f>
        <v>78.146145388346312</v>
      </c>
      <c r="Q3385" s="19">
        <f ca="1">IF(O3385="","",IF(Tipo_Vertedor="Retangular",IF(O3385&lt;=cota_s*100,0,IF(Tipo_Vertedor="Retangular",Cd_sr*Lef_sr*((O3385/100-cota_s)^(3/2))*1000)),IF(O3385&lt;=cota_s*100+fi_s/20,0,(OFFSET('Base de dados'!$A$4,IF(O3385&lt;20,1,IF(O3385&gt;1000,10,MATCH(O3385,Cargas,1))),Coluna_fis,1,1))*(PI()*(fi_s/1000)^2/4)*(2*9.81*(O3385/100-cota_s-fi_s/2/1000))^0.5*1000)))</f>
        <v>24195.586796443353</v>
      </c>
      <c r="R3385" s="19">
        <f t="shared" ca="1" si="350"/>
        <v>24273.732941831699</v>
      </c>
      <c r="S3385" s="19">
        <f t="shared" ca="1" si="351"/>
        <v>22306.132837390953</v>
      </c>
    </row>
    <row r="3386" spans="13:19">
      <c r="M3386" s="81">
        <f t="shared" ca="1" si="348"/>
        <v>46598.834950044853</v>
      </c>
      <c r="N3386" s="19">
        <f t="shared" si="349"/>
        <v>669.40637313935235</v>
      </c>
      <c r="O3386" s="17">
        <f t="shared" si="347"/>
        <v>846.25</v>
      </c>
      <c r="P3386" s="19">
        <f ca="1">IF(ISERROR(IF(O3386&lt;fi_h/20,0,(OFFSET('Base de dados'!$A$5,IF(O3386&lt;20,1,IF(O3386&gt;1000,10,MATCH(O3386,Cargas,1))),Coluna_fih,1,1))*(1+0.13*0.25)*(PI()*(fi_h/1000)^2/4)*SQRT(2*9.81*(O3386/100-fi_h/2/1000))*1000)),"",IF(O3386&lt;fi_h/20,0,(OFFSET('Base de dados'!$A$5,IF(O3386&lt;20,1,IF(O3386&gt;1000,10,MATCH(O3386,Cargas,1))),Coluna_fih,1,1))*(PI()*(fi_h/1000)^2/4)*SQRT(2*9.81*(O3386/100-fi_h/2/1000))*1000))</f>
        <v>78.157768432978699</v>
      </c>
      <c r="Q3386" s="19">
        <f ca="1">IF(O3386="","",IF(Tipo_Vertedor="Retangular",IF(O3386&lt;=cota_s*100,0,IF(Tipo_Vertedor="Retangular",Cd_sr*Lef_sr*((O3386/100-cota_s)^(3/2))*1000)),IF(O3386&lt;=cota_s*100+fi_s/20,0,(OFFSET('Base de dados'!$A$4,IF(O3386&lt;20,1,IF(O3386&gt;1000,10,MATCH(O3386,Cargas,1))),Coluna_fis,1,1))*(PI()*(fi_s/1000)^2/4)*(2*9.81*(O3386/100-cota_s-fi_s/2/1000))^0.5*1000)))</f>
        <v>24207.131410300128</v>
      </c>
      <c r="R3386" s="19">
        <f t="shared" ca="1" si="350"/>
        <v>24285.289178733106</v>
      </c>
      <c r="S3386" s="19">
        <f t="shared" ca="1" si="351"/>
        <v>22313.545771311743</v>
      </c>
    </row>
    <row r="3387" spans="13:19">
      <c r="M3387" s="81">
        <f t="shared" ca="1" si="348"/>
        <v>46617.806227491528</v>
      </c>
      <c r="N3387" s="19">
        <f t="shared" si="349"/>
        <v>669.62876934142832</v>
      </c>
      <c r="O3387" s="17">
        <f t="shared" si="347"/>
        <v>846.5</v>
      </c>
      <c r="P3387" s="19">
        <f ca="1">IF(ISERROR(IF(O3387&lt;fi_h/20,0,(OFFSET('Base de dados'!$A$5,IF(O3387&lt;20,1,IF(O3387&gt;1000,10,MATCH(O3387,Cargas,1))),Coluna_fih,1,1))*(1+0.13*0.25)*(PI()*(fi_h/1000)^2/4)*SQRT(2*9.81*(O3387/100-fi_h/2/1000))*1000)),"",IF(O3387&lt;fi_h/20,0,(OFFSET('Base de dados'!$A$5,IF(O3387&lt;20,1,IF(O3387&gt;1000,10,MATCH(O3387,Cargas,1))),Coluna_fih,1,1))*(PI()*(fi_h/1000)^2/4)*SQRT(2*9.81*(O3387/100-fi_h/2/1000))*1000))</f>
        <v>78.169389749374929</v>
      </c>
      <c r="Q3387" s="19">
        <f ca="1">IF(O3387="","",IF(Tipo_Vertedor="Retangular",IF(O3387&lt;=cota_s*100,0,IF(Tipo_Vertedor="Retangular",Cd_sr*Lef_sr*((O3387/100-cota_s)^(3/2))*1000)),IF(O3387&lt;=cota_s*100+fi_s/20,0,(OFFSET('Base de dados'!$A$4,IF(O3387&lt;20,1,IF(O3387&gt;1000,10,MATCH(O3387,Cargas,1))),Coluna_fis,1,1))*(PI()*(fi_s/1000)^2/4)*(2*9.81*(O3387/100-cota_s-fi_s/2/1000))^0.5*1000)))</f>
        <v>24218.677859694548</v>
      </c>
      <c r="R3387" s="19">
        <f t="shared" ca="1" si="350"/>
        <v>24296.847249443923</v>
      </c>
      <c r="S3387" s="19">
        <f t="shared" ca="1" si="351"/>
        <v>22320.958978047609</v>
      </c>
    </row>
    <row r="3388" spans="13:19">
      <c r="M3388" s="81">
        <f t="shared" ca="1" si="348"/>
        <v>46636.779611201186</v>
      </c>
      <c r="N3388" s="19">
        <f t="shared" si="349"/>
        <v>669.85117372584102</v>
      </c>
      <c r="O3388" s="17">
        <f t="shared" si="347"/>
        <v>846.75</v>
      </c>
      <c r="P3388" s="19">
        <f ca="1">IF(ISERROR(IF(O3388&lt;fi_h/20,0,(OFFSET('Base de dados'!$A$5,IF(O3388&lt;20,1,IF(O3388&gt;1000,10,MATCH(O3388,Cargas,1))),Coluna_fih,1,1))*(1+0.13*0.25)*(PI()*(fi_h/1000)^2/4)*SQRT(2*9.81*(O3388/100-fi_h/2/1000))*1000)),"",IF(O3388&lt;fi_h/20,0,(OFFSET('Base de dados'!$A$5,IF(O3388&lt;20,1,IF(O3388&gt;1000,10,MATCH(O3388,Cargas,1))),Coluna_fih,1,1))*(PI()*(fi_h/1000)^2/4)*SQRT(2*9.81*(O3388/100-fi_h/2/1000))*1000))</f>
        <v>78.181009338305714</v>
      </c>
      <c r="Q3388" s="19">
        <f ca="1">IF(O3388="","",IF(Tipo_Vertedor="Retangular",IF(O3388&lt;=cota_s*100,0,IF(Tipo_Vertedor="Retangular",Cd_sr*Lef_sr*((O3388/100-cota_s)^(3/2))*1000)),IF(O3388&lt;=cota_s*100+fi_s/20,0,(OFFSET('Base de dados'!$A$4,IF(O3388&lt;20,1,IF(O3388&gt;1000,10,MATCH(O3388,Cargas,1))),Coluna_fis,1,1))*(PI()*(fi_s/1000)^2/4)*(2*9.81*(O3388/100-cota_s-fi_s/2/1000))^0.5*1000)))</f>
        <v>24230.226144334851</v>
      </c>
      <c r="R3388" s="19">
        <f t="shared" ca="1" si="350"/>
        <v>24308.407153673157</v>
      </c>
      <c r="S3388" s="19">
        <f t="shared" ca="1" si="351"/>
        <v>22328.372457528032</v>
      </c>
    </row>
    <row r="3389" spans="13:19">
      <c r="M3389" s="81">
        <f t="shared" ca="1" si="348"/>
        <v>46655.755100812472</v>
      </c>
      <c r="N3389" s="19">
        <f t="shared" si="349"/>
        <v>670.07358629047496</v>
      </c>
      <c r="O3389" s="17">
        <f t="shared" si="347"/>
        <v>847</v>
      </c>
      <c r="P3389" s="19">
        <f ca="1">IF(ISERROR(IF(O3389&lt;fi_h/20,0,(OFFSET('Base de dados'!$A$5,IF(O3389&lt;20,1,IF(O3389&gt;1000,10,MATCH(O3389,Cargas,1))),Coluna_fih,1,1))*(1+0.13*0.25)*(PI()*(fi_h/1000)^2/4)*SQRT(2*9.81*(O3389/100-fi_h/2/1000))*1000)),"",IF(O3389&lt;fi_h/20,0,(OFFSET('Base de dados'!$A$5,IF(O3389&lt;20,1,IF(O3389&gt;1000,10,MATCH(O3389,Cargas,1))),Coluna_fih,1,1))*(PI()*(fi_h/1000)^2/4)*SQRT(2*9.81*(O3389/100-fi_h/2/1000))*1000))</f>
        <v>78.192627200541153</v>
      </c>
      <c r="Q3389" s="19">
        <f ca="1">IF(O3389="","",IF(Tipo_Vertedor="Retangular",IF(O3389&lt;=cota_s*100,0,IF(Tipo_Vertedor="Retangular",Cd_sr*Lef_sr*((O3389/100-cota_s)^(3/2))*1000)),IF(O3389&lt;=cota_s*100+fi_s/20,0,(OFFSET('Base de dados'!$A$4,IF(O3389&lt;20,1,IF(O3389&gt;1000,10,MATCH(O3389,Cargas,1))),Coluna_fis,1,1))*(PI()*(fi_s/1000)^2/4)*(2*9.81*(O3389/100-cota_s-fi_s/2/1000))^0.5*1000)))</f>
        <v>24241.776263929427</v>
      </c>
      <c r="R3389" s="19">
        <f t="shared" ca="1" si="350"/>
        <v>24319.968891129967</v>
      </c>
      <c r="S3389" s="19">
        <f t="shared" ca="1" si="351"/>
        <v>22335.786209682501</v>
      </c>
    </row>
    <row r="3390" spans="13:19">
      <c r="M3390" s="81">
        <f t="shared" ca="1" si="348"/>
        <v>46674.732695964238</v>
      </c>
      <c r="N3390" s="19">
        <f t="shared" si="349"/>
        <v>670.29600703321694</v>
      </c>
      <c r="O3390" s="17">
        <f t="shared" si="347"/>
        <v>847.25</v>
      </c>
      <c r="P3390" s="19">
        <f ca="1">IF(ISERROR(IF(O3390&lt;fi_h/20,0,(OFFSET('Base de dados'!$A$5,IF(O3390&lt;20,1,IF(O3390&gt;1000,10,MATCH(O3390,Cargas,1))),Coluna_fih,1,1))*(1+0.13*0.25)*(PI()*(fi_h/1000)^2/4)*SQRT(2*9.81*(O3390/100-fi_h/2/1000))*1000)),"",IF(O3390&lt;fi_h/20,0,(OFFSET('Base de dados'!$A$5,IF(O3390&lt;20,1,IF(O3390&gt;1000,10,MATCH(O3390,Cargas,1))),Coluna_fih,1,1))*(PI()*(fi_h/1000)^2/4)*SQRT(2*9.81*(O3390/100-fi_h/2/1000))*1000))</f>
        <v>78.20424333685078</v>
      </c>
      <c r="Q3390" s="19">
        <f ca="1">IF(O3390="","",IF(Tipo_Vertedor="Retangular",IF(O3390&lt;=cota_s*100,0,IF(Tipo_Vertedor="Retangular",Cd_sr*Lef_sr*((O3390/100-cota_s)^(3/2))*1000)),IF(O3390&lt;=cota_s*100+fi_s/20,0,(OFFSET('Base de dados'!$A$4,IF(O3390&lt;20,1,IF(O3390&gt;1000,10,MATCH(O3390,Cargas,1))),Coluna_fis,1,1))*(PI()*(fi_s/1000)^2/4)*(2*9.81*(O3390/100-cota_s-fi_s/2/1000))^0.5*1000)))</f>
        <v>24253.328218186824</v>
      </c>
      <c r="R3390" s="19">
        <f t="shared" ca="1" si="350"/>
        <v>24331.532461523675</v>
      </c>
      <c r="S3390" s="19">
        <f t="shared" ca="1" si="351"/>
        <v>22343.200234440563</v>
      </c>
    </row>
    <row r="3391" spans="13:19">
      <c r="M3391" s="81">
        <f t="shared" ca="1" si="348"/>
        <v>46693.712396295487</v>
      </c>
      <c r="N3391" s="19">
        <f t="shared" si="349"/>
        <v>670.51843595195396</v>
      </c>
      <c r="O3391" s="17">
        <f t="shared" si="347"/>
        <v>847.5</v>
      </c>
      <c r="P3391" s="19">
        <f ca="1">IF(ISERROR(IF(O3391&lt;fi_h/20,0,(OFFSET('Base de dados'!$A$5,IF(O3391&lt;20,1,IF(O3391&gt;1000,10,MATCH(O3391,Cargas,1))),Coluna_fih,1,1))*(1+0.13*0.25)*(PI()*(fi_h/1000)^2/4)*SQRT(2*9.81*(O3391/100-fi_h/2/1000))*1000)),"",IF(O3391&lt;fi_h/20,0,(OFFSET('Base de dados'!$A$5,IF(O3391&lt;20,1,IF(O3391&gt;1000,10,MATCH(O3391,Cargas,1))),Coluna_fih,1,1))*(PI()*(fi_h/1000)^2/4)*SQRT(2*9.81*(O3391/100-fi_h/2/1000))*1000))</f>
        <v>78.215857748003586</v>
      </c>
      <c r="Q3391" s="19">
        <f ca="1">IF(O3391="","",IF(Tipo_Vertedor="Retangular",IF(O3391&lt;=cota_s*100,0,IF(Tipo_Vertedor="Retangular",Cd_sr*Lef_sr*((O3391/100-cota_s)^(3/2))*1000)),IF(O3391&lt;=cota_s*100+fi_s/20,0,(OFFSET('Base de dados'!$A$4,IF(O3391&lt;20,1,IF(O3391&gt;1000,10,MATCH(O3391,Cargas,1))),Coluna_fis,1,1))*(PI()*(fi_s/1000)^2/4)*(2*9.81*(O3391/100-cota_s-fi_s/2/1000))^0.5*1000)))</f>
        <v>24264.882006815682</v>
      </c>
      <c r="R3391" s="19">
        <f t="shared" ca="1" si="350"/>
        <v>24343.097864563686</v>
      </c>
      <c r="S3391" s="19">
        <f t="shared" ca="1" si="351"/>
        <v>22350.614531731801</v>
      </c>
    </row>
    <row r="3392" spans="13:19">
      <c r="M3392" s="81">
        <f t="shared" ca="1" si="348"/>
        <v>46712.694201445411</v>
      </c>
      <c r="N3392" s="19">
        <f t="shared" si="349"/>
        <v>670.74087304457441</v>
      </c>
      <c r="O3392" s="17">
        <f t="shared" si="347"/>
        <v>847.75</v>
      </c>
      <c r="P3392" s="19">
        <f ca="1">IF(ISERROR(IF(O3392&lt;fi_h/20,0,(OFFSET('Base de dados'!$A$5,IF(O3392&lt;20,1,IF(O3392&gt;1000,10,MATCH(O3392,Cargas,1))),Coluna_fih,1,1))*(1+0.13*0.25)*(PI()*(fi_h/1000)^2/4)*SQRT(2*9.81*(O3392/100-fi_h/2/1000))*1000)),"",IF(O3392&lt;fi_h/20,0,(OFFSET('Base de dados'!$A$5,IF(O3392&lt;20,1,IF(O3392&gt;1000,10,MATCH(O3392,Cargas,1))),Coluna_fih,1,1))*(PI()*(fi_h/1000)^2/4)*SQRT(2*9.81*(O3392/100-fi_h/2/1000))*1000))</f>
        <v>78.227470434767952</v>
      </c>
      <c r="Q3392" s="19">
        <f ca="1">IF(O3392="","",IF(Tipo_Vertedor="Retangular",IF(O3392&lt;=cota_s*100,0,IF(Tipo_Vertedor="Retangular",Cd_sr*Lef_sr*((O3392/100-cota_s)^(3/2))*1000)),IF(O3392&lt;=cota_s*100+fi_s/20,0,(OFFSET('Base de dados'!$A$4,IF(O3392&lt;20,1,IF(O3392&gt;1000,10,MATCH(O3392,Cargas,1))),Coluna_fis,1,1))*(PI()*(fi_s/1000)^2/4)*(2*9.81*(O3392/100-cota_s-fi_s/2/1000))^0.5*1000)))</f>
        <v>24276.437629524833</v>
      </c>
      <c r="R3392" s="19">
        <f t="shared" ca="1" si="350"/>
        <v>24354.665099959602</v>
      </c>
      <c r="S3392" s="19">
        <f t="shared" ca="1" si="351"/>
        <v>22358.029101485812</v>
      </c>
    </row>
    <row r="3393" spans="13:19">
      <c r="M3393" s="81">
        <f t="shared" ca="1" si="348"/>
        <v>46731.678111053428</v>
      </c>
      <c r="N3393" s="19">
        <f t="shared" si="349"/>
        <v>670.96331830896884</v>
      </c>
      <c r="O3393" s="17">
        <f t="shared" si="347"/>
        <v>848</v>
      </c>
      <c r="P3393" s="19">
        <f ca="1">IF(ISERROR(IF(O3393&lt;fi_h/20,0,(OFFSET('Base de dados'!$A$5,IF(O3393&lt;20,1,IF(O3393&gt;1000,10,MATCH(O3393,Cargas,1))),Coluna_fih,1,1))*(1+0.13*0.25)*(PI()*(fi_h/1000)^2/4)*SQRT(2*9.81*(O3393/100-fi_h/2/1000))*1000)),"",IF(O3393&lt;fi_h/20,0,(OFFSET('Base de dados'!$A$5,IF(O3393&lt;20,1,IF(O3393&gt;1000,10,MATCH(O3393,Cargas,1))),Coluna_fih,1,1))*(PI()*(fi_h/1000)^2/4)*SQRT(2*9.81*(O3393/100-fi_h/2/1000))*1000))</f>
        <v>78.239081397911718</v>
      </c>
      <c r="Q3393" s="19">
        <f ca="1">IF(O3393="","",IF(Tipo_Vertedor="Retangular",IF(O3393&lt;=cota_s*100,0,IF(Tipo_Vertedor="Retangular",Cd_sr*Lef_sr*((O3393/100-cota_s)^(3/2))*1000)),IF(O3393&lt;=cota_s*100+fi_s/20,0,(OFFSET('Base de dados'!$A$4,IF(O3393&lt;20,1,IF(O3393&gt;1000,10,MATCH(O3393,Cargas,1))),Coluna_fis,1,1))*(PI()*(fi_s/1000)^2/4)*(2*9.81*(O3393/100-cota_s-fi_s/2/1000))^0.5*1000)))</f>
        <v>24287.995086023224</v>
      </c>
      <c r="R3393" s="19">
        <f t="shared" ca="1" si="350"/>
        <v>24366.234167421135</v>
      </c>
      <c r="S3393" s="19">
        <f t="shared" ca="1" si="351"/>
        <v>22365.443943632294</v>
      </c>
    </row>
    <row r="3394" spans="13:19">
      <c r="M3394" s="81">
        <f t="shared" ca="1" si="348"/>
        <v>46750.66412475906</v>
      </c>
      <c r="N3394" s="19">
        <f t="shared" si="349"/>
        <v>671.18577174302811</v>
      </c>
      <c r="O3394" s="17">
        <f t="shared" si="347"/>
        <v>848.25</v>
      </c>
      <c r="P3394" s="19">
        <f ca="1">IF(ISERROR(IF(O3394&lt;fi_h/20,0,(OFFSET('Base de dados'!$A$5,IF(O3394&lt;20,1,IF(O3394&gt;1000,10,MATCH(O3394,Cargas,1))),Coluna_fih,1,1))*(1+0.13*0.25)*(PI()*(fi_h/1000)^2/4)*SQRT(2*9.81*(O3394/100-fi_h/2/1000))*1000)),"",IF(O3394&lt;fi_h/20,0,(OFFSET('Base de dados'!$A$5,IF(O3394&lt;20,1,IF(O3394&gt;1000,10,MATCH(O3394,Cargas,1))),Coluna_fih,1,1))*(PI()*(fi_h/1000)^2/4)*SQRT(2*9.81*(O3394/100-fi_h/2/1000))*1000))</f>
        <v>78.250690638202158</v>
      </c>
      <c r="Q3394" s="19">
        <f ca="1">IF(O3394="","",IF(Tipo_Vertedor="Retangular",IF(O3394&lt;=cota_s*100,0,IF(Tipo_Vertedor="Retangular",Cd_sr*Lef_sr*((O3394/100-cota_s)^(3/2))*1000)),IF(O3394&lt;=cota_s*100+fi_s/20,0,(OFFSET('Base de dados'!$A$4,IF(O3394&lt;20,1,IF(O3394&gt;1000,10,MATCH(O3394,Cargas,1))),Coluna_fis,1,1))*(PI()*(fi_s/1000)^2/4)*(2*9.81*(O3394/100-cota_s-fi_s/2/1000))^0.5*1000)))</f>
        <v>24299.554376019918</v>
      </c>
      <c r="R3394" s="19">
        <f t="shared" ca="1" si="350"/>
        <v>24377.805066658118</v>
      </c>
      <c r="S3394" s="19">
        <f t="shared" ca="1" si="351"/>
        <v>22372.859058100938</v>
      </c>
    </row>
    <row r="3395" spans="13:19">
      <c r="M3395" s="81">
        <f t="shared" ca="1" si="348"/>
        <v>46769.652242202006</v>
      </c>
      <c r="N3395" s="19">
        <f t="shared" si="349"/>
        <v>671.40823334464324</v>
      </c>
      <c r="O3395" s="17">
        <f t="shared" si="347"/>
        <v>848.5</v>
      </c>
      <c r="P3395" s="19">
        <f ca="1">IF(ISERROR(IF(O3395&lt;fi_h/20,0,(OFFSET('Base de dados'!$A$5,IF(O3395&lt;20,1,IF(O3395&gt;1000,10,MATCH(O3395,Cargas,1))),Coluna_fih,1,1))*(1+0.13*0.25)*(PI()*(fi_h/1000)^2/4)*SQRT(2*9.81*(O3395/100-fi_h/2/1000))*1000)),"",IF(O3395&lt;fi_h/20,0,(OFFSET('Base de dados'!$A$5,IF(O3395&lt;20,1,IF(O3395&gt;1000,10,MATCH(O3395,Cargas,1))),Coluna_fih,1,1))*(PI()*(fi_h/1000)^2/4)*SQRT(2*9.81*(O3395/100-fi_h/2/1000))*1000))</f>
        <v>78.262298156405933</v>
      </c>
      <c r="Q3395" s="19">
        <f ca="1">IF(O3395="","",IF(Tipo_Vertedor="Retangular",IF(O3395&lt;=cota_s*100,0,IF(Tipo_Vertedor="Retangular",Cd_sr*Lef_sr*((O3395/100-cota_s)^(3/2))*1000)),IF(O3395&lt;=cota_s*100+fi_s/20,0,(OFFSET('Base de dados'!$A$4,IF(O3395&lt;20,1,IF(O3395&gt;1000,10,MATCH(O3395,Cargas,1))),Coluna_fis,1,1))*(PI()*(fi_s/1000)^2/4)*(2*9.81*(O3395/100-cota_s-fi_s/2/1000))^0.5*1000)))</f>
        <v>24311.115499224157</v>
      </c>
      <c r="R3395" s="19">
        <f t="shared" ca="1" si="350"/>
        <v>24389.377797380563</v>
      </c>
      <c r="S3395" s="19">
        <f t="shared" ca="1" si="351"/>
        <v>22380.274444821443</v>
      </c>
    </row>
    <row r="3396" spans="13:19">
      <c r="M3396" s="81">
        <f t="shared" ca="1" si="348"/>
        <v>46788.642463022188</v>
      </c>
      <c r="N3396" s="19">
        <f t="shared" si="349"/>
        <v>671.63070311170884</v>
      </c>
      <c r="O3396" s="17">
        <f t="shared" si="347"/>
        <v>848.75</v>
      </c>
      <c r="P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dados'!$A$5,IF(O3396&lt;20,1,IF(O3396&gt;1000,10,MATCH(O3396,Cargas,1))),Coluna_fih,1,1))*(1+0.13*0.25)*(PI()*(fi_h/1000)^2/4)*SQRT(2*9.81*(O3396/100-fi_h/2/1000))*1000)),"",IF(O3396&lt;fi_h/20,0,(OFFSET('Base de dados'!$A$5,IF(O3396&lt;20,1,IF(O3396&gt;1000,10,MATCH(O3396,Cargas,1))),Coluna_fih,1,1))*(PI()*(fi_h/1000)^2/4)*SQRT(2*9.81*(O3396/100-fi_h/2/1000))*1000))</f>
        <v>78.273903953289206</v>
      </c>
      <c r="Q3396" s="19">
        <f ca="1">IF(O3396="","",IF(Tipo_Vertedor="Retangular",IF(O3396&lt;=cota_s*100,0,IF(Tipo_Vertedor="Retangular",Cd_sr*Lef_sr*((O3396/100-cota_s)^(3/2))*1000)),IF(O3396&lt;=cota_s*100+fi_s/20,0,(OFFSET('Base de dados'!$A$4,IF(O3396&lt;20,1,IF(O3396&gt;1000,10,MATCH(O3396,Cargas,1))),Coluna_fis,1,1))*(PI()*(fi_s/1000)^2/4)*(2*9.81*(O3396/100-cota_s-fi_s/2/1000))^0.5*1000)))</f>
        <v>24322.678455345274</v>
      </c>
      <c r="R3396" s="19">
        <f t="shared" ca="1" si="350"/>
        <v>24400.952359298564</v>
      </c>
      <c r="S3396" s="19">
        <f t="shared" ca="1" si="351"/>
        <v>22387.690103723628</v>
      </c>
    </row>
    <row r="3397" spans="13:19">
      <c r="M3397" s="81">
        <f t="shared" ca="1" si="348"/>
        <v>46807.634786859708</v>
      </c>
      <c r="N3397" s="19">
        <f t="shared" si="349"/>
        <v>671.85318104211865</v>
      </c>
      <c r="O3397" s="17">
        <f t="shared" si="347"/>
        <v>849</v>
      </c>
      <c r="P3397" s="19">
        <f ca="1">IF(ISERROR(IF(O3397&lt;fi_h/20,0,(OFFSET('Base de dados'!$A$5,IF(O3397&lt;20,1,IF(O3397&gt;1000,10,MATCH(O3397,Cargas,1))),Coluna_fih,1,1))*(1+0.13*0.25)*(PI()*(fi_h/1000)^2/4)*SQRT(2*9.81*(O3397/100-fi_h/2/1000))*1000)),"",IF(O3397&lt;fi_h/20,0,(OFFSET('Base de dados'!$A$5,IF(O3397&lt;20,1,IF(O3397&gt;1000,10,MATCH(O3397,Cargas,1))),Coluna_fih,1,1))*(PI()*(fi_h/1000)^2/4)*SQRT(2*9.81*(O3397/100-fi_h/2/1000))*1000))</f>
        <v>78.285508029617489</v>
      </c>
      <c r="Q3397" s="19">
        <f ca="1">IF(O3397="","",IF(Tipo_Vertedor="Retangular",IF(O3397&lt;=cota_s*100,0,IF(Tipo_Vertedor="Retangular",Cd_sr*Lef_sr*((O3397/100-cota_s)^(3/2))*1000)),IF(O3397&lt;=cota_s*100+fi_s/20,0,(OFFSET('Base de dados'!$A$4,IF(O3397&lt;20,1,IF(O3397&gt;1000,10,MATCH(O3397,Cargas,1))),Coluna_fis,1,1))*(PI()*(fi_s/1000)^2/4)*(2*9.81*(O3397/100-cota_s-fi_s/2/1000))^0.5*1000)))</f>
        <v>24334.243244092799</v>
      </c>
      <c r="R3397" s="19">
        <f t="shared" ca="1" si="350"/>
        <v>24412.528752122416</v>
      </c>
      <c r="S3397" s="19">
        <f t="shared" ca="1" si="351"/>
        <v>22395.106034737291</v>
      </c>
    </row>
    <row r="3398" spans="13:19">
      <c r="M3398" s="81">
        <f t="shared" ca="1" si="348"/>
        <v>46826.629213354798</v>
      </c>
      <c r="N3398" s="19">
        <f t="shared" si="349"/>
        <v>672.07566713376855</v>
      </c>
      <c r="O3398" s="17">
        <f t="shared" si="347"/>
        <v>849.25</v>
      </c>
      <c r="P3398" s="19">
        <f ca="1">IF(ISERROR(IF(O3398&lt;fi_h/20,0,(OFFSET('Base de dados'!$A$5,IF(O3398&lt;20,1,IF(O3398&gt;1000,10,MATCH(O3398,Cargas,1))),Coluna_fih,1,1))*(1+0.13*0.25)*(PI()*(fi_h/1000)^2/4)*SQRT(2*9.81*(O3398/100-fi_h/2/1000))*1000)),"",IF(O3398&lt;fi_h/20,0,(OFFSET('Base de dados'!$A$5,IF(O3398&lt;20,1,IF(O3398&gt;1000,10,MATCH(O3398,Cargas,1))),Coluna_fih,1,1))*(PI()*(fi_h/1000)^2/4)*SQRT(2*9.81*(O3398/100-fi_h/2/1000))*1000))</f>
        <v>78.297110386155808</v>
      </c>
      <c r="Q3398" s="19">
        <f ca="1">IF(O3398="","",IF(Tipo_Vertedor="Retangular",IF(O3398&lt;=cota_s*100,0,IF(Tipo_Vertedor="Retangular",Cd_sr*Lef_sr*((O3398/100-cota_s)^(3/2))*1000)),IF(O3398&lt;=cota_s*100+fi_s/20,0,(OFFSET('Base de dados'!$A$4,IF(O3398&lt;20,1,IF(O3398&gt;1000,10,MATCH(O3398,Cargas,1))),Coluna_fis,1,1))*(PI()*(fi_s/1000)^2/4)*(2*9.81*(O3398/100-cota_s-fi_s/2/1000))^0.5*1000)))</f>
        <v>24345.809865176354</v>
      </c>
      <c r="R3398" s="19">
        <f t="shared" ca="1" si="350"/>
        <v>24424.10697556251</v>
      </c>
      <c r="S3398" s="19">
        <f t="shared" ca="1" si="351"/>
        <v>22402.522237792284</v>
      </c>
    </row>
    <row r="3399" spans="13:19">
      <c r="M3399" s="81">
        <f t="shared" ca="1" si="348"/>
        <v>46845.62574214788</v>
      </c>
      <c r="N3399" s="19">
        <f t="shared" si="349"/>
        <v>672.29816138455487</v>
      </c>
      <c r="O3399" s="17">
        <f t="shared" si="347"/>
        <v>849.5</v>
      </c>
      <c r="P3399" s="19">
        <f ca="1">IF(ISERROR(IF(O3399&lt;fi_h/20,0,(OFFSET('Base de dados'!$A$5,IF(O3399&lt;20,1,IF(O3399&gt;1000,10,MATCH(O3399,Cargas,1))),Coluna_fih,1,1))*(1+0.13*0.25)*(PI()*(fi_h/1000)^2/4)*SQRT(2*9.81*(O3399/100-fi_h/2/1000))*1000)),"",IF(O3399&lt;fi_h/20,0,(OFFSET('Base de dados'!$A$5,IF(O3399&lt;20,1,IF(O3399&gt;1000,10,MATCH(O3399,Cargas,1))),Coluna_fih,1,1))*(PI()*(fi_h/1000)^2/4)*SQRT(2*9.81*(O3399/100-fi_h/2/1000))*1000))</f>
        <v>78.308711023668536</v>
      </c>
      <c r="Q3399" s="19">
        <f ca="1">IF(O3399="","",IF(Tipo_Vertedor="Retangular",IF(O3399&lt;=cota_s*100,0,IF(Tipo_Vertedor="Retangular",Cd_sr*Lef_sr*((O3399/100-cota_s)^(3/2))*1000)),IF(O3399&lt;=cota_s*100+fi_s/20,0,(OFFSET('Base de dados'!$A$4,IF(O3399&lt;20,1,IF(O3399&gt;1000,10,MATCH(O3399,Cargas,1))),Coluna_fis,1,1))*(PI()*(fi_s/1000)^2/4)*(2*9.81*(O3399/100-cota_s-fi_s/2/1000))^0.5*1000)))</f>
        <v>24357.378318305717</v>
      </c>
      <c r="R3399" s="19">
        <f t="shared" ca="1" si="350"/>
        <v>24435.687029329387</v>
      </c>
      <c r="S3399" s="19">
        <f t="shared" ca="1" si="351"/>
        <v>22409.938712818497</v>
      </c>
    </row>
    <row r="3400" spans="13:19">
      <c r="M3400" s="81">
        <f t="shared" ca="1" si="348"/>
        <v>46864.624372879596</v>
      </c>
      <c r="N3400" s="19">
        <f t="shared" si="349"/>
        <v>672.52066379237601</v>
      </c>
      <c r="O3400" s="17">
        <f t="shared" si="347"/>
        <v>849.75</v>
      </c>
      <c r="P3400" s="19">
        <f ca="1">IF(ISERROR(IF(O3400&lt;fi_h/20,0,(OFFSET('Base de dados'!$A$5,IF(O3400&lt;20,1,IF(O3400&gt;1000,10,MATCH(O3400,Cargas,1))),Coluna_fih,1,1))*(1+0.13*0.25)*(PI()*(fi_h/1000)^2/4)*SQRT(2*9.81*(O3400/100-fi_h/2/1000))*1000)),"",IF(O3400&lt;fi_h/20,0,(OFFSET('Base de dados'!$A$5,IF(O3400&lt;20,1,IF(O3400&gt;1000,10,MATCH(O3400,Cargas,1))),Coluna_fih,1,1))*(PI()*(fi_h/1000)^2/4)*SQRT(2*9.81*(O3400/100-fi_h/2/1000))*1000))</f>
        <v>78.320309942919593</v>
      </c>
      <c r="Q3400" s="19">
        <f ca="1">IF(O3400="","",IF(Tipo_Vertedor="Retangular",IF(O3400&lt;=cota_s*100,0,IF(Tipo_Vertedor="Retangular",Cd_sr*Lef_sr*((O3400/100-cota_s)^(3/2))*1000)),IF(O3400&lt;=cota_s*100+fi_s/20,0,(OFFSET('Base de dados'!$A$4,IF(O3400&lt;20,1,IF(O3400&gt;1000,10,MATCH(O3400,Cargas,1))),Coluna_fis,1,1))*(PI()*(fi_s/1000)^2/4)*(2*9.81*(O3400/100-cota_s-fi_s/2/1000))^0.5*1000)))</f>
        <v>24368.948603190813</v>
      </c>
      <c r="R3400" s="19">
        <f t="shared" ca="1" si="350"/>
        <v>24447.268913133732</v>
      </c>
      <c r="S3400" s="19">
        <f t="shared" ca="1" si="351"/>
        <v>22417.355459745868</v>
      </c>
    </row>
    <row r="3401" spans="13:19">
      <c r="M3401" s="81">
        <f t="shared" ca="1" si="348"/>
        <v>46883.625105190702</v>
      </c>
      <c r="N3401" s="19">
        <f t="shared" si="349"/>
        <v>672.74317435513103</v>
      </c>
      <c r="O3401" s="17">
        <f t="shared" si="347"/>
        <v>850</v>
      </c>
      <c r="P3401" s="19">
        <f ca="1">IF(ISERROR(IF(O3401&lt;fi_h/20,0,(OFFSET('Base de dados'!$A$5,IF(O3401&lt;20,1,IF(O3401&gt;1000,10,MATCH(O3401,Cargas,1))),Coluna_fih,1,1))*(1+0.13*0.25)*(PI()*(fi_h/1000)^2/4)*SQRT(2*9.81*(O3401/100-fi_h/2/1000))*1000)),"",IF(O3401&lt;fi_h/20,0,(OFFSET('Base de dados'!$A$5,IF(O3401&lt;20,1,IF(O3401&gt;1000,10,MATCH(O3401,Cargas,1))),Coluna_fih,1,1))*(PI()*(fi_h/1000)^2/4)*SQRT(2*9.81*(O3401/100-fi_h/2/1000))*1000))</f>
        <v>78.331907144672243</v>
      </c>
      <c r="Q3401" s="19">
        <f ca="1">IF(O3401="","",IF(Tipo_Vertedor="Retangular",IF(O3401&lt;=cota_s*100,0,IF(Tipo_Vertedor="Retangular",Cd_sr*Lef_sr*((O3401/100-cota_s)^(3/2))*1000)),IF(O3401&lt;=cota_s*100+fi_s/20,0,(OFFSET('Base de dados'!$A$4,IF(O3401&lt;20,1,IF(O3401&gt;1000,10,MATCH(O3401,Cargas,1))),Coluna_fis,1,1))*(PI()*(fi_s/1000)^2/4)*(2*9.81*(O3401/100-cota_s-fi_s/2/1000))^0.5*1000)))</f>
        <v>24380.52071954167</v>
      </c>
      <c r="R3401" s="19">
        <f t="shared" ca="1" si="350"/>
        <v>24458.852626686341</v>
      </c>
      <c r="S3401" s="19">
        <f t="shared" ca="1" si="351"/>
        <v>22424.772478504365</v>
      </c>
    </row>
    <row r="3402" spans="13:19">
      <c r="M3402" s="81">
        <f t="shared" ca="1" si="348"/>
        <v>46902.627938722173</v>
      </c>
      <c r="N3402" s="19">
        <f t="shared" si="349"/>
        <v>672.96569307072002</v>
      </c>
      <c r="O3402" s="17">
        <f t="shared" si="347"/>
        <v>850.25</v>
      </c>
      <c r="P3402" s="19">
        <f ca="1">IF(ISERROR(IF(O3402&lt;fi_h/20,0,(OFFSET('Base de dados'!$A$5,IF(O3402&lt;20,1,IF(O3402&gt;1000,10,MATCH(O3402,Cargas,1))),Coluna_fih,1,1))*(1+0.13*0.25)*(PI()*(fi_h/1000)^2/4)*SQRT(2*9.81*(O3402/100-fi_h/2/1000))*1000)),"",IF(O3402&lt;fi_h/20,0,(OFFSET('Base de dados'!$A$5,IF(O3402&lt;20,1,IF(O3402&gt;1000,10,MATCH(O3402,Cargas,1))),Coluna_fih,1,1))*(PI()*(fi_h/1000)^2/4)*SQRT(2*9.81*(O3402/100-fi_h/2/1000))*1000))</f>
        <v>78.343502629689169</v>
      </c>
      <c r="Q3402" s="19">
        <f ca="1">IF(O3402="","",IF(Tipo_Vertedor="Retangular",IF(O3402&lt;=cota_s*100,0,IF(Tipo_Vertedor="Retangular",Cd_sr*Lef_sr*((O3402/100-cota_s)^(3/2))*1000)),IF(O3402&lt;=cota_s*100+fi_s/20,0,(OFFSET('Base de dados'!$A$4,IF(O3402&lt;20,1,IF(O3402&gt;1000,10,MATCH(O3402,Cargas,1))),Coluna_fis,1,1))*(PI()*(fi_s/1000)^2/4)*(2*9.81*(O3402/100-cota_s-fi_s/2/1000))^0.5*1000)))</f>
        <v>24392.094667068479</v>
      </c>
      <c r="R3402" s="19">
        <f t="shared" ca="1" si="350"/>
        <v>24470.438169698169</v>
      </c>
      <c r="S3402" s="19">
        <f t="shared" ca="1" si="351"/>
        <v>22432.189769024004</v>
      </c>
    </row>
    <row r="3403" spans="13:19">
      <c r="M3403" s="81">
        <f t="shared" ca="1" si="348"/>
        <v>46921.632873115122</v>
      </c>
      <c r="N3403" s="19">
        <f t="shared" si="349"/>
        <v>673.18821993704444</v>
      </c>
      <c r="O3403" s="17">
        <f t="shared" si="347"/>
        <v>850.5</v>
      </c>
      <c r="P3403" s="19">
        <f ca="1">IF(ISERROR(IF(O3403&lt;fi_h/20,0,(OFFSET('Base de dados'!$A$5,IF(O3403&lt;20,1,IF(O3403&gt;1000,10,MATCH(O3403,Cargas,1))),Coluna_fih,1,1))*(1+0.13*0.25)*(PI()*(fi_h/1000)^2/4)*SQRT(2*9.81*(O3403/100-fi_h/2/1000))*1000)),"",IF(O3403&lt;fi_h/20,0,(OFFSET('Base de dados'!$A$5,IF(O3403&lt;20,1,IF(O3403&gt;1000,10,MATCH(O3403,Cargas,1))),Coluna_fih,1,1))*(PI()*(fi_h/1000)^2/4)*SQRT(2*9.81*(O3403/100-fi_h/2/1000))*1000))</f>
        <v>78.355096398732584</v>
      </c>
      <c r="Q3403" s="19">
        <f ca="1">IF(O3403="","",IF(Tipo_Vertedor="Retangular",IF(O3403&lt;=cota_s*100,0,IF(Tipo_Vertedor="Retangular",Cd_sr*Lef_sr*((O3403/100-cota_s)^(3/2))*1000)),IF(O3403&lt;=cota_s*100+fi_s/20,0,(OFFSET('Base de dados'!$A$4,IF(O3403&lt;20,1,IF(O3403&gt;1000,10,MATCH(O3403,Cargas,1))),Coluna_fis,1,1))*(PI()*(fi_s/1000)^2/4)*(2*9.81*(O3403/100-cota_s-fi_s/2/1000))^0.5*1000)))</f>
        <v>24403.670445481577</v>
      </c>
      <c r="R3403" s="19">
        <f t="shared" ca="1" si="350"/>
        <v>24482.02554188031</v>
      </c>
      <c r="S3403" s="19">
        <f t="shared" ca="1" si="351"/>
        <v>22439.607331234813</v>
      </c>
    </row>
    <row r="3404" spans="13:19">
      <c r="M3404" s="81">
        <f t="shared" ca="1" si="348"/>
        <v>46940.63990801086</v>
      </c>
      <c r="N3404" s="19">
        <f t="shared" si="349"/>
        <v>673.41075495200653</v>
      </c>
      <c r="O3404" s="17">
        <f t="shared" si="347"/>
        <v>850.75</v>
      </c>
      <c r="P3404" s="19">
        <f ca="1">IF(ISERROR(IF(O3404&lt;fi_h/20,0,(OFFSET('Base de dados'!$A$5,IF(O3404&lt;20,1,IF(O3404&gt;1000,10,MATCH(O3404,Cargas,1))),Coluna_fih,1,1))*(1+0.13*0.25)*(PI()*(fi_h/1000)^2/4)*SQRT(2*9.81*(O3404/100-fi_h/2/1000))*1000)),"",IF(O3404&lt;fi_h/20,0,(OFFSET('Base de dados'!$A$5,IF(O3404&lt;20,1,IF(O3404&gt;1000,10,MATCH(O3404,Cargas,1))),Coluna_fih,1,1))*(PI()*(fi_h/1000)^2/4)*SQRT(2*9.81*(O3404/100-fi_h/2/1000))*1000))</f>
        <v>78.366688452564077</v>
      </c>
      <c r="Q3404" s="19">
        <f ca="1">IF(O3404="","",IF(Tipo_Vertedor="Retangular",IF(O3404&lt;=cota_s*100,0,IF(Tipo_Vertedor="Retangular",Cd_sr*Lef_sr*((O3404/100-cota_s)^(3/2))*1000)),IF(O3404&lt;=cota_s*100+fi_s/20,0,(OFFSET('Base de dados'!$A$4,IF(O3404&lt;20,1,IF(O3404&gt;1000,10,MATCH(O3404,Cargas,1))),Coluna_fis,1,1))*(PI()*(fi_s/1000)^2/4)*(2*9.81*(O3404/100-cota_s-fi_s/2/1000))^0.5*1000)))</f>
        <v>24415.248054491414</v>
      </c>
      <c r="R3404" s="19">
        <f t="shared" ca="1" si="350"/>
        <v>24493.614742943977</v>
      </c>
      <c r="S3404" s="19">
        <f t="shared" ca="1" si="351"/>
        <v>22447.025165066883</v>
      </c>
    </row>
    <row r="3405" spans="13:19">
      <c r="M3405" s="81">
        <f t="shared" ca="1" si="348"/>
        <v>46959.649043050893</v>
      </c>
      <c r="N3405" s="19">
        <f t="shared" si="349"/>
        <v>673.63329811351025</v>
      </c>
      <c r="O3405" s="17">
        <f t="shared" si="347"/>
        <v>851</v>
      </c>
      <c r="P3405" s="19">
        <f ca="1">IF(ISERROR(IF(O3405&lt;fi_h/20,0,(OFFSET('Base de dados'!$A$5,IF(O3405&lt;20,1,IF(O3405&gt;1000,10,MATCH(O3405,Cargas,1))),Coluna_fih,1,1))*(1+0.13*0.25)*(PI()*(fi_h/1000)^2/4)*SQRT(2*9.81*(O3405/100-fi_h/2/1000))*1000)),"",IF(O3405&lt;fi_h/20,0,(OFFSET('Base de dados'!$A$5,IF(O3405&lt;20,1,IF(O3405&gt;1000,10,MATCH(O3405,Cargas,1))),Coluna_fih,1,1))*(PI()*(fi_h/1000)^2/4)*SQRT(2*9.81*(O3405/100-fi_h/2/1000))*1000))</f>
        <v>78.378278791944652</v>
      </c>
      <c r="Q3405" s="19">
        <f ca="1">IF(O3405="","",IF(Tipo_Vertedor="Retangular",IF(O3405&lt;=cota_s*100,0,IF(Tipo_Vertedor="Retangular",Cd_sr*Lef_sr*((O3405/100-cota_s)^(3/2))*1000)),IF(O3405&lt;=cota_s*100+fi_s/20,0,(OFFSET('Base de dados'!$A$4,IF(O3405&lt;20,1,IF(O3405&gt;1000,10,MATCH(O3405,Cargas,1))),Coluna_fis,1,1))*(PI()*(fi_s/1000)^2/4)*(2*9.81*(O3405/100-cota_s-fi_s/2/1000))^0.5*1000)))</f>
        <v>24426.827493808607</v>
      </c>
      <c r="R3405" s="19">
        <f t="shared" ca="1" si="350"/>
        <v>24505.205772600551</v>
      </c>
      <c r="S3405" s="19">
        <f t="shared" ca="1" si="351"/>
        <v>22454.443270450342</v>
      </c>
    </row>
    <row r="3406" spans="13:19">
      <c r="M3406" s="81">
        <f t="shared" ca="1" si="348"/>
        <v>46978.660277876887</v>
      </c>
      <c r="N3406" s="19">
        <f t="shared" si="349"/>
        <v>673.85584941946115</v>
      </c>
      <c r="O3406" s="17">
        <f t="shared" si="347"/>
        <v>851.25</v>
      </c>
      <c r="P3406" s="19">
        <f ca="1">IF(ISERROR(IF(O3406&lt;fi_h/20,0,(OFFSET('Base de dados'!$A$5,IF(O3406&lt;20,1,IF(O3406&gt;1000,10,MATCH(O3406,Cargas,1))),Coluna_fih,1,1))*(1+0.13*0.25)*(PI()*(fi_h/1000)^2/4)*SQRT(2*9.81*(O3406/100-fi_h/2/1000))*1000)),"",IF(O3406&lt;fi_h/20,0,(OFFSET('Base de dados'!$A$5,IF(O3406&lt;20,1,IF(O3406&gt;1000,10,MATCH(O3406,Cargas,1))),Coluna_fih,1,1))*(PI()*(fi_h/1000)^2/4)*SQRT(2*9.81*(O3406/100-fi_h/2/1000))*1000))</f>
        <v>78.389867417634804</v>
      </c>
      <c r="Q3406" s="19">
        <f ca="1">IF(O3406="","",IF(Tipo_Vertedor="Retangular",IF(O3406&lt;=cota_s*100,0,IF(Tipo_Vertedor="Retangular",Cd_sr*Lef_sr*((O3406/100-cota_s)^(3/2))*1000)),IF(O3406&lt;=cota_s*100+fi_s/20,0,(OFFSET('Base de dados'!$A$4,IF(O3406&lt;20,1,IF(O3406&gt;1000,10,MATCH(O3406,Cargas,1))),Coluna_fis,1,1))*(PI()*(fi_s/1000)^2/4)*(2*9.81*(O3406/100-cota_s-fi_s/2/1000))^0.5*1000)))</f>
        <v>24438.408763143885</v>
      </c>
      <c r="R3406" s="19">
        <f t="shared" ca="1" si="350"/>
        <v>24516.79863056152</v>
      </c>
      <c r="S3406" s="19">
        <f t="shared" ca="1" si="351"/>
        <v>22461.861647315371</v>
      </c>
    </row>
    <row r="3407" spans="13:19">
      <c r="M3407" s="81">
        <f t="shared" ca="1" si="348"/>
        <v>46997.673612130653</v>
      </c>
      <c r="N3407" s="19">
        <f t="shared" si="349"/>
        <v>674.07840886776387</v>
      </c>
      <c r="O3407" s="17">
        <f t="shared" si="347"/>
        <v>851.5</v>
      </c>
      <c r="P3407" s="19">
        <f ca="1">IF(ISERROR(IF(O3407&lt;fi_h/20,0,(OFFSET('Base de dados'!$A$5,IF(O3407&lt;20,1,IF(O3407&gt;1000,10,MATCH(O3407,Cargas,1))),Coluna_fih,1,1))*(1+0.13*0.25)*(PI()*(fi_h/1000)^2/4)*SQRT(2*9.81*(O3407/100-fi_h/2/1000))*1000)),"",IF(O3407&lt;fi_h/20,0,(OFFSET('Base de dados'!$A$5,IF(O3407&lt;20,1,IF(O3407&gt;1000,10,MATCH(O3407,Cargas,1))),Coluna_fih,1,1))*(PI()*(fi_h/1000)^2/4)*SQRT(2*9.81*(O3407/100-fi_h/2/1000))*1000))</f>
        <v>78.401454330394444</v>
      </c>
      <c r="Q3407" s="19">
        <f ca="1">IF(O3407="","",IF(Tipo_Vertedor="Retangular",IF(O3407&lt;=cota_s*100,0,IF(Tipo_Vertedor="Retangular",Cd_sr*Lef_sr*((O3407/100-cota_s)^(3/2))*1000)),IF(O3407&lt;=cota_s*100+fi_s/20,0,(OFFSET('Base de dados'!$A$4,IF(O3407&lt;20,1,IF(O3407&gt;1000,10,MATCH(O3407,Cargas,1))),Coluna_fis,1,1))*(PI()*(fi_s/1000)^2/4)*(2*9.81*(O3407/100-cota_s-fi_s/2/1000))^0.5*1000)))</f>
        <v>24449.991862208131</v>
      </c>
      <c r="R3407" s="19">
        <f t="shared" ca="1" si="350"/>
        <v>24528.393316538524</v>
      </c>
      <c r="S3407" s="19">
        <f t="shared" ca="1" si="351"/>
        <v>22469.280295592129</v>
      </c>
    </row>
    <row r="3408" spans="13:19">
      <c r="M3408" s="81">
        <f t="shared" ca="1" si="348"/>
        <v>47016.689045454208</v>
      </c>
      <c r="N3408" s="19">
        <f t="shared" si="349"/>
        <v>674.30097645632657</v>
      </c>
      <c r="O3408" s="17">
        <f t="shared" si="347"/>
        <v>851.75</v>
      </c>
      <c r="P3408" s="19">
        <f ca="1">IF(ISERROR(IF(O3408&lt;fi_h/20,0,(OFFSET('Base de dados'!$A$5,IF(O3408&lt;20,1,IF(O3408&gt;1000,10,MATCH(O3408,Cargas,1))),Coluna_fih,1,1))*(1+0.13*0.25)*(PI()*(fi_h/1000)^2/4)*SQRT(2*9.81*(O3408/100-fi_h/2/1000))*1000)),"",IF(O3408&lt;fi_h/20,0,(OFFSET('Base de dados'!$A$5,IF(O3408&lt;20,1,IF(O3408&gt;1000,10,MATCH(O3408,Cargas,1))),Coluna_fih,1,1))*(PI()*(fi_h/1000)^2/4)*SQRT(2*9.81*(O3408/100-fi_h/2/1000))*1000))</f>
        <v>78.4130395309829</v>
      </c>
      <c r="Q3408" s="19">
        <f ca="1">IF(O3408="","",IF(Tipo_Vertedor="Retangular",IF(O3408&lt;=cota_s*100,0,IF(Tipo_Vertedor="Retangular",Cd_sr*Lef_sr*((O3408/100-cota_s)^(3/2))*1000)),IF(O3408&lt;=cota_s*100+fi_s/20,0,(OFFSET('Base de dados'!$A$4,IF(O3408&lt;20,1,IF(O3408&gt;1000,10,MATCH(O3408,Cargas,1))),Coluna_fis,1,1))*(PI()*(fi_s/1000)^2/4)*(2*9.81*(O3408/100-cota_s-fi_s/2/1000))^0.5*1000)))</f>
        <v>24461.576790712341</v>
      </c>
      <c r="R3408" s="19">
        <f t="shared" ca="1" si="350"/>
        <v>24539.989830243325</v>
      </c>
      <c r="S3408" s="19">
        <f t="shared" ca="1" si="351"/>
        <v>22476.699215210883</v>
      </c>
    </row>
    <row r="3409" spans="13:19">
      <c r="M3409" s="81">
        <f t="shared" ca="1" si="348"/>
        <v>47035.706577489749</v>
      </c>
      <c r="N3409" s="19">
        <f t="shared" si="349"/>
        <v>674.52355218305763</v>
      </c>
      <c r="O3409" s="17">
        <f t="shared" si="347"/>
        <v>852</v>
      </c>
      <c r="P3409" s="19">
        <f ca="1">IF(ISERROR(IF(O3409&lt;fi_h/20,0,(OFFSET('Base de dados'!$A$5,IF(O3409&lt;20,1,IF(O3409&gt;1000,10,MATCH(O3409,Cargas,1))),Coluna_fih,1,1))*(1+0.13*0.25)*(PI()*(fi_h/1000)^2/4)*SQRT(2*9.81*(O3409/100-fi_h/2/1000))*1000)),"",IF(O3409&lt;fi_h/20,0,(OFFSET('Base de dados'!$A$5,IF(O3409&lt;20,1,IF(O3409&gt;1000,10,MATCH(O3409,Cargas,1))),Coluna_fih,1,1))*(PI()*(fi_h/1000)^2/4)*SQRT(2*9.81*(O3409/100-fi_h/2/1000))*1000))</f>
        <v>78.424623020158975</v>
      </c>
      <c r="Q3409" s="19">
        <f ca="1">IF(O3409="","",IF(Tipo_Vertedor="Retangular",IF(O3409&lt;=cota_s*100,0,IF(Tipo_Vertedor="Retangular",Cd_sr*Lef_sr*((O3409/100-cota_s)^(3/2))*1000)),IF(O3409&lt;=cota_s*100+fi_s/20,0,(OFFSET('Base de dados'!$A$4,IF(O3409&lt;20,1,IF(O3409&gt;1000,10,MATCH(O3409,Cargas,1))),Coluna_fis,1,1))*(PI()*(fi_s/1000)^2/4)*(2*9.81*(O3409/100-cota_s-fi_s/2/1000))^0.5*1000)))</f>
        <v>24473.163548367669</v>
      </c>
      <c r="R3409" s="19">
        <f t="shared" ca="1" si="350"/>
        <v>24551.58817138783</v>
      </c>
      <c r="S3409" s="19">
        <f t="shared" ca="1" si="351"/>
        <v>22484.118406101923</v>
      </c>
    </row>
    <row r="3410" spans="13:19">
      <c r="M3410" s="81">
        <f t="shared" ca="1" si="348"/>
        <v>47054.726207879634</v>
      </c>
      <c r="N3410" s="19">
        <f t="shared" si="349"/>
        <v>674.74613604586614</v>
      </c>
      <c r="O3410" s="17">
        <f t="shared" si="347"/>
        <v>852.25</v>
      </c>
      <c r="P3410" s="19">
        <f ca="1">IF(ISERROR(IF(O3410&lt;fi_h/20,0,(OFFSET('Base de dados'!$A$5,IF(O3410&lt;20,1,IF(O3410&gt;1000,10,MATCH(O3410,Cargas,1))),Coluna_fih,1,1))*(1+0.13*0.25)*(PI()*(fi_h/1000)^2/4)*SQRT(2*9.81*(O3410/100-fi_h/2/1000))*1000)),"",IF(O3410&lt;fi_h/20,0,(OFFSET('Base de dados'!$A$5,IF(O3410&lt;20,1,IF(O3410&gt;1000,10,MATCH(O3410,Cargas,1))),Coluna_fih,1,1))*(PI()*(fi_h/1000)^2/4)*SQRT(2*9.81*(O3410/100-fi_h/2/1000))*1000))</f>
        <v>78.43620479868089</v>
      </c>
      <c r="Q3410" s="19">
        <f ca="1">IF(O3410="","",IF(Tipo_Vertedor="Retangular",IF(O3410&lt;=cota_s*100,0,IF(Tipo_Vertedor="Retangular",Cd_sr*Lef_sr*((O3410/100-cota_s)^(3/2))*1000)),IF(O3410&lt;=cota_s*100+fi_s/20,0,(OFFSET('Base de dados'!$A$4,IF(O3410&lt;20,1,IF(O3410&gt;1000,10,MATCH(O3410,Cargas,1))),Coluna_fis,1,1))*(PI()*(fi_s/1000)^2/4)*(2*9.81*(O3410/100-cota_s-fi_s/2/1000))^0.5*1000)))</f>
        <v>24484.752134885413</v>
      </c>
      <c r="R3410" s="19">
        <f t="shared" ca="1" si="350"/>
        <v>24563.188339684093</v>
      </c>
      <c r="S3410" s="19">
        <f t="shared" ca="1" si="351"/>
        <v>22491.537868195541</v>
      </c>
    </row>
    <row r="3411" spans="13:19">
      <c r="M3411" s="81">
        <f t="shared" ca="1" si="348"/>
        <v>47073.747936266373</v>
      </c>
      <c r="N3411" s="19">
        <f t="shared" si="349"/>
        <v>674.96872804266252</v>
      </c>
      <c r="O3411" s="17">
        <f t="shared" ref="O3411:O3474" si="352">IF(ISERROR(IF(O3410+passo_altura&gt;h_max_puls*100,"",O3410+passo_altura)),"",IF(O3410+passo_altura&gt;h_max_puls*100,"",O3410+passo_altura))</f>
        <v>852.5</v>
      </c>
      <c r="P3411" s="19">
        <f ca="1">IF(ISERROR(IF(O3411&lt;fi_h/20,0,(OFFSET('Base de dados'!$A$5,IF(O3411&lt;20,1,IF(O3411&gt;1000,10,MATCH(O3411,Cargas,1))),Coluna_fih,1,1))*(1+0.13*0.25)*(PI()*(fi_h/1000)^2/4)*SQRT(2*9.81*(O3411/100-fi_h/2/1000))*1000)),"",IF(O3411&lt;fi_h/20,0,(OFFSET('Base de dados'!$A$5,IF(O3411&lt;20,1,IF(O3411&gt;1000,10,MATCH(O3411,Cargas,1))),Coluna_fih,1,1))*(PI()*(fi_h/1000)^2/4)*SQRT(2*9.81*(O3411/100-fi_h/2/1000))*1000))</f>
        <v>78.447784867306311</v>
      </c>
      <c r="Q3411" s="19">
        <f ca="1">IF(O3411="","",IF(Tipo_Vertedor="Retangular",IF(O3411&lt;=cota_s*100,0,IF(Tipo_Vertedor="Retangular",Cd_sr*Lef_sr*((O3411/100-cota_s)^(3/2))*1000)),IF(O3411&lt;=cota_s*100+fi_s/20,0,(OFFSET('Base de dados'!$A$4,IF(O3411&lt;20,1,IF(O3411&gt;1000,10,MATCH(O3411,Cargas,1))),Coluna_fis,1,1))*(PI()*(fi_s/1000)^2/4)*(2*9.81*(O3411/100-cota_s-fi_s/2/1000))^0.5*1000)))</f>
        <v>24496.342549976984</v>
      </c>
      <c r="R3411" s="19">
        <f t="shared" ca="1" si="350"/>
        <v>24574.790334844289</v>
      </c>
      <c r="S3411" s="19">
        <f t="shared" ca="1" si="351"/>
        <v>22498.957601422084</v>
      </c>
    </row>
    <row r="3412" spans="13:19">
      <c r="M3412" s="81">
        <f t="shared" ca="1" si="348"/>
        <v>47092.771762292672</v>
      </c>
      <c r="N3412" s="19">
        <f t="shared" si="349"/>
        <v>675.19132817135869</v>
      </c>
      <c r="O3412" s="17">
        <f t="shared" si="352"/>
        <v>852.75</v>
      </c>
      <c r="P3412" s="19">
        <f ca="1">IF(ISERROR(IF(O3412&lt;fi_h/20,0,(OFFSET('Base de dados'!$A$5,IF(O3412&lt;20,1,IF(O3412&gt;1000,10,MATCH(O3412,Cargas,1))),Coluna_fih,1,1))*(1+0.13*0.25)*(PI()*(fi_h/1000)^2/4)*SQRT(2*9.81*(O3412/100-fi_h/2/1000))*1000)),"",IF(O3412&lt;fi_h/20,0,(OFFSET('Base de dados'!$A$5,IF(O3412&lt;20,1,IF(O3412&gt;1000,10,MATCH(O3412,Cargas,1))),Coluna_fih,1,1))*(PI()*(fi_h/1000)^2/4)*SQRT(2*9.81*(O3412/100-fi_h/2/1000))*1000))</f>
        <v>78.459363226792348</v>
      </c>
      <c r="Q3412" s="19">
        <f ca="1">IF(O3412="","",IF(Tipo_Vertedor="Retangular",IF(O3412&lt;=cota_s*100,0,IF(Tipo_Vertedor="Retangular",Cd_sr*Lef_sr*((O3412/100-cota_s)^(3/2))*1000)),IF(O3412&lt;=cota_s*100+fi_s/20,0,(OFFSET('Base de dados'!$A$4,IF(O3412&lt;20,1,IF(O3412&gt;1000,10,MATCH(O3412,Cargas,1))),Coluna_fis,1,1))*(PI()*(fi_s/1000)^2/4)*(2*9.81*(O3412/100-cota_s-fi_s/2/1000))^0.5*1000)))</f>
        <v>24507.934793353925</v>
      </c>
      <c r="R3412" s="19">
        <f t="shared" ca="1" si="350"/>
        <v>24586.394156580718</v>
      </c>
      <c r="S3412" s="19">
        <f t="shared" ca="1" si="351"/>
        <v>22506.377605711958</v>
      </c>
    </row>
    <row r="3413" spans="13:19">
      <c r="M3413" s="81">
        <f t="shared" ca="1" si="348"/>
        <v>47111.797685601472</v>
      </c>
      <c r="N3413" s="19">
        <f t="shared" si="349"/>
        <v>675.41393642986804</v>
      </c>
      <c r="O3413" s="17">
        <f t="shared" si="352"/>
        <v>853</v>
      </c>
      <c r="P3413" s="19">
        <f ca="1">IF(ISERROR(IF(O3413&lt;fi_h/20,0,(OFFSET('Base de dados'!$A$5,IF(O3413&lt;20,1,IF(O3413&gt;1000,10,MATCH(O3413,Cargas,1))),Coluna_fih,1,1))*(1+0.13*0.25)*(PI()*(fi_h/1000)^2/4)*SQRT(2*9.81*(O3413/100-fi_h/2/1000))*1000)),"",IF(O3413&lt;fi_h/20,0,(OFFSET('Base de dados'!$A$5,IF(O3413&lt;20,1,IF(O3413&gt;1000,10,MATCH(O3413,Cargas,1))),Coluna_fih,1,1))*(PI()*(fi_h/1000)^2/4)*SQRT(2*9.81*(O3413/100-fi_h/2/1000))*1000))</f>
        <v>78.470939877895546</v>
      </c>
      <c r="Q3413" s="19">
        <f ca="1">IF(O3413="","",IF(Tipo_Vertedor="Retangular",IF(O3413&lt;=cota_s*100,0,IF(Tipo_Vertedor="Retangular",Cd_sr*Lef_sr*((O3413/100-cota_s)^(3/2))*1000)),IF(O3413&lt;=cota_s*100+fi_s/20,0,(OFFSET('Base de dados'!$A$4,IF(O3413&lt;20,1,IF(O3413&gt;1000,10,MATCH(O3413,Cargas,1))),Coluna_fis,1,1))*(PI()*(fi_s/1000)^2/4)*(2*9.81*(O3413/100-cota_s-fi_s/2/1000))^0.5*1000)))</f>
        <v>24519.528864727974</v>
      </c>
      <c r="R3413" s="19">
        <f t="shared" ca="1" si="350"/>
        <v>24597.999804605868</v>
      </c>
      <c r="S3413" s="19">
        <f t="shared" ca="1" si="351"/>
        <v>22513.7978809956</v>
      </c>
    </row>
    <row r="3414" spans="13:19">
      <c r="M3414" s="81">
        <f t="shared" ca="1" si="348"/>
        <v>47130.82570583577</v>
      </c>
      <c r="N3414" s="19">
        <f t="shared" si="349"/>
        <v>675.63655281610443</v>
      </c>
      <c r="O3414" s="17">
        <f t="shared" si="352"/>
        <v>853.25</v>
      </c>
      <c r="P3414" s="19">
        <f ca="1">IF(ISERROR(IF(O3414&lt;fi_h/20,0,(OFFSET('Base de dados'!$A$5,IF(O3414&lt;20,1,IF(O3414&gt;1000,10,MATCH(O3414,Cargas,1))),Coluna_fih,1,1))*(1+0.13*0.25)*(PI()*(fi_h/1000)^2/4)*SQRT(2*9.81*(O3414/100-fi_h/2/1000))*1000)),"",IF(O3414&lt;fi_h/20,0,(OFFSET('Base de dados'!$A$5,IF(O3414&lt;20,1,IF(O3414&gt;1000,10,MATCH(O3414,Cargas,1))),Coluna_fih,1,1))*(PI()*(fi_h/1000)^2/4)*SQRT(2*9.81*(O3414/100-fi_h/2/1000))*1000))</f>
        <v>78.482514821371907</v>
      </c>
      <c r="Q3414" s="19">
        <f ca="1">IF(O3414="","",IF(Tipo_Vertedor="Retangular",IF(O3414&lt;=cota_s*100,0,IF(Tipo_Vertedor="Retangular",Cd_sr*Lef_sr*((O3414/100-cota_s)^(3/2))*1000)),IF(O3414&lt;=cota_s*100+fi_s/20,0,(OFFSET('Base de dados'!$A$4,IF(O3414&lt;20,1,IF(O3414&gt;1000,10,MATCH(O3414,Cargas,1))),Coluna_fis,1,1))*(PI()*(fi_s/1000)^2/4)*(2*9.81*(O3414/100-cota_s-fi_s/2/1000))^0.5*1000)))</f>
        <v>24531.124763810916</v>
      </c>
      <c r="R3414" s="19">
        <f t="shared" ca="1" si="350"/>
        <v>24609.607278632287</v>
      </c>
      <c r="S3414" s="19">
        <f t="shared" ca="1" si="351"/>
        <v>22521.218427203479</v>
      </c>
    </row>
    <row r="3415" spans="13:19">
      <c r="M3415" s="81">
        <f t="shared" ref="M3415:M3477" ca="1" si="353">IF(O3415="","",2*N3415*1000/(Passo*60)+R3415)</f>
        <v>47149.855822638841</v>
      </c>
      <c r="N3415" s="19">
        <f t="shared" ref="N3415:N3477" si="354">IF(O3415="","",b_0*(O3415/100)^c_0)</f>
        <v>675.85917732798316</v>
      </c>
      <c r="O3415" s="17">
        <f t="shared" si="352"/>
        <v>853.5</v>
      </c>
      <c r="P3415" s="19">
        <f ca="1">IF(ISERROR(IF(O3415&lt;fi_h/20,0,(OFFSET('Base de dados'!$A$5,IF(O3415&lt;20,1,IF(O3415&gt;1000,10,MATCH(O3415,Cargas,1))),Coluna_fih,1,1))*(1+0.13*0.25)*(PI()*(fi_h/1000)^2/4)*SQRT(2*9.81*(O3415/100-fi_h/2/1000))*1000)),"",IF(O3415&lt;fi_h/20,0,(OFFSET('Base de dados'!$A$5,IF(O3415&lt;20,1,IF(O3415&gt;1000,10,MATCH(O3415,Cargas,1))),Coluna_fih,1,1))*(PI()*(fi_h/1000)^2/4)*SQRT(2*9.81*(O3415/100-fi_h/2/1000))*1000))</f>
        <v>78.494088057976839</v>
      </c>
      <c r="Q3415" s="19">
        <f ca="1">IF(O3415="","",IF(Tipo_Vertedor="Retangular",IF(O3415&lt;=cota_s*100,0,IF(Tipo_Vertedor="Retangular",Cd_sr*Lef_sr*((O3415/100-cota_s)^(3/2))*1000)),IF(O3415&lt;=cota_s*100+fi_s/20,0,(OFFSET('Base de dados'!$A$4,IF(O3415&lt;20,1,IF(O3415&gt;1000,10,MATCH(O3415,Cargas,1))),Coluna_fis,1,1))*(PI()*(fi_s/1000)^2/4)*(2*9.81*(O3415/100-cota_s-fi_s/2/1000))^0.5*1000)))</f>
        <v>24542.722490314754</v>
      </c>
      <c r="R3415" s="19">
        <f t="shared" ref="R3415:R3477" ca="1" si="355">IF(O3415="","",Q3415+P3415)</f>
        <v>24621.216578372732</v>
      </c>
      <c r="S3415" s="19">
        <f t="shared" ref="S3415:S3477" ca="1" si="356">IF(M3415="","",2*N3415*1000/(Passo*60))</f>
        <v>22528.639244266105</v>
      </c>
    </row>
    <row r="3416" spans="13:19">
      <c r="M3416" s="81">
        <f t="shared" ca="1" si="353"/>
        <v>47168.888035654039</v>
      </c>
      <c r="N3416" s="19">
        <f t="shared" si="354"/>
        <v>676.08180996342003</v>
      </c>
      <c r="O3416" s="17">
        <f t="shared" si="352"/>
        <v>853.75</v>
      </c>
      <c r="P3416" s="19">
        <f ca="1">IF(ISERROR(IF(O3416&lt;fi_h/20,0,(OFFSET('Base de dados'!$A$5,IF(O3416&lt;20,1,IF(O3416&gt;1000,10,MATCH(O3416,Cargas,1))),Coluna_fih,1,1))*(1+0.13*0.25)*(PI()*(fi_h/1000)^2/4)*SQRT(2*9.81*(O3416/100-fi_h/2/1000))*1000)),"",IF(O3416&lt;fi_h/20,0,(OFFSET('Base de dados'!$A$5,IF(O3416&lt;20,1,IF(O3416&gt;1000,10,MATCH(O3416,Cargas,1))),Coluna_fih,1,1))*(PI()*(fi_h/1000)^2/4)*SQRT(2*9.81*(O3416/100-fi_h/2/1000))*1000))</f>
        <v>78.505659588465235</v>
      </c>
      <c r="Q3416" s="19">
        <f ca="1">IF(O3416="","",IF(Tipo_Vertedor="Retangular",IF(O3416&lt;=cota_s*100,0,IF(Tipo_Vertedor="Retangular",Cd_sr*Lef_sr*((O3416/100-cota_s)^(3/2))*1000)),IF(O3416&lt;=cota_s*100+fi_s/20,0,(OFFSET('Base de dados'!$A$4,IF(O3416&lt;20,1,IF(O3416&gt;1000,10,MATCH(O3416,Cargas,1))),Coluna_fis,1,1))*(PI()*(fi_s/1000)^2/4)*(2*9.81*(O3416/100-cota_s-fi_s/2/1000))^0.5*1000)))</f>
        <v>24554.322043951575</v>
      </c>
      <c r="R3416" s="19">
        <f t="shared" ca="1" si="355"/>
        <v>24632.827703540039</v>
      </c>
      <c r="S3416" s="19">
        <f t="shared" ca="1" si="356"/>
        <v>22536.060332114001</v>
      </c>
    </row>
    <row r="3417" spans="13:19">
      <c r="M3417" s="81">
        <f t="shared" ca="1" si="353"/>
        <v>47187.922344524966</v>
      </c>
      <c r="N3417" s="19">
        <f t="shared" si="354"/>
        <v>676.30445072033297</v>
      </c>
      <c r="O3417" s="17">
        <f t="shared" si="352"/>
        <v>854</v>
      </c>
      <c r="P3417" s="19">
        <f ca="1">IF(ISERROR(IF(O3417&lt;fi_h/20,0,(OFFSET('Base de dados'!$A$5,IF(O3417&lt;20,1,IF(O3417&gt;1000,10,MATCH(O3417,Cargas,1))),Coluna_fih,1,1))*(1+0.13*0.25)*(PI()*(fi_h/1000)^2/4)*SQRT(2*9.81*(O3417/100-fi_h/2/1000))*1000)),"",IF(O3417&lt;fi_h/20,0,(OFFSET('Base de dados'!$A$5,IF(O3417&lt;20,1,IF(O3417&gt;1000,10,MATCH(O3417,Cargas,1))),Coluna_fih,1,1))*(PI()*(fi_h/1000)^2/4)*SQRT(2*9.81*(O3417/100-fi_h/2/1000))*1000))</f>
        <v>78.517229413591423</v>
      </c>
      <c r="Q3417" s="19">
        <f ca="1">IF(O3417="","",IF(Tipo_Vertedor="Retangular",IF(O3417&lt;=cota_s*100,0,IF(Tipo_Vertedor="Retangular",Cd_sr*Lef_sr*((O3417/100-cota_s)^(3/2))*1000)),IF(O3417&lt;=cota_s*100+fi_s/20,0,(OFFSET('Base de dados'!$A$4,IF(O3417&lt;20,1,IF(O3417&gt;1000,10,MATCH(O3417,Cargas,1))),Coluna_fis,1,1))*(PI()*(fi_s/1000)^2/4)*(2*9.81*(O3417/100-cota_s-fi_s/2/1000))^0.5*1000)))</f>
        <v>24565.923424433615</v>
      </c>
      <c r="R3417" s="19">
        <f t="shared" ca="1" si="355"/>
        <v>24644.440653847207</v>
      </c>
      <c r="S3417" s="19">
        <f t="shared" ca="1" si="356"/>
        <v>22543.481690677763</v>
      </c>
    </row>
    <row r="3418" spans="13:19">
      <c r="M3418" s="81">
        <f t="shared" ca="1" si="353"/>
        <v>47206.958748895413</v>
      </c>
      <c r="N3418" s="19">
        <f t="shared" si="354"/>
        <v>676.52709959664105</v>
      </c>
      <c r="O3418" s="17">
        <f t="shared" si="352"/>
        <v>854.25</v>
      </c>
      <c r="P3418" s="19">
        <f ca="1">IF(ISERROR(IF(O3418&lt;fi_h/20,0,(OFFSET('Base de dados'!$A$5,IF(O3418&lt;20,1,IF(O3418&gt;1000,10,MATCH(O3418,Cargas,1))),Coluna_fih,1,1))*(1+0.13*0.25)*(PI()*(fi_h/1000)^2/4)*SQRT(2*9.81*(O3418/100-fi_h/2/1000))*1000)),"",IF(O3418&lt;fi_h/20,0,(OFFSET('Base de dados'!$A$5,IF(O3418&lt;20,1,IF(O3418&gt;1000,10,MATCH(O3418,Cargas,1))),Coluna_fih,1,1))*(PI()*(fi_h/1000)^2/4)*SQRT(2*9.81*(O3418/100-fi_h/2/1000))*1000))</f>
        <v>78.52879753410916</v>
      </c>
      <c r="Q3418" s="19">
        <f ca="1">IF(O3418="","",IF(Tipo_Vertedor="Retangular",IF(O3418&lt;=cota_s*100,0,IF(Tipo_Vertedor="Retangular",Cd_sr*Lef_sr*((O3418/100-cota_s)^(3/2))*1000)),IF(O3418&lt;=cota_s*100+fi_s/20,0,(OFFSET('Base de dados'!$A$4,IF(O3418&lt;20,1,IF(O3418&gt;1000,10,MATCH(O3418,Cargas,1))),Coluna_fis,1,1))*(PI()*(fi_s/1000)^2/4)*(2*9.81*(O3418/100-cota_s-fi_s/2/1000))^0.5*1000)))</f>
        <v>24577.526631473269</v>
      </c>
      <c r="R3418" s="19">
        <f t="shared" ca="1" si="355"/>
        <v>24656.055429007378</v>
      </c>
      <c r="S3418" s="19">
        <f t="shared" ca="1" si="356"/>
        <v>22550.903319888035</v>
      </c>
    </row>
    <row r="3419" spans="13:19">
      <c r="M3419" s="81">
        <f t="shared" ca="1" si="353"/>
        <v>47225.997248409221</v>
      </c>
      <c r="N3419" s="19">
        <f t="shared" si="354"/>
        <v>676.74975659026336</v>
      </c>
      <c r="O3419" s="17">
        <f t="shared" si="352"/>
        <v>854.5</v>
      </c>
      <c r="P3419" s="19">
        <f ca="1">IF(ISERROR(IF(O3419&lt;fi_h/20,0,(OFFSET('Base de dados'!$A$5,IF(O3419&lt;20,1,IF(O3419&gt;1000,10,MATCH(O3419,Cargas,1))),Coluna_fih,1,1))*(1+0.13*0.25)*(PI()*(fi_h/1000)^2/4)*SQRT(2*9.81*(O3419/100-fi_h/2/1000))*1000)),"",IF(O3419&lt;fi_h/20,0,(OFFSET('Base de dados'!$A$5,IF(O3419&lt;20,1,IF(O3419&gt;1000,10,MATCH(O3419,Cargas,1))),Coluna_fih,1,1))*(PI()*(fi_h/1000)^2/4)*SQRT(2*9.81*(O3419/100-fi_h/2/1000))*1000))</f>
        <v>78.540363950771649</v>
      </c>
      <c r="Q3419" s="19">
        <f ca="1">IF(O3419="","",IF(Tipo_Vertedor="Retangular",IF(O3419&lt;=cota_s*100,0,IF(Tipo_Vertedor="Retangular",Cd_sr*Lef_sr*((O3419/100-cota_s)^(3/2))*1000)),IF(O3419&lt;=cota_s*100+fi_s/20,0,(OFFSET('Base de dados'!$A$4,IF(O3419&lt;20,1,IF(O3419&gt;1000,10,MATCH(O3419,Cargas,1))),Coluna_fis,1,1))*(PI()*(fi_s/1000)^2/4)*(2*9.81*(O3419/100-cota_s-fi_s/2/1000))^0.5*1000)))</f>
        <v>24589.131664783006</v>
      </c>
      <c r="R3419" s="19">
        <f t="shared" ca="1" si="355"/>
        <v>24667.672028733778</v>
      </c>
      <c r="S3419" s="19">
        <f t="shared" ca="1" si="356"/>
        <v>22558.325219675444</v>
      </c>
    </row>
    <row r="3420" spans="13:19">
      <c r="M3420" s="81">
        <f t="shared" ca="1" si="353"/>
        <v>47245.037842710575</v>
      </c>
      <c r="N3420" s="19">
        <f t="shared" si="354"/>
        <v>676.97242169912113</v>
      </c>
      <c r="O3420" s="17">
        <f t="shared" si="352"/>
        <v>854.75</v>
      </c>
      <c r="P3420" s="19">
        <f ca="1">IF(ISERROR(IF(O3420&lt;fi_h/20,0,(OFFSET('Base de dados'!$A$5,IF(O3420&lt;20,1,IF(O3420&gt;1000,10,MATCH(O3420,Cargas,1))),Coluna_fih,1,1))*(1+0.13*0.25)*(PI()*(fi_h/1000)^2/4)*SQRT(2*9.81*(O3420/100-fi_h/2/1000))*1000)),"",IF(O3420&lt;fi_h/20,0,(OFFSET('Base de dados'!$A$5,IF(O3420&lt;20,1,IF(O3420&gt;1000,10,MATCH(O3420,Cargas,1))),Coluna_fih,1,1))*(PI()*(fi_h/1000)^2/4)*SQRT(2*9.81*(O3420/100-fi_h/2/1000))*1000))</f>
        <v>78.551928664331555</v>
      </c>
      <c r="Q3420" s="19">
        <f ca="1">IF(O3420="","",IF(Tipo_Vertedor="Retangular",IF(O3420&lt;=cota_s*100,0,IF(Tipo_Vertedor="Retangular",Cd_sr*Lef_sr*((O3420/100-cota_s)^(3/2))*1000)),IF(O3420&lt;=cota_s*100+fi_s/20,0,(OFFSET('Base de dados'!$A$4,IF(O3420&lt;20,1,IF(O3420&gt;1000,10,MATCH(O3420,Cargas,1))),Coluna_fis,1,1))*(PI()*(fi_s/1000)^2/4)*(2*9.81*(O3420/100-cota_s-fi_s/2/1000))^0.5*1000)))</f>
        <v>24600.738524075539</v>
      </c>
      <c r="R3420" s="19">
        <f t="shared" ca="1" si="355"/>
        <v>24679.290452739871</v>
      </c>
      <c r="S3420" s="19">
        <f t="shared" ca="1" si="356"/>
        <v>22565.747389970704</v>
      </c>
    </row>
    <row r="3421" spans="13:19">
      <c r="M3421" s="81">
        <f t="shared" ca="1" si="353"/>
        <v>47264.080531443666</v>
      </c>
      <c r="N3421" s="19">
        <f t="shared" si="354"/>
        <v>677.19509492113627</v>
      </c>
      <c r="O3421" s="17">
        <f t="shared" si="352"/>
        <v>855</v>
      </c>
      <c r="P3421" s="19">
        <f ca="1">IF(ISERROR(IF(O3421&lt;fi_h/20,0,(OFFSET('Base de dados'!$A$5,IF(O3421&lt;20,1,IF(O3421&gt;1000,10,MATCH(O3421,Cargas,1))),Coluna_fih,1,1))*(1+0.13*0.25)*(PI()*(fi_h/1000)^2/4)*SQRT(2*9.81*(O3421/100-fi_h/2/1000))*1000)),"",IF(O3421&lt;fi_h/20,0,(OFFSET('Base de dados'!$A$5,IF(O3421&lt;20,1,IF(O3421&gt;1000,10,MATCH(O3421,Cargas,1))),Coluna_fih,1,1))*(PI()*(fi_h/1000)^2/4)*SQRT(2*9.81*(O3421/100-fi_h/2/1000))*1000))</f>
        <v>78.563491675540973</v>
      </c>
      <c r="Q3421" s="19">
        <f ca="1">IF(O3421="","",IF(Tipo_Vertedor="Retangular",IF(O3421&lt;=cota_s*100,0,IF(Tipo_Vertedor="Retangular",Cd_sr*Lef_sr*((O3421/100-cota_s)^(3/2))*1000)),IF(O3421&lt;=cota_s*100+fi_s/20,0,(OFFSET('Base de dados'!$A$4,IF(O3421&lt;20,1,IF(O3421&gt;1000,10,MATCH(O3421,Cargas,1))),Coluna_fis,1,1))*(PI()*(fi_s/1000)^2/4)*(2*9.81*(O3421/100-cota_s-fi_s/2/1000))^0.5*1000)))</f>
        <v>24612.347209063584</v>
      </c>
      <c r="R3421" s="19">
        <f t="shared" ca="1" si="355"/>
        <v>24690.910700739125</v>
      </c>
      <c r="S3421" s="19">
        <f t="shared" ca="1" si="356"/>
        <v>22573.169830704541</v>
      </c>
    </row>
    <row r="3422" spans="13:19">
      <c r="M3422" s="81">
        <f t="shared" ca="1" si="353"/>
        <v>47283.125314253004</v>
      </c>
      <c r="N3422" s="19">
        <f t="shared" si="354"/>
        <v>677.41777625423242</v>
      </c>
      <c r="O3422" s="17">
        <f t="shared" si="352"/>
        <v>855.25</v>
      </c>
      <c r="P3422" s="19">
        <f ca="1">IF(ISERROR(IF(O3422&lt;fi_h/20,0,(OFFSET('Base de dados'!$A$5,IF(O3422&lt;20,1,IF(O3422&gt;1000,10,MATCH(O3422,Cargas,1))),Coluna_fih,1,1))*(1+0.13*0.25)*(PI()*(fi_h/1000)^2/4)*SQRT(2*9.81*(O3422/100-fi_h/2/1000))*1000)),"",IF(O3422&lt;fi_h/20,0,(OFFSET('Base de dados'!$A$5,IF(O3422&lt;20,1,IF(O3422&gt;1000,10,MATCH(O3422,Cargas,1))),Coluna_fih,1,1))*(PI()*(fi_h/1000)^2/4)*SQRT(2*9.81*(O3422/100-fi_h/2/1000))*1000))</f>
        <v>78.575052985151459</v>
      </c>
      <c r="Q3422" s="19">
        <f ca="1">IF(O3422="","",IF(Tipo_Vertedor="Retangular",IF(O3422&lt;=cota_s*100,0,IF(Tipo_Vertedor="Retangular",Cd_sr*Lef_sr*((O3422/100-cota_s)^(3/2))*1000)),IF(O3422&lt;=cota_s*100+fi_s/20,0,(OFFSET('Base de dados'!$A$4,IF(O3422&lt;20,1,IF(O3422&gt;1000,10,MATCH(O3422,Cargas,1))),Coluna_fis,1,1))*(PI()*(fi_s/1000)^2/4)*(2*9.81*(O3422/100-cota_s-fi_s/2/1000))^0.5*1000)))</f>
        <v>24623.957719460104</v>
      </c>
      <c r="R3422" s="19">
        <f t="shared" ca="1" si="355"/>
        <v>24702.532772445255</v>
      </c>
      <c r="S3422" s="19">
        <f t="shared" ca="1" si="356"/>
        <v>22580.592541807746</v>
      </c>
    </row>
    <row r="3423" spans="13:19">
      <c r="M3423" s="81">
        <f t="shared" ca="1" si="353"/>
        <v>47302.172190783174</v>
      </c>
      <c r="N3423" s="19">
        <f t="shared" si="354"/>
        <v>677.64046569633342</v>
      </c>
      <c r="O3423" s="17">
        <f t="shared" si="352"/>
        <v>855.5</v>
      </c>
      <c r="P3423" s="19">
        <f ca="1">IF(ISERROR(IF(O3423&lt;fi_h/20,0,(OFFSET('Base de dados'!$A$5,IF(O3423&lt;20,1,IF(O3423&gt;1000,10,MATCH(O3423,Cargas,1))),Coluna_fih,1,1))*(1+0.13*0.25)*(PI()*(fi_h/1000)^2/4)*SQRT(2*9.81*(O3423/100-fi_h/2/1000))*1000)),"",IF(O3423&lt;fi_h/20,0,(OFFSET('Base de dados'!$A$5,IF(O3423&lt;20,1,IF(O3423&gt;1000,10,MATCH(O3423,Cargas,1))),Coluna_fih,1,1))*(PI()*(fi_h/1000)^2/4)*SQRT(2*9.81*(O3423/100-fi_h/2/1000))*1000))</f>
        <v>78.586612593913969</v>
      </c>
      <c r="Q3423" s="19">
        <f ca="1">IF(O3423="","",IF(Tipo_Vertedor="Retangular",IF(O3423&lt;=cota_s*100,0,IF(Tipo_Vertedor="Retangular",Cd_sr*Lef_sr*((O3423/100-cota_s)^(3/2))*1000)),IF(O3423&lt;=cota_s*100+fi_s/20,0,(OFFSET('Base de dados'!$A$4,IF(O3423&lt;20,1,IF(O3423&gt;1000,10,MATCH(O3423,Cargas,1))),Coluna_fis,1,1))*(PI()*(fi_s/1000)^2/4)*(2*9.81*(O3423/100-cota_s-fi_s/2/1000))^0.5*1000)))</f>
        <v>24635.570054978147</v>
      </c>
      <c r="R3423" s="19">
        <f t="shared" ca="1" si="355"/>
        <v>24714.156667572061</v>
      </c>
      <c r="S3423" s="19">
        <f t="shared" ca="1" si="356"/>
        <v>22588.015523211114</v>
      </c>
    </row>
    <row r="3424" spans="13:19">
      <c r="M3424" s="81">
        <f t="shared" ca="1" si="353"/>
        <v>47321.22116067895</v>
      </c>
      <c r="N3424" s="19">
        <f t="shared" si="354"/>
        <v>677.86316324536506</v>
      </c>
      <c r="O3424" s="17">
        <f t="shared" si="352"/>
        <v>855.75</v>
      </c>
      <c r="P3424" s="19">
        <f ca="1">IF(ISERROR(IF(O3424&lt;fi_h/20,0,(OFFSET('Base de dados'!$A$5,IF(O3424&lt;20,1,IF(O3424&gt;1000,10,MATCH(O3424,Cargas,1))),Coluna_fih,1,1))*(1+0.13*0.25)*(PI()*(fi_h/1000)^2/4)*SQRT(2*9.81*(O3424/100-fi_h/2/1000))*1000)),"",IF(O3424&lt;fi_h/20,0,(OFFSET('Base de dados'!$A$5,IF(O3424&lt;20,1,IF(O3424&gt;1000,10,MATCH(O3424,Cargas,1))),Coluna_fih,1,1))*(PI()*(fi_h/1000)^2/4)*SQRT(2*9.81*(O3424/100-fi_h/2/1000))*1000))</f>
        <v>78.598170502579009</v>
      </c>
      <c r="Q3424" s="19">
        <f ca="1">IF(O3424="","",IF(Tipo_Vertedor="Retangular",IF(O3424&lt;=cota_s*100,0,IF(Tipo_Vertedor="Retangular",Cd_sr*Lef_sr*((O3424/100-cota_s)^(3/2))*1000)),IF(O3424&lt;=cota_s*100+fi_s/20,0,(OFFSET('Base de dados'!$A$4,IF(O3424&lt;20,1,IF(O3424&gt;1000,10,MATCH(O3424,Cargas,1))),Coluna_fis,1,1))*(PI()*(fi_s/1000)^2/4)*(2*9.81*(O3424/100-cota_s-fi_s/2/1000))^0.5*1000)))</f>
        <v>24647.184215330868</v>
      </c>
      <c r="R3424" s="19">
        <f t="shared" ca="1" si="355"/>
        <v>24725.782385833449</v>
      </c>
      <c r="S3424" s="19">
        <f t="shared" ca="1" si="356"/>
        <v>22595.438774845501</v>
      </c>
    </row>
    <row r="3425" spans="13:19">
      <c r="M3425" s="81">
        <f t="shared" ca="1" si="353"/>
        <v>47340.272223585343</v>
      </c>
      <c r="N3425" s="19">
        <f t="shared" si="354"/>
        <v>678.08586889925402</v>
      </c>
      <c r="O3425" s="17">
        <f t="shared" si="352"/>
        <v>856</v>
      </c>
      <c r="P3425" s="19">
        <f ca="1">IF(ISERROR(IF(O3425&lt;fi_h/20,0,(OFFSET('Base de dados'!$A$5,IF(O3425&lt;20,1,IF(O3425&gt;1000,10,MATCH(O3425,Cargas,1))),Coluna_fih,1,1))*(1+0.13*0.25)*(PI()*(fi_h/1000)^2/4)*SQRT(2*9.81*(O3425/100-fi_h/2/1000))*1000)),"",IF(O3425&lt;fi_h/20,0,(OFFSET('Base de dados'!$A$5,IF(O3425&lt;20,1,IF(O3425&gt;1000,10,MATCH(O3425,Cargas,1))),Coluna_fih,1,1))*(PI()*(fi_h/1000)^2/4)*SQRT(2*9.81*(O3425/100-fi_h/2/1000))*1000))</f>
        <v>78.609726711896442</v>
      </c>
      <c r="Q3425" s="19">
        <f ca="1">IF(O3425="","",IF(Tipo_Vertedor="Retangular",IF(O3425&lt;=cota_s*100,0,IF(Tipo_Vertedor="Retangular",Cd_sr*Lef_sr*((O3425/100-cota_s)^(3/2))*1000)),IF(O3425&lt;=cota_s*100+fi_s/20,0,(OFFSET('Base de dados'!$A$4,IF(O3425&lt;20,1,IF(O3425&gt;1000,10,MATCH(O3425,Cargas,1))),Coluna_fis,1,1))*(PI()*(fi_s/1000)^2/4)*(2*9.81*(O3425/100-cota_s-fi_s/2/1000))^0.5*1000)))</f>
        <v>24658.80020023165</v>
      </c>
      <c r="R3425" s="19">
        <f t="shared" ca="1" si="355"/>
        <v>24737.409926943546</v>
      </c>
      <c r="S3425" s="19">
        <f t="shared" ca="1" si="356"/>
        <v>22602.862296641801</v>
      </c>
    </row>
    <row r="3426" spans="13:19">
      <c r="M3426" s="81">
        <f t="shared" ca="1" si="353"/>
        <v>47359.325379147442</v>
      </c>
      <c r="N3426" s="19">
        <f t="shared" si="354"/>
        <v>678.30858265592781</v>
      </c>
      <c r="O3426" s="17">
        <f t="shared" si="352"/>
        <v>856.25</v>
      </c>
      <c r="P3426" s="19">
        <f ca="1">IF(ISERROR(IF(O3426&lt;fi_h/20,0,(OFFSET('Base de dados'!$A$5,IF(O3426&lt;20,1,IF(O3426&gt;1000,10,MATCH(O3426,Cargas,1))),Coluna_fih,1,1))*(1+0.13*0.25)*(PI()*(fi_h/1000)^2/4)*SQRT(2*9.81*(O3426/100-fi_h/2/1000))*1000)),"",IF(O3426&lt;fi_h/20,0,(OFFSET('Base de dados'!$A$5,IF(O3426&lt;20,1,IF(O3426&gt;1000,10,MATCH(O3426,Cargas,1))),Coluna_fih,1,1))*(PI()*(fi_h/1000)^2/4)*SQRT(2*9.81*(O3426/100-fi_h/2/1000))*1000))</f>
        <v>78.621281222615579</v>
      </c>
      <c r="Q3426" s="19">
        <f ca="1">IF(O3426="","",IF(Tipo_Vertedor="Retangular",IF(O3426&lt;=cota_s*100,0,IF(Tipo_Vertedor="Retangular",Cd_sr*Lef_sr*((O3426/100-cota_s)^(3/2))*1000)),IF(O3426&lt;=cota_s*100+fi_s/20,0,(OFFSET('Base de dados'!$A$4,IF(O3426&lt;20,1,IF(O3426&gt;1000,10,MATCH(O3426,Cargas,1))),Coluna_fis,1,1))*(PI()*(fi_s/1000)^2/4)*(2*9.81*(O3426/100-cota_s-fi_s/2/1000))^0.5*1000)))</f>
        <v>24670.418009393903</v>
      </c>
      <c r="R3426" s="19">
        <f t="shared" ca="1" si="355"/>
        <v>24749.039290616518</v>
      </c>
      <c r="S3426" s="19">
        <f t="shared" ca="1" si="356"/>
        <v>22610.286088530927</v>
      </c>
    </row>
    <row r="3427" spans="13:19">
      <c r="M3427" s="81">
        <f t="shared" ca="1" si="353"/>
        <v>47378.380627010571</v>
      </c>
      <c r="N3427" s="19">
        <f t="shared" si="354"/>
        <v>678.53130451331594</v>
      </c>
      <c r="O3427" s="17">
        <f t="shared" si="352"/>
        <v>856.5</v>
      </c>
      <c r="P3427" s="19">
        <f ca="1">IF(ISERROR(IF(O3427&lt;fi_h/20,0,(OFFSET('Base de dados'!$A$5,IF(O3427&lt;20,1,IF(O3427&gt;1000,10,MATCH(O3427,Cargas,1))),Coluna_fih,1,1))*(1+0.13*0.25)*(PI()*(fi_h/1000)^2/4)*SQRT(2*9.81*(O3427/100-fi_h/2/1000))*1000)),"",IF(O3427&lt;fi_h/20,0,(OFFSET('Base de dados'!$A$5,IF(O3427&lt;20,1,IF(O3427&gt;1000,10,MATCH(O3427,Cargas,1))),Coluna_fih,1,1))*(PI()*(fi_h/1000)^2/4)*SQRT(2*9.81*(O3427/100-fi_h/2/1000))*1000))</f>
        <v>78.632834035485246</v>
      </c>
      <c r="Q3427" s="19">
        <f ca="1">IF(O3427="","",IF(Tipo_Vertedor="Retangular",IF(O3427&lt;=cota_s*100,0,IF(Tipo_Vertedor="Retangular",Cd_sr*Lef_sr*((O3427/100-cota_s)^(3/2))*1000)),IF(O3427&lt;=cota_s*100+fi_s/20,0,(OFFSET('Base de dados'!$A$4,IF(O3427&lt;20,1,IF(O3427&gt;1000,10,MATCH(O3427,Cargas,1))),Coluna_fis,1,1))*(PI()*(fi_s/1000)^2/4)*(2*9.81*(O3427/100-cota_s-fi_s/2/1000))^0.5*1000)))</f>
        <v>24682.037642531221</v>
      </c>
      <c r="R3427" s="19">
        <f t="shared" ca="1" si="355"/>
        <v>24760.670476566705</v>
      </c>
      <c r="S3427" s="19">
        <f t="shared" ca="1" si="356"/>
        <v>22617.710150443865</v>
      </c>
    </row>
    <row r="3428" spans="13:19">
      <c r="M3428" s="81">
        <f t="shared" ca="1" si="353"/>
        <v>47397.437966820216</v>
      </c>
      <c r="N3428" s="19">
        <f t="shared" si="354"/>
        <v>678.7540344693474</v>
      </c>
      <c r="O3428" s="17">
        <f t="shared" si="352"/>
        <v>856.75</v>
      </c>
      <c r="P3428" s="19">
        <f ca="1">IF(ISERROR(IF(O3428&lt;fi_h/20,0,(OFFSET('Base de dados'!$A$5,IF(O3428&lt;20,1,IF(O3428&gt;1000,10,MATCH(O3428,Cargas,1))),Coluna_fih,1,1))*(1+0.13*0.25)*(PI()*(fi_h/1000)^2/4)*SQRT(2*9.81*(O3428/100-fi_h/2/1000))*1000)),"",IF(O3428&lt;fi_h/20,0,(OFFSET('Base de dados'!$A$5,IF(O3428&lt;20,1,IF(O3428&gt;1000,10,MATCH(O3428,Cargas,1))),Coluna_fih,1,1))*(PI()*(fi_h/1000)^2/4)*SQRT(2*9.81*(O3428/100-fi_h/2/1000))*1000))</f>
        <v>78.644385151253687</v>
      </c>
      <c r="Q3428" s="19">
        <f ca="1">IF(O3428="","",IF(Tipo_Vertedor="Retangular",IF(O3428&lt;=cota_s*100,0,IF(Tipo_Vertedor="Retangular",Cd_sr*Lef_sr*((O3428/100-cota_s)^(3/2))*1000)),IF(O3428&lt;=cota_s*100+fi_s/20,0,(OFFSET('Base de dados'!$A$4,IF(O3428&lt;20,1,IF(O3428&gt;1000,10,MATCH(O3428,Cargas,1))),Coluna_fis,1,1))*(PI()*(fi_s/1000)^2/4)*(2*9.81*(O3428/100-cota_s-fi_s/2/1000))^0.5*1000)))</f>
        <v>24693.659099357377</v>
      </c>
      <c r="R3428" s="19">
        <f t="shared" ca="1" si="355"/>
        <v>24772.303484508629</v>
      </c>
      <c r="S3428" s="19">
        <f t="shared" ca="1" si="356"/>
        <v>22625.134482311583</v>
      </c>
    </row>
    <row r="3429" spans="13:19">
      <c r="M3429" s="81">
        <f t="shared" ca="1" si="353"/>
        <v>47416.497398222025</v>
      </c>
      <c r="N3429" s="19">
        <f t="shared" si="354"/>
        <v>678.97677252195444</v>
      </c>
      <c r="O3429" s="17">
        <f t="shared" si="352"/>
        <v>857</v>
      </c>
      <c r="P3429" s="19">
        <f ca="1">IF(ISERROR(IF(O3429&lt;fi_h/20,0,(OFFSET('Base de dados'!$A$5,IF(O3429&lt;20,1,IF(O3429&gt;1000,10,MATCH(O3429,Cargas,1))),Coluna_fih,1,1))*(1+0.13*0.25)*(PI()*(fi_h/1000)^2/4)*SQRT(2*9.81*(O3429/100-fi_h/2/1000))*1000)),"",IF(O3429&lt;fi_h/20,0,(OFFSET('Base de dados'!$A$5,IF(O3429&lt;20,1,IF(O3429&gt;1000,10,MATCH(O3429,Cargas,1))),Coluna_fih,1,1))*(PI()*(fi_h/1000)^2/4)*SQRT(2*9.81*(O3429/100-fi_h/2/1000))*1000))</f>
        <v>78.655934570668549</v>
      </c>
      <c r="Q3429" s="19">
        <f ca="1">IF(O3429="","",IF(Tipo_Vertedor="Retangular",IF(O3429&lt;=cota_s*100,0,IF(Tipo_Vertedor="Retangular",Cd_sr*Lef_sr*((O3429/100-cota_s)^(3/2))*1000)),IF(O3429&lt;=cota_s*100+fi_s/20,0,(OFFSET('Base de dados'!$A$4,IF(O3429&lt;20,1,IF(O3429&gt;1000,10,MATCH(O3429,Cargas,1))),Coluna_fis,1,1))*(PI()*(fi_s/1000)^2/4)*(2*9.81*(O3429/100-cota_s-fi_s/2/1000))^0.5*1000)))</f>
        <v>24705.282379586206</v>
      </c>
      <c r="R3429" s="19">
        <f t="shared" ca="1" si="355"/>
        <v>24783.938314156876</v>
      </c>
      <c r="S3429" s="19">
        <f t="shared" ca="1" si="356"/>
        <v>22632.559084065149</v>
      </c>
    </row>
    <row r="3430" spans="13:19">
      <c r="M3430" s="81">
        <f t="shared" ca="1" si="353"/>
        <v>47435.558920861775</v>
      </c>
      <c r="N3430" s="19">
        <f t="shared" si="354"/>
        <v>679.19951866906842</v>
      </c>
      <c r="O3430" s="17">
        <f t="shared" si="352"/>
        <v>857.25</v>
      </c>
      <c r="P3430" s="19">
        <f ca="1">IF(ISERROR(IF(O3430&lt;fi_h/20,0,(OFFSET('Base de dados'!$A$5,IF(O3430&lt;20,1,IF(O3430&gt;1000,10,MATCH(O3430,Cargas,1))),Coluna_fih,1,1))*(1+0.13*0.25)*(PI()*(fi_h/1000)^2/4)*SQRT(2*9.81*(O3430/100-fi_h/2/1000))*1000)),"",IF(O3430&lt;fi_h/20,0,(OFFSET('Base de dados'!$A$5,IF(O3430&lt;20,1,IF(O3430&gt;1000,10,MATCH(O3430,Cargas,1))),Coluna_fih,1,1))*(PI()*(fi_h/1000)^2/4)*SQRT(2*9.81*(O3430/100-fi_h/2/1000))*1000))</f>
        <v>78.667482294477011</v>
      </c>
      <c r="Q3430" s="19">
        <f ca="1">IF(O3430="","",IF(Tipo_Vertedor="Retangular",IF(O3430&lt;=cota_s*100,0,IF(Tipo_Vertedor="Retangular",Cd_sr*Lef_sr*((O3430/100-cota_s)^(3/2))*1000)),IF(O3430&lt;=cota_s*100+fi_s/20,0,(OFFSET('Base de dados'!$A$4,IF(O3430&lt;20,1,IF(O3430&gt;1000,10,MATCH(O3430,Cargas,1))),Coluna_fis,1,1))*(PI()*(fi_s/1000)^2/4)*(2*9.81*(O3430/100-cota_s-fi_s/2/1000))^0.5*1000)))</f>
        <v>24716.907482931681</v>
      </c>
      <c r="R3430" s="19">
        <f t="shared" ca="1" si="355"/>
        <v>24795.574965226158</v>
      </c>
      <c r="S3430" s="19">
        <f t="shared" ca="1" si="356"/>
        <v>22639.983955635616</v>
      </c>
    </row>
    <row r="3431" spans="13:19">
      <c r="M3431" s="81">
        <f t="shared" ca="1" si="353"/>
        <v>47454.622534385533</v>
      </c>
      <c r="N3431" s="19">
        <f t="shared" si="354"/>
        <v>679.42227290862377</v>
      </c>
      <c r="O3431" s="17">
        <f t="shared" si="352"/>
        <v>857.5</v>
      </c>
      <c r="P3431" s="19">
        <f ca="1">IF(ISERROR(IF(O3431&lt;fi_h/20,0,(OFFSET('Base de dados'!$A$5,IF(O3431&lt;20,1,IF(O3431&gt;1000,10,MATCH(O3431,Cargas,1))),Coluna_fih,1,1))*(1+0.13*0.25)*(PI()*(fi_h/1000)^2/4)*SQRT(2*9.81*(O3431/100-fi_h/2/1000))*1000)),"",IF(O3431&lt;fi_h/20,0,(OFFSET('Base de dados'!$A$5,IF(O3431&lt;20,1,IF(O3431&gt;1000,10,MATCH(O3431,Cargas,1))),Coluna_fih,1,1))*(PI()*(fi_h/1000)^2/4)*SQRT(2*9.81*(O3431/100-fi_h/2/1000))*1000))</f>
        <v>78.679028323425655</v>
      </c>
      <c r="Q3431" s="19">
        <f ca="1">IF(O3431="","",IF(Tipo_Vertedor="Retangular",IF(O3431&lt;=cota_s*100,0,IF(Tipo_Vertedor="Retangular",Cd_sr*Lef_sr*((O3431/100-cota_s)^(3/2))*1000)),IF(O3431&lt;=cota_s*100+fi_s/20,0,(OFFSET('Base de dados'!$A$4,IF(O3431&lt;20,1,IF(O3431&gt;1000,10,MATCH(O3431,Cargas,1))),Coluna_fis,1,1))*(PI()*(fi_s/1000)^2/4)*(2*9.81*(O3431/100-cota_s-fi_s/2/1000))^0.5*1000)))</f>
        <v>24728.534409107986</v>
      </c>
      <c r="R3431" s="19">
        <f t="shared" ca="1" si="355"/>
        <v>24807.213437431412</v>
      </c>
      <c r="S3431" s="19">
        <f t="shared" ca="1" si="356"/>
        <v>22647.409096954125</v>
      </c>
    </row>
    <row r="3432" spans="13:19">
      <c r="M3432" s="81">
        <f t="shared" ca="1" si="353"/>
        <v>47473.688238439434</v>
      </c>
      <c r="N3432" s="19">
        <f t="shared" si="354"/>
        <v>679.64503523855399</v>
      </c>
      <c r="O3432" s="17">
        <f t="shared" si="352"/>
        <v>857.75</v>
      </c>
      <c r="P3432" s="19">
        <f ca="1">IF(ISERROR(IF(O3432&lt;fi_h/20,0,(OFFSET('Base de dados'!$A$5,IF(O3432&lt;20,1,IF(O3432&gt;1000,10,MATCH(O3432,Cargas,1))),Coluna_fih,1,1))*(1+0.13*0.25)*(PI()*(fi_h/1000)^2/4)*SQRT(2*9.81*(O3432/100-fi_h/2/1000))*1000)),"",IF(O3432&lt;fi_h/20,0,(OFFSET('Base de dados'!$A$5,IF(O3432&lt;20,1,IF(O3432&gt;1000,10,MATCH(O3432,Cargas,1))),Coluna_fih,1,1))*(PI()*(fi_h/1000)^2/4)*SQRT(2*9.81*(O3432/100-fi_h/2/1000))*1000))</f>
        <v>78.690572658260521</v>
      </c>
      <c r="Q3432" s="19">
        <f ca="1">IF(O3432="","",IF(Tipo_Vertedor="Retangular",IF(O3432&lt;=cota_s*100,0,IF(Tipo_Vertedor="Retangular",Cd_sr*Lef_sr*((O3432/100-cota_s)^(3/2))*1000)),IF(O3432&lt;=cota_s*100+fi_s/20,0,(OFFSET('Base de dados'!$A$4,IF(O3432&lt;20,1,IF(O3432&gt;1000,10,MATCH(O3432,Cargas,1))),Coluna_fis,1,1))*(PI()*(fi_s/1000)^2/4)*(2*9.81*(O3432/100-cota_s-fi_s/2/1000))^0.5*1000)))</f>
        <v>24740.163157829375</v>
      </c>
      <c r="R3432" s="19">
        <f t="shared" ca="1" si="355"/>
        <v>24818.853730487634</v>
      </c>
      <c r="S3432" s="19">
        <f t="shared" ca="1" si="356"/>
        <v>22654.8345079518</v>
      </c>
    </row>
    <row r="3433" spans="13:19">
      <c r="M3433" s="81">
        <f t="shared" ca="1" si="353"/>
        <v>47492.756032669771</v>
      </c>
      <c r="N3433" s="19">
        <f t="shared" si="354"/>
        <v>679.86780565679555</v>
      </c>
      <c r="O3433" s="17">
        <f t="shared" si="352"/>
        <v>858</v>
      </c>
      <c r="P3433" s="19">
        <f ca="1">IF(ISERROR(IF(O3433&lt;fi_h/20,0,(OFFSET('Base de dados'!$A$5,IF(O3433&lt;20,1,IF(O3433&gt;1000,10,MATCH(O3433,Cargas,1))),Coluna_fih,1,1))*(1+0.13*0.25)*(PI()*(fi_h/1000)^2/4)*SQRT(2*9.81*(O3433/100-fi_h/2/1000))*1000)),"",IF(O3433&lt;fi_h/20,0,(OFFSET('Base de dados'!$A$5,IF(O3433&lt;20,1,IF(O3433&gt;1000,10,MATCH(O3433,Cargas,1))),Coluna_fih,1,1))*(PI()*(fi_h/1000)^2/4)*SQRT(2*9.81*(O3433/100-fi_h/2/1000))*1000))</f>
        <v>78.702115299727126</v>
      </c>
      <c r="Q3433" s="19">
        <f ca="1">IF(O3433="","",IF(Tipo_Vertedor="Retangular",IF(O3433&lt;=cota_s*100,0,IF(Tipo_Vertedor="Retangular",Cd_sr*Lef_sr*((O3433/100-cota_s)^(3/2))*1000)),IF(O3433&lt;=cota_s*100+fi_s/20,0,(OFFSET('Base de dados'!$A$4,IF(O3433&lt;20,1,IF(O3433&gt;1000,10,MATCH(O3433,Cargas,1))),Coluna_fis,1,1))*(PI()*(fi_s/1000)^2/4)*(2*9.81*(O3433/100-cota_s-fi_s/2/1000))^0.5*1000)))</f>
        <v>24751.7937288102</v>
      </c>
      <c r="R3433" s="19">
        <f t="shared" ca="1" si="355"/>
        <v>24830.495844109926</v>
      </c>
      <c r="S3433" s="19">
        <f t="shared" ca="1" si="356"/>
        <v>22662.260188559849</v>
      </c>
    </row>
    <row r="3434" spans="13:19">
      <c r="M3434" s="81">
        <f t="shared" ca="1" si="353"/>
        <v>47511.825916723115</v>
      </c>
      <c r="N3434" s="19">
        <f t="shared" si="354"/>
        <v>680.09058416128482</v>
      </c>
      <c r="O3434" s="17">
        <f t="shared" si="352"/>
        <v>858.25</v>
      </c>
      <c r="P3434" s="19">
        <f ca="1">IF(ISERROR(IF(O3434&lt;fi_h/20,0,(OFFSET('Base de dados'!$A$5,IF(O3434&lt;20,1,IF(O3434&gt;1000,10,MATCH(O3434,Cargas,1))),Coluna_fih,1,1))*(1+0.13*0.25)*(PI()*(fi_h/1000)^2/4)*SQRT(2*9.81*(O3434/100-fi_h/2/1000))*1000)),"",IF(O3434&lt;fi_h/20,0,(OFFSET('Base de dados'!$A$5,IF(O3434&lt;20,1,IF(O3434&gt;1000,10,MATCH(O3434,Cargas,1))),Coluna_fih,1,1))*(PI()*(fi_h/1000)^2/4)*SQRT(2*9.81*(O3434/100-fi_h/2/1000))*1000))</f>
        <v>78.713656248570373</v>
      </c>
      <c r="Q3434" s="19">
        <f ca="1">IF(O3434="","",IF(Tipo_Vertedor="Retangular",IF(O3434&lt;=cota_s*100,0,IF(Tipo_Vertedor="Retangular",Cd_sr*Lef_sr*((O3434/100-cota_s)^(3/2))*1000)),IF(O3434&lt;=cota_s*100+fi_s/20,0,(OFFSET('Base de dados'!$A$4,IF(O3434&lt;20,1,IF(O3434&gt;1000,10,MATCH(O3434,Cargas,1))),Coluna_fis,1,1))*(PI()*(fi_s/1000)^2/4)*(2*9.81*(O3434/100-cota_s-fi_s/2/1000))^0.5*1000)))</f>
        <v>24763.426121765049</v>
      </c>
      <c r="R3434" s="19">
        <f t="shared" ca="1" si="355"/>
        <v>24842.139778013621</v>
      </c>
      <c r="S3434" s="19">
        <f t="shared" ca="1" si="356"/>
        <v>22669.686138709494</v>
      </c>
    </row>
    <row r="3435" spans="13:19">
      <c r="M3435" s="81">
        <f t="shared" ca="1" si="353"/>
        <v>47530.897890246153</v>
      </c>
      <c r="N3435" s="19">
        <f t="shared" si="354"/>
        <v>680.31337074996031</v>
      </c>
      <c r="O3435" s="17">
        <f t="shared" si="352"/>
        <v>858.5</v>
      </c>
      <c r="P3435" s="19">
        <f ca="1">IF(ISERROR(IF(O3435&lt;fi_h/20,0,(OFFSET('Base de dados'!$A$5,IF(O3435&lt;20,1,IF(O3435&gt;1000,10,MATCH(O3435,Cargas,1))),Coluna_fih,1,1))*(1+0.13*0.25)*(PI()*(fi_h/1000)^2/4)*SQRT(2*9.81*(O3435/100-fi_h/2/1000))*1000)),"",IF(O3435&lt;fi_h/20,0,(OFFSET('Base de dados'!$A$5,IF(O3435&lt;20,1,IF(O3435&gt;1000,10,MATCH(O3435,Cargas,1))),Coluna_fih,1,1))*(PI()*(fi_h/1000)^2/4)*SQRT(2*9.81*(O3435/100-fi_h/2/1000))*1000))</f>
        <v>78.725195505534742</v>
      </c>
      <c r="Q3435" s="19">
        <f ca="1">IF(O3435="","",IF(Tipo_Vertedor="Retangular",IF(O3435&lt;=cota_s*100,0,IF(Tipo_Vertedor="Retangular",Cd_sr*Lef_sr*((O3435/100-cota_s)^(3/2))*1000)),IF(O3435&lt;=cota_s*100+fi_s/20,0,(OFFSET('Base de dados'!$A$4,IF(O3435&lt;20,1,IF(O3435&gt;1000,10,MATCH(O3435,Cargas,1))),Coluna_fis,1,1))*(PI()*(fi_s/1000)^2/4)*(2*9.81*(O3435/100-cota_s-fi_s/2/1000))^0.5*1000)))</f>
        <v>24775.060336408609</v>
      </c>
      <c r="R3435" s="19">
        <f t="shared" ca="1" si="355"/>
        <v>24853.785531914145</v>
      </c>
      <c r="S3435" s="19">
        <f t="shared" ca="1" si="356"/>
        <v>22677.112358332011</v>
      </c>
    </row>
    <row r="3436" spans="13:19">
      <c r="M3436" s="81">
        <f t="shared" ca="1" si="353"/>
        <v>47549.971952885673</v>
      </c>
      <c r="N3436" s="19">
        <f t="shared" si="354"/>
        <v>680.53616542076031</v>
      </c>
      <c r="O3436" s="17">
        <f t="shared" si="352"/>
        <v>858.75</v>
      </c>
      <c r="P3436" s="19">
        <f ca="1">IF(ISERROR(IF(O3436&lt;fi_h/20,0,(OFFSET('Base de dados'!$A$5,IF(O3436&lt;20,1,IF(O3436&gt;1000,10,MATCH(O3436,Cargas,1))),Coluna_fih,1,1))*(1+0.13*0.25)*(PI()*(fi_h/1000)^2/4)*SQRT(2*9.81*(O3436/100-fi_h/2/1000))*1000)),"",IF(O3436&lt;fi_h/20,0,(OFFSET('Base de dados'!$A$5,IF(O3436&lt;20,1,IF(O3436&gt;1000,10,MATCH(O3436,Cargas,1))),Coluna_fih,1,1))*(PI()*(fi_h/1000)^2/4)*SQRT(2*9.81*(O3436/100-fi_h/2/1000))*1000))</f>
        <v>78.736733071364</v>
      </c>
      <c r="Q3436" s="19">
        <f ca="1">IF(O3436="","",IF(Tipo_Vertedor="Retangular",IF(O3436&lt;=cota_s*100,0,IF(Tipo_Vertedor="Retangular",Cd_sr*Lef_sr*((O3436/100-cota_s)^(3/2))*1000)),IF(O3436&lt;=cota_s*100+fi_s/20,0,(OFFSET('Base de dados'!$A$4,IF(O3436&lt;20,1,IF(O3436&gt;1000,10,MATCH(O3436,Cargas,1))),Coluna_fis,1,1))*(PI()*(fi_s/1000)^2/4)*(2*9.81*(O3436/100-cota_s-fi_s/2/1000))^0.5*1000)))</f>
        <v>24786.696372455634</v>
      </c>
      <c r="R3436" s="19">
        <f t="shared" ca="1" si="355"/>
        <v>24865.433105526998</v>
      </c>
      <c r="S3436" s="19">
        <f t="shared" ca="1" si="356"/>
        <v>22684.538847358675</v>
      </c>
    </row>
    <row r="3437" spans="13:19">
      <c r="M3437" s="81">
        <f t="shared" ca="1" si="353"/>
        <v>47569.048104288726</v>
      </c>
      <c r="N3437" s="19">
        <f t="shared" si="354"/>
        <v>680.7589681716255</v>
      </c>
      <c r="O3437" s="17">
        <f t="shared" si="352"/>
        <v>859</v>
      </c>
      <c r="P3437" s="19">
        <f ca="1">IF(ISERROR(IF(O3437&lt;fi_h/20,0,(OFFSET('Base de dados'!$A$5,IF(O3437&lt;20,1,IF(O3437&gt;1000,10,MATCH(O3437,Cargas,1))),Coluna_fih,1,1))*(1+0.13*0.25)*(PI()*(fi_h/1000)^2/4)*SQRT(2*9.81*(O3437/100-fi_h/2/1000))*1000)),"",IF(O3437&lt;fi_h/20,0,(OFFSET('Base de dados'!$A$5,IF(O3437&lt;20,1,IF(O3437&gt;1000,10,MATCH(O3437,Cargas,1))),Coluna_fih,1,1))*(PI()*(fi_h/1000)^2/4)*SQRT(2*9.81*(O3437/100-fi_h/2/1000))*1000))</f>
        <v>78.748268946801545</v>
      </c>
      <c r="Q3437" s="19">
        <f ca="1">IF(O3437="","",IF(Tipo_Vertedor="Retangular",IF(O3437&lt;=cota_s*100,0,IF(Tipo_Vertedor="Retangular",Cd_sr*Lef_sr*((O3437/100-cota_s)^(3/2))*1000)),IF(O3437&lt;=cota_s*100+fi_s/20,0,(OFFSET('Base de dados'!$A$4,IF(O3437&lt;20,1,IF(O3437&gt;1000,10,MATCH(O3437,Cargas,1))),Coluna_fis,1,1))*(PI()*(fi_s/1000)^2/4)*(2*9.81*(O3437/100-cota_s-fi_s/2/1000))^0.5*1000)))</f>
        <v>24798.334229621076</v>
      </c>
      <c r="R3437" s="19">
        <f t="shared" ca="1" si="355"/>
        <v>24877.082498567877</v>
      </c>
      <c r="S3437" s="19">
        <f t="shared" ca="1" si="356"/>
        <v>22691.965605720852</v>
      </c>
    </row>
    <row r="3438" spans="13:19">
      <c r="M3438" s="81">
        <f t="shared" ca="1" si="353"/>
        <v>47588.126344102493</v>
      </c>
      <c r="N3438" s="19">
        <f t="shared" si="354"/>
        <v>680.98177900049689</v>
      </c>
      <c r="O3438" s="17">
        <f t="shared" si="352"/>
        <v>859.25</v>
      </c>
      <c r="P3438" s="19">
        <f ca="1">IF(ISERROR(IF(O3438&lt;fi_h/20,0,(OFFSET('Base de dados'!$A$5,IF(O3438&lt;20,1,IF(O3438&gt;1000,10,MATCH(O3438,Cargas,1))),Coluna_fih,1,1))*(1+0.13*0.25)*(PI()*(fi_h/1000)^2/4)*SQRT(2*9.81*(O3438/100-fi_h/2/1000))*1000)),"",IF(O3438&lt;fi_h/20,0,(OFFSET('Base de dados'!$A$5,IF(O3438&lt;20,1,IF(O3438&gt;1000,10,MATCH(O3438,Cargas,1))),Coluna_fih,1,1))*(PI()*(fi_h/1000)^2/4)*SQRT(2*9.81*(O3438/100-fi_h/2/1000))*1000))</f>
        <v>78.759803132590122</v>
      </c>
      <c r="Q3438" s="19">
        <f ca="1">IF(O3438="","",IF(Tipo_Vertedor="Retangular",IF(O3438&lt;=cota_s*100,0,IF(Tipo_Vertedor="Retangular",Cd_sr*Lef_sr*((O3438/100-cota_s)^(3/2))*1000)),IF(O3438&lt;=cota_s*100+fi_s/20,0,(OFFSET('Base de dados'!$A$4,IF(O3438&lt;20,1,IF(O3438&gt;1000,10,MATCH(O3438,Cargas,1))),Coluna_fis,1,1))*(PI()*(fi_s/1000)^2/4)*(2*9.81*(O3438/100-cota_s-fi_s/2/1000))^0.5*1000)))</f>
        <v>24809.973907620013</v>
      </c>
      <c r="R3438" s="19">
        <f t="shared" ca="1" si="355"/>
        <v>24888.733710752604</v>
      </c>
      <c r="S3438" s="19">
        <f t="shared" ca="1" si="356"/>
        <v>22699.392633349893</v>
      </c>
    </row>
    <row r="3439" spans="13:19">
      <c r="M3439" s="81">
        <f t="shared" ca="1" si="353"/>
        <v>47607.206671974389</v>
      </c>
      <c r="N3439" s="19">
        <f t="shared" si="354"/>
        <v>681.20459790531766</v>
      </c>
      <c r="O3439" s="17">
        <f t="shared" si="352"/>
        <v>859.5</v>
      </c>
      <c r="P3439" s="19">
        <f ca="1">IF(ISERROR(IF(O3439&lt;fi_h/20,0,(OFFSET('Base de dados'!$A$5,IF(O3439&lt;20,1,IF(O3439&gt;1000,10,MATCH(O3439,Cargas,1))),Coluna_fih,1,1))*(1+0.13*0.25)*(PI()*(fi_h/1000)^2/4)*SQRT(2*9.81*(O3439/100-fi_h/2/1000))*1000)),"",IF(O3439&lt;fi_h/20,0,(OFFSET('Base de dados'!$A$5,IF(O3439&lt;20,1,IF(O3439&gt;1000,10,MATCH(O3439,Cargas,1))),Coluna_fih,1,1))*(PI()*(fi_h/1000)^2/4)*SQRT(2*9.81*(O3439/100-fi_h/2/1000))*1000))</f>
        <v>78.771335629471935</v>
      </c>
      <c r="Q3439" s="19">
        <f ca="1">IF(O3439="","",IF(Tipo_Vertedor="Retangular",IF(O3439&lt;=cota_s*100,0,IF(Tipo_Vertedor="Retangular",Cd_sr*Lef_sr*((O3439/100-cota_s)^(3/2))*1000)),IF(O3439&lt;=cota_s*100+fi_s/20,0,(OFFSET('Base de dados'!$A$4,IF(O3439&lt;20,1,IF(O3439&gt;1000,10,MATCH(O3439,Cargas,1))),Coluna_fis,1,1))*(PI()*(fi_s/1000)^2/4)*(2*9.81*(O3439/100-cota_s-fi_s/2/1000))^0.5*1000)))</f>
        <v>24821.615406167664</v>
      </c>
      <c r="R3439" s="19">
        <f t="shared" ca="1" si="355"/>
        <v>24900.386741797138</v>
      </c>
      <c r="S3439" s="19">
        <f t="shared" ca="1" si="356"/>
        <v>22706.819930177255</v>
      </c>
    </row>
    <row r="3440" spans="13:19">
      <c r="M3440" s="81">
        <f t="shared" ca="1" si="353"/>
        <v>47626.289087551871</v>
      </c>
      <c r="N3440" s="19">
        <f t="shared" si="354"/>
        <v>681.42742488403042</v>
      </c>
      <c r="O3440" s="17">
        <f t="shared" si="352"/>
        <v>859.75</v>
      </c>
      <c r="P3440" s="19">
        <f ca="1">IF(ISERROR(IF(O3440&lt;fi_h/20,0,(OFFSET('Base de dados'!$A$5,IF(O3440&lt;20,1,IF(O3440&gt;1000,10,MATCH(O3440,Cargas,1))),Coluna_fih,1,1))*(1+0.13*0.25)*(PI()*(fi_h/1000)^2/4)*SQRT(2*9.81*(O3440/100-fi_h/2/1000))*1000)),"",IF(O3440&lt;fi_h/20,0,(OFFSET('Base de dados'!$A$5,IF(O3440&lt;20,1,IF(O3440&gt;1000,10,MATCH(O3440,Cargas,1))),Coluna_fih,1,1))*(PI()*(fi_h/1000)^2/4)*SQRT(2*9.81*(O3440/100-fi_h/2/1000))*1000))</f>
        <v>78.782866438188677</v>
      </c>
      <c r="Q3440" s="19">
        <f ca="1">IF(O3440="","",IF(Tipo_Vertedor="Retangular",IF(O3440&lt;=cota_s*100,0,IF(Tipo_Vertedor="Retangular",Cd_sr*Lef_sr*((O3440/100-cota_s)^(3/2))*1000)),IF(O3440&lt;=cota_s*100+fi_s/20,0,(OFFSET('Base de dados'!$A$4,IF(O3440&lt;20,1,IF(O3440&gt;1000,10,MATCH(O3440,Cargas,1))),Coluna_fis,1,1))*(PI()*(fi_s/1000)^2/4)*(2*9.81*(O3440/100-cota_s-fi_s/2/1000))^0.5*1000)))</f>
        <v>24833.258724979336</v>
      </c>
      <c r="R3440" s="19">
        <f t="shared" ca="1" si="355"/>
        <v>24912.041591417525</v>
      </c>
      <c r="S3440" s="19">
        <f t="shared" ca="1" si="356"/>
        <v>22714.247496134347</v>
      </c>
    </row>
    <row r="3441" spans="13:19">
      <c r="M3441" s="81">
        <f t="shared" ca="1" si="353"/>
        <v>47645.37359048269</v>
      </c>
      <c r="N3441" s="19">
        <f t="shared" si="354"/>
        <v>681.65025993458039</v>
      </c>
      <c r="O3441" s="17">
        <f t="shared" si="352"/>
        <v>860</v>
      </c>
      <c r="P3441" s="19">
        <f ca="1">IF(ISERROR(IF(O3441&lt;fi_h/20,0,(OFFSET('Base de dados'!$A$5,IF(O3441&lt;20,1,IF(O3441&gt;1000,10,MATCH(O3441,Cargas,1))),Coluna_fih,1,1))*(1+0.13*0.25)*(PI()*(fi_h/1000)^2/4)*SQRT(2*9.81*(O3441/100-fi_h/2/1000))*1000)),"",IF(O3441&lt;fi_h/20,0,(OFFSET('Base de dados'!$A$5,IF(O3441&lt;20,1,IF(O3441&gt;1000,10,MATCH(O3441,Cargas,1))),Coluna_fih,1,1))*(PI()*(fi_h/1000)^2/4)*SQRT(2*9.81*(O3441/100-fi_h/2/1000))*1000))</f>
        <v>78.794395559481487</v>
      </c>
      <c r="Q3441" s="19">
        <f ca="1">IF(O3441="","",IF(Tipo_Vertedor="Retangular",IF(O3441&lt;=cota_s*100,0,IF(Tipo_Vertedor="Retangular",Cd_sr*Lef_sr*((O3441/100-cota_s)^(3/2))*1000)),IF(O3441&lt;=cota_s*100+fi_s/20,0,(OFFSET('Base de dados'!$A$4,IF(O3441&lt;20,1,IF(O3441&gt;1000,10,MATCH(O3441,Cargas,1))),Coluna_fis,1,1))*(PI()*(fi_s/1000)^2/4)*(2*9.81*(O3441/100-cota_s-fi_s/2/1000))^0.5*1000)))</f>
        <v>24844.903863770523</v>
      </c>
      <c r="R3441" s="19">
        <f t="shared" ca="1" si="355"/>
        <v>24923.698259330005</v>
      </c>
      <c r="S3441" s="19">
        <f t="shared" ca="1" si="356"/>
        <v>22721.675331152681</v>
      </c>
    </row>
    <row r="3442" spans="13:19">
      <c r="M3442" s="81">
        <f t="shared" ca="1" si="353"/>
        <v>47664.46018041471</v>
      </c>
      <c r="N3442" s="19">
        <f t="shared" si="354"/>
        <v>681.87310305491326</v>
      </c>
      <c r="O3442" s="17">
        <f t="shared" si="352"/>
        <v>860.25</v>
      </c>
      <c r="P3442" s="19">
        <f ca="1">IF(ISERROR(IF(O3442&lt;fi_h/20,0,(OFFSET('Base de dados'!$A$5,IF(O3442&lt;20,1,IF(O3442&gt;1000,10,MATCH(O3442,Cargas,1))),Coluna_fih,1,1))*(1+0.13*0.25)*(PI()*(fi_h/1000)^2/4)*SQRT(2*9.81*(O3442/100-fi_h/2/1000))*1000)),"",IF(O3442&lt;fi_h/20,0,(OFFSET('Base de dados'!$A$5,IF(O3442&lt;20,1,IF(O3442&gt;1000,10,MATCH(O3442,Cargas,1))),Coluna_fih,1,1))*(PI()*(fi_h/1000)^2/4)*SQRT(2*9.81*(O3442/100-fi_h/2/1000))*1000))</f>
        <v>78.805922994090992</v>
      </c>
      <c r="Q3442" s="19">
        <f ca="1">IF(O3442="","",IF(Tipo_Vertedor="Retangular",IF(O3442&lt;=cota_s*100,0,IF(Tipo_Vertedor="Retangular",Cd_sr*Lef_sr*((O3442/100-cota_s)^(3/2))*1000)),IF(O3442&lt;=cota_s*100+fi_s/20,0,(OFFSET('Base de dados'!$A$4,IF(O3442&lt;20,1,IF(O3442&gt;1000,10,MATCH(O3442,Cargas,1))),Coluna_fis,1,1))*(PI()*(fi_s/1000)^2/4)*(2*9.81*(O3442/100-cota_s-fi_s/2/1000))^0.5*1000)))</f>
        <v>24856.550822256842</v>
      </c>
      <c r="R3442" s="19">
        <f t="shared" ca="1" si="355"/>
        <v>24935.356745250934</v>
      </c>
      <c r="S3442" s="19">
        <f t="shared" ca="1" si="356"/>
        <v>22729.103435163775</v>
      </c>
    </row>
    <row r="3443" spans="13:19">
      <c r="M3443" s="81">
        <f t="shared" ca="1" si="353"/>
        <v>47683.548856995985</v>
      </c>
      <c r="N3443" s="19">
        <f t="shared" si="354"/>
        <v>682.09595424297618</v>
      </c>
      <c r="O3443" s="17">
        <f t="shared" si="352"/>
        <v>860.5</v>
      </c>
      <c r="P3443" s="19">
        <f ca="1">IF(ISERROR(IF(O3443&lt;fi_h/20,0,(OFFSET('Base de dados'!$A$5,IF(O3443&lt;20,1,IF(O3443&gt;1000,10,MATCH(O3443,Cargas,1))),Coluna_fih,1,1))*(1+0.13*0.25)*(PI()*(fi_h/1000)^2/4)*SQRT(2*9.81*(O3443/100-fi_h/2/1000))*1000)),"",IF(O3443&lt;fi_h/20,0,(OFFSET('Base de dados'!$A$5,IF(O3443&lt;20,1,IF(O3443&gt;1000,10,MATCH(O3443,Cargas,1))),Coluna_fih,1,1))*(PI()*(fi_h/1000)^2/4)*SQRT(2*9.81*(O3443/100-fi_h/2/1000))*1000))</f>
        <v>78.817448742757236</v>
      </c>
      <c r="Q3443" s="19">
        <f ca="1">IF(O3443="","",IF(Tipo_Vertedor="Retangular",IF(O3443&lt;=cota_s*100,0,IF(Tipo_Vertedor="Retangular",Cd_sr*Lef_sr*((O3443/100-cota_s)^(3/2))*1000)),IF(O3443&lt;=cota_s*100+fi_s/20,0,(OFFSET('Base de dados'!$A$4,IF(O3443&lt;20,1,IF(O3443&gt;1000,10,MATCH(O3443,Cargas,1))),Coluna_fis,1,1))*(PI()*(fi_s/1000)^2/4)*(2*9.81*(O3443/100-cota_s-fi_s/2/1000))^0.5*1000)))</f>
        <v>24868.199600154025</v>
      </c>
      <c r="R3443" s="19">
        <f t="shared" ca="1" si="355"/>
        <v>24947.017048896781</v>
      </c>
      <c r="S3443" s="19">
        <f t="shared" ca="1" si="356"/>
        <v>22736.531808099204</v>
      </c>
    </row>
    <row r="3444" spans="13:19">
      <c r="M3444" s="81">
        <f t="shared" ca="1" si="353"/>
        <v>47702.63961987471</v>
      </c>
      <c r="N3444" s="19">
        <f t="shared" si="354"/>
        <v>682.31881349671698</v>
      </c>
      <c r="O3444" s="17">
        <f t="shared" si="352"/>
        <v>860.75</v>
      </c>
      <c r="P3444" s="19">
        <f ca="1">IF(ISERROR(IF(O3444&lt;fi_h/20,0,(OFFSET('Base de dados'!$A$5,IF(O3444&lt;20,1,IF(O3444&gt;1000,10,MATCH(O3444,Cargas,1))),Coluna_fih,1,1))*(1+0.13*0.25)*(PI()*(fi_h/1000)^2/4)*SQRT(2*9.81*(O3444/100-fi_h/2/1000))*1000)),"",IF(O3444&lt;fi_h/20,0,(OFFSET('Base de dados'!$A$5,IF(O3444&lt;20,1,IF(O3444&gt;1000,10,MATCH(O3444,Cargas,1))),Coluna_fih,1,1))*(PI()*(fi_h/1000)^2/4)*SQRT(2*9.81*(O3444/100-fi_h/2/1000))*1000))</f>
        <v>78.828972806219696</v>
      </c>
      <c r="Q3444" s="19">
        <f ca="1">IF(O3444="","",IF(Tipo_Vertedor="Retangular",IF(O3444&lt;=cota_s*100,0,IF(Tipo_Vertedor="Retangular",Cd_sr*Lef_sr*((O3444/100-cota_s)^(3/2))*1000)),IF(O3444&lt;=cota_s*100+fi_s/20,0,(OFFSET('Base de dados'!$A$4,IF(O3444&lt;20,1,IF(O3444&gt;1000,10,MATCH(O3444,Cargas,1))),Coluna_fis,1,1))*(PI()*(fi_s/1000)^2/4)*(2*9.81*(O3444/100-cota_s-fi_s/2/1000))^0.5*1000)))</f>
        <v>24879.850197177926</v>
      </c>
      <c r="R3444" s="19">
        <f t="shared" ca="1" si="355"/>
        <v>24958.679169984145</v>
      </c>
      <c r="S3444" s="19">
        <f t="shared" ca="1" si="356"/>
        <v>22743.960449890568</v>
      </c>
    </row>
    <row r="3445" spans="13:19">
      <c r="M3445" s="81">
        <f t="shared" ca="1" si="353"/>
        <v>47721.732468699265</v>
      </c>
      <c r="N3445" s="19">
        <f t="shared" si="354"/>
        <v>682.54168081408454</v>
      </c>
      <c r="O3445" s="17">
        <f t="shared" si="352"/>
        <v>861</v>
      </c>
      <c r="P3445" s="19">
        <f ca="1">IF(ISERROR(IF(O3445&lt;fi_h/20,0,(OFFSET('Base de dados'!$A$5,IF(O3445&lt;20,1,IF(O3445&gt;1000,10,MATCH(O3445,Cargas,1))),Coluna_fih,1,1))*(1+0.13*0.25)*(PI()*(fi_h/1000)^2/4)*SQRT(2*9.81*(O3445/100-fi_h/2/1000))*1000)),"",IF(O3445&lt;fi_h/20,0,(OFFSET('Base de dados'!$A$5,IF(O3445&lt;20,1,IF(O3445&gt;1000,10,MATCH(O3445,Cargas,1))),Coluna_fih,1,1))*(PI()*(fi_h/1000)^2/4)*SQRT(2*9.81*(O3445/100-fi_h/2/1000))*1000))</f>
        <v>78.840495185217378</v>
      </c>
      <c r="Q3445" s="19">
        <f ca="1">IF(O3445="","",IF(Tipo_Vertedor="Retangular",IF(O3445&lt;=cota_s*100,0,IF(Tipo_Vertedor="Retangular",Cd_sr*Lef_sr*((O3445/100-cota_s)^(3/2))*1000)),IF(O3445&lt;=cota_s*100+fi_s/20,0,(OFFSET('Base de dados'!$A$4,IF(O3445&lt;20,1,IF(O3445&gt;1000,10,MATCH(O3445,Cargas,1))),Coluna_fis,1,1))*(PI()*(fi_s/1000)^2/4)*(2*9.81*(O3445/100-cota_s-fi_s/2/1000))^0.5*1000)))</f>
        <v>24891.502613044559</v>
      </c>
      <c r="R3445" s="19">
        <f t="shared" ca="1" si="355"/>
        <v>24970.343108229776</v>
      </c>
      <c r="S3445" s="19">
        <f t="shared" ca="1" si="356"/>
        <v>22751.389360469486</v>
      </c>
    </row>
    <row r="3446" spans="13:19">
      <c r="M3446" s="81">
        <f t="shared" ca="1" si="353"/>
        <v>47740.827403118223</v>
      </c>
      <c r="N3446" s="19">
        <f t="shared" si="354"/>
        <v>682.76455619302965</v>
      </c>
      <c r="O3446" s="17">
        <f t="shared" si="352"/>
        <v>861.25</v>
      </c>
      <c r="P3446" s="19">
        <f ca="1">IF(ISERROR(IF(O3446&lt;fi_h/20,0,(OFFSET('Base de dados'!$A$5,IF(O3446&lt;20,1,IF(O3446&gt;1000,10,MATCH(O3446,Cargas,1))),Coluna_fih,1,1))*(1+0.13*0.25)*(PI()*(fi_h/1000)^2/4)*SQRT(2*9.81*(O3446/100-fi_h/2/1000))*1000)),"",IF(O3446&lt;fi_h/20,0,(OFFSET('Base de dados'!$A$5,IF(O3446&lt;20,1,IF(O3446&gt;1000,10,MATCH(O3446,Cargas,1))),Coluna_fih,1,1))*(PI()*(fi_h/1000)^2/4)*SQRT(2*9.81*(O3446/100-fi_h/2/1000))*1000))</f>
        <v>78.852015880488736</v>
      </c>
      <c r="Q3446" s="19">
        <f ca="1">IF(O3446="","",IF(Tipo_Vertedor="Retangular",IF(O3446&lt;=cota_s*100,0,IF(Tipo_Vertedor="Retangular",Cd_sr*Lef_sr*((O3446/100-cota_s)^(3/2))*1000)),IF(O3446&lt;=cota_s*100+fi_s/20,0,(OFFSET('Base de dados'!$A$4,IF(O3446&lt;20,1,IF(O3446&gt;1000,10,MATCH(O3446,Cargas,1))),Coluna_fis,1,1))*(PI()*(fi_s/1000)^2/4)*(2*9.81*(O3446/100-cota_s-fi_s/2/1000))^0.5*1000)))</f>
        <v>24903.15684747008</v>
      </c>
      <c r="R3446" s="19">
        <f t="shared" ca="1" si="355"/>
        <v>24982.008863350569</v>
      </c>
      <c r="S3446" s="19">
        <f t="shared" ca="1" si="356"/>
        <v>22758.818539767653</v>
      </c>
    </row>
    <row r="3447" spans="13:19">
      <c r="M3447" s="81">
        <f t="shared" ca="1" si="353"/>
        <v>47759.924422780277</v>
      </c>
      <c r="N3447" s="19">
        <f t="shared" si="354"/>
        <v>682.98743963150343</v>
      </c>
      <c r="O3447" s="17">
        <f t="shared" si="352"/>
        <v>861.5</v>
      </c>
      <c r="P3447" s="19">
        <f ca="1">IF(ISERROR(IF(O3447&lt;fi_h/20,0,(OFFSET('Base de dados'!$A$5,IF(O3447&lt;20,1,IF(O3447&gt;1000,10,MATCH(O3447,Cargas,1))),Coluna_fih,1,1))*(1+0.13*0.25)*(PI()*(fi_h/1000)^2/4)*SQRT(2*9.81*(O3447/100-fi_h/2/1000))*1000)),"",IF(O3447&lt;fi_h/20,0,(OFFSET('Base de dados'!$A$5,IF(O3447&lt;20,1,IF(O3447&gt;1000,10,MATCH(O3447,Cargas,1))),Coluna_fih,1,1))*(PI()*(fi_h/1000)^2/4)*SQRT(2*9.81*(O3447/100-fi_h/2/1000))*1000))</f>
        <v>78.863534892771639</v>
      </c>
      <c r="Q3447" s="19">
        <f ca="1">IF(O3447="","",IF(Tipo_Vertedor="Retangular",IF(O3447&lt;=cota_s*100,0,IF(Tipo_Vertedor="Retangular",Cd_sr*Lef_sr*((O3447/100-cota_s)^(3/2))*1000)),IF(O3447&lt;=cota_s*100+fi_s/20,0,(OFFSET('Base de dados'!$A$4,IF(O3447&lt;20,1,IF(O3447&gt;1000,10,MATCH(O3447,Cargas,1))),Coluna_fis,1,1))*(PI()*(fi_s/1000)^2/4)*(2*9.81*(O3447/100-cota_s-fi_s/2/1000))^0.5*1000)))</f>
        <v>24914.812900170724</v>
      </c>
      <c r="R3447" s="19">
        <f t="shared" ca="1" si="355"/>
        <v>24993.676435063495</v>
      </c>
      <c r="S3447" s="19">
        <f t="shared" ca="1" si="356"/>
        <v>22766.247987716783</v>
      </c>
    </row>
    <row r="3448" spans="13:19">
      <c r="M3448" s="81">
        <f t="shared" ca="1" si="353"/>
        <v>47779.023527334357</v>
      </c>
      <c r="N3448" s="19">
        <f t="shared" si="354"/>
        <v>683.21033112745874</v>
      </c>
      <c r="O3448" s="17">
        <f t="shared" si="352"/>
        <v>861.75</v>
      </c>
      <c r="P3448" s="19">
        <f ca="1">IF(ISERROR(IF(O3448&lt;fi_h/20,0,(OFFSET('Base de dados'!$A$5,IF(O3448&lt;20,1,IF(O3448&gt;1000,10,MATCH(O3448,Cargas,1))),Coluna_fih,1,1))*(1+0.13*0.25)*(PI()*(fi_h/1000)^2/4)*SQRT(2*9.81*(O3448/100-fi_h/2/1000))*1000)),"",IF(O3448&lt;fi_h/20,0,(OFFSET('Base de dados'!$A$5,IF(O3448&lt;20,1,IF(O3448&gt;1000,10,MATCH(O3448,Cargas,1))),Coluna_fih,1,1))*(PI()*(fi_h/1000)^2/4)*SQRT(2*9.81*(O3448/100-fi_h/2/1000))*1000))</f>
        <v>78.875052222803447</v>
      </c>
      <c r="Q3448" s="19">
        <f ca="1">IF(O3448="","",IF(Tipo_Vertedor="Retangular",IF(O3448&lt;=cota_s*100,0,IF(Tipo_Vertedor="Retangular",Cd_sr*Lef_sr*((O3448/100-cota_s)^(3/2))*1000)),IF(O3448&lt;=cota_s*100+fi_s/20,0,(OFFSET('Base de dados'!$A$4,IF(O3448&lt;20,1,IF(O3448&gt;1000,10,MATCH(O3448,Cargas,1))),Coluna_fis,1,1))*(PI()*(fi_s/1000)^2/4)*(2*9.81*(O3448/100-cota_s-fi_s/2/1000))^0.5*1000)))</f>
        <v>24926.470770862928</v>
      </c>
      <c r="R3448" s="19">
        <f t="shared" ca="1" si="355"/>
        <v>25005.345823085732</v>
      </c>
      <c r="S3448" s="19">
        <f t="shared" ca="1" si="356"/>
        <v>22773.677704248625</v>
      </c>
    </row>
    <row r="3449" spans="13:19">
      <c r="M3449" s="81">
        <f t="shared" ca="1" si="353"/>
        <v>47798.124716429491</v>
      </c>
      <c r="N3449" s="19">
        <f t="shared" si="354"/>
        <v>683.43323067884842</v>
      </c>
      <c r="O3449" s="17">
        <f t="shared" si="352"/>
        <v>862</v>
      </c>
      <c r="P3449" s="19">
        <f ca="1">IF(ISERROR(IF(O3449&lt;fi_h/20,0,(OFFSET('Base de dados'!$A$5,IF(O3449&lt;20,1,IF(O3449&gt;1000,10,MATCH(O3449,Cargas,1))),Coluna_fih,1,1))*(1+0.13*0.25)*(PI()*(fi_h/1000)^2/4)*SQRT(2*9.81*(O3449/100-fi_h/2/1000))*1000)),"",IF(O3449&lt;fi_h/20,0,(OFFSET('Base de dados'!$A$5,IF(O3449&lt;20,1,IF(O3449&gt;1000,10,MATCH(O3449,Cargas,1))),Coluna_fih,1,1))*(PI()*(fi_h/1000)^2/4)*SQRT(2*9.81*(O3449/100-fi_h/2/1000))*1000))</f>
        <v>78.886567871320992</v>
      </c>
      <c r="Q3449" s="19">
        <f ca="1">IF(O3449="","",IF(Tipo_Vertedor="Retangular",IF(O3449&lt;=cota_s*100,0,IF(Tipo_Vertedor="Retangular",Cd_sr*Lef_sr*((O3449/100-cota_s)^(3/2))*1000)),IF(O3449&lt;=cota_s*100+fi_s/20,0,(OFFSET('Base de dados'!$A$4,IF(O3449&lt;20,1,IF(O3449&gt;1000,10,MATCH(O3449,Cargas,1))),Coluna_fis,1,1))*(PI()*(fi_s/1000)^2/4)*(2*9.81*(O3449/100-cota_s-fi_s/2/1000))^0.5*1000)))</f>
        <v>24938.130459263219</v>
      </c>
      <c r="R3449" s="19">
        <f t="shared" ca="1" si="355"/>
        <v>25017.017027134541</v>
      </c>
      <c r="S3449" s="19">
        <f t="shared" ca="1" si="356"/>
        <v>22781.10768929495</v>
      </c>
    </row>
    <row r="3450" spans="13:19">
      <c r="M3450" s="81">
        <f t="shared" ca="1" si="353"/>
        <v>47817.227989714942</v>
      </c>
      <c r="N3450" s="19">
        <f t="shared" si="354"/>
        <v>683.65613828362825</v>
      </c>
      <c r="O3450" s="17">
        <f t="shared" si="352"/>
        <v>862.25</v>
      </c>
      <c r="P3450" s="19">
        <f ca="1">IF(ISERROR(IF(O3450&lt;fi_h/20,0,(OFFSET('Base de dados'!$A$5,IF(O3450&lt;20,1,IF(O3450&gt;1000,10,MATCH(O3450,Cargas,1))),Coluna_fih,1,1))*(1+0.13*0.25)*(PI()*(fi_h/1000)^2/4)*SQRT(2*9.81*(O3450/100-fi_h/2/1000))*1000)),"",IF(O3450&lt;fi_h/20,0,(OFFSET('Base de dados'!$A$5,IF(O3450&lt;20,1,IF(O3450&gt;1000,10,MATCH(O3450,Cargas,1))),Coluna_fih,1,1))*(PI()*(fi_h/1000)^2/4)*SQRT(2*9.81*(O3450/100-fi_h/2/1000))*1000))</f>
        <v>78.898081839060566</v>
      </c>
      <c r="Q3450" s="19">
        <f ca="1">IF(O3450="","",IF(Tipo_Vertedor="Retangular",IF(O3450&lt;=cota_s*100,0,IF(Tipo_Vertedor="Retangular",Cd_sr*Lef_sr*((O3450/100-cota_s)^(3/2))*1000)),IF(O3450&lt;=cota_s*100+fi_s/20,0,(OFFSET('Base de dados'!$A$4,IF(O3450&lt;20,1,IF(O3450&gt;1000,10,MATCH(O3450,Cargas,1))),Coluna_fis,1,1))*(PI()*(fi_s/1000)^2/4)*(2*9.81*(O3450/100-cota_s-fi_s/2/1000))^0.5*1000)))</f>
        <v>24949.791965088269</v>
      </c>
      <c r="R3450" s="19">
        <f t="shared" ca="1" si="355"/>
        <v>25028.690046927328</v>
      </c>
      <c r="S3450" s="19">
        <f t="shared" ca="1" si="356"/>
        <v>22788.537942787611</v>
      </c>
    </row>
    <row r="3451" spans="13:19">
      <c r="M3451" s="81">
        <f t="shared" ca="1" si="353"/>
        <v>47836.333346840067</v>
      </c>
      <c r="N3451" s="19">
        <f t="shared" si="354"/>
        <v>683.87905393975325</v>
      </c>
      <c r="O3451" s="17">
        <f t="shared" si="352"/>
        <v>862.5</v>
      </c>
      <c r="P3451" s="19">
        <f ca="1">IF(ISERROR(IF(O3451&lt;fi_h/20,0,(OFFSET('Base de dados'!$A$5,IF(O3451&lt;20,1,IF(O3451&gt;1000,10,MATCH(O3451,Cargas,1))),Coluna_fih,1,1))*(1+0.13*0.25)*(PI()*(fi_h/1000)^2/4)*SQRT(2*9.81*(O3451/100-fi_h/2/1000))*1000)),"",IF(O3451&lt;fi_h/20,0,(OFFSET('Base de dados'!$A$5,IF(O3451&lt;20,1,IF(O3451&gt;1000,10,MATCH(O3451,Cargas,1))),Coluna_fih,1,1))*(PI()*(fi_h/1000)^2/4)*SQRT(2*9.81*(O3451/100-fi_h/2/1000))*1000))</f>
        <v>78.909594126757852</v>
      </c>
      <c r="Q3451" s="19">
        <f ca="1">IF(O3451="","",IF(Tipo_Vertedor="Retangular",IF(O3451&lt;=cota_s*100,0,IF(Tipo_Vertedor="Retangular",Cd_sr*Lef_sr*((O3451/100-cota_s)^(3/2))*1000)),IF(O3451&lt;=cota_s*100+fi_s/20,0,(OFFSET('Base de dados'!$A$4,IF(O3451&lt;20,1,IF(O3451&gt;1000,10,MATCH(O3451,Cargas,1))),Coluna_fis,1,1))*(PI()*(fi_s/1000)^2/4)*(2*9.81*(O3451/100-cota_s-fi_s/2/1000))^0.5*1000)))</f>
        <v>24961.455288054869</v>
      </c>
      <c r="R3451" s="19">
        <f t="shared" ca="1" si="355"/>
        <v>25040.364882181628</v>
      </c>
      <c r="S3451" s="19">
        <f t="shared" ca="1" si="356"/>
        <v>22795.968464658439</v>
      </c>
    </row>
    <row r="3452" spans="13:19">
      <c r="M3452" s="81">
        <f t="shared" ca="1" si="353"/>
        <v>47855.44078745447</v>
      </c>
      <c r="N3452" s="19">
        <f t="shared" si="354"/>
        <v>684.10197764518057</v>
      </c>
      <c r="O3452" s="17">
        <f t="shared" si="352"/>
        <v>862.75</v>
      </c>
      <c r="P3452" s="19">
        <f ca="1">IF(ISERROR(IF(O3452&lt;fi_h/20,0,(OFFSET('Base de dados'!$A$5,IF(O3452&lt;20,1,IF(O3452&gt;1000,10,MATCH(O3452,Cargas,1))),Coluna_fih,1,1))*(1+0.13*0.25)*(PI()*(fi_h/1000)^2/4)*SQRT(2*9.81*(O3452/100-fi_h/2/1000))*1000)),"",IF(O3452&lt;fi_h/20,0,(OFFSET('Base de dados'!$A$5,IF(O3452&lt;20,1,IF(O3452&gt;1000,10,MATCH(O3452,Cargas,1))),Coluna_fih,1,1))*(PI()*(fi_h/1000)^2/4)*SQRT(2*9.81*(O3452/100-fi_h/2/1000))*1000))</f>
        <v>78.921104735148134</v>
      </c>
      <c r="Q3452" s="19">
        <f ca="1">IF(O3452="","",IF(Tipo_Vertedor="Retangular",IF(O3452&lt;=cota_s*100,0,IF(Tipo_Vertedor="Retangular",Cd_sr*Lef_sr*((O3452/100-cota_s)^(3/2))*1000)),IF(O3452&lt;=cota_s*100+fi_s/20,0,(OFFSET('Base de dados'!$A$4,IF(O3452&lt;20,1,IF(O3452&gt;1000,10,MATCH(O3452,Cargas,1))),Coluna_fis,1,1))*(PI()*(fi_s/1000)^2/4)*(2*9.81*(O3452/100-cota_s-fi_s/2/1000))^0.5*1000)))</f>
        <v>24973.120427879974</v>
      </c>
      <c r="R3452" s="19">
        <f t="shared" ca="1" si="355"/>
        <v>25052.041532615123</v>
      </c>
      <c r="S3452" s="19">
        <f t="shared" ca="1" si="356"/>
        <v>22803.399254839351</v>
      </c>
    </row>
    <row r="3453" spans="13:19">
      <c r="M3453" s="81">
        <f t="shared" ca="1" si="353"/>
        <v>47874.550311207888</v>
      </c>
      <c r="N3453" s="19">
        <f t="shared" si="354"/>
        <v>684.32490939786885</v>
      </c>
      <c r="O3453" s="17">
        <f t="shared" si="352"/>
        <v>863</v>
      </c>
      <c r="P3453" s="19">
        <f ca="1">IF(ISERROR(IF(O3453&lt;fi_h/20,0,(OFFSET('Base de dados'!$A$5,IF(O3453&lt;20,1,IF(O3453&gt;1000,10,MATCH(O3453,Cargas,1))),Coluna_fih,1,1))*(1+0.13*0.25)*(PI()*(fi_h/1000)^2/4)*SQRT(2*9.81*(O3453/100-fi_h/2/1000))*1000)),"",IF(O3453&lt;fi_h/20,0,(OFFSET('Base de dados'!$A$5,IF(O3453&lt;20,1,IF(O3453&gt;1000,10,MATCH(O3453,Cargas,1))),Coluna_fih,1,1))*(PI()*(fi_h/1000)^2/4)*SQRT(2*9.81*(O3453/100-fi_h/2/1000))*1000))</f>
        <v>78.932613664966041</v>
      </c>
      <c r="Q3453" s="19">
        <f ca="1">IF(O3453="","",IF(Tipo_Vertedor="Retangular",IF(O3453&lt;=cota_s*100,0,IF(Tipo_Vertedor="Retangular",Cd_sr*Lef_sr*((O3453/100-cota_s)^(3/2))*1000)),IF(O3453&lt;=cota_s*100+fi_s/20,0,(OFFSET('Base de dados'!$A$4,IF(O3453&lt;20,1,IF(O3453&gt;1000,10,MATCH(O3453,Cargas,1))),Coluna_fis,1,1))*(PI()*(fi_s/1000)^2/4)*(2*9.81*(O3453/100-cota_s-fi_s/2/1000))^0.5*1000)))</f>
        <v>24984.787384280626</v>
      </c>
      <c r="R3453" s="19">
        <f t="shared" ca="1" si="355"/>
        <v>25063.719997945591</v>
      </c>
      <c r="S3453" s="19">
        <f t="shared" ca="1" si="356"/>
        <v>22810.830313262297</v>
      </c>
    </row>
    <row r="3454" spans="13:19">
      <c r="M3454" s="81">
        <f t="shared" ca="1" si="353"/>
        <v>47893.661917750171</v>
      </c>
      <c r="N3454" s="19">
        <f t="shared" si="354"/>
        <v>684.54784919577605</v>
      </c>
      <c r="O3454" s="17">
        <f t="shared" si="352"/>
        <v>863.25</v>
      </c>
      <c r="P3454" s="19">
        <f ca="1">IF(ISERROR(IF(O3454&lt;fi_h/20,0,(OFFSET('Base de dados'!$A$5,IF(O3454&lt;20,1,IF(O3454&gt;1000,10,MATCH(O3454,Cargas,1))),Coluna_fih,1,1))*(1+0.13*0.25)*(PI()*(fi_h/1000)^2/4)*SQRT(2*9.81*(O3454/100-fi_h/2/1000))*1000)),"",IF(O3454&lt;fi_h/20,0,(OFFSET('Base de dados'!$A$5,IF(O3454&lt;20,1,IF(O3454&gt;1000,10,MATCH(O3454,Cargas,1))),Coluna_fih,1,1))*(PI()*(fi_h/1000)^2/4)*SQRT(2*9.81*(O3454/100-fi_h/2/1000))*1000))</f>
        <v>78.944120916945721</v>
      </c>
      <c r="Q3454" s="19">
        <f ca="1">IF(O3454="","",IF(Tipo_Vertedor="Retangular",IF(O3454&lt;=cota_s*100,0,IF(Tipo_Vertedor="Retangular",Cd_sr*Lef_sr*((O3454/100-cota_s)^(3/2))*1000)),IF(O3454&lt;=cota_s*100+fi_s/20,0,(OFFSET('Base de dados'!$A$4,IF(O3454&lt;20,1,IF(O3454&gt;1000,10,MATCH(O3454,Cargas,1))),Coluna_fis,1,1))*(PI()*(fi_s/1000)^2/4)*(2*9.81*(O3454/100-cota_s-fi_s/2/1000))^0.5*1000)))</f>
        <v>24996.456156974029</v>
      </c>
      <c r="R3454" s="19">
        <f t="shared" ca="1" si="355"/>
        <v>25075.400277890974</v>
      </c>
      <c r="S3454" s="19">
        <f t="shared" ca="1" si="356"/>
        <v>22818.2616398592</v>
      </c>
    </row>
    <row r="3455" spans="13:19">
      <c r="M3455" s="81">
        <f t="shared" ca="1" si="353"/>
        <v>47912.775606731484</v>
      </c>
      <c r="N3455" s="19">
        <f t="shared" si="354"/>
        <v>684.770797036864</v>
      </c>
      <c r="O3455" s="17">
        <f t="shared" si="352"/>
        <v>863.5</v>
      </c>
      <c r="P3455" s="19">
        <f ca="1">IF(ISERROR(IF(O3455&lt;fi_h/20,0,(OFFSET('Base de dados'!$A$5,IF(O3455&lt;20,1,IF(O3455&gt;1000,10,MATCH(O3455,Cargas,1))),Coluna_fih,1,1))*(1+0.13*0.25)*(PI()*(fi_h/1000)^2/4)*SQRT(2*9.81*(O3455/100-fi_h/2/1000))*1000)),"",IF(O3455&lt;fi_h/20,0,(OFFSET('Base de dados'!$A$5,IF(O3455&lt;20,1,IF(O3455&gt;1000,10,MATCH(O3455,Cargas,1))),Coluna_fih,1,1))*(PI()*(fi_h/1000)^2/4)*SQRT(2*9.81*(O3455/100-fi_h/2/1000))*1000))</f>
        <v>78.955626491820752</v>
      </c>
      <c r="Q3455" s="19">
        <f ca="1">IF(O3455="","",IF(Tipo_Vertedor="Retangular",IF(O3455&lt;=cota_s*100,0,IF(Tipo_Vertedor="Retangular",Cd_sr*Lef_sr*((O3455/100-cota_s)^(3/2))*1000)),IF(O3455&lt;=cota_s*100+fi_s/20,0,(OFFSET('Base de dados'!$A$4,IF(O3455&lt;20,1,IF(O3455&gt;1000,10,MATCH(O3455,Cargas,1))),Coluna_fis,1,1))*(PI()*(fi_s/1000)^2/4)*(2*9.81*(O3455/100-cota_s-fi_s/2/1000))^0.5*1000)))</f>
        <v>25008.126745677531</v>
      </c>
      <c r="R3455" s="19">
        <f t="shared" ca="1" si="355"/>
        <v>25087.082372169352</v>
      </c>
      <c r="S3455" s="19">
        <f t="shared" ca="1" si="356"/>
        <v>22825.693234562132</v>
      </c>
    </row>
    <row r="3456" spans="13:19">
      <c r="M3456" s="81">
        <f t="shared" ca="1" si="353"/>
        <v>47931.891377801978</v>
      </c>
      <c r="N3456" s="19">
        <f t="shared" si="354"/>
        <v>684.99375291909269</v>
      </c>
      <c r="O3456" s="17">
        <f t="shared" si="352"/>
        <v>863.75</v>
      </c>
      <c r="P3456" s="19">
        <f ca="1">IF(ISERROR(IF(O3456&lt;fi_h/20,0,(OFFSET('Base de dados'!$A$5,IF(O3456&lt;20,1,IF(O3456&gt;1000,10,MATCH(O3456,Cargas,1))),Coluna_fih,1,1))*(1+0.13*0.25)*(PI()*(fi_h/1000)^2/4)*SQRT(2*9.81*(O3456/100-fi_h/2/1000))*1000)),"",IF(O3456&lt;fi_h/20,0,(OFFSET('Base de dados'!$A$5,IF(O3456&lt;20,1,IF(O3456&gt;1000,10,MATCH(O3456,Cargas,1))),Coluna_fih,1,1))*(PI()*(fi_h/1000)^2/4)*SQRT(2*9.81*(O3456/100-fi_h/2/1000))*1000))</f>
        <v>78.967130390324229</v>
      </c>
      <c r="Q3456" s="19">
        <f ca="1">IF(O3456="","",IF(Tipo_Vertedor="Retangular",IF(O3456&lt;=cota_s*100,0,IF(Tipo_Vertedor="Retangular",Cd_sr*Lef_sr*((O3456/100-cota_s)^(3/2))*1000)),IF(O3456&lt;=cota_s*100+fi_s/20,0,(OFFSET('Base de dados'!$A$4,IF(O3456&lt;20,1,IF(O3456&gt;1000,10,MATCH(O3456,Cargas,1))),Coluna_fis,1,1))*(PI()*(fi_s/1000)^2/4)*(2*9.81*(O3456/100-cota_s-fi_s/2/1000))^0.5*1000)))</f>
        <v>25019.799150108571</v>
      </c>
      <c r="R3456" s="19">
        <f t="shared" ca="1" si="355"/>
        <v>25098.766280498894</v>
      </c>
      <c r="S3456" s="19">
        <f t="shared" ca="1" si="356"/>
        <v>22833.125097303087</v>
      </c>
    </row>
    <row r="3457" spans="13:19">
      <c r="M3457" s="81">
        <f t="shared" ca="1" si="353"/>
        <v>47951.009230612151</v>
      </c>
      <c r="N3457" s="19">
        <f t="shared" si="354"/>
        <v>685.21671684042576</v>
      </c>
      <c r="O3457" s="17">
        <f t="shared" si="352"/>
        <v>864</v>
      </c>
      <c r="P3457" s="19">
        <f ca="1">IF(ISERROR(IF(O3457&lt;fi_h/20,0,(OFFSET('Base de dados'!$A$5,IF(O3457&lt;20,1,IF(O3457&gt;1000,10,MATCH(O3457,Cargas,1))),Coluna_fih,1,1))*(1+0.13*0.25)*(PI()*(fi_h/1000)^2/4)*SQRT(2*9.81*(O3457/100-fi_h/2/1000))*1000)),"",IF(O3457&lt;fi_h/20,0,(OFFSET('Base de dados'!$A$5,IF(O3457&lt;20,1,IF(O3457&gt;1000,10,MATCH(O3457,Cargas,1))),Coluna_fih,1,1))*(PI()*(fi_h/1000)^2/4)*SQRT(2*9.81*(O3457/100-fi_h/2/1000))*1000))</f>
        <v>78.978632613188694</v>
      </c>
      <c r="Q3457" s="19">
        <f ca="1">IF(O3457="","",IF(Tipo_Vertedor="Retangular",IF(O3457&lt;=cota_s*100,0,IF(Tipo_Vertedor="Retangular",Cd_sr*Lef_sr*((O3457/100-cota_s)^(3/2))*1000)),IF(O3457&lt;=cota_s*100+fi_s/20,0,(OFFSET('Base de dados'!$A$4,IF(O3457&lt;20,1,IF(O3457&gt;1000,10,MATCH(O3457,Cargas,1))),Coluna_fis,1,1))*(PI()*(fi_s/1000)^2/4)*(2*9.81*(O3457/100-cota_s-fi_s/2/1000))^0.5*1000)))</f>
        <v>25031.473369984771</v>
      </c>
      <c r="R3457" s="19">
        <f t="shared" ca="1" si="355"/>
        <v>25110.452002597958</v>
      </c>
      <c r="S3457" s="19">
        <f t="shared" ca="1" si="356"/>
        <v>22840.55722801419</v>
      </c>
    </row>
    <row r="3458" spans="13:19">
      <c r="M3458" s="81">
        <f t="shared" ca="1" si="353"/>
        <v>47970.12916481249</v>
      </c>
      <c r="N3458" s="19">
        <f t="shared" si="354"/>
        <v>685.43968879882596</v>
      </c>
      <c r="O3458" s="17">
        <f t="shared" si="352"/>
        <v>864.25</v>
      </c>
      <c r="P3458" s="19">
        <f ca="1">IF(ISERROR(IF(O3458&lt;fi_h/20,0,(OFFSET('Base de dados'!$A$5,IF(O3458&lt;20,1,IF(O3458&gt;1000,10,MATCH(O3458,Cargas,1))),Coluna_fih,1,1))*(1+0.13*0.25)*(PI()*(fi_h/1000)^2/4)*SQRT(2*9.81*(O3458/100-fi_h/2/1000))*1000)),"",IF(O3458&lt;fi_h/20,0,(OFFSET('Base de dados'!$A$5,IF(O3458&lt;20,1,IF(O3458&gt;1000,10,MATCH(O3458,Cargas,1))),Coluna_fih,1,1))*(PI()*(fi_h/1000)^2/4)*SQRT(2*9.81*(O3458/100-fi_h/2/1000))*1000))</f>
        <v>78.990133161146105</v>
      </c>
      <c r="Q3458" s="19">
        <f ca="1">IF(O3458="","",IF(Tipo_Vertedor="Retangular",IF(O3458&lt;=cota_s*100,0,IF(Tipo_Vertedor="Retangular",Cd_sr*Lef_sr*((O3458/100-cota_s)^(3/2))*1000)),IF(O3458&lt;=cota_s*100+fi_s/20,0,(OFFSET('Base de dados'!$A$4,IF(O3458&lt;20,1,IF(O3458&gt;1000,10,MATCH(O3458,Cargas,1))),Coluna_fis,1,1))*(PI()*(fi_s/1000)^2/4)*(2*9.81*(O3458/100-cota_s-fi_s/2/1000))^0.5*1000)))</f>
        <v>25043.149405023814</v>
      </c>
      <c r="R3458" s="19">
        <f t="shared" ca="1" si="355"/>
        <v>25122.139538184962</v>
      </c>
      <c r="S3458" s="19">
        <f t="shared" ca="1" si="356"/>
        <v>22847.989626627532</v>
      </c>
    </row>
    <row r="3459" spans="13:19">
      <c r="M3459" s="81">
        <f t="shared" ca="1" si="353"/>
        <v>47989.25118005379</v>
      </c>
      <c r="N3459" s="19">
        <f t="shared" si="354"/>
        <v>685.66266879225827</v>
      </c>
      <c r="O3459" s="17">
        <f t="shared" si="352"/>
        <v>864.5</v>
      </c>
      <c r="P3459" s="19">
        <f ca="1">IF(ISERROR(IF(O3459&lt;fi_h/20,0,(OFFSET('Base de dados'!$A$5,IF(O3459&lt;20,1,IF(O3459&gt;1000,10,MATCH(O3459,Cargas,1))),Coluna_fih,1,1))*(1+0.13*0.25)*(PI()*(fi_h/1000)^2/4)*SQRT(2*9.81*(O3459/100-fi_h/2/1000))*1000)),"",IF(O3459&lt;fi_h/20,0,(OFFSET('Base de dados'!$A$5,IF(O3459&lt;20,1,IF(O3459&gt;1000,10,MATCH(O3459,Cargas,1))),Coluna_fih,1,1))*(PI()*(fi_h/1000)^2/4)*SQRT(2*9.81*(O3459/100-fi_h/2/1000))*1000))</f>
        <v>79.001632034927951</v>
      </c>
      <c r="Q3459" s="19">
        <f ca="1">IF(O3459="","",IF(Tipo_Vertedor="Retangular",IF(O3459&lt;=cota_s*100,0,IF(Tipo_Vertedor="Retangular",Cd_sr*Lef_sr*((O3459/100-cota_s)^(3/2))*1000)),IF(O3459&lt;=cota_s*100+fi_s/20,0,(OFFSET('Base de dados'!$A$4,IF(O3459&lt;20,1,IF(O3459&gt;1000,10,MATCH(O3459,Cargas,1))),Coluna_fis,1,1))*(PI()*(fi_s/1000)^2/4)*(2*9.81*(O3459/100-cota_s-fi_s/2/1000))^0.5*1000)))</f>
        <v>25054.82725494359</v>
      </c>
      <c r="R3459" s="19">
        <f t="shared" ca="1" si="355"/>
        <v>25133.828886978517</v>
      </c>
      <c r="S3459" s="19">
        <f t="shared" ca="1" si="356"/>
        <v>22855.422293075277</v>
      </c>
    </row>
    <row r="3460" spans="13:19">
      <c r="M3460" s="81">
        <f t="shared" ca="1" si="353"/>
        <v>48008.375275986997</v>
      </c>
      <c r="N3460" s="19">
        <f t="shared" si="354"/>
        <v>685.88565681868897</v>
      </c>
      <c r="O3460" s="17">
        <f t="shared" si="352"/>
        <v>864.75</v>
      </c>
      <c r="P3460" s="19">
        <f ca="1">IF(ISERROR(IF(O3460&lt;fi_h/20,0,(OFFSET('Base de dados'!$A$5,IF(O3460&lt;20,1,IF(O3460&gt;1000,10,MATCH(O3460,Cargas,1))),Coluna_fih,1,1))*(1+0.13*0.25)*(PI()*(fi_h/1000)^2/4)*SQRT(2*9.81*(O3460/100-fi_h/2/1000))*1000)),"",IF(O3460&lt;fi_h/20,0,(OFFSET('Base de dados'!$A$5,IF(O3460&lt;20,1,IF(O3460&gt;1000,10,MATCH(O3460,Cargas,1))),Coluna_fih,1,1))*(PI()*(fi_h/1000)^2/4)*SQRT(2*9.81*(O3460/100-fi_h/2/1000))*1000))</f>
        <v>79.013129235265183</v>
      </c>
      <c r="Q3460" s="19">
        <f ca="1">IF(O3460="","",IF(Tipo_Vertedor="Retangular",IF(O3460&lt;=cota_s*100,0,IF(Tipo_Vertedor="Retangular",Cd_sr*Lef_sr*((O3460/100-cota_s)^(3/2))*1000)),IF(O3460&lt;=cota_s*100+fi_s/20,0,(OFFSET('Base de dados'!$A$4,IF(O3460&lt;20,1,IF(O3460&gt;1000,10,MATCH(O3460,Cargas,1))),Coluna_fis,1,1))*(PI()*(fi_s/1000)^2/4)*(2*9.81*(O3460/100-cota_s-fi_s/2/1000))^0.5*1000)))</f>
        <v>25066.506919462099</v>
      </c>
      <c r="R3460" s="19">
        <f t="shared" ca="1" si="355"/>
        <v>25145.520048697363</v>
      </c>
      <c r="S3460" s="19">
        <f t="shared" ca="1" si="356"/>
        <v>22862.85522728963</v>
      </c>
    </row>
    <row r="3461" spans="13:19">
      <c r="M3461" s="81">
        <f t="shared" ca="1" si="353"/>
        <v>48027.501452263154</v>
      </c>
      <c r="N3461" s="19">
        <f t="shared" si="354"/>
        <v>686.10865287608465</v>
      </c>
      <c r="O3461" s="17">
        <f t="shared" si="352"/>
        <v>865</v>
      </c>
      <c r="P3461" s="19">
        <f ca="1">IF(ISERROR(IF(O3461&lt;fi_h/20,0,(OFFSET('Base de dados'!$A$5,IF(O3461&lt;20,1,IF(O3461&gt;1000,10,MATCH(O3461,Cargas,1))),Coluna_fih,1,1))*(1+0.13*0.25)*(PI()*(fi_h/1000)^2/4)*SQRT(2*9.81*(O3461/100-fi_h/2/1000))*1000)),"",IF(O3461&lt;fi_h/20,0,(OFFSET('Base de dados'!$A$5,IF(O3461&lt;20,1,IF(O3461&gt;1000,10,MATCH(O3461,Cargas,1))),Coluna_fih,1,1))*(PI()*(fi_h/1000)^2/4)*SQRT(2*9.81*(O3461/100-fi_h/2/1000))*1000))</f>
        <v>79.02462476288818</v>
      </c>
      <c r="Q3461" s="19">
        <f ca="1">IF(O3461="","",IF(Tipo_Vertedor="Retangular",IF(O3461&lt;=cota_s*100,0,IF(Tipo_Vertedor="Retangular",Cd_sr*Lef_sr*((O3461/100-cota_s)^(3/2))*1000)),IF(O3461&lt;=cota_s*100+fi_s/20,0,(OFFSET('Base de dados'!$A$4,IF(O3461&lt;20,1,IF(O3461&gt;1000,10,MATCH(O3461,Cargas,1))),Coluna_fis,1,1))*(PI()*(fi_s/1000)^2/4)*(2*9.81*(O3461/100-cota_s-fi_s/2/1000))^0.5*1000)))</f>
        <v>25078.188398297443</v>
      </c>
      <c r="R3461" s="19">
        <f t="shared" ca="1" si="355"/>
        <v>25157.213023060332</v>
      </c>
      <c r="S3461" s="19">
        <f t="shared" ca="1" si="356"/>
        <v>22870.288429202821</v>
      </c>
    </row>
    <row r="3462" spans="13:19">
      <c r="M3462" s="81">
        <f t="shared" ca="1" si="353"/>
        <v>48046.629708533495</v>
      </c>
      <c r="N3462" s="19">
        <f t="shared" si="354"/>
        <v>686.33165696241304</v>
      </c>
      <c r="O3462" s="17">
        <f t="shared" si="352"/>
        <v>865.25</v>
      </c>
      <c r="P3462" s="19">
        <f ca="1">IF(ISERROR(IF(O3462&lt;fi_h/20,0,(OFFSET('Base de dados'!$A$5,IF(O3462&lt;20,1,IF(O3462&gt;1000,10,MATCH(O3462,Cargas,1))),Coluna_fih,1,1))*(1+0.13*0.25)*(PI()*(fi_h/1000)^2/4)*SQRT(2*9.81*(O3462/100-fi_h/2/1000))*1000)),"",IF(O3462&lt;fi_h/20,0,(OFFSET('Base de dados'!$A$5,IF(O3462&lt;20,1,IF(O3462&gt;1000,10,MATCH(O3462,Cargas,1))),Coluna_fih,1,1))*(PI()*(fi_h/1000)^2/4)*SQRT(2*9.81*(O3462/100-fi_h/2/1000))*1000))</f>
        <v>79.036118618526814</v>
      </c>
      <c r="Q3462" s="19">
        <f ca="1">IF(O3462="","",IF(Tipo_Vertedor="Retangular",IF(O3462&lt;=cota_s*100,0,IF(Tipo_Vertedor="Retangular",Cd_sr*Lef_sr*((O3462/100-cota_s)^(3/2))*1000)),IF(O3462&lt;=cota_s*100+fi_s/20,0,(OFFSET('Base de dados'!$A$4,IF(O3462&lt;20,1,IF(O3462&gt;1000,10,MATCH(O3462,Cargas,1))),Coluna_fis,1,1))*(PI()*(fi_s/1000)^2/4)*(2*9.81*(O3462/100-cota_s-fi_s/2/1000))^0.5*1000)))</f>
        <v>25089.871691167875</v>
      </c>
      <c r="R3462" s="19">
        <f t="shared" ca="1" si="355"/>
        <v>25168.9078097864</v>
      </c>
      <c r="S3462" s="19">
        <f t="shared" ca="1" si="356"/>
        <v>22877.721898747099</v>
      </c>
    </row>
    <row r="3463" spans="13:19">
      <c r="M3463" s="81">
        <f t="shared" ca="1" si="353"/>
        <v>48065.760044449446</v>
      </c>
      <c r="N3463" s="19">
        <f t="shared" si="354"/>
        <v>686.55466907564346</v>
      </c>
      <c r="O3463" s="17">
        <f t="shared" si="352"/>
        <v>865.5</v>
      </c>
      <c r="P3463" s="19">
        <f ca="1">IF(ISERROR(IF(O3463&lt;fi_h/20,0,(OFFSET('Base de dados'!$A$5,IF(O3463&lt;20,1,IF(O3463&gt;1000,10,MATCH(O3463,Cargas,1))),Coluna_fih,1,1))*(1+0.13*0.25)*(PI()*(fi_h/1000)^2/4)*SQRT(2*9.81*(O3463/100-fi_h/2/1000))*1000)),"",IF(O3463&lt;fi_h/20,0,(OFFSET('Base de dados'!$A$5,IF(O3463&lt;20,1,IF(O3463&gt;1000,10,MATCH(O3463,Cargas,1))),Coluna_fih,1,1))*(PI()*(fi_h/1000)^2/4)*SQRT(2*9.81*(O3463/100-fi_h/2/1000))*1000))</f>
        <v>79.047610802910441</v>
      </c>
      <c r="Q3463" s="19">
        <f ca="1">IF(O3463="","",IF(Tipo_Vertedor="Retangular",IF(O3463&lt;=cota_s*100,0,IF(Tipo_Vertedor="Retangular",Cd_sr*Lef_sr*((O3463/100-cota_s)^(3/2))*1000)),IF(O3463&lt;=cota_s*100+fi_s/20,0,(OFFSET('Base de dados'!$A$4,IF(O3463&lt;20,1,IF(O3463&gt;1000,10,MATCH(O3463,Cargas,1))),Coluna_fis,1,1))*(PI()*(fi_s/1000)^2/4)*(2*9.81*(O3463/100-cota_s-fi_s/2/1000))^0.5*1000)))</f>
        <v>25101.55679779176</v>
      </c>
      <c r="R3463" s="19">
        <f t="shared" ca="1" si="355"/>
        <v>25180.604408594671</v>
      </c>
      <c r="S3463" s="19">
        <f t="shared" ca="1" si="356"/>
        <v>22885.155635854779</v>
      </c>
    </row>
    <row r="3464" spans="13:19">
      <c r="M3464" s="81">
        <f t="shared" ca="1" si="353"/>
        <v>48084.892459662631</v>
      </c>
      <c r="N3464" s="19">
        <f t="shared" si="354"/>
        <v>686.77768921374638</v>
      </c>
      <c r="O3464" s="17">
        <f t="shared" si="352"/>
        <v>865.75</v>
      </c>
      <c r="P3464" s="19">
        <f ca="1">IF(ISERROR(IF(O3464&lt;fi_h/20,0,(OFFSET('Base de dados'!$A$5,IF(O3464&lt;20,1,IF(O3464&gt;1000,10,MATCH(O3464,Cargas,1))),Coluna_fih,1,1))*(1+0.13*0.25)*(PI()*(fi_h/1000)^2/4)*SQRT(2*9.81*(O3464/100-fi_h/2/1000))*1000)),"",IF(O3464&lt;fi_h/20,0,(OFFSET('Base de dados'!$A$5,IF(O3464&lt;20,1,IF(O3464&gt;1000,10,MATCH(O3464,Cargas,1))),Coluna_fih,1,1))*(PI()*(fi_h/1000)^2/4)*SQRT(2*9.81*(O3464/100-fi_h/2/1000))*1000))</f>
        <v>79.059101316767865</v>
      </c>
      <c r="Q3464" s="19">
        <f ca="1">IF(O3464="","",IF(Tipo_Vertedor="Retangular",IF(O3464&lt;=cota_s*100,0,IF(Tipo_Vertedor="Retangular",Cd_sr*Lef_sr*((O3464/100-cota_s)^(3/2))*1000)),IF(O3464&lt;=cota_s*100+fi_s/20,0,(OFFSET('Base de dados'!$A$4,IF(O3464&lt;20,1,IF(O3464&gt;1000,10,MATCH(O3464,Cargas,1))),Coluna_fis,1,1))*(PI()*(fi_s/1000)^2/4)*(2*9.81*(O3464/100-cota_s-fi_s/2/1000))^0.5*1000)))</f>
        <v>25113.243717887646</v>
      </c>
      <c r="R3464" s="19">
        <f t="shared" ca="1" si="355"/>
        <v>25192.302819204415</v>
      </c>
      <c r="S3464" s="19">
        <f t="shared" ca="1" si="356"/>
        <v>22892.589640458213</v>
      </c>
    </row>
    <row r="3465" spans="13:19">
      <c r="M3465" s="81">
        <f t="shared" ca="1" si="353"/>
        <v>48104.026953824752</v>
      </c>
      <c r="N3465" s="19">
        <f t="shared" si="354"/>
        <v>687.00071737469295</v>
      </c>
      <c r="O3465" s="17">
        <f t="shared" si="352"/>
        <v>866</v>
      </c>
      <c r="P3465" s="19">
        <f ca="1">IF(ISERROR(IF(O3465&lt;fi_h/20,0,(OFFSET('Base de dados'!$A$5,IF(O3465&lt;20,1,IF(O3465&gt;1000,10,MATCH(O3465,Cargas,1))),Coluna_fih,1,1))*(1+0.13*0.25)*(PI()*(fi_h/1000)^2/4)*SQRT(2*9.81*(O3465/100-fi_h/2/1000))*1000)),"",IF(O3465&lt;fi_h/20,0,(OFFSET('Base de dados'!$A$5,IF(O3465&lt;20,1,IF(O3465&gt;1000,10,MATCH(O3465,Cargas,1))),Coluna_fih,1,1))*(PI()*(fi_h/1000)^2/4)*SQRT(2*9.81*(O3465/100-fi_h/2/1000))*1000))</f>
        <v>79.070590160827365</v>
      </c>
      <c r="Q3465" s="19">
        <f ca="1">IF(O3465="","",IF(Tipo_Vertedor="Retangular",IF(O3465&lt;=cota_s*100,0,IF(Tipo_Vertedor="Retangular",Cd_sr*Lef_sr*((O3465/100-cota_s)^(3/2))*1000)),IF(O3465&lt;=cota_s*100+fi_s/20,0,(OFFSET('Base de dados'!$A$4,IF(O3465&lt;20,1,IF(O3465&gt;1000,10,MATCH(O3465,Cargas,1))),Coluna_fis,1,1))*(PI()*(fi_s/1000)^2/4)*(2*9.81*(O3465/100-cota_s-fi_s/2/1000))^0.5*1000)))</f>
        <v>25124.932451174158</v>
      </c>
      <c r="R3465" s="19">
        <f t="shared" ca="1" si="355"/>
        <v>25204.003041334985</v>
      </c>
      <c r="S3465" s="19">
        <f t="shared" ca="1" si="356"/>
        <v>22900.023912489763</v>
      </c>
    </row>
    <row r="3466" spans="13:19">
      <c r="M3466" s="81">
        <f t="shared" ca="1" si="353"/>
        <v>48123.163526587727</v>
      </c>
      <c r="N3466" s="19">
        <f t="shared" si="354"/>
        <v>687.22375355645534</v>
      </c>
      <c r="O3466" s="17">
        <f t="shared" si="352"/>
        <v>866.25</v>
      </c>
      <c r="P3466" s="19">
        <f ca="1">IF(ISERROR(IF(O3466&lt;fi_h/20,0,(OFFSET('Base de dados'!$A$5,IF(O3466&lt;20,1,IF(O3466&gt;1000,10,MATCH(O3466,Cargas,1))),Coluna_fih,1,1))*(1+0.13*0.25)*(PI()*(fi_h/1000)^2/4)*SQRT(2*9.81*(O3466/100-fi_h/2/1000))*1000)),"",IF(O3466&lt;fi_h/20,0,(OFFSET('Base de dados'!$A$5,IF(O3466&lt;20,1,IF(O3466&gt;1000,10,MATCH(O3466,Cargas,1))),Coluna_fih,1,1))*(PI()*(fi_h/1000)^2/4)*SQRT(2*9.81*(O3466/100-fi_h/2/1000))*1000))</f>
        <v>79.082077335816678</v>
      </c>
      <c r="Q3466" s="19">
        <f ca="1">IF(O3466="","",IF(Tipo_Vertedor="Retangular",IF(O3466&lt;=cota_s*100,0,IF(Tipo_Vertedor="Retangular",Cd_sr*Lef_sr*((O3466/100-cota_s)^(3/2))*1000)),IF(O3466&lt;=cota_s*100+fi_s/20,0,(OFFSET('Base de dados'!$A$4,IF(O3466&lt;20,1,IF(O3466&gt;1000,10,MATCH(O3466,Cargas,1))),Coluna_fis,1,1))*(PI()*(fi_s/1000)^2/4)*(2*9.81*(O3466/100-cota_s-fi_s/2/1000))^0.5*1000)))</f>
        <v>25136.622997370065</v>
      </c>
      <c r="R3466" s="19">
        <f t="shared" ca="1" si="355"/>
        <v>25215.705074705882</v>
      </c>
      <c r="S3466" s="19">
        <f t="shared" ca="1" si="356"/>
        <v>22907.458451881845</v>
      </c>
    </row>
    <row r="3467" spans="13:19">
      <c r="M3467" s="81">
        <f t="shared" ca="1" si="353"/>
        <v>48142.302177603677</v>
      </c>
      <c r="N3467" s="19">
        <f t="shared" si="354"/>
        <v>687.44679775700718</v>
      </c>
      <c r="O3467" s="17">
        <f t="shared" si="352"/>
        <v>866.5</v>
      </c>
      <c r="P3467" s="19">
        <f ca="1">IF(ISERROR(IF(O3467&lt;fi_h/20,0,(OFFSET('Base de dados'!$A$5,IF(O3467&lt;20,1,IF(O3467&gt;1000,10,MATCH(O3467,Cargas,1))),Coluna_fih,1,1))*(1+0.13*0.25)*(PI()*(fi_h/1000)^2/4)*SQRT(2*9.81*(O3467/100-fi_h/2/1000))*1000)),"",IF(O3467&lt;fi_h/20,0,(OFFSET('Base de dados'!$A$5,IF(O3467&lt;20,1,IF(O3467&gt;1000,10,MATCH(O3467,Cargas,1))),Coluna_fih,1,1))*(PI()*(fi_h/1000)^2/4)*SQRT(2*9.81*(O3467/100-fi_h/2/1000))*1000))</f>
        <v>79.093562842463044</v>
      </c>
      <c r="Q3467" s="19">
        <f ca="1">IF(O3467="","",IF(Tipo_Vertedor="Retangular",IF(O3467&lt;=cota_s*100,0,IF(Tipo_Vertedor="Retangular",Cd_sr*Lef_sr*((O3467/100-cota_s)^(3/2))*1000)),IF(O3467&lt;=cota_s*100+fi_s/20,0,(OFFSET('Base de dados'!$A$4,IF(O3467&lt;20,1,IF(O3467&gt;1000,10,MATCH(O3467,Cargas,1))),Coluna_fis,1,1))*(PI()*(fi_s/1000)^2/4)*(2*9.81*(O3467/100-cota_s-fi_s/2/1000))^0.5*1000)))</f>
        <v>25148.315356194304</v>
      </c>
      <c r="R3467" s="19">
        <f t="shared" ca="1" si="355"/>
        <v>25227.408919036767</v>
      </c>
      <c r="S3467" s="19">
        <f t="shared" ca="1" si="356"/>
        <v>22914.893258566906</v>
      </c>
    </row>
    <row r="3468" spans="13:19">
      <c r="M3468" s="81">
        <f t="shared" ca="1" si="353"/>
        <v>48161.442906524855</v>
      </c>
      <c r="N3468" s="19">
        <f t="shared" si="354"/>
        <v>687.66984997432394</v>
      </c>
      <c r="O3468" s="17">
        <f t="shared" si="352"/>
        <v>866.75</v>
      </c>
      <c r="P3468" s="19">
        <f ca="1">IF(ISERROR(IF(O3468&lt;fi_h/20,0,(OFFSET('Base de dados'!$A$5,IF(O3468&lt;20,1,IF(O3468&gt;1000,10,MATCH(O3468,Cargas,1))),Coluna_fih,1,1))*(1+0.13*0.25)*(PI()*(fi_h/1000)^2/4)*SQRT(2*9.81*(O3468/100-fi_h/2/1000))*1000)),"",IF(O3468&lt;fi_h/20,0,(OFFSET('Base de dados'!$A$5,IF(O3468&lt;20,1,IF(O3468&gt;1000,10,MATCH(O3468,Cargas,1))),Coluna_fih,1,1))*(PI()*(fi_h/1000)^2/4)*SQRT(2*9.81*(O3468/100-fi_h/2/1000))*1000))</f>
        <v>79.105046681493178</v>
      </c>
      <c r="Q3468" s="19">
        <f ca="1">IF(O3468="","",IF(Tipo_Vertedor="Retangular",IF(O3468&lt;=cota_s*100,0,IF(Tipo_Vertedor="Retangular",Cd_sr*Lef_sr*((O3468/100-cota_s)^(3/2))*1000)),IF(O3468&lt;=cota_s*100+fi_s/20,0,(OFFSET('Base de dados'!$A$4,IF(O3468&lt;20,1,IF(O3468&gt;1000,10,MATCH(O3468,Cargas,1))),Coluna_fis,1,1))*(PI()*(fi_s/1000)^2/4)*(2*9.81*(O3468/100-cota_s-fi_s/2/1000))^0.5*1000)))</f>
        <v>25160.009527365895</v>
      </c>
      <c r="R3468" s="19">
        <f t="shared" ca="1" si="355"/>
        <v>25239.114574047388</v>
      </c>
      <c r="S3468" s="19">
        <f t="shared" ca="1" si="356"/>
        <v>22922.328332477467</v>
      </c>
    </row>
    <row r="3469" spans="13:19">
      <c r="M3469" s="81">
        <f t="shared" ca="1" si="353"/>
        <v>48180.585713003631</v>
      </c>
      <c r="N3469" s="19">
        <f t="shared" si="354"/>
        <v>687.89291020638007</v>
      </c>
      <c r="O3469" s="17">
        <f t="shared" si="352"/>
        <v>867</v>
      </c>
      <c r="P3469" s="19">
        <f ca="1">IF(ISERROR(IF(O3469&lt;fi_h/20,0,(OFFSET('Base de dados'!$A$5,IF(O3469&lt;20,1,IF(O3469&gt;1000,10,MATCH(O3469,Cargas,1))),Coluna_fih,1,1))*(1+0.13*0.25)*(PI()*(fi_h/1000)^2/4)*SQRT(2*9.81*(O3469/100-fi_h/2/1000))*1000)),"",IF(O3469&lt;fi_h/20,0,(OFFSET('Base de dados'!$A$5,IF(O3469&lt;20,1,IF(O3469&gt;1000,10,MATCH(O3469,Cargas,1))),Coluna_fih,1,1))*(PI()*(fi_h/1000)^2/4)*SQRT(2*9.81*(O3469/100-fi_h/2/1000))*1000))</f>
        <v>79.116528853633213</v>
      </c>
      <c r="Q3469" s="19">
        <f ca="1">IF(O3469="","",IF(Tipo_Vertedor="Retangular",IF(O3469&lt;=cota_s*100,0,IF(Tipo_Vertedor="Retangular",Cd_sr*Lef_sr*((O3469/100-cota_s)^(3/2))*1000)),IF(O3469&lt;=cota_s*100+fi_s/20,0,(OFFSET('Base de dados'!$A$4,IF(O3469&lt;20,1,IF(O3469&gt;1000,10,MATCH(O3469,Cargas,1))),Coluna_fis,1,1))*(PI()*(fi_s/1000)^2/4)*(2*9.81*(O3469/100-cota_s-fi_s/2/1000))^0.5*1000)))</f>
        <v>25171.705510603999</v>
      </c>
      <c r="R3469" s="19">
        <f t="shared" ca="1" si="355"/>
        <v>25250.822039457631</v>
      </c>
      <c r="S3469" s="19">
        <f t="shared" ca="1" si="356"/>
        <v>22929.763673546004</v>
      </c>
    </row>
    <row r="3470" spans="13:19">
      <c r="M3470" s="81">
        <f t="shared" ca="1" si="353"/>
        <v>48199.730596692636</v>
      </c>
      <c r="N3470" s="19">
        <f t="shared" si="354"/>
        <v>688.11597845115296</v>
      </c>
      <c r="O3470" s="17">
        <f t="shared" si="352"/>
        <v>867.25</v>
      </c>
      <c r="P3470" s="19">
        <f ca="1">IF(ISERROR(IF(O3470&lt;fi_h/20,0,(OFFSET('Base de dados'!$A$5,IF(O3470&lt;20,1,IF(O3470&gt;1000,10,MATCH(O3470,Cargas,1))),Coluna_fih,1,1))*(1+0.13*0.25)*(PI()*(fi_h/1000)^2/4)*SQRT(2*9.81*(O3470/100-fi_h/2/1000))*1000)),"",IF(O3470&lt;fi_h/20,0,(OFFSET('Base de dados'!$A$5,IF(O3470&lt;20,1,IF(O3470&gt;1000,10,MATCH(O3470,Cargas,1))),Coluna_fih,1,1))*(PI()*(fi_h/1000)^2/4)*SQRT(2*9.81*(O3470/100-fi_h/2/1000))*1000))</f>
        <v>79.128009359608797</v>
      </c>
      <c r="Q3470" s="19">
        <f ca="1">IF(O3470="","",IF(Tipo_Vertedor="Retangular",IF(O3470&lt;=cota_s*100,0,IF(Tipo_Vertedor="Retangular",Cd_sr*Lef_sr*((O3470/100-cota_s)^(3/2))*1000)),IF(O3470&lt;=cota_s*100+fi_s/20,0,(OFFSET('Base de dados'!$A$4,IF(O3470&lt;20,1,IF(O3470&gt;1000,10,MATCH(O3470,Cargas,1))),Coluna_fis,1,1))*(PI()*(fi_s/1000)^2/4)*(2*9.81*(O3470/100-cota_s-fi_s/2/1000))^0.5*1000)))</f>
        <v>25183.40330562793</v>
      </c>
      <c r="R3470" s="19">
        <f t="shared" ca="1" si="355"/>
        <v>25262.53131498754</v>
      </c>
      <c r="S3470" s="19">
        <f t="shared" ca="1" si="356"/>
        <v>22937.199281705096</v>
      </c>
    </row>
    <row r="3471" spans="13:19">
      <c r="M3471" s="81">
        <f t="shared" ca="1" si="353"/>
        <v>48218.877557244603</v>
      </c>
      <c r="N3471" s="19">
        <f t="shared" si="354"/>
        <v>688.33905470662035</v>
      </c>
      <c r="O3471" s="17">
        <f t="shared" si="352"/>
        <v>867.5</v>
      </c>
      <c r="P3471" s="19">
        <f ca="1">IF(ISERROR(IF(O3471&lt;fi_h/20,0,(OFFSET('Base de dados'!$A$5,IF(O3471&lt;20,1,IF(O3471&gt;1000,10,MATCH(O3471,Cargas,1))),Coluna_fih,1,1))*(1+0.13*0.25)*(PI()*(fi_h/1000)^2/4)*SQRT(2*9.81*(O3471/100-fi_h/2/1000))*1000)),"",IF(O3471&lt;fi_h/20,0,(OFFSET('Base de dados'!$A$5,IF(O3471&lt;20,1,IF(O3471&gt;1000,10,MATCH(O3471,Cargas,1))),Coluna_fih,1,1))*(PI()*(fi_h/1000)^2/4)*SQRT(2*9.81*(O3471/100-fi_h/2/1000))*1000))</f>
        <v>79.139488200145081</v>
      </c>
      <c r="Q3471" s="19">
        <f ca="1">IF(O3471="","",IF(Tipo_Vertedor="Retangular",IF(O3471&lt;=cota_s*100,0,IF(Tipo_Vertedor="Retangular",Cd_sr*Lef_sr*((O3471/100-cota_s)^(3/2))*1000)),IF(O3471&lt;=cota_s*100+fi_s/20,0,(OFFSET('Base de dados'!$A$4,IF(O3471&lt;20,1,IF(O3471&gt;1000,10,MATCH(O3471,Cargas,1))),Coluna_fis,1,1))*(PI()*(fi_s/1000)^2/4)*(2*9.81*(O3471/100-cota_s-fi_s/2/1000))^0.5*1000)))</f>
        <v>25195.102912157112</v>
      </c>
      <c r="R3471" s="19">
        <f t="shared" ca="1" si="355"/>
        <v>25274.242400357256</v>
      </c>
      <c r="S3471" s="19">
        <f t="shared" ca="1" si="356"/>
        <v>22944.635156887347</v>
      </c>
    </row>
    <row r="3472" spans="13:19">
      <c r="M3472" s="81">
        <f t="shared" ca="1" si="353"/>
        <v>48238.02659431244</v>
      </c>
      <c r="N3472" s="19">
        <f t="shared" si="354"/>
        <v>688.56213897076134</v>
      </c>
      <c r="O3472" s="17">
        <f t="shared" si="352"/>
        <v>867.75</v>
      </c>
      <c r="P3472" s="19">
        <f ca="1">IF(ISERROR(IF(O3472&lt;fi_h/20,0,(OFFSET('Base de dados'!$A$5,IF(O3472&lt;20,1,IF(O3472&gt;1000,10,MATCH(O3472,Cargas,1))),Coluna_fih,1,1))*(1+0.13*0.25)*(PI()*(fi_h/1000)^2/4)*SQRT(2*9.81*(O3472/100-fi_h/2/1000))*1000)),"",IF(O3472&lt;fi_h/20,0,(OFFSET('Base de dados'!$A$5,IF(O3472&lt;20,1,IF(O3472&gt;1000,10,MATCH(O3472,Cargas,1))),Coluna_fih,1,1))*(PI()*(fi_h/1000)^2/4)*SQRT(2*9.81*(O3472/100-fi_h/2/1000))*1000))</f>
        <v>79.150965375966592</v>
      </c>
      <c r="Q3472" s="19">
        <f ca="1">IF(O3472="","",IF(Tipo_Vertedor="Retangular",IF(O3472&lt;=cota_s*100,0,IF(Tipo_Vertedor="Retangular",Cd_sr*Lef_sr*((O3472/100-cota_s)^(3/2))*1000)),IF(O3472&lt;=cota_s*100+fi_s/20,0,(OFFSET('Base de dados'!$A$4,IF(O3472&lt;20,1,IF(O3472&gt;1000,10,MATCH(O3472,Cargas,1))),Coluna_fis,1,1))*(PI()*(fi_s/1000)^2/4)*(2*9.81*(O3472/100-cota_s-fi_s/2/1000))^0.5*1000)))</f>
        <v>25206.804329911094</v>
      </c>
      <c r="R3472" s="19">
        <f t="shared" ca="1" si="355"/>
        <v>25285.955295287062</v>
      </c>
      <c r="S3472" s="19">
        <f t="shared" ca="1" si="356"/>
        <v>22952.071299025378</v>
      </c>
    </row>
    <row r="3473" spans="13:19">
      <c r="M3473" s="81">
        <f t="shared" ca="1" si="353"/>
        <v>48257.17770754925</v>
      </c>
      <c r="N3473" s="19">
        <f t="shared" si="354"/>
        <v>688.7852312415564</v>
      </c>
      <c r="O3473" s="17">
        <f t="shared" si="352"/>
        <v>868</v>
      </c>
      <c r="P3473" s="19">
        <f ca="1">IF(ISERROR(IF(O3473&lt;fi_h/20,0,(OFFSET('Base de dados'!$A$5,IF(O3473&lt;20,1,IF(O3473&gt;1000,10,MATCH(O3473,Cargas,1))),Coluna_fih,1,1))*(1+0.13*0.25)*(PI()*(fi_h/1000)^2/4)*SQRT(2*9.81*(O3473/100-fi_h/2/1000))*1000)),"",IF(O3473&lt;fi_h/20,0,(OFFSET('Base de dados'!$A$5,IF(O3473&lt;20,1,IF(O3473&gt;1000,10,MATCH(O3473,Cargas,1))),Coluna_fih,1,1))*(PI()*(fi_h/1000)^2/4)*SQRT(2*9.81*(O3473/100-fi_h/2/1000))*1000))</f>
        <v>79.162440887797445</v>
      </c>
      <c r="Q3473" s="19">
        <f ca="1">IF(O3473="","",IF(Tipo_Vertedor="Retangular",IF(O3473&lt;=cota_s*100,0,IF(Tipo_Vertedor="Retangular",Cd_sr*Lef_sr*((O3473/100-cota_s)^(3/2))*1000)),IF(O3473&lt;=cota_s*100+fi_s/20,0,(OFFSET('Base de dados'!$A$4,IF(O3473&lt;20,1,IF(O3473&gt;1000,10,MATCH(O3473,Cargas,1))),Coluna_fis,1,1))*(PI()*(fi_s/1000)^2/4)*(2*9.81*(O3473/100-cota_s-fi_s/2/1000))^0.5*1000)))</f>
        <v>25218.507558609574</v>
      </c>
      <c r="R3473" s="19">
        <f t="shared" ca="1" si="355"/>
        <v>25297.669999497371</v>
      </c>
      <c r="S3473" s="19">
        <f t="shared" ca="1" si="356"/>
        <v>22959.507708051879</v>
      </c>
    </row>
    <row r="3474" spans="13:19">
      <c r="M3474" s="81">
        <f t="shared" ca="1" si="353"/>
        <v>48276.330896608255</v>
      </c>
      <c r="N3474" s="19">
        <f t="shared" si="354"/>
        <v>689.00833151698578</v>
      </c>
      <c r="O3474" s="17">
        <f t="shared" si="352"/>
        <v>868.25</v>
      </c>
      <c r="P3474" s="19">
        <f ca="1">IF(ISERROR(IF(O3474&lt;fi_h/20,0,(OFFSET('Base de dados'!$A$5,IF(O3474&lt;20,1,IF(O3474&gt;1000,10,MATCH(O3474,Cargas,1))),Coluna_fih,1,1))*(1+0.13*0.25)*(PI()*(fi_h/1000)^2/4)*SQRT(2*9.81*(O3474/100-fi_h/2/1000))*1000)),"",IF(O3474&lt;fi_h/20,0,(OFFSET('Base de dados'!$A$5,IF(O3474&lt;20,1,IF(O3474&gt;1000,10,MATCH(O3474,Cargas,1))),Coluna_fih,1,1))*(PI()*(fi_h/1000)^2/4)*SQRT(2*9.81*(O3474/100-fi_h/2/1000))*1000))</f>
        <v>79.173914736361155</v>
      </c>
      <c r="Q3474" s="19">
        <f ca="1">IF(O3474="","",IF(Tipo_Vertedor="Retangular",IF(O3474&lt;=cota_s*100,0,IF(Tipo_Vertedor="Retangular",Cd_sr*Lef_sr*((O3474/100-cota_s)^(3/2))*1000)),IF(O3474&lt;=cota_s*100+fi_s/20,0,(OFFSET('Base de dados'!$A$4,IF(O3474&lt;20,1,IF(O3474&gt;1000,10,MATCH(O3474,Cargas,1))),Coluna_fis,1,1))*(PI()*(fi_s/1000)^2/4)*(2*9.81*(O3474/100-cota_s-fi_s/2/1000))^0.5*1000)))</f>
        <v>25230.212597972371</v>
      </c>
      <c r="R3474" s="19">
        <f t="shared" ca="1" si="355"/>
        <v>25309.386512708734</v>
      </c>
      <c r="S3474" s="19">
        <f t="shared" ca="1" si="356"/>
        <v>22966.944383899525</v>
      </c>
    </row>
    <row r="3475" spans="13:19">
      <c r="M3475" s="81">
        <f t="shared" ca="1" si="353"/>
        <v>48295.486161142908</v>
      </c>
      <c r="N3475" s="19">
        <f t="shared" si="354"/>
        <v>689.23143979503277</v>
      </c>
      <c r="O3475" s="17">
        <f>IF(ISERROR(IF(O3474+passo_altura&gt;h_max_puls*100,"",O3474+passo_altura)),"",IF(O3474+passo_altura&gt;h_max_puls*100,"",O3474+passo_altura))</f>
        <v>868.5</v>
      </c>
      <c r="P3475" s="19">
        <f ca="1">IF(ISERROR(IF(O3475&lt;fi_h/20,0,(OFFSET('Base de dados'!$A$5,IF(O3475&lt;20,1,IF(O3475&gt;1000,10,MATCH(O3475,Cargas,1))),Coluna_fih,1,1))*(1+0.13*0.25)*(PI()*(fi_h/1000)^2/4)*SQRT(2*9.81*(O3475/100-fi_h/2/1000))*1000)),"",IF(O3475&lt;fi_h/20,0,(OFFSET('Base de dados'!$A$5,IF(O3475&lt;20,1,IF(O3475&gt;1000,10,MATCH(O3475,Cargas,1))),Coluna_fih,1,1))*(PI()*(fi_h/1000)^2/4)*SQRT(2*9.81*(O3475/100-fi_h/2/1000))*1000))</f>
        <v>79.185386922380772</v>
      </c>
      <c r="Q3475" s="19">
        <f ca="1">IF(O3475="","",IF(Tipo_Vertedor="Retangular",IF(O3475&lt;=cota_s*100,0,IF(Tipo_Vertedor="Retangular",Cd_sr*Lef_sr*((O3475/100-cota_s)^(3/2))*1000)),IF(O3475&lt;=cota_s*100+fi_s/20,0,(OFFSET('Base de dados'!$A$4,IF(O3475&lt;20,1,IF(O3475&gt;1000,10,MATCH(O3475,Cargas,1))),Coluna_fis,1,1))*(PI()*(fi_s/1000)^2/4)*(2*9.81*(O3475/100-cota_s-fi_s/2/1000))^0.5*1000)))</f>
        <v>25241.91944771944</v>
      </c>
      <c r="R3475" s="19">
        <f t="shared" ca="1" si="355"/>
        <v>25321.104834641821</v>
      </c>
      <c r="S3475" s="19">
        <f t="shared" ca="1" si="356"/>
        <v>22974.38132650109</v>
      </c>
    </row>
    <row r="3476" spans="13:19">
      <c r="M3476" s="81">
        <f t="shared" ca="1" si="353"/>
        <v>48314.643500806749</v>
      </c>
      <c r="N3476" s="19">
        <f t="shared" si="354"/>
        <v>689.4545560736799</v>
      </c>
      <c r="O3476" s="17">
        <f>IF(ISERROR(IF(O3475+passo_altura&gt;h_max_puls*100,"",O3475+passo_altura)),"",IF(O3475+passo_altura&gt;h_max_puls*100,"",O3475+passo_altura))</f>
        <v>868.75</v>
      </c>
      <c r="P3476" s="19">
        <f ca="1">IF(ISERROR(IF(O3476&lt;fi_h/20,0,(OFFSET('Base de dados'!$A$5,IF(O3476&lt;20,1,IF(O3476&gt;1000,10,MATCH(O3476,Cargas,1))),Coluna_fih,1,1))*(1+0.13*0.25)*(PI()*(fi_h/1000)^2/4)*SQRT(2*9.81*(O3476/100-fi_h/2/1000))*1000)),"",IF(O3476&lt;fi_h/20,0,(OFFSET('Base de dados'!$A$5,IF(O3476&lt;20,1,IF(O3476&gt;1000,10,MATCH(O3476,Cargas,1))),Coluna_fih,1,1))*(PI()*(fi_h/1000)^2/4)*SQRT(2*9.81*(O3476/100-fi_h/2/1000))*1000))</f>
        <v>79.196857446578719</v>
      </c>
      <c r="Q3476" s="19">
        <f ca="1">IF(O3476="","",IF(Tipo_Vertedor="Retangular",IF(O3476&lt;=cota_s*100,0,IF(Tipo_Vertedor="Retangular",Cd_sr*Lef_sr*((O3476/100-cota_s)^(3/2))*1000)),IF(O3476&lt;=cota_s*100+fi_s/20,0,(OFFSET('Base de dados'!$A$4,IF(O3476&lt;20,1,IF(O3476&gt;1000,10,MATCH(O3476,Cargas,1))),Coluna_fis,1,1))*(PI()*(fi_s/1000)^2/4)*(2*9.81*(O3476/100-cota_s-fi_s/2/1000))^0.5*1000)))</f>
        <v>25253.628107570839</v>
      </c>
      <c r="R3476" s="19">
        <f t="shared" ca="1" si="355"/>
        <v>25332.824965017418</v>
      </c>
      <c r="S3476" s="19">
        <f t="shared" ca="1" si="356"/>
        <v>22981.818535789331</v>
      </c>
    </row>
    <row r="3477" spans="13:19">
      <c r="M3477" s="81">
        <f t="shared" ca="1" si="353"/>
        <v>48333.802915253575</v>
      </c>
      <c r="N3477" s="19">
        <f t="shared" si="354"/>
        <v>689.6776803509124</v>
      </c>
      <c r="O3477" s="17">
        <f>IF(ISERROR(IF(O3476+passo_altura&gt;h_max_puls*100,"",O3476+passo_altura)),"",IF(O3476+passo_altura&gt;h_max_puls*100,"",O3476+passo_altura))</f>
        <v>869</v>
      </c>
      <c r="P3477" s="19">
        <f ca="1">IF(ISERROR(IF(O3477&lt;fi_h/20,0,(OFFSET('Base de dados'!$A$5,IF(O3477&lt;20,1,IF(O3477&gt;1000,10,MATCH(O3477,Cargas,1))),Coluna_fih,1,1))*(1+0.13*0.25)*(PI()*(fi_h/1000)^2/4)*SQRT(2*9.81*(O3477/100-fi_h/2/1000))*1000)),"",IF(O3477&lt;fi_h/20,0,(OFFSET('Base de dados'!$A$5,IF(O3477&lt;20,1,IF(O3477&gt;1000,10,MATCH(O3477,Cargas,1))),Coluna_fih,1,1))*(PI()*(fi_h/1000)^2/4)*SQRT(2*9.81*(O3477/100-fi_h/2/1000))*1000))</f>
        <v>79.208326309677034</v>
      </c>
      <c r="Q3477" s="19">
        <f ca="1">IF(O3477="","",IF(Tipo_Vertedor="Retangular",IF(O3477&lt;=cota_s*100,0,IF(Tipo_Vertedor="Retangular",Cd_sr*Lef_sr*((O3477/100-cota_s)^(3/2))*1000)),IF(O3477&lt;=cota_s*100+fi_s/20,0,(OFFSET('Base de dados'!$A$4,IF(O3477&lt;20,1,IF(O3477&gt;1000,10,MATCH(O3477,Cargas,1))),Coluna_fis,1,1))*(PI()*(fi_s/1000)^2/4)*(2*9.81*(O3477/100-cota_s-fi_s/2/1000))^0.5*1000)))</f>
        <v>25265.338577246817</v>
      </c>
      <c r="R3477" s="19">
        <f t="shared" ca="1" si="355"/>
        <v>25344.546903556493</v>
      </c>
      <c r="S3477" s="19">
        <f t="shared" ca="1" si="356"/>
        <v>22989.256011697078</v>
      </c>
    </row>
  </sheetData>
  <mergeCells count="6">
    <mergeCell ref="AR3:AS3"/>
    <mergeCell ref="A1:J1"/>
    <mergeCell ref="A2:I2"/>
    <mergeCell ref="M1:S1"/>
    <mergeCell ref="AD3:AE3"/>
    <mergeCell ref="AO3:AP3"/>
  </mergeCells>
  <conditionalFormatting sqref="T3:AD3 A17:K1048576 A13:J16 A10:K12 A3:I9 AL3:XFD3 T458:AH1048576 AJ486:XFD1048576 AL4:AP10 AG11:AH12 AG19:AH457 T4:AF457 AR4:XFD10 AJ11:AJ485 AL11:XFD485 M3:R1048576">
    <cfRule type="notContainsBlanks" dxfId="40" priority="26">
      <formula>LEN(TRIM(A3))&gt;0</formula>
    </cfRule>
  </conditionalFormatting>
  <conditionalFormatting sqref="A6:A487">
    <cfRule type="notContainsBlanks" dxfId="39" priority="25">
      <formula>LEN(TRIM(A6))&gt;0</formula>
    </cfRule>
  </conditionalFormatting>
  <conditionalFormatting sqref="C3">
    <cfRule type="notContainsBlanks" dxfId="38" priority="24">
      <formula>LEN(TRIM(C3))&gt;0</formula>
    </cfRule>
  </conditionalFormatting>
  <conditionalFormatting sqref="C4">
    <cfRule type="notContainsBlanks" dxfId="37" priority="23">
      <formula>LEN(TRIM(C4))&gt;0</formula>
    </cfRule>
  </conditionalFormatting>
  <conditionalFormatting sqref="D3">
    <cfRule type="notContainsBlanks" dxfId="36" priority="22">
      <formula>LEN(TRIM(D3))&gt;0</formula>
    </cfRule>
  </conditionalFormatting>
  <conditionalFormatting sqref="D4">
    <cfRule type="notContainsBlanks" dxfId="35" priority="21">
      <formula>LEN(TRIM(D4))&gt;0</formula>
    </cfRule>
  </conditionalFormatting>
  <conditionalFormatting sqref="E3:G3">
    <cfRule type="notContainsBlanks" dxfId="34" priority="20">
      <formula>LEN(TRIM(E3))&gt;0</formula>
    </cfRule>
  </conditionalFormatting>
  <conditionalFormatting sqref="E4:G4">
    <cfRule type="notContainsBlanks" dxfId="33" priority="19">
      <formula>LEN(TRIM(E4))&gt;0</formula>
    </cfRule>
  </conditionalFormatting>
  <conditionalFormatting sqref="H3">
    <cfRule type="notContainsBlanks" dxfId="32" priority="18">
      <formula>LEN(TRIM(H3))&gt;0</formula>
    </cfRule>
  </conditionalFormatting>
  <conditionalFormatting sqref="H4">
    <cfRule type="notContainsBlanks" dxfId="31" priority="17">
      <formula>LEN(TRIM(H4))&gt;0</formula>
    </cfRule>
  </conditionalFormatting>
  <conditionalFormatting sqref="M4:M3477">
    <cfRule type="notContainsBlanks" dxfId="30" priority="12">
      <formula>LEN(TRIM(M4))&gt;0</formula>
    </cfRule>
  </conditionalFormatting>
  <conditionalFormatting sqref="M3">
    <cfRule type="notContainsBlanks" dxfId="29" priority="14">
      <formula>LEN(TRIM(M3))&gt;0</formula>
    </cfRule>
  </conditionalFormatting>
  <conditionalFormatting sqref="M3">
    <cfRule type="notContainsBlanks" dxfId="28" priority="13">
      <formula>LEN(TRIM(M3))&gt;0</formula>
    </cfRule>
  </conditionalFormatting>
  <conditionalFormatting sqref="S3">
    <cfRule type="notContainsBlanks" dxfId="27" priority="10">
      <formula>LEN(TRIM(S3))&gt;0</formula>
    </cfRule>
  </conditionalFormatting>
  <conditionalFormatting sqref="S3">
    <cfRule type="notContainsBlanks" dxfId="26" priority="9">
      <formula>LEN(TRIM(S3))&gt;0</formula>
    </cfRule>
  </conditionalFormatting>
  <conditionalFormatting sqref="S3">
    <cfRule type="notContainsBlanks" dxfId="25" priority="8">
      <formula>LEN(TRIM(S3))&gt;0</formula>
    </cfRule>
  </conditionalFormatting>
  <conditionalFormatting sqref="S4">
    <cfRule type="notContainsBlanks" dxfId="24" priority="7">
      <formula>LEN(TRIM(S4))&gt;0</formula>
    </cfRule>
  </conditionalFormatting>
  <conditionalFormatting sqref="M658:S3477">
    <cfRule type="notContainsBlanks" dxfId="23" priority="6">
      <formula>LEN(TRIM(M658))&gt;0</formula>
    </cfRule>
  </conditionalFormatting>
  <conditionalFormatting sqref="S5:S3477">
    <cfRule type="notContainsBlanks" dxfId="22" priority="5">
      <formula>LEN(TRIM(S5))&gt;0</formula>
    </cfRule>
  </conditionalFormatting>
  <conditionalFormatting sqref="S5:S1048576">
    <cfRule type="notContainsBlanks" dxfId="21" priority="4">
      <formula>LEN(TRIM(S5))&gt;0</formula>
    </cfRule>
  </conditionalFormatting>
  <conditionalFormatting sqref="K13:L16">
    <cfRule type="notContainsBlanks" dxfId="20" priority="3">
      <formula>LEN(TRIM(K13))&gt;0</formula>
    </cfRule>
  </conditionalFormatting>
  <conditionalFormatting sqref="AO3">
    <cfRule type="notContainsBlanks" dxfId="19" priority="2">
      <formula>LEN(TRIM(AO3))&gt;0</formula>
    </cfRule>
  </conditionalFormatting>
  <conditionalFormatting sqref="AR3">
    <cfRule type="notContainsBlanks" dxfId="18" priority="1">
      <formula>LEN(TRIM(AR3))&gt;0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BE61"/>
  <sheetViews>
    <sheetView zoomScale="85" zoomScaleNormal="85" workbookViewId="0">
      <selection activeCell="A19" sqref="A19:B31"/>
    </sheetView>
  </sheetViews>
  <sheetFormatPr defaultRowHeight="15"/>
  <cols>
    <col min="1" max="1" width="6.140625" style="36" customWidth="1"/>
    <col min="2" max="2" width="5.28515625" style="36" bestFit="1" customWidth="1"/>
    <col min="3" max="3" width="8.85546875" style="36" bestFit="1" customWidth="1"/>
    <col min="4" max="6" width="5.28515625" style="36" bestFit="1" customWidth="1"/>
    <col min="7" max="10" width="9.140625" style="36"/>
    <col min="11" max="11" width="10.85546875" style="36" bestFit="1" customWidth="1"/>
    <col min="12" max="12" width="9.140625" style="36"/>
    <col min="13" max="13" width="9.7109375" style="36" bestFit="1" customWidth="1"/>
    <col min="14" max="14" width="7.7109375" style="36" bestFit="1" customWidth="1"/>
    <col min="15" max="15" width="10.140625" style="36" customWidth="1"/>
    <col min="16" max="16" width="9.140625" style="36"/>
    <col min="17" max="17" width="9.140625" style="36" customWidth="1"/>
    <col min="18" max="18" width="10.85546875" style="36" customWidth="1"/>
    <col min="19" max="19" width="11.28515625" style="36" customWidth="1"/>
    <col min="20" max="20" width="7.5703125" style="36" bestFit="1" customWidth="1"/>
    <col min="21" max="21" width="12" style="36" bestFit="1" customWidth="1"/>
    <col min="22" max="22" width="9.42578125" style="36" customWidth="1"/>
    <col min="23" max="23" width="7.5703125" style="36" bestFit="1" customWidth="1"/>
    <col min="24" max="24" width="5.140625" style="36" customWidth="1"/>
    <col min="25" max="25" width="6.28515625" style="36" bestFit="1" customWidth="1"/>
    <col min="26" max="37" width="9.140625" style="36"/>
    <col min="38" max="38" width="12" style="36" bestFit="1" customWidth="1"/>
    <col min="39" max="39" width="12.28515625" style="36" bestFit="1" customWidth="1"/>
    <col min="40" max="40" width="11.28515625" style="36" customWidth="1"/>
    <col min="41" max="41" width="8.42578125" style="36" bestFit="1" customWidth="1"/>
    <col min="42" max="42" width="12" style="36" bestFit="1" customWidth="1"/>
    <col min="43" max="43" width="10.28515625" style="36" bestFit="1" customWidth="1"/>
    <col min="44" max="45" width="9.140625" style="36"/>
    <col min="46" max="46" width="12.7109375" style="36" bestFit="1" customWidth="1"/>
    <col min="47" max="47" width="7" style="36" bestFit="1" customWidth="1"/>
    <col min="48" max="48" width="12" style="36" bestFit="1" customWidth="1"/>
    <col min="49" max="49" width="10.28515625" style="36" bestFit="1" customWidth="1"/>
    <col min="50" max="16384" width="9.140625" style="36"/>
  </cols>
  <sheetData>
    <row r="1" spans="1:6">
      <c r="A1" s="37" t="s">
        <v>101</v>
      </c>
    </row>
    <row r="2" spans="1:6">
      <c r="A2" s="38"/>
      <c r="B2" s="38"/>
      <c r="C2" s="38"/>
      <c r="D2" s="38"/>
      <c r="E2" s="38"/>
      <c r="F2" s="38"/>
    </row>
    <row r="3" spans="1:6" ht="11.25" customHeight="1">
      <c r="A3" s="43" t="s">
        <v>102</v>
      </c>
      <c r="B3" s="203" t="s">
        <v>103</v>
      </c>
      <c r="C3" s="203"/>
      <c r="D3" s="203"/>
      <c r="E3" s="203"/>
      <c r="F3" s="203"/>
    </row>
    <row r="4" spans="1:6" ht="12.75" customHeight="1">
      <c r="A4" s="44" t="s">
        <v>61</v>
      </c>
      <c r="B4" s="44">
        <v>20</v>
      </c>
      <c r="C4" s="44">
        <v>30</v>
      </c>
      <c r="D4" s="44">
        <v>40</v>
      </c>
      <c r="E4" s="44">
        <v>50</v>
      </c>
      <c r="F4" s="44">
        <v>60</v>
      </c>
    </row>
    <row r="5" spans="1:6" ht="12" customHeight="1">
      <c r="A5" s="43">
        <v>20</v>
      </c>
      <c r="B5" s="45">
        <v>0.65300000000000002</v>
      </c>
      <c r="C5" s="45">
        <v>0.63200000000000001</v>
      </c>
      <c r="D5" s="45">
        <v>0.60899999999999999</v>
      </c>
      <c r="E5" s="45">
        <v>0.60699999999999998</v>
      </c>
      <c r="F5" s="45">
        <v>0.60699999999999998</v>
      </c>
    </row>
    <row r="6" spans="1:6" ht="12" customHeight="1">
      <c r="A6" s="43">
        <v>40</v>
      </c>
      <c r="B6" s="45">
        <v>0.65100000000000002</v>
      </c>
      <c r="C6" s="45">
        <v>0.625</v>
      </c>
      <c r="D6" s="45">
        <v>0.61</v>
      </c>
      <c r="E6" s="45">
        <v>0.60699999999999998</v>
      </c>
      <c r="F6" s="45">
        <v>0.60699999999999998</v>
      </c>
    </row>
    <row r="7" spans="1:6" ht="12" customHeight="1">
      <c r="A7" s="43">
        <v>60</v>
      </c>
      <c r="B7" s="45">
        <v>0.64800000000000002</v>
      </c>
      <c r="C7" s="45">
        <v>0.625</v>
      </c>
      <c r="D7" s="45">
        <v>0.61</v>
      </c>
      <c r="E7" s="45">
        <v>0.60699999999999998</v>
      </c>
      <c r="F7" s="45">
        <v>0.60799999999999998</v>
      </c>
    </row>
    <row r="8" spans="1:6" ht="12" customHeight="1">
      <c r="A8" s="43">
        <v>80</v>
      </c>
      <c r="B8" s="45">
        <v>0.64500000000000002</v>
      </c>
      <c r="C8" s="45">
        <v>0.623</v>
      </c>
      <c r="D8" s="45">
        <v>0.61</v>
      </c>
      <c r="E8" s="45">
        <v>0.60699999999999998</v>
      </c>
      <c r="F8" s="45">
        <v>0.60799999999999998</v>
      </c>
    </row>
    <row r="9" spans="1:6" ht="12" customHeight="1">
      <c r="A9" s="43">
        <v>100</v>
      </c>
      <c r="B9" s="45">
        <v>0.64200000000000002</v>
      </c>
      <c r="C9" s="45">
        <v>0.622</v>
      </c>
      <c r="D9" s="45">
        <v>0.61</v>
      </c>
      <c r="E9" s="45">
        <v>0.60699999999999998</v>
      </c>
      <c r="F9" s="45">
        <v>0.60799999999999998</v>
      </c>
    </row>
    <row r="10" spans="1:6" ht="12" customHeight="1">
      <c r="A10" s="43">
        <v>150</v>
      </c>
      <c r="B10" s="45">
        <v>0.63800000000000001</v>
      </c>
      <c r="C10" s="45">
        <v>0.622</v>
      </c>
      <c r="D10" s="45">
        <v>0.61</v>
      </c>
      <c r="E10" s="45">
        <v>0.60699999999999998</v>
      </c>
      <c r="F10" s="45">
        <v>0.60799999999999998</v>
      </c>
    </row>
    <row r="11" spans="1:6" ht="12" customHeight="1">
      <c r="A11" s="43">
        <v>200</v>
      </c>
      <c r="B11" s="45">
        <v>0.63400000000000001</v>
      </c>
      <c r="C11" s="45">
        <v>0.622</v>
      </c>
      <c r="D11" s="45">
        <v>0.61</v>
      </c>
      <c r="E11" s="45">
        <v>0.60699999999999998</v>
      </c>
      <c r="F11" s="45">
        <v>0.60799999999999998</v>
      </c>
    </row>
    <row r="12" spans="1:6" ht="12" customHeight="1">
      <c r="A12" s="45">
        <v>300</v>
      </c>
      <c r="B12" s="45">
        <v>0.63400000000000001</v>
      </c>
      <c r="C12" s="45">
        <v>0.621</v>
      </c>
      <c r="D12" s="45">
        <v>0.61099999999999999</v>
      </c>
      <c r="E12" s="45">
        <v>0.60699999999999998</v>
      </c>
      <c r="F12" s="45">
        <v>0.60799999999999998</v>
      </c>
    </row>
    <row r="13" spans="1:6">
      <c r="A13" s="39">
        <v>500</v>
      </c>
      <c r="B13" s="41">
        <v>0.63400000000000001</v>
      </c>
      <c r="C13" s="41">
        <v>0.621</v>
      </c>
      <c r="D13" s="41">
        <v>0.61099999999999999</v>
      </c>
      <c r="E13" s="41">
        <v>0.60699999999999998</v>
      </c>
      <c r="F13" s="41">
        <v>0.60799999999999998</v>
      </c>
    </row>
    <row r="14" spans="1:6">
      <c r="A14" s="40">
        <v>1000</v>
      </c>
      <c r="B14" s="42">
        <v>0.63400000000000001</v>
      </c>
      <c r="C14" s="42">
        <v>0.621</v>
      </c>
      <c r="D14" s="42">
        <v>0.61099999999999999</v>
      </c>
      <c r="E14" s="42">
        <v>0.60699999999999998</v>
      </c>
      <c r="F14" s="42">
        <v>0.60899999999999999</v>
      </c>
    </row>
    <row r="18" spans="1:57">
      <c r="A18" s="204" t="s">
        <v>104</v>
      </c>
      <c r="B18" s="204"/>
      <c r="C18" s="204" t="s">
        <v>167</v>
      </c>
      <c r="D18" s="204"/>
      <c r="E18" s="204" t="s">
        <v>168</v>
      </c>
      <c r="F18" s="204"/>
      <c r="G18" s="204"/>
      <c r="H18" s="204" t="s">
        <v>169</v>
      </c>
      <c r="I18" s="204"/>
    </row>
    <row r="19" spans="1:57">
      <c r="A19" s="202">
        <v>20</v>
      </c>
      <c r="B19" s="202"/>
      <c r="C19" s="202">
        <v>1.5</v>
      </c>
      <c r="D19" s="202"/>
      <c r="E19" s="202">
        <f>A19-2*C19</f>
        <v>17</v>
      </c>
      <c r="F19" s="202"/>
      <c r="G19" s="202"/>
      <c r="H19" s="208">
        <v>15</v>
      </c>
      <c r="I19" s="208"/>
      <c r="J19" s="76"/>
      <c r="K19" s="206" t="s">
        <v>153</v>
      </c>
      <c r="L19" s="206"/>
      <c r="M19" s="206"/>
      <c r="N19" s="206"/>
    </row>
    <row r="20" spans="1:57">
      <c r="A20" s="202">
        <v>25</v>
      </c>
      <c r="B20" s="202"/>
      <c r="C20" s="202">
        <v>1.7</v>
      </c>
      <c r="D20" s="202"/>
      <c r="E20" s="202">
        <f t="shared" ref="E20:E31" si="0">A20-2*C20</f>
        <v>21.6</v>
      </c>
      <c r="F20" s="202"/>
      <c r="G20" s="202"/>
      <c r="H20" s="202">
        <v>20</v>
      </c>
      <c r="I20" s="202"/>
      <c r="K20" s="59" t="s">
        <v>105</v>
      </c>
      <c r="L20" s="59" t="s">
        <v>106</v>
      </c>
      <c r="M20" s="59" t="s">
        <v>82</v>
      </c>
      <c r="N20" s="59" t="s">
        <v>107</v>
      </c>
    </row>
    <row r="21" spans="1:57">
      <c r="A21" s="202">
        <v>32</v>
      </c>
      <c r="B21" s="202"/>
      <c r="C21" s="202">
        <v>2.1</v>
      </c>
      <c r="D21" s="202"/>
      <c r="E21" s="202">
        <f t="shared" si="0"/>
        <v>27.8</v>
      </c>
      <c r="F21" s="202"/>
      <c r="G21" s="202"/>
      <c r="H21" s="202">
        <v>25</v>
      </c>
      <c r="I21" s="202"/>
      <c r="K21" s="59">
        <v>20</v>
      </c>
      <c r="L21" s="59">
        <v>6.72</v>
      </c>
      <c r="M21" s="59">
        <v>2.0299999999999998</v>
      </c>
      <c r="N21" s="59">
        <v>3.08</v>
      </c>
    </row>
    <row r="22" spans="1:57">
      <c r="A22" s="202">
        <v>40</v>
      </c>
      <c r="B22" s="202"/>
      <c r="C22" s="202">
        <v>2.4</v>
      </c>
      <c r="D22" s="202"/>
      <c r="E22" s="202">
        <f t="shared" si="0"/>
        <v>35.200000000000003</v>
      </c>
      <c r="F22" s="202"/>
      <c r="G22" s="202"/>
      <c r="H22" s="202">
        <v>32</v>
      </c>
      <c r="I22" s="202"/>
      <c r="K22" s="59">
        <v>25</v>
      </c>
      <c r="L22" s="59">
        <v>5.5</v>
      </c>
      <c r="M22" s="59">
        <v>2.6</v>
      </c>
      <c r="N22" s="59">
        <v>3.08</v>
      </c>
    </row>
    <row r="23" spans="1:57">
      <c r="A23" s="202">
        <v>50</v>
      </c>
      <c r="B23" s="202"/>
      <c r="C23" s="202">
        <v>3</v>
      </c>
      <c r="D23" s="202"/>
      <c r="E23" s="202">
        <f t="shared" si="0"/>
        <v>44</v>
      </c>
      <c r="F23" s="202"/>
      <c r="G23" s="202"/>
      <c r="H23" s="202">
        <v>40</v>
      </c>
      <c r="I23" s="202"/>
      <c r="K23" s="59">
        <v>32</v>
      </c>
      <c r="L23" s="59">
        <v>4.87</v>
      </c>
      <c r="M23" s="59">
        <v>2.71</v>
      </c>
      <c r="N23" s="59">
        <v>3.08</v>
      </c>
    </row>
    <row r="24" spans="1:57">
      <c r="A24" s="202">
        <v>60</v>
      </c>
      <c r="B24" s="202"/>
      <c r="C24" s="202">
        <v>3.3</v>
      </c>
      <c r="D24" s="202"/>
      <c r="E24" s="202">
        <f t="shared" si="0"/>
        <v>53.4</v>
      </c>
      <c r="F24" s="202"/>
      <c r="G24" s="202"/>
      <c r="H24" s="202">
        <v>50</v>
      </c>
      <c r="I24" s="202"/>
      <c r="K24" s="59">
        <v>40</v>
      </c>
      <c r="L24" s="59">
        <v>3.87</v>
      </c>
      <c r="M24" s="59">
        <v>2.7</v>
      </c>
      <c r="N24" s="59">
        <v>3.08</v>
      </c>
      <c r="T24" s="194" t="s">
        <v>203</v>
      </c>
      <c r="U24" s="194"/>
      <c r="V24" s="194"/>
    </row>
    <row r="25" spans="1:57">
      <c r="A25" s="202">
        <v>75</v>
      </c>
      <c r="B25" s="202"/>
      <c r="C25" s="202">
        <v>4.2</v>
      </c>
      <c r="D25" s="202"/>
      <c r="E25" s="202">
        <f t="shared" si="0"/>
        <v>66.599999999999994</v>
      </c>
      <c r="F25" s="202"/>
      <c r="G25" s="202"/>
      <c r="H25" s="202">
        <v>60</v>
      </c>
      <c r="I25" s="202"/>
      <c r="K25" s="59">
        <v>50</v>
      </c>
      <c r="L25" s="59">
        <v>2.63</v>
      </c>
      <c r="M25" s="59">
        <v>3.39</v>
      </c>
      <c r="N25" s="59">
        <v>3.08</v>
      </c>
      <c r="T25" s="194">
        <f ca="1">IF(ISERROR(MATCH($U$28,$H$19:$H$31,0)),4,MATCH($U$28,$H$19:$H$31,0))</f>
        <v>11</v>
      </c>
      <c r="U25" s="194"/>
      <c r="V25" s="194"/>
    </row>
    <row r="26" spans="1:57">
      <c r="A26" s="202">
        <v>85</v>
      </c>
      <c r="B26" s="202"/>
      <c r="C26" s="202">
        <v>4.7</v>
      </c>
      <c r="D26" s="202"/>
      <c r="E26" s="202">
        <f t="shared" si="0"/>
        <v>75.599999999999994</v>
      </c>
      <c r="F26" s="202"/>
      <c r="G26" s="202"/>
      <c r="H26" s="202">
        <v>75</v>
      </c>
      <c r="I26" s="202"/>
      <c r="K26" s="206" t="s">
        <v>191</v>
      </c>
      <c r="L26" s="206"/>
      <c r="M26" s="206"/>
      <c r="N26" s="206"/>
      <c r="O26" s="206"/>
      <c r="P26" s="206"/>
      <c r="Q26" s="206"/>
      <c r="R26" s="206"/>
      <c r="S26" s="79" t="s">
        <v>193</v>
      </c>
      <c r="T26" s="195" t="s">
        <v>194</v>
      </c>
      <c r="U26" s="195"/>
      <c r="V26" s="195"/>
      <c r="W26" s="201" t="s">
        <v>200</v>
      </c>
      <c r="X26" s="201"/>
      <c r="Y26" s="201"/>
      <c r="Z26" s="201"/>
      <c r="AA26" s="201"/>
      <c r="AB26" s="201"/>
      <c r="AC26" s="201"/>
      <c r="AD26" s="201"/>
      <c r="AE26" s="199" t="s">
        <v>152</v>
      </c>
      <c r="AF26" s="200"/>
      <c r="AG26" s="200"/>
      <c r="AH26" s="200"/>
    </row>
    <row r="27" spans="1:57">
      <c r="A27" s="202">
        <v>110</v>
      </c>
      <c r="B27" s="202"/>
      <c r="C27" s="202">
        <v>6.1</v>
      </c>
      <c r="D27" s="202"/>
      <c r="E27" s="202">
        <f t="shared" si="0"/>
        <v>97.8</v>
      </c>
      <c r="F27" s="202"/>
      <c r="G27" s="202"/>
      <c r="H27" s="202">
        <v>100</v>
      </c>
      <c r="I27" s="202"/>
      <c r="K27" s="59" t="s">
        <v>195</v>
      </c>
      <c r="L27" s="59" t="s">
        <v>106</v>
      </c>
      <c r="M27" s="59" t="s">
        <v>82</v>
      </c>
      <c r="N27" s="59" t="s">
        <v>107</v>
      </c>
      <c r="O27" s="59" t="s">
        <v>90</v>
      </c>
      <c r="P27" s="194" t="s">
        <v>152</v>
      </c>
      <c r="Q27" s="194"/>
      <c r="R27" s="194"/>
      <c r="S27" s="80" t="s">
        <v>192</v>
      </c>
      <c r="T27" s="79" t="s">
        <v>68</v>
      </c>
      <c r="U27" s="79" t="s">
        <v>195</v>
      </c>
      <c r="V27" s="79" t="s">
        <v>82</v>
      </c>
      <c r="W27" s="201"/>
      <c r="X27" s="201"/>
      <c r="Y27" s="201"/>
      <c r="Z27" s="201"/>
      <c r="AA27" s="201"/>
      <c r="AB27" s="201"/>
      <c r="AC27" s="201"/>
      <c r="AD27" s="201"/>
      <c r="AE27" s="199"/>
      <c r="AF27" s="200"/>
      <c r="AG27" s="200"/>
      <c r="AH27" s="200"/>
      <c r="AI27" s="79" t="s">
        <v>201</v>
      </c>
      <c r="AJ27" s="195" t="s">
        <v>202</v>
      </c>
      <c r="AK27" s="195"/>
      <c r="AL27" s="195"/>
      <c r="AM27" s="79"/>
      <c r="AN27" s="79"/>
      <c r="AO27" s="79" t="s">
        <v>68</v>
      </c>
      <c r="AP27" s="79" t="s">
        <v>195</v>
      </c>
      <c r="AQ27" s="79" t="s">
        <v>82</v>
      </c>
    </row>
    <row r="28" spans="1:57" ht="15.75" customHeight="1">
      <c r="A28" s="202">
        <v>125</v>
      </c>
      <c r="B28" s="202"/>
      <c r="C28" s="202">
        <v>6.1</v>
      </c>
      <c r="D28" s="202"/>
      <c r="E28" s="202">
        <f t="shared" si="0"/>
        <v>112.8</v>
      </c>
      <c r="F28" s="202"/>
      <c r="G28" s="202"/>
      <c r="H28" s="202">
        <v>110</v>
      </c>
      <c r="I28" s="202"/>
      <c r="K28" s="59">
        <v>15</v>
      </c>
      <c r="L28" s="75">
        <v>39.941313737718552</v>
      </c>
      <c r="M28" s="74">
        <v>30.181340216673661</v>
      </c>
      <c r="N28" s="74">
        <v>26.866247820013307</v>
      </c>
      <c r="O28" s="73">
        <v>0.69</v>
      </c>
      <c r="P28" s="194" t="str">
        <f t="shared" ref="P28:P40" si="1">CONCATENATE("φo = ",K28," - h = ",ROUND(O28,2),"m - ",IF(AND(M28&lt;=N28,O28&lt;=hmax_max),"OK","N-OK"))</f>
        <v>φo = 15 - h = 0.69m - N-OK</v>
      </c>
      <c r="Q28" s="194"/>
      <c r="R28" s="194"/>
      <c r="S28" s="79" t="str">
        <f t="shared" ref="S28:S40" si="2">IF(AND(M28&lt;=N28,O28&lt;=hmax_max),L28,"")</f>
        <v/>
      </c>
      <c r="T28" s="79">
        <f ca="1">ROUND(OFFSET(L27,MATCH(MIN(S28:S40),S28:S40,0),0,1,1),2)</f>
        <v>25.01</v>
      </c>
      <c r="U28" s="79">
        <f ca="1">OFFSET(K27,MATCH(MIN(S28:S40),S28:S40,0),0,1,1)</f>
        <v>125</v>
      </c>
      <c r="V28" s="79">
        <f ca="1">ROUND(OFFSET(M27,MATCH(MIN(S28:S40),S28:S40,0),0,1,1),2)</f>
        <v>24.96</v>
      </c>
      <c r="W28" s="201" t="str">
        <f ca="1">IF(OR(ISERROR(T28),ISERROR(U28),ISERROR(V28)),"Não disponível",CONCATENATE("Volume = ",T28," m³  ","φ = ",U28," mm  ","Qmaxef = ",V28," L/s"))</f>
        <v>Volume = 25.01 m³  φ = 125 mm  Qmaxef = 24.96 L/s</v>
      </c>
      <c r="X28" s="201"/>
      <c r="Y28" s="201"/>
      <c r="Z28" s="201"/>
      <c r="AA28" s="201"/>
      <c r="AB28" s="201"/>
      <c r="AC28" s="201"/>
      <c r="AD28" s="201"/>
      <c r="AE28" s="198" t="str">
        <f ca="1">IF(ISERROR(OFFSET(P27,MATCH(MIN(S28:S40),S28:S40,0),0,1,1)),"--",OFFSET(P27,MATCH(MIN(S28:S40),S28:S40,0),0,1,1))</f>
        <v>φo = 125 - h = 0.46m - OK</v>
      </c>
      <c r="AF28" s="195"/>
      <c r="AG28" s="195"/>
      <c r="AH28" s="195"/>
      <c r="AI28" s="59">
        <v>15</v>
      </c>
      <c r="AJ28" s="36" t="s">
        <v>283</v>
      </c>
      <c r="AO28" s="36">
        <v>5.0599999999999996</v>
      </c>
      <c r="AP28" s="36">
        <v>25</v>
      </c>
      <c r="AQ28" s="36">
        <v>1.98</v>
      </c>
      <c r="AS28" s="193" t="str">
        <f>IF(ISERROR(CONCATENATE("Vol = ",AO28,"m³   Qmaxef = ",AQ28,"L/s  ","φs = ",AI28,"mm ",AJ28)),"--",CONCATENATE("Vol = ",AO28,"m³   Qmaxef = ",AQ28,"L/s  ","φs = ",AI28," mm ",AJ28))</f>
        <v>Vol = 5.06m³   Qmaxef = 1.98L/s  φs = 15 mm φo = 25 - h = 1.35m - OK</v>
      </c>
      <c r="AT28" s="193"/>
      <c r="AU28" s="193"/>
      <c r="AV28" s="193"/>
      <c r="AW28" s="193"/>
      <c r="AX28" s="193"/>
      <c r="AY28" s="193"/>
      <c r="AZ28" s="193"/>
      <c r="BE28" s="36" t="s">
        <v>208</v>
      </c>
    </row>
    <row r="29" spans="1:57">
      <c r="A29" s="202">
        <v>150</v>
      </c>
      <c r="B29" s="202"/>
      <c r="C29" s="202">
        <v>6.1</v>
      </c>
      <c r="D29" s="202"/>
      <c r="E29" s="202">
        <f t="shared" si="0"/>
        <v>137.80000000000001</v>
      </c>
      <c r="F29" s="202"/>
      <c r="G29" s="202"/>
      <c r="H29" s="202">
        <v>125</v>
      </c>
      <c r="I29" s="202"/>
      <c r="K29" s="59">
        <v>20</v>
      </c>
      <c r="L29" s="75">
        <v>39.778607821934855</v>
      </c>
      <c r="M29" s="74">
        <v>29.280569580550186</v>
      </c>
      <c r="N29" s="74">
        <v>26.866247820013307</v>
      </c>
      <c r="O29" s="73">
        <v>0.6875</v>
      </c>
      <c r="P29" s="194" t="str">
        <f t="shared" si="1"/>
        <v>φo = 20 - h = 0.69m - N-OK</v>
      </c>
      <c r="Q29" s="194"/>
      <c r="R29" s="194"/>
      <c r="S29" s="79" t="str">
        <f t="shared" si="2"/>
        <v/>
      </c>
      <c r="T29" s="79"/>
      <c r="U29" s="79"/>
      <c r="V29" s="79"/>
      <c r="AF29" s="79"/>
      <c r="AI29" s="59">
        <v>20</v>
      </c>
      <c r="AJ29" s="36" t="s">
        <v>284</v>
      </c>
      <c r="AO29" s="36">
        <v>4.9800000000000004</v>
      </c>
      <c r="AP29" s="36">
        <v>25</v>
      </c>
      <c r="AQ29" s="36">
        <v>2.3199999999999998</v>
      </c>
      <c r="AS29" s="193" t="str">
        <f t="shared" ref="AS29:AS31" si="3">IF(ISERROR(CONCATENATE("Vol = ",AO29,"m³   Qmaxef = ",AQ29,"L/s  ","φs = ",AI29,"mm ",AJ29)),"--",CONCATENATE("Vol = ",AO29,"m³   Qmaxef = ",AQ29,"L/s  ","φs = ",AI29," mm ",AJ29))</f>
        <v>Vol = 4.98m³   Qmaxef = 2.32L/s  φs = 20 mm φo = 25 - h = 1.33m - OK</v>
      </c>
      <c r="AT29" s="193"/>
      <c r="AU29" s="193"/>
      <c r="AV29" s="193"/>
      <c r="AW29" s="193"/>
      <c r="AX29" s="193"/>
      <c r="AY29" s="193"/>
      <c r="AZ29" s="193"/>
      <c r="BE29" s="36" t="s">
        <v>209</v>
      </c>
    </row>
    <row r="30" spans="1:57">
      <c r="A30" s="202">
        <v>175</v>
      </c>
      <c r="B30" s="202"/>
      <c r="C30" s="202">
        <v>6.1</v>
      </c>
      <c r="D30" s="202"/>
      <c r="E30" s="202">
        <f t="shared" si="0"/>
        <v>162.80000000000001</v>
      </c>
      <c r="F30" s="202"/>
      <c r="G30" s="202"/>
      <c r="H30" s="202">
        <v>150</v>
      </c>
      <c r="I30" s="202"/>
      <c r="K30" s="59">
        <v>25</v>
      </c>
      <c r="L30" s="75">
        <v>39.778607821934855</v>
      </c>
      <c r="M30" s="74">
        <v>29.842646232527294</v>
      </c>
      <c r="N30" s="74">
        <v>26.866247820013307</v>
      </c>
      <c r="O30" s="73">
        <v>0.6875</v>
      </c>
      <c r="P30" s="194" t="str">
        <f t="shared" si="1"/>
        <v>φo = 25 - h = 0.69m - N-OK</v>
      </c>
      <c r="Q30" s="194"/>
      <c r="R30" s="194"/>
      <c r="S30" s="79" t="str">
        <f t="shared" si="2"/>
        <v/>
      </c>
      <c r="T30" s="79"/>
      <c r="U30" s="79"/>
      <c r="V30" s="79"/>
      <c r="AI30" s="59">
        <v>25</v>
      </c>
      <c r="AJ30" s="36" t="s">
        <v>285</v>
      </c>
      <c r="AO30" s="36">
        <v>4.93</v>
      </c>
      <c r="AP30" s="36">
        <v>25</v>
      </c>
      <c r="AQ30" s="36">
        <v>2.5099999999999998</v>
      </c>
      <c r="AS30" s="193" t="str">
        <f t="shared" si="3"/>
        <v>Vol = 4.93m³   Qmaxef = 2.51L/s  φs = 25 mm φo = 25 - h = 1.32m - OK</v>
      </c>
      <c r="AT30" s="193"/>
      <c r="AU30" s="193"/>
      <c r="AV30" s="193"/>
      <c r="AW30" s="193"/>
      <c r="AX30" s="193"/>
      <c r="AY30" s="193"/>
      <c r="AZ30" s="193"/>
      <c r="BE30" s="36" t="s">
        <v>207</v>
      </c>
    </row>
    <row r="31" spans="1:57">
      <c r="A31" s="205">
        <v>200</v>
      </c>
      <c r="B31" s="205"/>
      <c r="C31" s="205">
        <v>6.1</v>
      </c>
      <c r="D31" s="205"/>
      <c r="E31" s="205">
        <f t="shared" si="0"/>
        <v>187.8</v>
      </c>
      <c r="F31" s="205"/>
      <c r="G31" s="205"/>
      <c r="H31" s="205">
        <v>180</v>
      </c>
      <c r="I31" s="205"/>
      <c r="K31" s="59">
        <v>32</v>
      </c>
      <c r="L31" s="75">
        <v>39.615975595056547</v>
      </c>
      <c r="M31" s="74">
        <v>29.403981599059428</v>
      </c>
      <c r="N31" s="74">
        <v>26.866247820013307</v>
      </c>
      <c r="O31" s="73">
        <v>0.68500000000000005</v>
      </c>
      <c r="P31" s="194" t="str">
        <f t="shared" si="1"/>
        <v>φo = 32 - h = 0.69m - N-OK</v>
      </c>
      <c r="Q31" s="194"/>
      <c r="R31" s="194"/>
      <c r="S31" s="79" t="str">
        <f t="shared" si="2"/>
        <v/>
      </c>
      <c r="T31" s="79"/>
      <c r="U31" s="79"/>
      <c r="V31" s="79"/>
      <c r="AI31" s="59">
        <v>32</v>
      </c>
      <c r="AJ31" s="36" t="s">
        <v>286</v>
      </c>
      <c r="AO31" s="36">
        <v>5.91</v>
      </c>
      <c r="AP31" s="36">
        <v>15</v>
      </c>
      <c r="AQ31" s="36">
        <v>2.4</v>
      </c>
      <c r="AS31" s="193" t="str">
        <f t="shared" si="3"/>
        <v>Vol = 5.91m³   Qmaxef = 2.4L/s  φs = 32 mm φo = 15 - h = 1.58m - OK</v>
      </c>
      <c r="AT31" s="193"/>
      <c r="AU31" s="193"/>
      <c r="AV31" s="193"/>
      <c r="AW31" s="193"/>
      <c r="AX31" s="193"/>
      <c r="AY31" s="193"/>
      <c r="AZ31" s="193"/>
    </row>
    <row r="32" spans="1:57">
      <c r="K32" s="59">
        <v>40</v>
      </c>
      <c r="L32" s="75">
        <v>39.453417292466035</v>
      </c>
      <c r="M32" s="74">
        <v>29.357518564037214</v>
      </c>
      <c r="N32" s="74">
        <v>26.866247820013307</v>
      </c>
      <c r="O32" s="73">
        <v>0.6825</v>
      </c>
      <c r="P32" s="194" t="str">
        <f t="shared" si="1"/>
        <v>φo = 40 - h = 0.68m - N-OK</v>
      </c>
      <c r="Q32" s="194"/>
      <c r="R32" s="194"/>
      <c r="S32" s="79" t="str">
        <f t="shared" si="2"/>
        <v/>
      </c>
      <c r="T32" s="79"/>
      <c r="U32" s="79"/>
      <c r="V32" s="79"/>
      <c r="AI32" s="59">
        <v>40</v>
      </c>
      <c r="AJ32" s="36" t="s">
        <v>287</v>
      </c>
      <c r="AO32" s="36" t="e">
        <v>#N/A</v>
      </c>
      <c r="AP32" s="36" t="e">
        <v>#N/A</v>
      </c>
      <c r="AQ32" s="36" t="e">
        <v>#N/A</v>
      </c>
      <c r="AS32" s="193" t="str">
        <f t="shared" ref="AS32:AS40" si="4">IF(ISERROR(CONCATENATE("Vol = ",AO32,"m³   Qmaxef = ",AQ32,"L/s  ","#s = ",AI32," ",AJ32)),"--",CONCATENATE("Vol = ",AO32,"m³   Qmaxef = ",AQ32,"L/s  ","#s = ",AI32," ",AJ32))</f>
        <v>--</v>
      </c>
      <c r="AT32" s="193"/>
      <c r="AU32" s="193"/>
      <c r="AV32" s="193"/>
      <c r="AW32" s="193"/>
      <c r="AX32" s="193"/>
      <c r="AY32" s="193"/>
      <c r="AZ32" s="193"/>
    </row>
    <row r="33" spans="1:52">
      <c r="K33" s="59">
        <v>50</v>
      </c>
      <c r="L33" s="75">
        <v>39.290933151162349</v>
      </c>
      <c r="M33" s="74">
        <v>29.711966295158938</v>
      </c>
      <c r="N33" s="74">
        <v>26.866247820013307</v>
      </c>
      <c r="O33" s="73">
        <v>0.68</v>
      </c>
      <c r="P33" s="194" t="str">
        <f t="shared" si="1"/>
        <v>φo = 50 - h = 0.68m - N-OK</v>
      </c>
      <c r="Q33" s="194"/>
      <c r="R33" s="194"/>
      <c r="S33" s="79" t="str">
        <f t="shared" si="2"/>
        <v/>
      </c>
      <c r="T33" s="79"/>
      <c r="U33" s="79"/>
      <c r="V33" s="79"/>
      <c r="AI33" s="59">
        <v>50</v>
      </c>
      <c r="AJ33" s="36" t="s">
        <v>287</v>
      </c>
      <c r="AO33" s="36" t="e">
        <v>#N/A</v>
      </c>
      <c r="AP33" s="36" t="e">
        <v>#N/A</v>
      </c>
      <c r="AQ33" s="36" t="e">
        <v>#N/A</v>
      </c>
      <c r="AS33" s="193" t="str">
        <f t="shared" si="4"/>
        <v>--</v>
      </c>
      <c r="AT33" s="193"/>
      <c r="AU33" s="193"/>
      <c r="AV33" s="193"/>
      <c r="AW33" s="193"/>
      <c r="AX33" s="193"/>
      <c r="AY33" s="193"/>
      <c r="AZ33" s="193"/>
    </row>
    <row r="34" spans="1:52">
      <c r="K34" s="59">
        <v>60</v>
      </c>
      <c r="L34" s="59">
        <v>38.966188308597609</v>
      </c>
      <c r="M34" s="59">
        <v>30.067968708526912</v>
      </c>
      <c r="N34" s="59">
        <v>26.866247820013307</v>
      </c>
      <c r="O34" s="59">
        <v>0.67500000000000004</v>
      </c>
      <c r="P34" s="194" t="str">
        <f t="shared" si="1"/>
        <v>φo = 60 - h = 0.68m - N-OK</v>
      </c>
      <c r="Q34" s="194"/>
      <c r="R34" s="194"/>
      <c r="S34" s="79" t="str">
        <f t="shared" si="2"/>
        <v/>
      </c>
      <c r="T34" s="79"/>
      <c r="U34" s="79"/>
      <c r="V34" s="79"/>
      <c r="AI34" s="59">
        <v>60</v>
      </c>
      <c r="AJ34" s="36" t="s">
        <v>287</v>
      </c>
      <c r="AO34" s="36" t="e">
        <v>#N/A</v>
      </c>
      <c r="AP34" s="36" t="e">
        <v>#N/A</v>
      </c>
      <c r="AQ34" s="36" t="e">
        <v>#N/A</v>
      </c>
      <c r="AS34" s="193" t="str">
        <f t="shared" si="4"/>
        <v>--</v>
      </c>
      <c r="AT34" s="193"/>
      <c r="AU34" s="193"/>
      <c r="AV34" s="193"/>
      <c r="AW34" s="193"/>
      <c r="AX34" s="193"/>
      <c r="AY34" s="193"/>
      <c r="AZ34" s="193"/>
    </row>
    <row r="35" spans="1:52">
      <c r="K35" s="59">
        <v>75</v>
      </c>
      <c r="L35" s="59">
        <v>38.641742996342984</v>
      </c>
      <c r="M35" s="59">
        <v>29.947245390944815</v>
      </c>
      <c r="N35" s="59">
        <v>26.866247820013307</v>
      </c>
      <c r="O35" s="59">
        <v>0.67</v>
      </c>
      <c r="P35" s="194" t="str">
        <f t="shared" si="1"/>
        <v>φo = 75 - h = 0.67m - N-OK</v>
      </c>
      <c r="Q35" s="194"/>
      <c r="R35" s="194"/>
      <c r="S35" s="79" t="str">
        <f t="shared" si="2"/>
        <v/>
      </c>
      <c r="T35" s="79"/>
      <c r="U35" s="79"/>
      <c r="V35" s="79"/>
      <c r="AI35" s="59">
        <v>75</v>
      </c>
      <c r="AJ35" s="36" t="s">
        <v>287</v>
      </c>
      <c r="AO35" s="36" t="e">
        <v>#N/A</v>
      </c>
      <c r="AP35" s="36" t="e">
        <v>#N/A</v>
      </c>
      <c r="AQ35" s="36" t="e">
        <v>#N/A</v>
      </c>
      <c r="AS35" s="193" t="str">
        <f t="shared" si="4"/>
        <v>--</v>
      </c>
      <c r="AT35" s="193"/>
      <c r="AU35" s="193"/>
      <c r="AV35" s="193"/>
      <c r="AW35" s="193"/>
      <c r="AX35" s="193"/>
      <c r="AY35" s="193"/>
      <c r="AZ35" s="193"/>
    </row>
    <row r="36" spans="1:52">
      <c r="K36" s="59">
        <v>100</v>
      </c>
      <c r="L36" s="59">
        <v>36.862736697849378</v>
      </c>
      <c r="M36" s="59">
        <v>25.20741861374168</v>
      </c>
      <c r="N36" s="59">
        <v>26.866247820013307</v>
      </c>
      <c r="O36" s="59">
        <v>0.64249999999999996</v>
      </c>
      <c r="P36" s="194" t="str">
        <f t="shared" si="1"/>
        <v>φo = 100 - h = 0.64m - OK</v>
      </c>
      <c r="Q36" s="194"/>
      <c r="R36" s="194"/>
      <c r="S36" s="79">
        <f t="shared" si="2"/>
        <v>36.862736697849378</v>
      </c>
      <c r="T36" s="79"/>
      <c r="U36" s="79"/>
      <c r="V36" s="79"/>
      <c r="AI36" s="59">
        <v>100</v>
      </c>
      <c r="AJ36" s="36" t="s">
        <v>287</v>
      </c>
      <c r="AO36" s="36" t="e">
        <v>#N/A</v>
      </c>
      <c r="AP36" s="36" t="e">
        <v>#N/A</v>
      </c>
      <c r="AQ36" s="36" t="e">
        <v>#N/A</v>
      </c>
      <c r="AS36" s="193" t="str">
        <f t="shared" si="4"/>
        <v>--</v>
      </c>
      <c r="AT36" s="193"/>
      <c r="AU36" s="193"/>
      <c r="AV36" s="193"/>
      <c r="AW36" s="193"/>
      <c r="AX36" s="193"/>
      <c r="AY36" s="193"/>
      <c r="AZ36" s="193"/>
    </row>
    <row r="37" spans="1:52">
      <c r="K37" s="59">
        <v>110</v>
      </c>
      <c r="L37" s="59">
        <v>33.812406568682604</v>
      </c>
      <c r="M37" s="59">
        <v>19.751238626088682</v>
      </c>
      <c r="N37" s="59">
        <v>26.866247820013307</v>
      </c>
      <c r="O37" s="59">
        <v>0.59499999999999997</v>
      </c>
      <c r="P37" s="194" t="str">
        <f t="shared" si="1"/>
        <v>φo = 110 - h = 0.6m - OK</v>
      </c>
      <c r="Q37" s="194"/>
      <c r="R37" s="194"/>
      <c r="S37" s="79">
        <f t="shared" si="2"/>
        <v>33.812406568682604</v>
      </c>
      <c r="T37" s="79"/>
      <c r="U37" s="79"/>
      <c r="V37" s="79"/>
      <c r="AI37" s="59">
        <v>110</v>
      </c>
      <c r="AJ37" s="36" t="s">
        <v>287</v>
      </c>
      <c r="AO37" s="36" t="e">
        <v>#N/A</v>
      </c>
      <c r="AP37" s="36" t="e">
        <v>#N/A</v>
      </c>
      <c r="AQ37" s="36" t="e">
        <v>#N/A</v>
      </c>
      <c r="AS37" s="193" t="str">
        <f t="shared" si="4"/>
        <v>--</v>
      </c>
      <c r="AT37" s="193"/>
      <c r="AU37" s="193"/>
      <c r="AV37" s="193"/>
      <c r="AW37" s="193"/>
      <c r="AX37" s="193"/>
      <c r="AY37" s="193"/>
      <c r="AZ37" s="193"/>
    </row>
    <row r="38" spans="1:52">
      <c r="K38" s="59">
        <v>125</v>
      </c>
      <c r="L38" s="59">
        <v>25.006729597847951</v>
      </c>
      <c r="M38" s="59">
        <v>24.956937885430911</v>
      </c>
      <c r="N38" s="59">
        <v>26.866247820013307</v>
      </c>
      <c r="O38" s="59">
        <v>0.45500000000000002</v>
      </c>
      <c r="P38" s="194" t="str">
        <f t="shared" si="1"/>
        <v>φo = 125 - h = 0.46m - OK</v>
      </c>
      <c r="Q38" s="194"/>
      <c r="R38" s="194"/>
      <c r="S38" s="79">
        <f t="shared" si="2"/>
        <v>25.006729597847951</v>
      </c>
      <c r="T38" s="79"/>
      <c r="U38" s="79"/>
      <c r="V38" s="79"/>
      <c r="AI38" s="59">
        <v>125</v>
      </c>
      <c r="AJ38" s="36" t="s">
        <v>287</v>
      </c>
      <c r="AO38" s="36" t="e">
        <v>#N/A</v>
      </c>
      <c r="AP38" s="36" t="e">
        <v>#N/A</v>
      </c>
      <c r="AQ38" s="36" t="e">
        <v>#N/A</v>
      </c>
      <c r="AS38" s="193" t="str">
        <f t="shared" si="4"/>
        <v>--</v>
      </c>
      <c r="AT38" s="193"/>
      <c r="AU38" s="193"/>
      <c r="AV38" s="193"/>
      <c r="AW38" s="193"/>
      <c r="AX38" s="193"/>
      <c r="AY38" s="193"/>
      <c r="AZ38" s="193"/>
    </row>
    <row r="39" spans="1:52">
      <c r="K39" s="59">
        <v>150</v>
      </c>
      <c r="L39" s="59">
        <v>18.020287121387167</v>
      </c>
      <c r="M39" s="59">
        <v>28.461064225995635</v>
      </c>
      <c r="N39" s="59">
        <v>26.866247820013307</v>
      </c>
      <c r="O39" s="59">
        <v>0.34</v>
      </c>
      <c r="P39" s="194" t="str">
        <f t="shared" si="1"/>
        <v>φo = 150 - h = 0.34m - N-OK</v>
      </c>
      <c r="Q39" s="194"/>
      <c r="R39" s="194"/>
      <c r="S39" s="79" t="str">
        <f t="shared" si="2"/>
        <v/>
      </c>
      <c r="T39" s="79"/>
      <c r="U39" s="79"/>
      <c r="V39" s="79"/>
      <c r="AI39" s="59">
        <v>150</v>
      </c>
      <c r="AJ39" s="36" t="s">
        <v>287</v>
      </c>
      <c r="AO39" s="36" t="e">
        <v>#N/A</v>
      </c>
      <c r="AP39" s="36" t="e">
        <v>#N/A</v>
      </c>
      <c r="AQ39" s="36" t="e">
        <v>#N/A</v>
      </c>
      <c r="AS39" s="193" t="str">
        <f t="shared" si="4"/>
        <v>--</v>
      </c>
      <c r="AT39" s="193"/>
      <c r="AU39" s="193"/>
      <c r="AV39" s="193"/>
      <c r="AW39" s="193"/>
      <c r="AX39" s="193"/>
      <c r="AY39" s="193"/>
      <c r="AZ39" s="193"/>
    </row>
    <row r="40" spans="1:52">
      <c r="K40" s="59">
        <v>180</v>
      </c>
      <c r="L40" s="59">
        <v>13.183286152552366</v>
      </c>
      <c r="M40" s="59">
        <v>30.123879347470808</v>
      </c>
      <c r="N40" s="59">
        <v>26.866247820013307</v>
      </c>
      <c r="O40" s="59">
        <v>0.25750000000000001</v>
      </c>
      <c r="P40" s="194" t="str">
        <f t="shared" si="1"/>
        <v>φo = 180 - h = 0.26m - N-OK</v>
      </c>
      <c r="Q40" s="194"/>
      <c r="R40" s="194"/>
      <c r="S40" s="79" t="str">
        <f t="shared" si="2"/>
        <v/>
      </c>
      <c r="T40" s="79"/>
      <c r="U40" s="79"/>
      <c r="V40" s="79"/>
      <c r="AI40" s="59">
        <v>180</v>
      </c>
      <c r="AJ40" s="36" t="s">
        <v>287</v>
      </c>
      <c r="AO40" s="36" t="e">
        <v>#N/A</v>
      </c>
      <c r="AP40" s="36" t="e">
        <v>#N/A</v>
      </c>
      <c r="AQ40" s="36" t="e">
        <v>#N/A</v>
      </c>
      <c r="AS40" s="193" t="str">
        <f t="shared" si="4"/>
        <v>--</v>
      </c>
      <c r="AT40" s="193"/>
      <c r="AU40" s="193"/>
      <c r="AV40" s="193"/>
      <c r="AW40" s="193"/>
      <c r="AX40" s="193"/>
      <c r="AY40" s="193"/>
      <c r="AZ40" s="193"/>
    </row>
    <row r="44" spans="1:52">
      <c r="A44" s="36" t="s">
        <v>164</v>
      </c>
    </row>
    <row r="45" spans="1:52">
      <c r="A45" s="36" t="s">
        <v>165</v>
      </c>
    </row>
    <row r="46" spans="1:52">
      <c r="A46" s="36" t="s">
        <v>166</v>
      </c>
    </row>
    <row r="48" spans="1:52">
      <c r="T48" s="72" t="s">
        <v>205</v>
      </c>
      <c r="U48" s="196" t="s">
        <v>206</v>
      </c>
      <c r="V48" s="197"/>
      <c r="W48" s="72" t="s">
        <v>205</v>
      </c>
      <c r="X48" s="196" t="s">
        <v>206</v>
      </c>
      <c r="Y48" s="197"/>
    </row>
    <row r="49" spans="2:25" ht="15.75">
      <c r="B49" s="207" t="s">
        <v>126</v>
      </c>
      <c r="C49" s="207"/>
      <c r="T49" s="60" t="s">
        <v>143</v>
      </c>
      <c r="U49" s="61">
        <f>tc</f>
        <v>32</v>
      </c>
      <c r="V49" s="63" t="s">
        <v>0</v>
      </c>
      <c r="W49" s="65" t="s">
        <v>21</v>
      </c>
      <c r="X49" s="62">
        <f>S_i</f>
        <v>5.1836734693877702</v>
      </c>
      <c r="Y49" s="64" t="s">
        <v>44</v>
      </c>
    </row>
    <row r="50" spans="2:25" ht="15.75">
      <c r="B50" s="54" t="s">
        <v>133</v>
      </c>
      <c r="C50" s="55">
        <v>0.88372093023255816</v>
      </c>
      <c r="T50" s="60" t="s">
        <v>144</v>
      </c>
      <c r="U50" s="61">
        <f>tc_1</f>
        <v>22</v>
      </c>
      <c r="V50" s="63" t="s">
        <v>0</v>
      </c>
      <c r="W50" s="60" t="s">
        <v>45</v>
      </c>
      <c r="X50" s="62">
        <f>I_a</f>
        <v>1.0367346938775541</v>
      </c>
      <c r="Y50" s="64" t="s">
        <v>44</v>
      </c>
    </row>
    <row r="51" spans="2:25" ht="15.75">
      <c r="B51" s="54" t="s">
        <v>134</v>
      </c>
      <c r="C51" s="55">
        <v>0.80200414990623414</v>
      </c>
      <c r="T51" s="60" t="s">
        <v>145</v>
      </c>
      <c r="U51" s="70">
        <f>Qmax</f>
        <v>892.0929831298464</v>
      </c>
      <c r="V51" s="63" t="s">
        <v>38</v>
      </c>
      <c r="W51" s="60" t="str">
        <f>"Pef("&amp;ROUND(tc,1)&amp;")"</f>
        <v>Pef(32)</v>
      </c>
      <c r="X51" s="62">
        <f>Pef</f>
        <v>65.502862999462195</v>
      </c>
      <c r="Y51" s="64" t="s">
        <v>44</v>
      </c>
    </row>
    <row r="52" spans="2:25" ht="15.75">
      <c r="B52" s="54" t="s">
        <v>135</v>
      </c>
      <c r="C52" s="55">
        <v>0.74374999999999991</v>
      </c>
      <c r="T52" s="60" t="s">
        <v>146</v>
      </c>
      <c r="U52" s="70">
        <f>Q_max_i</f>
        <v>613.31392590176938</v>
      </c>
      <c r="V52" s="63" t="s">
        <v>38</v>
      </c>
      <c r="W52" s="60" t="s">
        <v>147</v>
      </c>
      <c r="X52" s="62">
        <f>Runoff_pos</f>
        <v>0.91782561120548711</v>
      </c>
      <c r="Y52" s="64" t="s">
        <v>29</v>
      </c>
    </row>
    <row r="53" spans="2:25" ht="15.75">
      <c r="B53" s="57" t="s">
        <v>136</v>
      </c>
      <c r="C53" s="55">
        <v>0.12365127005800447</v>
      </c>
      <c r="T53" s="60" t="s">
        <v>148</v>
      </c>
      <c r="U53" s="70">
        <f>qmax_i</f>
        <v>278.77905722807697</v>
      </c>
      <c r="V53" s="63" t="s">
        <v>41</v>
      </c>
      <c r="W53" s="60" t="s">
        <v>149</v>
      </c>
      <c r="X53" s="62">
        <f>Qmax_lot_i</f>
        <v>40.939289374663872</v>
      </c>
      <c r="Y53" s="64" t="s">
        <v>38</v>
      </c>
    </row>
    <row r="54" spans="2:25" ht="15.75">
      <c r="B54" s="66" t="s">
        <v>137</v>
      </c>
      <c r="C54" s="56">
        <v>0.85714285714285721</v>
      </c>
      <c r="T54" s="60" t="s">
        <v>150</v>
      </c>
      <c r="U54" s="62">
        <f>Qref_i</f>
        <v>33.453486867369236</v>
      </c>
      <c r="V54" s="63" t="s">
        <v>38</v>
      </c>
      <c r="W54" s="60" t="s">
        <v>151</v>
      </c>
      <c r="X54" s="71">
        <f>Dados_de_entrada!B199</f>
        <v>0.9375</v>
      </c>
      <c r="Y54" s="64"/>
    </row>
    <row r="56" spans="2:25">
      <c r="B56" s="196" t="s">
        <v>126</v>
      </c>
      <c r="C56" s="196"/>
    </row>
    <row r="57" spans="2:25">
      <c r="B57" s="67" t="s">
        <v>154</v>
      </c>
      <c r="C57" s="55">
        <f ca="1">Simulação!AS4</f>
        <v>0.82499999999999996</v>
      </c>
    </row>
    <row r="58" spans="2:25">
      <c r="B58" s="67" t="s">
        <v>155</v>
      </c>
      <c r="C58" s="55">
        <f ca="1">Simulação!AS5</f>
        <v>1.0762709599187481</v>
      </c>
    </row>
    <row r="59" spans="2:25">
      <c r="B59" s="67" t="s">
        <v>156</v>
      </c>
      <c r="C59" s="55">
        <f ca="1">Simulação!AS6</f>
        <v>0.32874999999999999</v>
      </c>
    </row>
    <row r="60" spans="2:25">
      <c r="B60" s="68" t="s">
        <v>157</v>
      </c>
      <c r="C60" s="55">
        <f ca="1">Simulação!AS7</f>
        <v>0.10653835498610664</v>
      </c>
    </row>
    <row r="61" spans="2:25">
      <c r="B61" s="69" t="s">
        <v>158</v>
      </c>
      <c r="C61" s="56">
        <f>Simulação!AS8</f>
        <v>0.9375</v>
      </c>
    </row>
  </sheetData>
  <mergeCells count="98">
    <mergeCell ref="P34:R34"/>
    <mergeCell ref="P35:R35"/>
    <mergeCell ref="P36:R36"/>
    <mergeCell ref="P37:R37"/>
    <mergeCell ref="P38:R38"/>
    <mergeCell ref="P39:R39"/>
    <mergeCell ref="P40:R40"/>
    <mergeCell ref="P32:R32"/>
    <mergeCell ref="H18:I18"/>
    <mergeCell ref="H19:I19"/>
    <mergeCell ref="H20:I20"/>
    <mergeCell ref="H21:I21"/>
    <mergeCell ref="H22:I22"/>
    <mergeCell ref="H23:I23"/>
    <mergeCell ref="H24:I24"/>
    <mergeCell ref="H25:I25"/>
    <mergeCell ref="H26:I26"/>
    <mergeCell ref="H27:I27"/>
    <mergeCell ref="K26:R26"/>
    <mergeCell ref="H29:I29"/>
    <mergeCell ref="H30:I30"/>
    <mergeCell ref="E30:G30"/>
    <mergeCell ref="E31:G31"/>
    <mergeCell ref="E21:G21"/>
    <mergeCell ref="E22:G22"/>
    <mergeCell ref="E19:G19"/>
    <mergeCell ref="E24:G24"/>
    <mergeCell ref="E25:G25"/>
    <mergeCell ref="E26:G26"/>
    <mergeCell ref="E27:G27"/>
    <mergeCell ref="E28:G28"/>
    <mergeCell ref="E18:G18"/>
    <mergeCell ref="H31:I31"/>
    <mergeCell ref="P28:R28"/>
    <mergeCell ref="B56:C56"/>
    <mergeCell ref="A28:B28"/>
    <mergeCell ref="C28:D28"/>
    <mergeCell ref="A29:B29"/>
    <mergeCell ref="C29:D29"/>
    <mergeCell ref="A30:B30"/>
    <mergeCell ref="C30:D30"/>
    <mergeCell ref="A31:B31"/>
    <mergeCell ref="C31:D31"/>
    <mergeCell ref="K19:N19"/>
    <mergeCell ref="E20:G20"/>
    <mergeCell ref="B49:C49"/>
    <mergeCell ref="E23:G23"/>
    <mergeCell ref="P30:R30"/>
    <mergeCell ref="P33:R33"/>
    <mergeCell ref="C27:D27"/>
    <mergeCell ref="P31:R31"/>
    <mergeCell ref="B3:F3"/>
    <mergeCell ref="A18:B18"/>
    <mergeCell ref="C18:D18"/>
    <mergeCell ref="A24:B24"/>
    <mergeCell ref="A25:B25"/>
    <mergeCell ref="C19:D19"/>
    <mergeCell ref="C20:D20"/>
    <mergeCell ref="C21:D21"/>
    <mergeCell ref="C22:D22"/>
    <mergeCell ref="C23:D23"/>
    <mergeCell ref="C24:D24"/>
    <mergeCell ref="C25:D25"/>
    <mergeCell ref="A19:B19"/>
    <mergeCell ref="A20:B20"/>
    <mergeCell ref="A21:B21"/>
    <mergeCell ref="A22:B22"/>
    <mergeCell ref="A23:B23"/>
    <mergeCell ref="A26:B26"/>
    <mergeCell ref="A27:B27"/>
    <mergeCell ref="C26:D26"/>
    <mergeCell ref="AS28:AZ28"/>
    <mergeCell ref="AS29:AZ29"/>
    <mergeCell ref="P27:R27"/>
    <mergeCell ref="P29:R29"/>
    <mergeCell ref="E29:G29"/>
    <mergeCell ref="H28:I28"/>
    <mergeCell ref="U48:V48"/>
    <mergeCell ref="X48:Y48"/>
    <mergeCell ref="AE28:AH28"/>
    <mergeCell ref="AE26:AH27"/>
    <mergeCell ref="W28:AD28"/>
    <mergeCell ref="W26:AD27"/>
    <mergeCell ref="AS38:AZ38"/>
    <mergeCell ref="AS39:AZ39"/>
    <mergeCell ref="AS40:AZ40"/>
    <mergeCell ref="T25:V25"/>
    <mergeCell ref="T24:V24"/>
    <mergeCell ref="AS30:AZ30"/>
    <mergeCell ref="T26:V26"/>
    <mergeCell ref="AJ27:AL27"/>
    <mergeCell ref="AS31:AZ31"/>
    <mergeCell ref="AS32:AZ32"/>
    <mergeCell ref="AS33:AZ33"/>
    <mergeCell ref="AS34:AZ34"/>
    <mergeCell ref="AS35:AZ35"/>
    <mergeCell ref="AS36:AZ36"/>
    <mergeCell ref="AS37:AZ37"/>
  </mergeCells>
  <conditionalFormatting sqref="S26:V40">
    <cfRule type="notContainsBlanks" dxfId="17" priority="9">
      <formula>LEN(TRIM(S26))&gt;0</formula>
    </cfRule>
  </conditionalFormatting>
  <conditionalFormatting sqref="K26:R40">
    <cfRule type="notContainsBlanks" dxfId="16" priority="8">
      <formula>LEN(TRIM(K26))&gt;0</formula>
    </cfRule>
  </conditionalFormatting>
  <conditionalFormatting sqref="AI28:AI40">
    <cfRule type="notContainsBlanks" dxfId="15" priority="3">
      <formula>LEN(TRIM(AI28))&gt;0</formula>
    </cfRule>
  </conditionalFormatting>
  <conditionalFormatting sqref="AM27:AQ27">
    <cfRule type="notContainsBlanks" dxfId="14" priority="1">
      <formula>LEN(TRIM(AM27))&gt;0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AJ24"/>
  <sheetViews>
    <sheetView zoomScale="85" zoomScaleNormal="85" workbookViewId="0">
      <selection activeCell="I33" sqref="I33"/>
    </sheetView>
  </sheetViews>
  <sheetFormatPr defaultRowHeight="15.75"/>
  <cols>
    <col min="1" max="1" width="9.140625" style="21"/>
    <col min="2" max="2" width="9.85546875" style="21" bestFit="1" customWidth="1"/>
    <col min="3" max="3" width="19.7109375" style="21" customWidth="1"/>
    <col min="4" max="6" width="9.140625" style="21"/>
    <col min="7" max="7" width="10.140625" style="21" customWidth="1"/>
    <col min="8" max="8" width="9.140625" style="21"/>
    <col min="9" max="9" width="24.85546875" style="21" customWidth="1"/>
    <col min="10" max="10" width="10" style="21" bestFit="1" customWidth="1"/>
    <col min="11" max="20" width="9.140625" style="1"/>
    <col min="21" max="21" width="10" style="1" bestFit="1" customWidth="1"/>
    <col min="22" max="16384" width="9.140625" style="1"/>
  </cols>
  <sheetData>
    <row r="1" spans="1:36">
      <c r="A1" s="2" t="s">
        <v>32</v>
      </c>
      <c r="B1" s="1"/>
      <c r="C1" s="1"/>
      <c r="D1" s="1"/>
      <c r="E1" s="1"/>
      <c r="F1" s="1"/>
      <c r="G1" s="1"/>
      <c r="H1" s="1"/>
      <c r="I1" s="1"/>
      <c r="J1" s="1"/>
      <c r="AD1" s="209" t="s">
        <v>114</v>
      </c>
      <c r="AE1" s="209"/>
      <c r="AF1" s="209"/>
      <c r="AG1" s="209"/>
      <c r="AH1" s="209"/>
      <c r="AI1" s="209"/>
      <c r="AJ1" s="209"/>
    </row>
    <row r="2" spans="1:36">
      <c r="A2" s="1" t="s">
        <v>123</v>
      </c>
      <c r="B2" s="1"/>
      <c r="C2" s="1"/>
      <c r="D2" s="1"/>
      <c r="E2" s="1"/>
      <c r="F2" s="1"/>
      <c r="G2" s="1"/>
      <c r="H2" s="1"/>
      <c r="I2" s="1"/>
      <c r="J2" s="1"/>
      <c r="AD2" s="46"/>
      <c r="AE2" s="46"/>
      <c r="AF2" s="46"/>
      <c r="AG2" s="46"/>
      <c r="AH2" s="46"/>
      <c r="AI2" s="46"/>
      <c r="AJ2" s="46"/>
    </row>
    <row r="3" spans="1:36">
      <c r="A3" s="20" t="s">
        <v>33</v>
      </c>
      <c r="B3" s="20" t="s">
        <v>124</v>
      </c>
      <c r="C3" s="20" t="s">
        <v>176</v>
      </c>
      <c r="D3" s="20" t="s">
        <v>108</v>
      </c>
      <c r="E3" s="20" t="s">
        <v>109</v>
      </c>
      <c r="F3" s="20" t="s">
        <v>111</v>
      </c>
      <c r="G3" s="20" t="s">
        <v>110</v>
      </c>
      <c r="H3" s="20" t="s">
        <v>112</v>
      </c>
      <c r="I3" s="20" t="s">
        <v>177</v>
      </c>
      <c r="J3" s="20" t="s">
        <v>130</v>
      </c>
      <c r="K3" s="1" t="s">
        <v>175</v>
      </c>
      <c r="U3" s="1" t="s">
        <v>204</v>
      </c>
      <c r="V3" s="26">
        <f>AVERAGE(E5:E17)</f>
        <v>3.1882567422458767</v>
      </c>
      <c r="AD3" s="46"/>
      <c r="AE3" s="47" t="str">
        <f>CONCATENATE("S = ",ROUND(AF15,4),"(h ^ ",ROUND(AF16,4),")")</f>
        <v>S = 60.6246(h ^ 1.1246)</v>
      </c>
      <c r="AF3" s="46"/>
      <c r="AG3" s="46"/>
      <c r="AH3" s="47" t="s">
        <v>121</v>
      </c>
    </row>
    <row r="4" spans="1:36">
      <c r="A4" s="46" t="s">
        <v>13</v>
      </c>
      <c r="B4" s="46" t="s">
        <v>62</v>
      </c>
      <c r="C4" s="46" t="s">
        <v>125</v>
      </c>
      <c r="D4" s="46" t="s">
        <v>13</v>
      </c>
      <c r="E4" s="46" t="s">
        <v>62</v>
      </c>
      <c r="F4" s="46" t="s">
        <v>12</v>
      </c>
      <c r="G4" s="46" t="s">
        <v>113</v>
      </c>
      <c r="H4" s="46" t="s">
        <v>62</v>
      </c>
      <c r="I4" s="49" t="s">
        <v>125</v>
      </c>
      <c r="J4" s="46" t="s">
        <v>12</v>
      </c>
      <c r="L4" s="1" t="str">
        <f>"Least square fit  -  R2 = "&amp;ROUND(AF17,3)&amp;""</f>
        <v>Least square fit  -  R2 = 1</v>
      </c>
      <c r="V4" s="21"/>
      <c r="W4" s="21"/>
      <c r="AD4" s="46"/>
      <c r="AE4" s="46"/>
      <c r="AF4" s="46"/>
      <c r="AG4" s="46"/>
      <c r="AH4" s="46"/>
      <c r="AI4" s="46"/>
      <c r="AJ4" s="46"/>
    </row>
    <row r="5" spans="1:36">
      <c r="A5" s="21">
        <v>0.2</v>
      </c>
      <c r="B5" s="21">
        <v>10</v>
      </c>
      <c r="C5" s="21">
        <f>(E5-$V$3)^2</f>
        <v>0.78441427028845812</v>
      </c>
      <c r="D5" s="21">
        <f>IF(A5="","",LN(A5))</f>
        <v>-1.6094379124341003</v>
      </c>
      <c r="E5" s="21">
        <f>IF(A5="","",LN(B5))</f>
        <v>2.3025850929940459</v>
      </c>
      <c r="F5" s="21">
        <f>IF(A5="","",D5^2)</f>
        <v>2.5902903939802346</v>
      </c>
      <c r="G5" s="21">
        <f>IF(A5="","",D5*E5)</f>
        <v>-3.7058677452702158</v>
      </c>
      <c r="H5" s="21">
        <f t="shared" ref="H5:H17" si="0">IF(A5="","",alfa_1_quad*(A5^alfa_2_quad))</f>
        <v>9.9221260764532371</v>
      </c>
      <c r="I5" s="21">
        <f>(LN(H5)-$V$3)^2</f>
        <v>0.79832352536931284</v>
      </c>
      <c r="J5" s="21">
        <f t="shared" ref="J5:J17" si="1">IF(A5="","",alfa_1_quad*alfa_2_quad*A5^(alfa_2_quad-1))</f>
        <v>55.79084657118365</v>
      </c>
      <c r="V5" s="21"/>
      <c r="W5" s="21"/>
      <c r="AD5" s="46"/>
      <c r="AE5" s="46"/>
      <c r="AF5" s="46"/>
      <c r="AG5" s="46"/>
      <c r="AH5" s="46"/>
      <c r="AI5" s="46"/>
      <c r="AJ5" s="46"/>
    </row>
    <row r="6" spans="1:36">
      <c r="A6" s="21">
        <v>0.4</v>
      </c>
      <c r="B6" s="21">
        <v>21.33</v>
      </c>
      <c r="C6" s="21">
        <f t="shared" ref="C6:C8" si="2">(E6-$V$3)^2</f>
        <v>1.6420425922846659E-2</v>
      </c>
      <c r="D6" s="21">
        <f t="shared" ref="D6:D17" si="3">IF(A6="","",LN(A6))</f>
        <v>-0.916290731874155</v>
      </c>
      <c r="E6" s="21">
        <f t="shared" ref="E6:E17" si="4">IF(A6="","",LN(B6))</f>
        <v>3.0601145324832593</v>
      </c>
      <c r="F6" s="21">
        <f t="shared" ref="F6:F17" si="5">IF(A6="","",D6^2)</f>
        <v>0.83958870531847463</v>
      </c>
      <c r="G6" s="21">
        <f t="shared" ref="G6:G17" si="6">IF(A6="","",D6*E6)</f>
        <v>-2.8039545845878231</v>
      </c>
      <c r="H6" s="21">
        <f t="shared" si="0"/>
        <v>21.633927903659238</v>
      </c>
      <c r="I6" s="21">
        <f t="shared" ref="I6:I8" si="7">(LN(H6)-$V$3)^2</f>
        <v>1.2994614615718313E-2</v>
      </c>
      <c r="J6" s="21">
        <f t="shared" si="1"/>
        <v>60.822405556277033</v>
      </c>
      <c r="V6" s="21"/>
      <c r="W6" s="21"/>
      <c r="AD6" s="46"/>
      <c r="AE6" s="46"/>
      <c r="AF6" s="46"/>
      <c r="AG6" s="46"/>
      <c r="AH6" s="46" t="s">
        <v>17</v>
      </c>
      <c r="AI6" s="46">
        <f>(AF14-AF13*AI9)/AF11</f>
        <v>4.1046999496221099</v>
      </c>
    </row>
    <row r="7" spans="1:36">
      <c r="A7" s="21">
        <v>0.6</v>
      </c>
      <c r="B7" s="21">
        <v>34.01</v>
      </c>
      <c r="C7" s="21">
        <f t="shared" si="2"/>
        <v>0.11451310946871351</v>
      </c>
      <c r="D7" s="21">
        <f t="shared" si="3"/>
        <v>-0.51082562376599072</v>
      </c>
      <c r="E7" s="21">
        <f t="shared" si="4"/>
        <v>3.5266545990191038</v>
      </c>
      <c r="F7" s="21">
        <f t="shared" si="5"/>
        <v>0.2609428178959135</v>
      </c>
      <c r="G7" s="21">
        <f t="shared" si="6"/>
        <v>-1.8015055353511336</v>
      </c>
      <c r="H7" s="21">
        <f t="shared" si="0"/>
        <v>34.132107596014748</v>
      </c>
      <c r="I7" s="21">
        <f t="shared" si="7"/>
        <v>0.11695153154146512</v>
      </c>
      <c r="J7" s="21">
        <f t="shared" si="1"/>
        <v>63.973492622026399</v>
      </c>
      <c r="V7" s="21"/>
      <c r="W7" s="21"/>
      <c r="AD7" s="46"/>
      <c r="AE7" s="46"/>
      <c r="AF7" s="46"/>
      <c r="AG7" s="46"/>
      <c r="AH7" s="46"/>
      <c r="AI7" s="46"/>
      <c r="AJ7" s="46"/>
    </row>
    <row r="8" spans="1:36">
      <c r="A8" s="21">
        <v>0.8</v>
      </c>
      <c r="B8" s="21">
        <v>47.64</v>
      </c>
      <c r="C8" s="21">
        <f t="shared" si="2"/>
        <v>0.45618677608351516</v>
      </c>
      <c r="D8" s="21">
        <f t="shared" si="3"/>
        <v>-0.22314355131420971</v>
      </c>
      <c r="E8" s="21">
        <f t="shared" si="4"/>
        <v>3.8636727444870993</v>
      </c>
      <c r="F8" s="21">
        <f t="shared" si="5"/>
        <v>4.979304449311734E-2</v>
      </c>
      <c r="G8" s="21">
        <f t="shared" si="6"/>
        <v>-0.86215365732077054</v>
      </c>
      <c r="H8" s="21">
        <f t="shared" si="0"/>
        <v>47.170015068789233</v>
      </c>
      <c r="I8" s="21">
        <f t="shared" si="7"/>
        <v>0.44289247877201571</v>
      </c>
      <c r="J8" s="21">
        <f t="shared" si="1"/>
        <v>66.30774123372035</v>
      </c>
      <c r="V8" s="21"/>
      <c r="W8" s="21"/>
      <c r="AD8" s="46"/>
      <c r="AE8" s="46"/>
      <c r="AF8" s="46"/>
      <c r="AG8" s="46"/>
      <c r="AH8" s="46"/>
      <c r="AI8" s="46"/>
      <c r="AJ8" s="46"/>
    </row>
    <row r="9" spans="1:36">
      <c r="C9" s="21" t="str">
        <f t="shared" ref="C9:C16" si="8">IF(A9="","",(E9-AVERAGE($E$5:$E$17))^2)</f>
        <v/>
      </c>
      <c r="D9" s="21" t="str">
        <f t="shared" si="3"/>
        <v/>
      </c>
      <c r="E9" s="21" t="str">
        <f t="shared" si="4"/>
        <v/>
      </c>
      <c r="F9" s="21" t="str">
        <f t="shared" si="5"/>
        <v/>
      </c>
      <c r="G9" s="21" t="str">
        <f t="shared" si="6"/>
        <v/>
      </c>
      <c r="H9" s="21" t="str">
        <f t="shared" si="0"/>
        <v/>
      </c>
      <c r="I9" s="21" t="str">
        <f t="shared" ref="I9:I17" si="9">IF(A9="","",(LN(H9)-AVERAGE($E$5:$E$17))^2)</f>
        <v/>
      </c>
      <c r="J9" s="21" t="str">
        <f t="shared" si="1"/>
        <v/>
      </c>
      <c r="V9" s="21"/>
      <c r="W9" s="21"/>
      <c r="AD9" s="46"/>
      <c r="AE9" s="46"/>
      <c r="AF9" s="46"/>
      <c r="AG9" s="46"/>
      <c r="AH9" s="46" t="s">
        <v>16</v>
      </c>
      <c r="AI9" s="46">
        <f>(AF11*AF12-N_obs*AF14)/(AF11^2-N_obs*AF13)</f>
        <v>1.1245744337714896</v>
      </c>
      <c r="AJ9" s="46"/>
    </row>
    <row r="10" spans="1:36">
      <c r="C10" s="21" t="str">
        <f t="shared" si="8"/>
        <v/>
      </c>
      <c r="D10" s="21" t="str">
        <f t="shared" si="3"/>
        <v/>
      </c>
      <c r="E10" s="21" t="str">
        <f t="shared" si="4"/>
        <v/>
      </c>
      <c r="F10" s="21" t="str">
        <f t="shared" si="5"/>
        <v/>
      </c>
      <c r="G10" s="21" t="str">
        <f t="shared" si="6"/>
        <v/>
      </c>
      <c r="H10" s="21" t="str">
        <f t="shared" si="0"/>
        <v/>
      </c>
      <c r="I10" s="21" t="str">
        <f t="shared" si="9"/>
        <v/>
      </c>
      <c r="J10" s="21" t="str">
        <f t="shared" si="1"/>
        <v/>
      </c>
      <c r="V10" s="21"/>
      <c r="W10" s="21"/>
      <c r="AD10" s="46"/>
      <c r="AE10" s="46"/>
      <c r="AF10" s="46"/>
      <c r="AG10" s="46"/>
      <c r="AH10" s="46"/>
    </row>
    <row r="11" spans="1:36">
      <c r="C11" s="21" t="str">
        <f t="shared" si="8"/>
        <v/>
      </c>
      <c r="D11" s="21" t="str">
        <f t="shared" si="3"/>
        <v/>
      </c>
      <c r="E11" s="21" t="str">
        <f t="shared" si="4"/>
        <v/>
      </c>
      <c r="F11" s="21" t="str">
        <f t="shared" si="5"/>
        <v/>
      </c>
      <c r="G11" s="21" t="str">
        <f t="shared" si="6"/>
        <v/>
      </c>
      <c r="H11" s="21" t="str">
        <f t="shared" si="0"/>
        <v/>
      </c>
      <c r="I11" s="21" t="str">
        <f t="shared" si="9"/>
        <v/>
      </c>
      <c r="J11" s="21" t="str">
        <f t="shared" si="1"/>
        <v/>
      </c>
      <c r="V11" s="21"/>
      <c r="W11" s="21"/>
      <c r="AE11" s="46" t="s">
        <v>115</v>
      </c>
      <c r="AF11" s="48">
        <f>SUM(D5:D1048576)</f>
        <v>-3.2596978193884558</v>
      </c>
      <c r="AG11" s="46"/>
      <c r="AH11" s="46"/>
      <c r="AI11" s="46"/>
      <c r="AJ11" s="46"/>
    </row>
    <row r="12" spans="1:36">
      <c r="C12" s="21" t="str">
        <f t="shared" si="8"/>
        <v/>
      </c>
      <c r="D12" s="21" t="str">
        <f t="shared" si="3"/>
        <v/>
      </c>
      <c r="E12" s="21" t="str">
        <f t="shared" si="4"/>
        <v/>
      </c>
      <c r="F12" s="21" t="str">
        <f t="shared" si="5"/>
        <v/>
      </c>
      <c r="G12" s="21" t="str">
        <f t="shared" si="6"/>
        <v/>
      </c>
      <c r="H12" s="21" t="str">
        <f t="shared" si="0"/>
        <v/>
      </c>
      <c r="I12" s="21" t="str">
        <f t="shared" si="9"/>
        <v/>
      </c>
      <c r="J12" s="21" t="str">
        <f t="shared" si="1"/>
        <v/>
      </c>
      <c r="V12" s="21"/>
      <c r="W12" s="21"/>
      <c r="AE12" s="46" t="s">
        <v>116</v>
      </c>
      <c r="AF12" s="48">
        <f>SUM(E5:E1048576)</f>
        <v>12.753026968983507</v>
      </c>
      <c r="AG12" s="46"/>
      <c r="AH12" s="46"/>
      <c r="AI12" s="46"/>
      <c r="AJ12" s="46"/>
    </row>
    <row r="13" spans="1:36">
      <c r="C13" s="21" t="str">
        <f t="shared" si="8"/>
        <v/>
      </c>
      <c r="D13" s="21" t="str">
        <f t="shared" si="3"/>
        <v/>
      </c>
      <c r="E13" s="21" t="str">
        <f t="shared" si="4"/>
        <v/>
      </c>
      <c r="F13" s="21" t="str">
        <f t="shared" si="5"/>
        <v/>
      </c>
      <c r="G13" s="21" t="str">
        <f t="shared" si="6"/>
        <v/>
      </c>
      <c r="H13" s="21" t="str">
        <f t="shared" si="0"/>
        <v/>
      </c>
      <c r="I13" s="21" t="str">
        <f t="shared" si="9"/>
        <v/>
      </c>
      <c r="J13" s="21" t="str">
        <f t="shared" si="1"/>
        <v/>
      </c>
      <c r="V13" s="21"/>
      <c r="W13" s="21"/>
      <c r="AE13" s="46" t="s">
        <v>117</v>
      </c>
      <c r="AF13" s="48">
        <f>SUM(F5:F1048576)</f>
        <v>3.7406149616877404</v>
      </c>
      <c r="AG13" s="46"/>
      <c r="AH13" s="46"/>
    </row>
    <row r="14" spans="1:36">
      <c r="C14" s="21" t="str">
        <f t="shared" si="8"/>
        <v/>
      </c>
      <c r="D14" s="21" t="str">
        <f t="shared" si="3"/>
        <v/>
      </c>
      <c r="E14" s="21" t="str">
        <f t="shared" si="4"/>
        <v/>
      </c>
      <c r="F14" s="21" t="str">
        <f t="shared" si="5"/>
        <v/>
      </c>
      <c r="G14" s="21" t="str">
        <f t="shared" si="6"/>
        <v/>
      </c>
      <c r="H14" s="21" t="str">
        <f t="shared" si="0"/>
        <v/>
      </c>
      <c r="I14" s="21" t="str">
        <f t="shared" si="9"/>
        <v/>
      </c>
      <c r="J14" s="21" t="str">
        <f t="shared" si="1"/>
        <v/>
      </c>
      <c r="V14" s="21"/>
      <c r="W14" s="21"/>
      <c r="AE14" s="46" t="s">
        <v>119</v>
      </c>
      <c r="AF14" s="48">
        <f>SUM(G5:G1048576)</f>
        <v>-9.1734815225299435</v>
      </c>
      <c r="AG14" s="46"/>
      <c r="AH14" s="46"/>
      <c r="AI14" s="46"/>
      <c r="AJ14" s="46"/>
    </row>
    <row r="15" spans="1:36">
      <c r="C15" s="21" t="str">
        <f t="shared" si="8"/>
        <v/>
      </c>
      <c r="D15" s="21" t="str">
        <f t="shared" si="3"/>
        <v/>
      </c>
      <c r="E15" s="21" t="str">
        <f t="shared" si="4"/>
        <v/>
      </c>
      <c r="F15" s="21" t="str">
        <f t="shared" si="5"/>
        <v/>
      </c>
      <c r="G15" s="21" t="str">
        <f t="shared" si="6"/>
        <v/>
      </c>
      <c r="H15" s="21" t="str">
        <f t="shared" si="0"/>
        <v/>
      </c>
      <c r="I15" s="21" t="str">
        <f t="shared" si="9"/>
        <v/>
      </c>
      <c r="J15" s="21" t="str">
        <f t="shared" si="1"/>
        <v/>
      </c>
      <c r="V15" s="21"/>
      <c r="W15" s="21"/>
      <c r="AE15" s="46" t="s">
        <v>118</v>
      </c>
      <c r="AF15" s="46">
        <f>EXP(AI6)</f>
        <v>60.624551398755294</v>
      </c>
      <c r="AG15" s="46"/>
      <c r="AH15" s="46"/>
      <c r="AI15" s="46"/>
      <c r="AJ15" s="46"/>
    </row>
    <row r="16" spans="1:36">
      <c r="C16" s="21" t="str">
        <f t="shared" si="8"/>
        <v/>
      </c>
      <c r="D16" s="21" t="str">
        <f t="shared" si="3"/>
        <v/>
      </c>
      <c r="E16" s="21" t="str">
        <f t="shared" si="4"/>
        <v/>
      </c>
      <c r="F16" s="21" t="str">
        <f t="shared" si="5"/>
        <v/>
      </c>
      <c r="G16" s="21" t="str">
        <f t="shared" si="6"/>
        <v/>
      </c>
      <c r="H16" s="21" t="str">
        <f t="shared" si="0"/>
        <v/>
      </c>
      <c r="I16" s="21" t="str">
        <f t="shared" si="9"/>
        <v/>
      </c>
      <c r="J16" s="21" t="str">
        <f t="shared" si="1"/>
        <v/>
      </c>
      <c r="V16" s="21"/>
      <c r="W16" s="21"/>
      <c r="AE16" s="46" t="s">
        <v>120</v>
      </c>
      <c r="AF16" s="46">
        <f>AI9</f>
        <v>1.1245744337714896</v>
      </c>
      <c r="AG16" s="46"/>
      <c r="AH16" s="46"/>
      <c r="AI16" s="46"/>
      <c r="AJ16" s="46"/>
    </row>
    <row r="17" spans="4:36" ht="18.75">
      <c r="D17" s="21" t="str">
        <f t="shared" si="3"/>
        <v/>
      </c>
      <c r="E17" s="21" t="str">
        <f t="shared" si="4"/>
        <v/>
      </c>
      <c r="F17" s="21" t="str">
        <f t="shared" si="5"/>
        <v/>
      </c>
      <c r="G17" s="21" t="str">
        <f t="shared" si="6"/>
        <v/>
      </c>
      <c r="H17" s="21" t="str">
        <f t="shared" si="0"/>
        <v/>
      </c>
      <c r="I17" s="21" t="str">
        <f t="shared" si="9"/>
        <v/>
      </c>
      <c r="J17" s="21" t="str">
        <f t="shared" si="1"/>
        <v/>
      </c>
      <c r="AE17" s="46" t="s">
        <v>122</v>
      </c>
      <c r="AF17" s="48">
        <f>(SUM(I5:I1048576))/(SUM(C5:C1048576))</f>
        <v>0.9997284563801937</v>
      </c>
      <c r="AG17" s="48"/>
      <c r="AH17" s="46"/>
      <c r="AI17" s="46"/>
      <c r="AJ17" s="46"/>
    </row>
    <row r="18" spans="4:36">
      <c r="L18" s="46"/>
      <c r="N18" s="46"/>
      <c r="O18" s="46"/>
      <c r="P18" s="46"/>
      <c r="Q18" s="46"/>
      <c r="U18" s="26"/>
    </row>
    <row r="19" spans="4:36">
      <c r="AE19" s="1" t="str">
        <f>CONCATENATE("A = ",ROUND(alfa_1_quad*alfa_2_quad,4),"(h^",ROUND(alfa_2_quad-1,4),")")</f>
        <v>A = 68.1768(h^0.1246)</v>
      </c>
    </row>
    <row r="22" spans="4:36">
      <c r="L22" s="46"/>
      <c r="M22" s="46"/>
    </row>
    <row r="23" spans="4:36">
      <c r="M23" s="46"/>
    </row>
    <row r="24" spans="4:36">
      <c r="L24" s="46"/>
      <c r="M24" s="46"/>
    </row>
  </sheetData>
  <mergeCells count="1">
    <mergeCell ref="AD1:AJ1"/>
  </mergeCells>
  <conditionalFormatting sqref="C3 A4:H4">
    <cfRule type="notContainsBlanks" dxfId="13" priority="16">
      <formula>LEN(TRIM(A3))&gt;0</formula>
    </cfRule>
  </conditionalFormatting>
  <conditionalFormatting sqref="C3">
    <cfRule type="notContainsBlanks" dxfId="12" priority="15">
      <formula>LEN(TRIM(C3))&gt;0</formula>
    </cfRule>
  </conditionalFormatting>
  <conditionalFormatting sqref="D3:H3">
    <cfRule type="notContainsBlanks" dxfId="11" priority="14">
      <formula>LEN(TRIM(D3))&gt;0</formula>
    </cfRule>
  </conditionalFormatting>
  <conditionalFormatting sqref="A3:B3">
    <cfRule type="notContainsBlanks" dxfId="10" priority="13">
      <formula>LEN(TRIM(A3))&gt;0</formula>
    </cfRule>
  </conditionalFormatting>
  <conditionalFormatting sqref="A3:B3">
    <cfRule type="notContainsBlanks" dxfId="9" priority="12">
      <formula>LEN(TRIM(A3))&gt;0</formula>
    </cfRule>
  </conditionalFormatting>
  <conditionalFormatting sqref="B5:H1048576">
    <cfRule type="notContainsBlanks" dxfId="8" priority="10">
      <formula>LEN(TRIM(B5))&gt;0</formula>
    </cfRule>
  </conditionalFormatting>
  <conditionalFormatting sqref="I5:I1048576">
    <cfRule type="notContainsBlanks" dxfId="7" priority="17">
      <formula>LEN(TRIM(I5))&gt;0</formula>
    </cfRule>
  </conditionalFormatting>
  <conditionalFormatting sqref="I3">
    <cfRule type="notContainsBlanks" dxfId="6" priority="8">
      <formula>LEN(TRIM(I3))&gt;0</formula>
    </cfRule>
  </conditionalFormatting>
  <conditionalFormatting sqref="A5:A1048576">
    <cfRule type="notContainsBlanks" dxfId="5" priority="7">
      <formula>LEN(TRIM(A5))&gt;0</formula>
    </cfRule>
  </conditionalFormatting>
  <conditionalFormatting sqref="J4">
    <cfRule type="notContainsBlanks" dxfId="4" priority="5">
      <formula>LEN(TRIM(J4))&gt;0</formula>
    </cfRule>
  </conditionalFormatting>
  <conditionalFormatting sqref="J3">
    <cfRule type="notContainsBlanks" dxfId="3" priority="4">
      <formula>LEN(TRIM(J3))&gt;0</formula>
    </cfRule>
  </conditionalFormatting>
  <conditionalFormatting sqref="J5:J1048576">
    <cfRule type="notContainsBlanks" dxfId="2" priority="3">
      <formula>LEN(TRIM(J5))&gt;0</formula>
    </cfRule>
  </conditionalFormatting>
  <conditionalFormatting sqref="W4:W16">
    <cfRule type="notContainsBlanks" dxfId="1" priority="2">
      <formula>LEN(TRIM(W4))&gt;0</formula>
    </cfRule>
  </conditionalFormatting>
  <conditionalFormatting sqref="V4:V16">
    <cfRule type="notContainsBlanks" dxfId="0" priority="1">
      <formula>LEN(TRIM(V4))&gt;0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51</vt:i4>
      </vt:variant>
    </vt:vector>
  </HeadingPairs>
  <TitlesOfParts>
    <vt:vector size="58" baseType="lpstr">
      <vt:lpstr>Dados_de_entrada</vt:lpstr>
      <vt:lpstr>VBA</vt:lpstr>
      <vt:lpstr>Gráficos</vt:lpstr>
      <vt:lpstr>Hidrograma afluente</vt:lpstr>
      <vt:lpstr>Simulação</vt:lpstr>
      <vt:lpstr>Base de dados</vt:lpstr>
      <vt:lpstr>Regressão</vt:lpstr>
      <vt:lpstr>a</vt:lpstr>
      <vt:lpstr>Ad_i</vt:lpstr>
      <vt:lpstr>alfa_1_quad</vt:lpstr>
      <vt:lpstr>alfa_2_quad</vt:lpstr>
      <vt:lpstr>alot_i</vt:lpstr>
      <vt:lpstr>Area</vt:lpstr>
      <vt:lpstr>b</vt:lpstr>
      <vt:lpstr>b_0</vt:lpstr>
      <vt:lpstr>c_</vt:lpstr>
      <vt:lpstr>c_0</vt:lpstr>
      <vt:lpstr>Cargas</vt:lpstr>
      <vt:lpstr>Cd_sr</vt:lpstr>
      <vt:lpstr>chuva_bacia</vt:lpstr>
      <vt:lpstr>CN_pos</vt:lpstr>
      <vt:lpstr>coef_IA</vt:lpstr>
      <vt:lpstr>cota_s</vt:lpstr>
      <vt:lpstr>declividade_afluente</vt:lpstr>
      <vt:lpstr>Diametros_Cd</vt:lpstr>
      <vt:lpstr>fi_h</vt:lpstr>
      <vt:lpstr>fi_s</vt:lpstr>
      <vt:lpstr>h_0</vt:lpstr>
      <vt:lpstr>h_max_puls</vt:lpstr>
      <vt:lpstr>hmax</vt:lpstr>
      <vt:lpstr>hmax_max</vt:lpstr>
      <vt:lpstr>I_a</vt:lpstr>
      <vt:lpstr>k</vt:lpstr>
      <vt:lpstr>k_2</vt:lpstr>
      <vt:lpstr>Lef_sr</vt:lpstr>
      <vt:lpstr>matriz_cd</vt:lpstr>
      <vt:lpstr>Passo</vt:lpstr>
      <vt:lpstr>passo_altura</vt:lpstr>
      <vt:lpstr>Pef</vt:lpstr>
      <vt:lpstr>Dados_de_entrada!Print_Area</vt:lpstr>
      <vt:lpstr>Ptotal</vt:lpstr>
      <vt:lpstr>Q_max_i</vt:lpstr>
      <vt:lpstr>Qmax</vt:lpstr>
      <vt:lpstr>qmax_i</vt:lpstr>
      <vt:lpstr>Qmax_lot_i</vt:lpstr>
      <vt:lpstr>Qref_i</vt:lpstr>
      <vt:lpstr>Runoff</vt:lpstr>
      <vt:lpstr>Runoff_pos</vt:lpstr>
      <vt:lpstr>S_i</vt:lpstr>
      <vt:lpstr>t_c</vt:lpstr>
      <vt:lpstr>tc</vt:lpstr>
      <vt:lpstr>tc_1</vt:lpstr>
      <vt:lpstr>tc_lot_i</vt:lpstr>
      <vt:lpstr>tc_min</vt:lpstr>
      <vt:lpstr>tempo_simul</vt:lpstr>
      <vt:lpstr>Tipo_Vertedor</vt:lpstr>
      <vt:lpstr>TR</vt:lpstr>
      <vt:lpstr>Vol_p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</dc:creator>
  <cp:lastModifiedBy>Nobrega Gomes, Marcus - (marcusnobrega)</cp:lastModifiedBy>
  <cp:lastPrinted>2025-01-30T16:45:49Z</cp:lastPrinted>
  <dcterms:created xsi:type="dcterms:W3CDTF">2018-09-24T14:15:25Z</dcterms:created>
  <dcterms:modified xsi:type="dcterms:W3CDTF">2025-09-15T04:38:15Z</dcterms:modified>
</cp:coreProperties>
</file>